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Websites\Pscweb\utilities\gas\18docs\1805708\"/>
    </mc:Choice>
  </mc:AlternateContent>
  <bookViews>
    <workbookView xWindow="0" yWindow="0" windowWidth="21570" windowHeight="9495" tabRatio="901"/>
  </bookViews>
  <sheets>
    <sheet name="Control Panel" sheetId="1" r:id="rId1"/>
    <sheet name="Summaries" sheetId="5" r:id="rId2"/>
    <sheet name="Adjustments" sheetId="3" r:id="rId3"/>
    <sheet name="Report" sheetId="2" r:id="rId4"/>
    <sheet name="ROR-Model" sheetId="6" r:id="rId5"/>
    <sheet name="Taxes" sheetId="12" r:id="rId6"/>
    <sheet name="Rate Base" sheetId="4" r:id="rId7"/>
    <sheet name="Transition Costs" sheetId="647" r:id="rId8"/>
    <sheet name="EXPENSES" sheetId="139" r:id="rId9"/>
    <sheet name="ENERGY EFFICIENCY SERVICES ADJ" sheetId="548" r:id="rId10"/>
    <sheet name="Und Stor" sheetId="16" r:id="rId11"/>
    <sheet name="Wexpro" sheetId="17" r:id="rId12"/>
    <sheet name="RESERVE ACCRUAL" sheetId="137" r:id="rId13"/>
    <sheet name="Donations" sheetId="42" r:id="rId14"/>
    <sheet name="Advertising" sheetId="594" r:id="rId15"/>
    <sheet name="Incentive" sheetId="33" r:id="rId16"/>
    <sheet name="Sporting Events" sheetId="595" r:id="rId17"/>
    <sheet name="Revenue" sheetId="15" r:id="rId18"/>
    <sheet name="Booked Dec 2017 Rev" sheetId="641" r:id="rId19"/>
    <sheet name="Other Rev" sheetId="14" r:id="rId20"/>
    <sheet name="Lab Adj" sheetId="582" r:id="rId21"/>
    <sheet name="Corp Overhead Adj" sheetId="650" r:id="rId22"/>
    <sheet name="Bad Debt" sheetId="20" r:id="rId23"/>
    <sheet name="Capital Str" sheetId="49" r:id="rId24"/>
    <sheet name="Utah Allocation" sheetId="50" r:id="rId25"/>
    <sheet name="ALLOCATIONS&amp;PRETAX" sheetId="5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14" hidden="1">Advertising!#REF!</definedName>
    <definedName name="_xlnm._FilterDatabase" localSheetId="16" hidden="1">'Sporting Events'!#REF!</definedName>
    <definedName name="Actual">#REF!,#REF!,#REF!,#REF!,#REF!,#REF!</definedName>
    <definedName name="Adjustments" localSheetId="20">'Control Panel'!$A$25:$F$38</definedName>
    <definedName name="Adjustments">'Control Panel'!$A$25:$F$67</definedName>
    <definedName name="ADV_ADJ" localSheetId="20">'[1]19-Advertising'!$P$28</definedName>
    <definedName name="ADV_ADJ">#REF!</definedName>
    <definedName name="ADV_ADJ_UT">#REF!</definedName>
    <definedName name="ADV_ADJ_WY">#REF!</definedName>
    <definedName name="ADVERTISECORP">#REF!</definedName>
    <definedName name="ADVERTISESUMMARY">#REF!</definedName>
    <definedName name="ADVERTISESUMMARY1">Advertising!$L$1:$S$39</definedName>
    <definedName name="ADVERTISEWP1">#REF!</definedName>
    <definedName name="ADVERTISEWP2">#REF!</definedName>
    <definedName name="ADVERTISEWP3">#REF!</definedName>
    <definedName name="ADVERTISEWP4">#REF!</definedName>
    <definedName name="advertisingscenario" localSheetId="20">'[1]19-Advertising'!$C$9:$E$172</definedName>
    <definedName name="Advertisingscenario">Advertising!$D$10:$D$43</definedName>
    <definedName name="ADVERTISINGSUMMARY1">#REF!</definedName>
    <definedName name="Affl_ROR_Adj">#REF!</definedName>
    <definedName name="Affl_ROR_Adj_UT">#REF!</definedName>
    <definedName name="Affl_ROR_Adj_WY">#REF!</definedName>
    <definedName name="Aircraft" localSheetId="20">#REF!</definedName>
    <definedName name="Aircraft">#REF!</definedName>
    <definedName name="AIRCRAFTSCENARIO" localSheetId="20">#REF!</definedName>
    <definedName name="AIRCRAFTSCENARIO">#REF!</definedName>
    <definedName name="ALLINONE">#REF!</definedName>
    <definedName name="Alloc_Cust_Assist">#REF!</definedName>
    <definedName name="Alloc_Deposits">#REF!</definedName>
    <definedName name="Alloc_Dist_Throu">#REF!</definedName>
    <definedName name="ALLOC_FACTORS_DATA">#REF!</definedName>
    <definedName name="ALLOC_FACTORS_DROP">#REF!</definedName>
    <definedName name="Alloc_Meters_Regs">#REF!</definedName>
    <definedName name="Alloc_Peak_Day">#REF!</definedName>
    <definedName name="Alloc_SD_Mains">#REF!</definedName>
    <definedName name="Alloc_Serv_Lines">#REF!</definedName>
    <definedName name="AllocationFactors">#REF!</definedName>
    <definedName name="ALLOCATIONS" localSheetId="20">'ALLOCATIONS&amp;PRETAX'!$B$6:$B$37</definedName>
    <definedName name="ALLOCATIONS">'ALLOCATIONS&amp;PRETAX'!$B$6:$E$37</definedName>
    <definedName name="ANN_DEP_ADJ_GEN">#REF!</definedName>
    <definedName name="ANN_DEP_ADJ_PROD">#REF!</definedName>
    <definedName name="ANN_DEP_ADJ_UT">#REF!</definedName>
    <definedName name="ANN_DEP_ADJ_WY">#REF!</definedName>
    <definedName name="AVE_101_WY" localSheetId="20">'Rate Base'!#REF!</definedName>
    <definedName name="AVE_101_WY">'Rate Base'!#REF!</definedName>
    <definedName name="AVE_105_UT" localSheetId="20">'Rate Base'!#REF!</definedName>
    <definedName name="AVE_105_UT">'Rate Base'!#REF!</definedName>
    <definedName name="AVE_106_GEN" localSheetId="20">'Rate Base'!#REF!</definedName>
    <definedName name="AVE_106_GEN">'Rate Base'!#REF!</definedName>
    <definedName name="AVE_106_PROD" localSheetId="20">'Rate Base'!#REF!</definedName>
    <definedName name="AVE_106_PROD">'Rate Base'!#REF!</definedName>
    <definedName name="AVE_106_UT" localSheetId="20">'Rate Base'!#REF!</definedName>
    <definedName name="AVE_106_UT">'Rate Base'!#REF!</definedName>
    <definedName name="AVE_106_WY" localSheetId="20">'Rate Base'!#REF!</definedName>
    <definedName name="AVE_106_WY">'Rate Base'!#REF!</definedName>
    <definedName name="AVE_108_GEN" localSheetId="20">'Rate Base'!#REF!</definedName>
    <definedName name="AVE_108_GEN">'Rate Base'!#REF!</definedName>
    <definedName name="AVE_108_PROD" localSheetId="20">'Rate Base'!#REF!</definedName>
    <definedName name="AVE_108_PROD">'Rate Base'!#REF!</definedName>
    <definedName name="AVE_108_UT" localSheetId="20">'Rate Base'!#REF!</definedName>
    <definedName name="AVE_108_UT">'Rate Base'!#REF!</definedName>
    <definedName name="AVE_108_WY" localSheetId="20">'Rate Base'!#REF!</definedName>
    <definedName name="AVE_108_WY">'Rate Base'!#REF!</definedName>
    <definedName name="AVE_111_GEN" localSheetId="20">'Rate Base'!#REF!</definedName>
    <definedName name="AVE_111_GEN">'Rate Base'!#REF!</definedName>
    <definedName name="AVE_111_PROD" localSheetId="20">'Rate Base'!#REF!</definedName>
    <definedName name="AVE_111_PROD">'Rate Base'!#REF!</definedName>
    <definedName name="AVE_111_UT" localSheetId="20">'Rate Base'!#REF!</definedName>
    <definedName name="AVE_111_UT">'Rate Base'!#REF!</definedName>
    <definedName name="AVE_111_WY" localSheetId="20">'Rate Base'!#REF!</definedName>
    <definedName name="AVE_111_WY">'Rate Base'!#REF!</definedName>
    <definedName name="AVE_154_WY" localSheetId="20">'Rate Base'!#REF!</definedName>
    <definedName name="AVE_154_WY">'Rate Base'!#REF!</definedName>
    <definedName name="AVE_1641_PROD" localSheetId="20">'Rate Base'!#REF!</definedName>
    <definedName name="AVE_1641_PROD">'Rate Base'!#REF!</definedName>
    <definedName name="AVE_165_GEN" localSheetId="20">'Rate Base'!#REF!</definedName>
    <definedName name="AVE_165_GEN">'Rate Base'!#REF!</definedName>
    <definedName name="AVE_2351_UT" localSheetId="20">'Rate Base'!#REF!</definedName>
    <definedName name="AVE_2351_UT">'Rate Base'!#REF!</definedName>
    <definedName name="AVE_2351_WY" localSheetId="20">'Rate Base'!#REF!</definedName>
    <definedName name="AVE_2351_WY">'Rate Base'!#REF!</definedName>
    <definedName name="AVE_2531_GEN" localSheetId="20">'Rate Base'!#REF!</definedName>
    <definedName name="AVE_2531_GEN">'Rate Base'!#REF!</definedName>
    <definedName name="AVE_255_GEN" localSheetId="20">'Rate Base'!#REF!</definedName>
    <definedName name="AVE_255_GEN">'Rate Base'!#REF!</definedName>
    <definedName name="AVE_255_PROD" localSheetId="20">'Rate Base'!#REF!</definedName>
    <definedName name="AVE_255_PROD">'Rate Base'!#REF!</definedName>
    <definedName name="AVE_255_UT" localSheetId="20">'Rate Base'!#REF!</definedName>
    <definedName name="AVE_255_UT">'Rate Base'!#REF!</definedName>
    <definedName name="AVE_255_WY" localSheetId="20">'Rate Base'!#REF!</definedName>
    <definedName name="AVE_255_WY">'Rate Base'!#REF!</definedName>
    <definedName name="AVE_282_GEN" localSheetId="20">'Rate Base'!#REF!</definedName>
    <definedName name="AVE_282_GEN">'Rate Base'!#REF!</definedName>
    <definedName name="AVE_282_PROD" localSheetId="20">'Rate Base'!#REF!</definedName>
    <definedName name="AVE_282_PROD">'Rate Base'!#REF!</definedName>
    <definedName name="AVE_282_UT" localSheetId="20">'Rate Base'!#REF!</definedName>
    <definedName name="AVE_282_UT">'Rate Base'!#REF!</definedName>
    <definedName name="AVE_282_WY" localSheetId="20">'Rate Base'!#REF!</definedName>
    <definedName name="AVE_282_WY">'Rate Base'!#REF!</definedName>
    <definedName name="AVE_2821_GEN" localSheetId="20">'Rate Base'!#REF!</definedName>
    <definedName name="AVE_2821_GEN">'Rate Base'!#REF!</definedName>
    <definedName name="AVE_2821_PROD" localSheetId="20">'Rate Base'!#REF!</definedName>
    <definedName name="AVE_2821_PROD">'Rate Base'!#REF!</definedName>
    <definedName name="AVE_2821_UT" localSheetId="20">'Rate Base'!#REF!</definedName>
    <definedName name="AVE_2821_UT">'Rate Base'!#REF!</definedName>
    <definedName name="AVE_2821_WY" localSheetId="20">'Rate Base'!#REF!</definedName>
    <definedName name="AVE_2821_WY">'Rate Base'!#REF!</definedName>
    <definedName name="AVE_2826_GEN" localSheetId="20">'Rate Base'!#REF!</definedName>
    <definedName name="AVE_2826_GEN">'Rate Base'!#REF!</definedName>
    <definedName name="ave_incentive">Incentive!$AJ$34</definedName>
    <definedName name="AVE_RB_101_PROD_ADJ" localSheetId="20">Adjustments!#REF!</definedName>
    <definedName name="AVE_RB_101_PROD_ADJ">Adjustments!#REF!</definedName>
    <definedName name="AVE_RB_108_PROD_ADJ" localSheetId="20">Adjustments!#REF!</definedName>
    <definedName name="AVE_RB_108_PROD_ADJ">Adjustments!#REF!</definedName>
    <definedName name="AVE_RB_111_PROD_ADJ" localSheetId="20">Adjustments!#REF!</definedName>
    <definedName name="AVE_RB_111_PROD_ADJ">Adjustments!#REF!</definedName>
    <definedName name="AVE_SEL_ADJ_101_PROD" localSheetId="20">Adjustments!#REF!</definedName>
    <definedName name="AVE_SEL_ADJ_101_PROD">Adjustments!#REF!</definedName>
    <definedName name="AVE_SEL_ADJ_108_PROD" localSheetId="20">Adjustments!#REF!</definedName>
    <definedName name="AVE_SEL_ADJ_108_PROD">Adjustments!#REF!</definedName>
    <definedName name="AVE_SEL_ADJ_111_PROD" localSheetId="20">Adjustments!#REF!</definedName>
    <definedName name="AVE_SEL_ADJ_111_PROD">Adjustments!#REF!</definedName>
    <definedName name="AVE_UND_STO" localSheetId="20">'Und Stor'!#REF!</definedName>
    <definedName name="AVE_UND_STO">'Und Stor'!#REF!</definedName>
    <definedName name="AVG_154_UT" localSheetId="20">'Rate Base'!#REF!</definedName>
    <definedName name="AVG_154_UT">'Rate Base'!#REF!</definedName>
    <definedName name="AVG_INCENTIVE" localSheetId="20">Incentive!#REF!</definedName>
    <definedName name="AVG_INCENTIVE">Incentive!$AC$12:$AI$476</definedName>
    <definedName name="BAD_DEBT_ADJ_UT">'Bad Debt'!#REF!</definedName>
    <definedName name="BAD_DEBT_ADJ_WY">'Bad Debt'!#REF!</definedName>
    <definedName name="BadDebtScenario" localSheetId="20">'Bad Debt'!$E$5:$H$39</definedName>
    <definedName name="BadDebtScenario">'Bad Debt'!$D$5:$D$39</definedName>
    <definedName name="BADDEBTSUMMARY1">'Bad Debt'!$C$1:$F$34</definedName>
    <definedName name="BADDEBTSUMMARY2">'Bad Debt'!$X$1:$AF$47</definedName>
    <definedName name="BANK_VAC" localSheetId="20">#REF!</definedName>
    <definedName name="BANK_VAC">#REF!</definedName>
    <definedName name="BANKEDVACATION">#REF!</definedName>
    <definedName name="baseenddate" localSheetId="20">'Control Panel'!#REF!</definedName>
    <definedName name="baseenddate">'Control Panel'!#REF!</definedName>
    <definedName name="Bill_Block_FT1ETempE">#REF!</definedName>
    <definedName name="Bill_Block_FT1ETempN">#REF!</definedName>
    <definedName name="Bill_Block_FT1NTempE">#REF!</definedName>
    <definedName name="Bill_Block_FT1NTempN">#REF!</definedName>
    <definedName name="billfactors" localSheetId="20">#REF!</definedName>
    <definedName name="billfactors">#REF!</definedName>
    <definedName name="billfactorscurrent" localSheetId="20">#REF!</definedName>
    <definedName name="billfactorscurrent">#REF!</definedName>
    <definedName name="BOOKED_DEC_2006">Revenue!$F$8:$F$371</definedName>
    <definedName name="CapStr" localSheetId="20">'Capital Str'!$C$22:$G$63</definedName>
    <definedName name="CapStr">'Capital Str'!$C$22:$E$63</definedName>
    <definedName name="CASE_ADJ_LABOR_WYO">#REF!</definedName>
    <definedName name="CASE_LABOR_ADJ">#REF!</definedName>
    <definedName name="CASEADJ_LABOR_UT">#REF!</definedName>
    <definedName name="CASERBSCENARIOS" localSheetId="20">'Rate Base'!#REF!</definedName>
    <definedName name="CASERBSCENARIOS">'Rate Base'!#REF!</definedName>
    <definedName name="CASEWCCFormula">#REF!</definedName>
    <definedName name="CASEWCCNumber">#REF!</definedName>
    <definedName name="CCSSUMMARY">#REF!</definedName>
    <definedName name="CET">[2]CET!$A$1:$B$179</definedName>
    <definedName name="CET_PER1" localSheetId="20">#REF!</definedName>
    <definedName name="CET_PER1">[3]CRITERIA!$J$163:$Q$164</definedName>
    <definedName name="CET_PER10" localSheetId="20">#REF!</definedName>
    <definedName name="CET_PER10">[3]CRITERIA!$CM$163:$CT$164</definedName>
    <definedName name="CET_PER11" localSheetId="20">#REF!</definedName>
    <definedName name="CET_PER11">[3]CRITERIA!$CV$163:$DC$164</definedName>
    <definedName name="CET_PER12" localSheetId="20">#REF!</definedName>
    <definedName name="CET_PER12">[3]CRITERIA!$DE$163:$DL$164</definedName>
    <definedName name="CET_PER2" localSheetId="20">#REF!</definedName>
    <definedName name="CET_PER2">[3]CRITERIA!$S$163:$Z$164</definedName>
    <definedName name="CET_PER3" localSheetId="20">#REF!</definedName>
    <definedName name="CET_PER3">[3]CRITERIA!$AB$163:$AI$164</definedName>
    <definedName name="CET_PER4" localSheetId="20">#REF!</definedName>
    <definedName name="CET_PER4">[3]CRITERIA!$AK$163:$AR$164</definedName>
    <definedName name="CET_PER5" localSheetId="20">#REF!</definedName>
    <definedName name="CET_PER5">[3]CRITERIA!$AT$163:$BA$164</definedName>
    <definedName name="CET_PER6" localSheetId="20">#REF!</definedName>
    <definedName name="CET_PER6">[3]CRITERIA!$BC$163:$BJ$164</definedName>
    <definedName name="CET_PER7" localSheetId="20">#REF!</definedName>
    <definedName name="CET_PER7">[3]CRITERIA!$BL$163:$BS$164</definedName>
    <definedName name="CET_PER8" localSheetId="20">#REF!</definedName>
    <definedName name="CET_PER8">[3]CRITERIA!$BU$163:$CB$164</definedName>
    <definedName name="CET_PER9" localSheetId="20">#REF!</definedName>
    <definedName name="CET_PER9">[3]CRITERIA!$CD$163:$CK$164</definedName>
    <definedName name="CISRETIREMENT">#REF!</definedName>
    <definedName name="CO_I4">[4]Criteria!$Q$26:$R$27</definedName>
    <definedName name="CO2_ADJ_UT">#REF!</definedName>
    <definedName name="CO2_ADJ_WY">#REF!</definedName>
    <definedName name="CO2_EXP_LIAB_UTAH">#REF!</definedName>
    <definedName name="CO2_FTX_LIAB_UTAH">#REF!</definedName>
    <definedName name="CO2_HOT">#REF!</definedName>
    <definedName name="CO2_STTX_LIAB_UTAH">#REF!</definedName>
    <definedName name="COI4CUSTOMERS">[5]CRITERIA!$B$685:$D$686</definedName>
    <definedName name="COI4DNG">[6]CRITERIA!$B$533:$D$534</definedName>
    <definedName name="COI4DTH">[6]CRITERIA!$B$530:$D$531</definedName>
    <definedName name="COI4GAS">[6]CRITERIA!$B$536:$D$537</definedName>
    <definedName name="COICCUSTOMERS">[5]CRITERIA!$B$699:$D$701</definedName>
    <definedName name="COICDNG">[6]CRITERIA!$B$544:$D$546</definedName>
    <definedName name="COICDTH">[6]CRITERIA!$B$540:$D$542</definedName>
    <definedName name="COICGAS">[6]CRITERIA!$B$548:$D$550</definedName>
    <definedName name="COMM_REV_CO" localSheetId="20">Revenue!$F$353</definedName>
    <definedName name="COMM_REV_CO">Revenue!$F$354</definedName>
    <definedName name="COMM_REV_ID" localSheetId="20">Revenue!$F$230</definedName>
    <definedName name="COMM_REV_ID">Revenue!$F$230</definedName>
    <definedName name="COMM_REV_UT" localSheetId="20">Revenue!$F$201</definedName>
    <definedName name="COMM_REV_UT">Revenue!$F$201</definedName>
    <definedName name="COMM_REV_WY" localSheetId="20">Revenue!$F$325</definedName>
    <definedName name="COMM_REV_WY">Revenue!$F$325</definedName>
    <definedName name="CONTROLPANEL">'Control Panel'!$A$1:$G$37</definedName>
    <definedName name="CORDAPTIX">#REF!</definedName>
    <definedName name="CORP_ROI">#REF!</definedName>
    <definedName name="COSFactors">#REF!</definedName>
    <definedName name="COSInput">#REF!</definedName>
    <definedName name="COSREVRUN">#REF!</definedName>
    <definedName name="COSSummary">#REF!</definedName>
    <definedName name="CostCurves" localSheetId="20">#REF!</definedName>
    <definedName name="CostCurves">#REF!</definedName>
    <definedName name="currentrates">#REF!</definedName>
    <definedName name="dblink">'[2]QUERY_FOR PIVOT'!$A$1:$H$2559</definedName>
    <definedName name="Decouple">#REF!</definedName>
    <definedName name="Decouple1">'Rate Base'!$B:$AD</definedName>
    <definedName name="Decouple1a" localSheetId="20">'Rate Base'!#REF!</definedName>
    <definedName name="Decouple1a">'Rate Base'!#REF!</definedName>
    <definedName name="Decouple2">'Other Rev'!$H:$H</definedName>
    <definedName name="Decouple2A">'Other Rev'!$AE:$AE</definedName>
    <definedName name="Decouple2B">'Other Rev'!$AQ:$AQ</definedName>
    <definedName name="Decouple3">'Bad Debt'!$I$12:$T$13</definedName>
    <definedName name="Decouple4">#REF!</definedName>
    <definedName name="Decouple5">#REF!</definedName>
    <definedName name="Decouple6">#REF!</definedName>
    <definedName name="Decouple6a">#REF!</definedName>
    <definedName name="Decouple6B">#REF!</definedName>
    <definedName name="Decouple6c">#REF!</definedName>
    <definedName name="Decouple7" localSheetId="20">Incentive!#REF!</definedName>
    <definedName name="Decouple7">Incentive!#REF!</definedName>
    <definedName name="Decouple8">'Capital Str'!$C$39:$G$63</definedName>
    <definedName name="Decouple9">#REF!</definedName>
    <definedName name="DEP_TAX_ADJ" localSheetId="20">'Lab Adj'!$C$9:$C$38</definedName>
    <definedName name="DEP_TAX_ADJ">#REF!</definedName>
    <definedName name="DEPT" localSheetId="20">#REF!</definedName>
    <definedName name="DEPT">#REF!</definedName>
    <definedName name="DON_ADJ" localSheetId="20">Donations!#REF!</definedName>
    <definedName name="DON_ADJ">Donations!#REF!</definedName>
    <definedName name="DON_ADJ_UT">Donations!$L$15</definedName>
    <definedName name="DON_ADJ_WY">Donations!$L$16</definedName>
    <definedName name="DONATIONSCORP">Donations!#REF!</definedName>
    <definedName name="DONATIONSSCENARIO" localSheetId="20">Donations!$I$3:$J$36</definedName>
    <definedName name="DONATIONSSCENARIO">Donations!$I$6:$K$39</definedName>
    <definedName name="DONATIONSSUMMARY" localSheetId="20">Donations!#REF!</definedName>
    <definedName name="DONATIONSSUMMARY">Donations!$C$1:$L$21</definedName>
    <definedName name="DPUORIGINAL" localSheetId="20">Summaries!#REF!</definedName>
    <definedName name="DPUORIGINAL">Summaries!#REF!</definedName>
    <definedName name="DPUORIGINAL1">Summaries!$U$1:$DJ$74</definedName>
    <definedName name="DPUSUMMARY">#REF!</definedName>
    <definedName name="DSM">'ENERGY EFFICIENCY SERVICES ADJ'!$E$7:$F$20</definedName>
    <definedName name="DSM_Accounting_Adjustment">'ENERGY EFFICIENCY SERVICES ADJ'!$A$1:$F$20</definedName>
    <definedName name="DSM_PER1" localSheetId="20">#REF!</definedName>
    <definedName name="DSM_PER1">[3]CRITERIA!$J$166:$Q$167</definedName>
    <definedName name="DSM_PER10" localSheetId="20">#REF!</definedName>
    <definedName name="DSM_PER10">[3]CRITERIA!$CM$166:$CT$167</definedName>
    <definedName name="DSM_PER11" localSheetId="20">#REF!</definedName>
    <definedName name="DSM_PER11">[3]CRITERIA!$CV$166:$DC$167</definedName>
    <definedName name="DSM_PER12" localSheetId="20">#REF!</definedName>
    <definedName name="DSM_PER12">[3]CRITERIA!$DE$166:$DL$167</definedName>
    <definedName name="DSM_PER2" localSheetId="20">#REF!</definedName>
    <definedName name="DSM_PER2">[3]CRITERIA!$S$166:$Z$167</definedName>
    <definedName name="DSM_PER3" localSheetId="20">#REF!</definedName>
    <definedName name="DSM_PER3">[3]CRITERIA!$AB$166:$AI$167</definedName>
    <definedName name="DSM_PER4" localSheetId="20">#REF!</definedName>
    <definedName name="DSM_PER4">[3]CRITERIA!$AK$166:$AR$167</definedName>
    <definedName name="DSM_PER5" localSheetId="20">#REF!</definedName>
    <definedName name="DSM_PER5">[3]CRITERIA!$AT$166:$BA$167</definedName>
    <definedName name="DSM_PER6" localSheetId="20">#REF!</definedName>
    <definedName name="DSM_PER6">[3]CRITERIA!$BC$166:$BJ$167</definedName>
    <definedName name="DSM_PER7" localSheetId="20">#REF!</definedName>
    <definedName name="DSM_PER7">[3]CRITERIA!$BL$166:$BS$167</definedName>
    <definedName name="DSM_PER8" localSheetId="20">#REF!</definedName>
    <definedName name="DSM_PER8">[3]CRITERIA!$BU$166:$CB$167</definedName>
    <definedName name="DSM_PER9" localSheetId="20">#REF!</definedName>
    <definedName name="DSM_PER9">[3]CRITERIA!$CD$166:$CK$167</definedName>
    <definedName name="DSMPRINT">'ENERGY EFFICIENCY SERVICES ADJ'!$A$1:$F$20</definedName>
    <definedName name="EVENT_ADJ" localSheetId="20">#REF!</definedName>
    <definedName name="EVENT_ADJ">#REF!</definedName>
    <definedName name="EVENT_ADJ_UT" localSheetId="20">#REF!</definedName>
    <definedName name="EVENT_ADJ_UT">#REF!</definedName>
    <definedName name="EVENT_ADJ_WY" localSheetId="20">#REF!</definedName>
    <definedName name="EVENT_ADJ_WY">#REF!</definedName>
    <definedName name="events">'Sporting Events'!$C$7:$C$16</definedName>
    <definedName name="EXPENSE_SENARIOS">EXPENSES!$F$6:$H$431</definedName>
    <definedName name="EXPENSES" localSheetId="20">EXPENSES!#REF!</definedName>
    <definedName name="EXPENSES">EXPENSES!$G$6:$G$781</definedName>
    <definedName name="EXPENSESCENARIO">EXPENSES!$F$6:$I$583</definedName>
    <definedName name="F1_COM_UT_PER1">#REF!</definedName>
    <definedName name="F1_COM_UT_PER10">#REF!</definedName>
    <definedName name="F1_COM_UT_PER11">#REF!</definedName>
    <definedName name="F1_COM_UT_PER12">#REF!</definedName>
    <definedName name="F1_COM_UT_PER2">#REF!</definedName>
    <definedName name="F1_COM_UT_PER3">#REF!</definedName>
    <definedName name="F1_COM_UT_PER4">#REF!</definedName>
    <definedName name="F1_COM_UT_PER5">#REF!</definedName>
    <definedName name="F1_COM_UT_PER6">#REF!</definedName>
    <definedName name="F1_COM_UT_PER7">#REF!</definedName>
    <definedName name="F1_COM_UT_PER8">#REF!</definedName>
    <definedName name="F1_COM_UT_PER9">#REF!</definedName>
    <definedName name="F1_COM_WY_PER1">#REF!</definedName>
    <definedName name="F1_COM_WY_PER10">#REF!</definedName>
    <definedName name="F1_COM_WY_PER11">#REF!</definedName>
    <definedName name="F1_COM_WY_PER12">#REF!</definedName>
    <definedName name="F1_COM_WY_PER2">#REF!</definedName>
    <definedName name="F1_COM_WY_PER3">#REF!</definedName>
    <definedName name="F1_COM_WY_PER4">#REF!</definedName>
    <definedName name="F1_COM_WY_PER5">#REF!</definedName>
    <definedName name="F1_COM_WY_PER6">#REF!</definedName>
    <definedName name="F1_COM_WY_PER7">#REF!</definedName>
    <definedName name="F1_COM_WY_PER8">#REF!</definedName>
    <definedName name="F1_COM_WY_PER9">#REF!</definedName>
    <definedName name="F1_DNG_UT_PER1">#REF!</definedName>
    <definedName name="F1_DNG_UT_PER10">#REF!</definedName>
    <definedName name="F1_DNG_UT_PER11">#REF!</definedName>
    <definedName name="F1_DNG_UT_PER12">#REF!</definedName>
    <definedName name="F1_DNG_UT_PER2">#REF!</definedName>
    <definedName name="F1_DNG_UT_PER3">#REF!</definedName>
    <definedName name="F1_DNG_UT_PER4">#REF!</definedName>
    <definedName name="F1_DNG_UT_PER5">#REF!</definedName>
    <definedName name="F1_DNG_UT_PER6">#REF!</definedName>
    <definedName name="F1_DNG_UT_PER7">#REF!</definedName>
    <definedName name="F1_DNG_UT_PER8">#REF!</definedName>
    <definedName name="F1_DNG_UT_PER9">#REF!</definedName>
    <definedName name="F1_DNG_WY_PER1">#REF!</definedName>
    <definedName name="F1_DNG_WY_PER10">#REF!</definedName>
    <definedName name="F1_DNG_WY_PER11">#REF!</definedName>
    <definedName name="F1_DNG_WY_PER12">#REF!</definedName>
    <definedName name="F1_DNG_WY_PER2">#REF!</definedName>
    <definedName name="F1_DNG_WY_PER3">#REF!</definedName>
    <definedName name="F1_DNG_WY_PER4">#REF!</definedName>
    <definedName name="F1_DNG_WY_PER5">#REF!</definedName>
    <definedName name="F1_DNG_WY_PER6">#REF!</definedName>
    <definedName name="F1_DNG_WY_PER7">#REF!</definedName>
    <definedName name="F1_DNG_WY_PER8">#REF!</definedName>
    <definedName name="F1_DNG_WY_PER9">#REF!</definedName>
    <definedName name="F1_SNG_UT_PER1">#REF!</definedName>
    <definedName name="F1_SNG_UT_PER10">#REF!</definedName>
    <definedName name="F1_SNG_UT_PER11">#REF!</definedName>
    <definedName name="F1_SNG_UT_PER12">#REF!</definedName>
    <definedName name="F1_SNG_UT_PER2">#REF!</definedName>
    <definedName name="F1_SNG_UT_PER3">#REF!</definedName>
    <definedName name="F1_SNG_UT_PER4">#REF!</definedName>
    <definedName name="F1_SNG_UT_PER5">#REF!</definedName>
    <definedName name="F1_SNG_UT_PER6">#REF!</definedName>
    <definedName name="F1_SNG_UT_PER7">#REF!</definedName>
    <definedName name="F1_SNG_UT_PER8">#REF!</definedName>
    <definedName name="F1_SNG_UT_PER9">#REF!</definedName>
    <definedName name="F1_WNA_UT_PER1">#REF!</definedName>
    <definedName name="F1_WNA_UT_PER10">#REF!</definedName>
    <definedName name="F1_WNA_UT_PER11">#REF!</definedName>
    <definedName name="F1_WNA_UT_PER12">#REF!</definedName>
    <definedName name="F1_WNA_UT_PER2">#REF!</definedName>
    <definedName name="F1_WNA_UT_PER3">#REF!</definedName>
    <definedName name="F1_WNA_UT_PER4">#REF!</definedName>
    <definedName name="F1_WNA_UT_PER5">#REF!</definedName>
    <definedName name="F1_WNA_UT_PER6">#REF!</definedName>
    <definedName name="F1_WNA_UT_PER7">#REF!</definedName>
    <definedName name="F1_WNA_UT_PER8">#REF!</definedName>
    <definedName name="F1_WNA_UT_PER9">#REF!</definedName>
    <definedName name="F1T_DNG_WY_PER1">[7]CRITERIA!$J$175:$Q$176</definedName>
    <definedName name="F1T_DNG_WY_PER10">[7]CRITERIA!$CM$175:$CT$176</definedName>
    <definedName name="F1T_DNG_WY_PER11">[7]CRITERIA!$CV$175:$DC$176</definedName>
    <definedName name="F1T_DNG_WY_PER12">[7]CRITERIA!$DE$175:$DL$176</definedName>
    <definedName name="F1T_DNG_WY_PER2">[7]CRITERIA!$S$175:$Z$176</definedName>
    <definedName name="F1T_DNG_WY_PER3">[7]CRITERIA!$AB$175:$AI$176</definedName>
    <definedName name="F1T_DNG_WY_PER4">[7]CRITERIA!$AK$175:$AR$176</definedName>
    <definedName name="F1T_DNG_WY_PER5">[7]CRITERIA!$AT$175:$BA$176</definedName>
    <definedName name="F1T_DNG_WY_PER6">[7]CRITERIA!$BC$175:$BJ$176</definedName>
    <definedName name="F1T_DNG_WY_PER7">[7]CRITERIA!$BL$175:$BS$176</definedName>
    <definedName name="F1T_DNG_WY_PER8">[7]CRITERIA!$BU$175:$CB$176</definedName>
    <definedName name="F1T_DNG_WY_PER9">[7]CRITERIA!$CD$175:$CK$176</definedName>
    <definedName name="F3_COM_UT_PER1">#REF!</definedName>
    <definedName name="F3_COM_UT_PER10">#REF!</definedName>
    <definedName name="F3_COM_UT_PER11">#REF!</definedName>
    <definedName name="F3_COM_UT_PER12">#REF!</definedName>
    <definedName name="F3_COM_UT_PER2">#REF!</definedName>
    <definedName name="F3_COM_UT_PER3">#REF!</definedName>
    <definedName name="F3_COM_UT_PER4">#REF!</definedName>
    <definedName name="F3_COM_UT_PER5">#REF!</definedName>
    <definedName name="F3_COM_UT_PER6">#REF!</definedName>
    <definedName name="F3_COM_UT_PER7">#REF!</definedName>
    <definedName name="F3_COM_UT_PER8">#REF!</definedName>
    <definedName name="F3_COM_UT_PER9">#REF!</definedName>
    <definedName name="F3_DNG_UT_PER1">#REF!</definedName>
    <definedName name="F3_DNG_UT_PER10">#REF!</definedName>
    <definedName name="F3_DNG_UT_PER11">#REF!</definedName>
    <definedName name="F3_DNG_UT_PER12">#REF!</definedName>
    <definedName name="F3_DNG_UT_PER2">#REF!</definedName>
    <definedName name="F3_DNG_UT_PER3">#REF!</definedName>
    <definedName name="F3_DNG_UT_PER4">#REF!</definedName>
    <definedName name="F3_DNG_UT_PER5">#REF!</definedName>
    <definedName name="F3_DNG_UT_PER6">#REF!</definedName>
    <definedName name="F3_DNG_UT_PER7">#REF!</definedName>
    <definedName name="F3_DNG_UT_PER8">#REF!</definedName>
    <definedName name="F3_DNG_UT_PER9">#REF!</definedName>
    <definedName name="F3_SNG_UT_PER1">#REF!</definedName>
    <definedName name="F3_SNG_UT_PER10">#REF!</definedName>
    <definedName name="F3_SNG_UT_PER11">#REF!</definedName>
    <definedName name="F3_SNG_UT_PER12">#REF!</definedName>
    <definedName name="F3_SNG_UT_PER2">#REF!</definedName>
    <definedName name="F3_SNG_UT_PER3">#REF!</definedName>
    <definedName name="F3_SNG_UT_PER4">#REF!</definedName>
    <definedName name="F3_SNG_UT_PER5">#REF!</definedName>
    <definedName name="F3_SNG_UT_PER6">#REF!</definedName>
    <definedName name="F3_SNG_UT_PER7">#REF!</definedName>
    <definedName name="F3_SNG_UT_PER8">#REF!</definedName>
    <definedName name="F3_SNG_UT_PER9">#REF!</definedName>
    <definedName name="F4_COM_UT_PER1">#REF!</definedName>
    <definedName name="F4_COM_UT_PER10">#REF!</definedName>
    <definedName name="F4_COM_UT_PER11">#REF!</definedName>
    <definedName name="F4_COM_UT_PER12">#REF!</definedName>
    <definedName name="F4_COM_UT_PER2">#REF!</definedName>
    <definedName name="F4_COM_UT_PER3">#REF!</definedName>
    <definedName name="F4_COM_UT_PER4">#REF!</definedName>
    <definedName name="F4_COM_UT_PER5">#REF!</definedName>
    <definedName name="F4_COM_UT_PER6">#REF!</definedName>
    <definedName name="F4_COM_UT_PER7">#REF!</definedName>
    <definedName name="F4_COM_UT_PER8">#REF!</definedName>
    <definedName name="F4_COM_UT_PER9">#REF!</definedName>
    <definedName name="F4_DNG_UT_PER1">#REF!</definedName>
    <definedName name="F4_DNG_UT_PER10">#REF!</definedName>
    <definedName name="F4_DNG_UT_PER11">#REF!</definedName>
    <definedName name="F4_DNG_UT_PER12">#REF!</definedName>
    <definedName name="F4_DNG_UT_PER2">#REF!</definedName>
    <definedName name="F4_DNG_UT_PER3">#REF!</definedName>
    <definedName name="F4_DNG_UT_PER4">#REF!</definedName>
    <definedName name="F4_DNG_UT_PER5">#REF!</definedName>
    <definedName name="F4_DNG_UT_PER6">#REF!</definedName>
    <definedName name="F4_DNG_UT_PER7">#REF!</definedName>
    <definedName name="F4_DNG_UT_PER8">#REF!</definedName>
    <definedName name="F4_DNG_UT_PER9">#REF!</definedName>
    <definedName name="F4_SNG_UT_PER1">#REF!</definedName>
    <definedName name="F4_SNG_UT_PER10">#REF!</definedName>
    <definedName name="F4_SNG_UT_PER11">#REF!</definedName>
    <definedName name="F4_SNG_UT_PER12">#REF!</definedName>
    <definedName name="F4_SNG_UT_PER2">#REF!</definedName>
    <definedName name="F4_SNG_UT_PER3">#REF!</definedName>
    <definedName name="F4_SNG_UT_PER4">#REF!</definedName>
    <definedName name="F4_SNG_UT_PER5">#REF!</definedName>
    <definedName name="F4_SNG_UT_PER6">#REF!</definedName>
    <definedName name="F4_SNG_UT_PER7">#REF!</definedName>
    <definedName name="F4_SNG_UT_PER8">#REF!</definedName>
    <definedName name="F4_SNG_UT_PER9">#REF!</definedName>
    <definedName name="F4_WNA_UT_PER1">#REF!</definedName>
    <definedName name="F4_WNA_UT_PER10">#REF!</definedName>
    <definedName name="F4_WNA_UT_PER11">#REF!</definedName>
    <definedName name="F4_WNA_UT_PER12">#REF!</definedName>
    <definedName name="F4_WNA_UT_PER2">#REF!</definedName>
    <definedName name="F4_WNA_UT_PER3">#REF!</definedName>
    <definedName name="F4_WNA_UT_PER4">#REF!</definedName>
    <definedName name="F4_WNA_UT_PER5">#REF!</definedName>
    <definedName name="F4_WNA_UT_PER6">#REF!</definedName>
    <definedName name="F4_WNA_UT_PER7">#REF!</definedName>
    <definedName name="F4_WNA_UT_PER8">#REF!</definedName>
    <definedName name="F4_WNA_UT_PER9">#REF!</definedName>
    <definedName name="FS_FL_UT_PER1">[8]CRITERIA!$J$196:$Q$197</definedName>
    <definedName name="FS_FL_UT_PER10">[8]CRITERIA!$CM$196:$CT$197</definedName>
    <definedName name="FS_FL_UT_PER11">[8]CRITERIA!$CV$196:$DC$197</definedName>
    <definedName name="FS_FL_UT_PER12">[8]CRITERIA!$DE$196:$DL$197</definedName>
    <definedName name="FS_FL_UT_PER2">[8]CRITERIA!$S$196:$Z$197</definedName>
    <definedName name="FS_FL_UT_PER3">[8]CRITERIA!$AB$196:$AI$197</definedName>
    <definedName name="FS_FL_UT_PER4">[8]CRITERIA!$AK$196:$AR$197</definedName>
    <definedName name="FS_FL_UT_PER5">[8]CRITERIA!$AT$196:$BA$197</definedName>
    <definedName name="FS_FL_UT_PER6">[8]CRITERIA!$BC$196:$BJ$197</definedName>
    <definedName name="FS_FL_UT_PER7">[8]CRITERIA!$BL$196:$BS$197</definedName>
    <definedName name="FS_FL_UT_PER8">[8]CRITERIA!$BU$196:$CB$197</definedName>
    <definedName name="FS_FL_UT_PER9">[8]CRITERIA!$CD$196:$CK$197</definedName>
    <definedName name="FT_FL_UT_PER1">[8]CRITERIA!$J$202:$Q$203</definedName>
    <definedName name="FT_FL_UT_PER10">[8]CRITERIA!$CM$202:$CT$203</definedName>
    <definedName name="FT_FL_UT_PER11">[8]CRITERIA!$CV$202:$DC$203</definedName>
    <definedName name="FT_FL_UT_PER12">[8]CRITERIA!$DE$202:$DL$203</definedName>
    <definedName name="FT_FL_UT_PER2">[8]CRITERIA!$S$202:$Z$203</definedName>
    <definedName name="FT_FL_UT_PER3">[8]CRITERIA!$AB$202:$AI$203</definedName>
    <definedName name="FT_FL_UT_PER4">[8]CRITERIA!$AK$202:$AR$203</definedName>
    <definedName name="FT_FL_UT_PER5">[8]CRITERIA!$AT$202:$BA$203</definedName>
    <definedName name="FT_FL_UT_PER6">[8]CRITERIA!$BC$202:$BJ$203</definedName>
    <definedName name="FT_FL_UT_PER7">[8]CRITERIA!$BL$202:$BS$203</definedName>
    <definedName name="FT_FL_UT_PER8">[8]CRITERIA!$BU$202:$CB$203</definedName>
    <definedName name="FT_FL_UT_PER9">[8]CRITERIA!$CD$202:$CK$203</definedName>
    <definedName name="FT1_DNG_UT_PER1">#REF!</definedName>
    <definedName name="FT1_DNG_UT_PER10">#REF!</definedName>
    <definedName name="FT1_DNG_UT_PER11">#REF!</definedName>
    <definedName name="FT1_DNG_UT_PER12">#REF!</definedName>
    <definedName name="FT1_DNG_UT_PER2">#REF!</definedName>
    <definedName name="FT1_DNG_UT_PER3">#REF!</definedName>
    <definedName name="FT1_DNG_UT_PER4">#REF!</definedName>
    <definedName name="FT1_DNG_UT_PER5">#REF!</definedName>
    <definedName name="FT1_DNG_UT_PER6">#REF!</definedName>
    <definedName name="FT1_DNG_UT_PER7">#REF!</definedName>
    <definedName name="FT1_DNG_UT_PER8">#REF!</definedName>
    <definedName name="FT1_DNG_UT_PER9">#REF!</definedName>
    <definedName name="FT2_COMM_UT_PER1" localSheetId="20">#REF!</definedName>
    <definedName name="FT2_COMM_UT_PER1">[3]CRITERIA!$J$89:$Q$90</definedName>
    <definedName name="FT2_COMM_UT_PER10" localSheetId="20">#REF!</definedName>
    <definedName name="FT2_COMM_UT_PER10">[3]CRITERIA!$CM$89:$CT$90</definedName>
    <definedName name="FT2_COMM_UT_PER11" localSheetId="20">#REF!</definedName>
    <definedName name="FT2_COMM_UT_PER11">[3]CRITERIA!$CV$89:$DC$90</definedName>
    <definedName name="FT2_COMM_UT_PER12" localSheetId="20">#REF!</definedName>
    <definedName name="FT2_COMM_UT_PER12">[3]CRITERIA!$DE$89:$DL$90</definedName>
    <definedName name="FT2_COMM_UT_PER2" localSheetId="20">#REF!</definedName>
    <definedName name="FT2_COMM_UT_PER2">[3]CRITERIA!$S$89:$Z$90</definedName>
    <definedName name="FT2_COMM_UT_PER3" localSheetId="20">#REF!</definedName>
    <definedName name="FT2_COMM_UT_PER3">[3]CRITERIA!$AB$89:$AI$90</definedName>
    <definedName name="FT2_COMM_UT_PER4" localSheetId="20">#REF!</definedName>
    <definedName name="FT2_COMM_UT_PER4">[3]CRITERIA!$AK$89:$AR$90</definedName>
    <definedName name="FT2_COMM_UT_PER5" localSheetId="20">#REF!</definedName>
    <definedName name="FT2_COMM_UT_PER5">[3]CRITERIA!$AT$89:$BA$90</definedName>
    <definedName name="FT2_COMM_UT_PER6" localSheetId="20">#REF!</definedName>
    <definedName name="FT2_COMM_UT_PER6">[3]CRITERIA!$BC$89:$BJ$90</definedName>
    <definedName name="FT2_COMM_UT_PER7" localSheetId="20">#REF!</definedName>
    <definedName name="FT2_COMM_UT_PER7">[3]CRITERIA!$BL$89:$BS$90</definedName>
    <definedName name="FT2_COMM_UT_PER8" localSheetId="20">#REF!</definedName>
    <definedName name="FT2_COMM_UT_PER8">[3]CRITERIA!$BU$89:$CB$90</definedName>
    <definedName name="FT2_COMM_UT_PER9" localSheetId="20">#REF!</definedName>
    <definedName name="FT2_COMM_UT_PER9">[3]CRITERIA!$CD$89:$CK$90</definedName>
    <definedName name="FT2_DNG_UT_PER1">#REF!</definedName>
    <definedName name="FT2_DNG_UT_PER10">#REF!</definedName>
    <definedName name="FT2_DNG_UT_PER11">#REF!</definedName>
    <definedName name="FT2_DNG_UT_PER12">#REF!</definedName>
    <definedName name="FT2_DNG_UT_PER2">#REF!</definedName>
    <definedName name="FT2_DNG_UT_PER3">#REF!</definedName>
    <definedName name="FT2_DNG_UT_PER4">#REF!</definedName>
    <definedName name="FT2_DNG_UT_PER5">#REF!</definedName>
    <definedName name="FT2_DNG_UT_PER6">#REF!</definedName>
    <definedName name="FT2_DNG_UT_PER7">#REF!</definedName>
    <definedName name="FT2_DNG_UT_PER8">#REF!</definedName>
    <definedName name="FT2_DNG_UT_PER9">#REF!</definedName>
    <definedName name="FT2C_PER1">[7]CRITERIA!$J$172:$Q$173</definedName>
    <definedName name="FT2C_PER10">[7]CRITERIA!$CM$172:$CT$173</definedName>
    <definedName name="FT2C_PER11">[7]CRITERIA!$CV$172:$DC$173</definedName>
    <definedName name="FT2C_PER12">[7]CRITERIA!$DE$172:$DL$173</definedName>
    <definedName name="FT2C_PER2">[7]CRITERIA!$S$172:$Z$173</definedName>
    <definedName name="FT2C_PER3">[7]CRITERIA!$AB$172:$AI$173</definedName>
    <definedName name="FT2C_PER4">[7]CRITERIA!$AK$172:$AR$173</definedName>
    <definedName name="FT2C_PER5">[7]CRITERIA!$AT$172:$BA$173</definedName>
    <definedName name="FT2C_PER6">[7]CRITERIA!$BC$172:$BJ$173</definedName>
    <definedName name="FT2C_PER7">[7]CRITERIA!$BL$172:$BS$173</definedName>
    <definedName name="FT2C_PER8">[7]CRITERIA!$BU$172:$CB$173</definedName>
    <definedName name="FT2C_PER9">[7]CRITERIA!$CD$172:$CK$173</definedName>
    <definedName name="FT2RB1">'[9]Rates-Meter Categories-Charges'!$E$53</definedName>
    <definedName name="FT2RB2">'[9]Rates-Meter Categories-Charges'!$E$54</definedName>
    <definedName name="FT2RB3">'[9]Rates-Meter Categories-Charges'!$E$55</definedName>
    <definedName name="FT2RB4">'[9]Rates-Meter Categories-Charges'!$E$56</definedName>
    <definedName name="FUEL">'ENERGY EFFICIENCY SERVICES ADJ'!#REF!</definedName>
    <definedName name="GATHER">#REF!</definedName>
    <definedName name="GENPLANTADJ">#REF!</definedName>
    <definedName name="GH" localSheetId="20">'Capital Str'!#REF!</definedName>
    <definedName name="GH">'Capital Str'!#REF!</definedName>
    <definedName name="GrossPlantFormula">'Utah Allocation'!$D$18:$F$18</definedName>
    <definedName name="GrossPlantNumber">'Utah Allocation'!$D$17:$F$17</definedName>
    <definedName name="GS" localSheetId="20">#REF!</definedName>
    <definedName name="GS">#REF!</definedName>
    <definedName name="GS_FL_UT_PER1">[8]CRITERIA!$J$193:$Q$194</definedName>
    <definedName name="GS_FL_UT_PER10">[8]CRITERIA!$CM$193:$CT$194</definedName>
    <definedName name="GS_FL_UT_PER11">[8]CRITERIA!$CV$193:$DC$194</definedName>
    <definedName name="GS_FL_UT_PER12">[8]CRITERIA!$DE$193:$DL$194</definedName>
    <definedName name="GS_FL_UT_PER2">[8]CRITERIA!$S$193:$Z$194</definedName>
    <definedName name="GS_FL_UT_PER3">[8]CRITERIA!$AB$193:$AI$194</definedName>
    <definedName name="GS_FL_UT_PER4">[8]CRITERIA!$AK$193:$AR$194</definedName>
    <definedName name="GS_FL_UT_PER5">[8]CRITERIA!$AT$193:$BA$194</definedName>
    <definedName name="GS_FL_UT_PER6">[8]CRITERIA!$BC$193:$BJ$194</definedName>
    <definedName name="GS_FL_UT_PER7">[8]CRITERIA!$BL$193:$BS$194</definedName>
    <definedName name="GS_FL_UT_PER8">[8]CRITERIA!$BU$193:$CB$194</definedName>
    <definedName name="GS_FL_UT_PER9">[8]CRITERIA!$CD$193:$CK$194</definedName>
    <definedName name="GS1_COM_UT_PER1">#REF!</definedName>
    <definedName name="GS1_COM_UT_PER10">#REF!</definedName>
    <definedName name="GS1_COM_UT_PER11">#REF!</definedName>
    <definedName name="GS1_COM_UT_PER12">#REF!</definedName>
    <definedName name="GS1_COM_UT_PER2">#REF!</definedName>
    <definedName name="GS1_COM_UT_PER3">#REF!</definedName>
    <definedName name="GS1_COM_UT_PER4">#REF!</definedName>
    <definedName name="GS1_COM_UT_PER5">#REF!</definedName>
    <definedName name="GS1_COM_UT_PER6">#REF!</definedName>
    <definedName name="GS1_COM_UT_PER7">#REF!</definedName>
    <definedName name="GS1_COM_UT_PER8">#REF!</definedName>
    <definedName name="GS1_COM_UT_PER9">#REF!</definedName>
    <definedName name="GS1_COM_WY_PER1">#REF!</definedName>
    <definedName name="GS1_COM_WY_PER10">#REF!</definedName>
    <definedName name="GS1_COM_WY_PER11">#REF!</definedName>
    <definedName name="GS1_COM_WY_PER12">#REF!</definedName>
    <definedName name="GS1_COM_WY_PER2">#REF!</definedName>
    <definedName name="GS1_COM_WY_PER3">#REF!</definedName>
    <definedName name="GS1_COM_WY_PER4">#REF!</definedName>
    <definedName name="GS1_COM_WY_PER5">#REF!</definedName>
    <definedName name="GS1_COM_WY_PER6">#REF!</definedName>
    <definedName name="GS1_COM_WY_PER7">#REF!</definedName>
    <definedName name="GS1_COM_WY_PER8">#REF!</definedName>
    <definedName name="GS1_COM_WY_PER9">#REF!</definedName>
    <definedName name="GS1_DNG_UT_PER1">#REF!</definedName>
    <definedName name="GS1_DNG_UT_PER10">#REF!</definedName>
    <definedName name="GS1_DNG_UT_PER11">#REF!</definedName>
    <definedName name="GS1_DNG_UT_PER12">#REF!</definedName>
    <definedName name="GS1_DNG_UT_PER2">#REF!</definedName>
    <definedName name="GS1_DNG_UT_PER3">#REF!</definedName>
    <definedName name="GS1_DNG_UT_PER4">#REF!</definedName>
    <definedName name="GS1_DNG_UT_PER5">#REF!</definedName>
    <definedName name="GS1_DNG_UT_PER6">#REF!</definedName>
    <definedName name="GS1_DNG_UT_PER7">#REF!</definedName>
    <definedName name="GS1_DNG_UT_PER8">#REF!</definedName>
    <definedName name="GS1_DNG_UT_PER9">#REF!</definedName>
    <definedName name="GS1_DNG_WY_PER1">#REF!</definedName>
    <definedName name="GS1_DNG_WY_PER10">#REF!</definedName>
    <definedName name="GS1_DNG_WY_PER11">#REF!</definedName>
    <definedName name="GS1_DNG_WY_PER12">#REF!</definedName>
    <definedName name="GS1_DNG_WY_PER2">#REF!</definedName>
    <definedName name="GS1_DNG_WY_PER3">#REF!</definedName>
    <definedName name="GS1_DNG_WY_PER4">#REF!</definedName>
    <definedName name="GS1_DNG_WY_PER5">#REF!</definedName>
    <definedName name="GS1_DNG_WY_PER6">#REF!</definedName>
    <definedName name="GS1_DNG_WY_PER7">#REF!</definedName>
    <definedName name="GS1_DNG_WY_PER8">#REF!</definedName>
    <definedName name="GS1_DNG_WY_PER9">#REF!</definedName>
    <definedName name="GS1_SNG_UT_PER1">#REF!</definedName>
    <definedName name="GS1_SNG_UT_PER10">#REF!</definedName>
    <definedName name="GS1_SNG_UT_PER11">#REF!</definedName>
    <definedName name="GS1_SNG_UT_PER12">#REF!</definedName>
    <definedName name="GS1_SNG_UT_PER2">#REF!</definedName>
    <definedName name="GS1_SNG_UT_PER3">#REF!</definedName>
    <definedName name="GS1_SNG_UT_PER4">#REF!</definedName>
    <definedName name="GS1_SNG_UT_PER5">#REF!</definedName>
    <definedName name="GS1_SNG_UT_PER6">#REF!</definedName>
    <definedName name="GS1_SNG_UT_PER7">#REF!</definedName>
    <definedName name="GS1_SNG_UT_PER8">#REF!</definedName>
    <definedName name="GS1_SNG_UT_PER9">#REF!</definedName>
    <definedName name="GS1_WNA_UT_PER1">#REF!</definedName>
    <definedName name="GS1_WNA_UT_PER10">#REF!</definedName>
    <definedName name="GS1_WNA_UT_PER11">#REF!</definedName>
    <definedName name="GS1_WNA_UT_PER12">#REF!</definedName>
    <definedName name="GS1_WNA_UT_PER2">#REF!</definedName>
    <definedName name="GS1_WNA_UT_PER3">#REF!</definedName>
    <definedName name="GS1_WNA_UT_PER4">#REF!</definedName>
    <definedName name="GS1_WNA_UT_PER5">#REF!</definedName>
    <definedName name="GS1_WNA_UT_PER6">#REF!</definedName>
    <definedName name="GS1_WNA_UT_PER7">#REF!</definedName>
    <definedName name="GS1_WNA_UT_PER8">#REF!</definedName>
    <definedName name="GS1_WNA_UT_PER9">#REF!</definedName>
    <definedName name="GS1_WNA_WY_PER1">#REF!</definedName>
    <definedName name="GS1_WNA_WY_PER10">#REF!</definedName>
    <definedName name="GS1_WNA_WY_PER11">#REF!</definedName>
    <definedName name="GS1_WNA_WY_PER12">#REF!</definedName>
    <definedName name="GS1_WNA_WY_PER2">#REF!</definedName>
    <definedName name="GS1_WNA_WY_PER3">#REF!</definedName>
    <definedName name="GS1_WNA_WY_PER4">#REF!</definedName>
    <definedName name="GS1_WNA_WY_PER5">#REF!</definedName>
    <definedName name="GS1_WNA_WY_PER6">#REF!</definedName>
    <definedName name="GS1_WNA_WY_PER7">#REF!</definedName>
    <definedName name="GS1_WNA_WY_PER8">#REF!</definedName>
    <definedName name="GS1_WNA_WY_PER9">#REF!</definedName>
    <definedName name="GSS_COM_UT_PER1">#REF!</definedName>
    <definedName name="GSS_COM_UT_PER10">#REF!</definedName>
    <definedName name="GSS_COM_UT_PER11">#REF!</definedName>
    <definedName name="GSS_COM_UT_PER12">#REF!</definedName>
    <definedName name="GSS_COM_UT_PER2">#REF!</definedName>
    <definedName name="GSS_COM_UT_PER3">#REF!</definedName>
    <definedName name="GSS_COM_UT_PER4">#REF!</definedName>
    <definedName name="GSS_COM_UT_PER5">#REF!</definedName>
    <definedName name="GSS_COM_UT_PER6">#REF!</definedName>
    <definedName name="GSS_COM_UT_PER7">#REF!</definedName>
    <definedName name="GSS_COM_UT_PER8">#REF!</definedName>
    <definedName name="GSS_COM_UT_PER9">#REF!</definedName>
    <definedName name="GSS_COM_WY_PER1">#REF!</definedName>
    <definedName name="GSS_COM_WY_PER10">#REF!</definedName>
    <definedName name="GSS_COM_WY_PER11">#REF!</definedName>
    <definedName name="GSS_COM_WY_PER12">#REF!</definedName>
    <definedName name="GSS_COM_WY_PER2">#REF!</definedName>
    <definedName name="GSS_COM_WY_PER3">#REF!</definedName>
    <definedName name="GSS_COM_WY_PER4">#REF!</definedName>
    <definedName name="GSS_COM_WY_PER5">#REF!</definedName>
    <definedName name="GSS_COM_WY_PER6">#REF!</definedName>
    <definedName name="GSS_COM_WY_PER7">#REF!</definedName>
    <definedName name="GSS_COM_WY_PER8">#REF!</definedName>
    <definedName name="GSS_COM_WY_PER9">#REF!</definedName>
    <definedName name="GSS_DNG_UT_PER1">#REF!</definedName>
    <definedName name="GSS_DNG_UT_PER10">#REF!</definedName>
    <definedName name="GSS_DNG_UT_PER11">#REF!</definedName>
    <definedName name="GSS_DNG_UT_PER12">#REF!</definedName>
    <definedName name="GSS_DNG_UT_PER2">#REF!</definedName>
    <definedName name="GSS_DNG_UT_PER3">#REF!</definedName>
    <definedName name="GSS_DNG_UT_PER4">#REF!</definedName>
    <definedName name="GSS_DNG_UT_PER5">#REF!</definedName>
    <definedName name="GSS_DNG_UT_PER6">#REF!</definedName>
    <definedName name="GSS_DNG_UT_PER7">#REF!</definedName>
    <definedName name="GSS_DNG_UT_PER8">#REF!</definedName>
    <definedName name="GSS_DNG_UT_PER9">#REF!</definedName>
    <definedName name="GSS_DNG_WY_PER1">#REF!</definedName>
    <definedName name="GSS_DNG_WY_PER10">#REF!</definedName>
    <definedName name="GSS_DNG_WY_PER11">#REF!</definedName>
    <definedName name="GSS_DNG_WY_PER12">#REF!</definedName>
    <definedName name="GSS_DNG_WY_PER2">#REF!</definedName>
    <definedName name="GSS_DNG_WY_PER3">#REF!</definedName>
    <definedName name="GSS_DNG_WY_PER4">#REF!</definedName>
    <definedName name="GSS_DNG_WY_PER5">#REF!</definedName>
    <definedName name="GSS_DNG_WY_PER6">#REF!</definedName>
    <definedName name="GSS_DNG_WY_PER7">#REF!</definedName>
    <definedName name="GSS_DNG_WY_PER8">#REF!</definedName>
    <definedName name="GSS_DNG_WY_PER9">#REF!</definedName>
    <definedName name="GSS_SNG_UT_PER1">#REF!</definedName>
    <definedName name="GSS_SNG_UT_PER10">#REF!</definedName>
    <definedName name="GSS_SNG_UT_PER11">#REF!</definedName>
    <definedName name="GSS_SNG_UT_PER12">#REF!</definedName>
    <definedName name="GSS_SNG_UT_PER2">#REF!</definedName>
    <definedName name="GSS_SNG_UT_PER3">#REF!</definedName>
    <definedName name="GSS_SNG_UT_PER4">#REF!</definedName>
    <definedName name="GSS_SNG_UT_PER5">#REF!</definedName>
    <definedName name="GSS_SNG_UT_PER6">#REF!</definedName>
    <definedName name="GSS_SNG_UT_PER7">#REF!</definedName>
    <definedName name="GSS_SNG_UT_PER8">#REF!</definedName>
    <definedName name="GSS_SNG_UT_PER9">#REF!</definedName>
    <definedName name="GSS_WNA_UT_PER1">#REF!</definedName>
    <definedName name="GSS_WNA_UT_PER10">#REF!</definedName>
    <definedName name="GSS_WNA_UT_PER11">#REF!</definedName>
    <definedName name="GSS_WNA_UT_PER12">#REF!</definedName>
    <definedName name="GSS_WNA_UT_PER2">#REF!</definedName>
    <definedName name="GSS_WNA_UT_PER3">#REF!</definedName>
    <definedName name="GSS_WNA_UT_PER4">#REF!</definedName>
    <definedName name="GSS_WNA_UT_PER5">#REF!</definedName>
    <definedName name="GSS_WNA_UT_PER6">#REF!</definedName>
    <definedName name="GSS_WNA_UT_PER7">#REF!</definedName>
    <definedName name="GSS_WNA_UT_PER8">#REF!</definedName>
    <definedName name="GSS_WNA_UT_PER9">#REF!</definedName>
    <definedName name="GSW_WNA_PER1" localSheetId="20">#REF!</definedName>
    <definedName name="GSW_WNA_PER1">[3]CRITERIA!$J$135:$Q$136</definedName>
    <definedName name="GSW_WNA_PER10" localSheetId="20">#REF!</definedName>
    <definedName name="GSW_WNA_PER10">[3]CRITERIA!$CM$135:$CT$136</definedName>
    <definedName name="GSW_WNA_PER11" localSheetId="20">#REF!</definedName>
    <definedName name="GSW_WNA_PER11">[3]CRITERIA!$CV$135:$DC$136</definedName>
    <definedName name="GSW_WNA_PER12" localSheetId="20">#REF!</definedName>
    <definedName name="GSW_WNA_PER12">[3]CRITERIA!$DE$135:$DL$136</definedName>
    <definedName name="GSW_WNA_PER2" localSheetId="20">#REF!</definedName>
    <definedName name="GSW_WNA_PER2">[3]CRITERIA!$S$135:$Z$136</definedName>
    <definedName name="GSW_WNA_PER3" localSheetId="20">#REF!</definedName>
    <definedName name="GSW_WNA_PER3">[3]CRITERIA!$AB$135:$AI$136</definedName>
    <definedName name="GSW_WNA_PER4" localSheetId="20">#REF!</definedName>
    <definedName name="GSW_WNA_PER4">[3]CRITERIA!$AK$135:$AR$136</definedName>
    <definedName name="GSW_WNA_PER5" localSheetId="20">#REF!</definedName>
    <definedName name="GSW_WNA_PER5">[3]CRITERIA!$AT$135:$BA$136</definedName>
    <definedName name="GSW_WNA_PER6" localSheetId="20">#REF!</definedName>
    <definedName name="GSW_WNA_PER6">[3]CRITERIA!$BC$135:$BJ$136</definedName>
    <definedName name="GSW_WNA_PER7" localSheetId="20">#REF!</definedName>
    <definedName name="GSW_WNA_PER7">[3]CRITERIA!$BL$135:$BS$136</definedName>
    <definedName name="GSW_WNA_PER8" localSheetId="20">#REF!</definedName>
    <definedName name="GSW_WNA_PER8">[3]CRITERIA!$BU$135:$CB$136</definedName>
    <definedName name="GSW_WNA_PER9" localSheetId="20">#REF!</definedName>
    <definedName name="GSW_WNA_PER9">[3]CRITERIA!$CD$135:$CK$136</definedName>
    <definedName name="GTI_ADJ">#REF!</definedName>
    <definedName name="GTI_ADJ_UT">#REF!</definedName>
    <definedName name="GTI_ADJ_WY">#REF!</definedName>
    <definedName name="HIST_101_PROD" localSheetId="20">'Rate Base'!#REF!</definedName>
    <definedName name="HIST_101_PROD">'Rate Base'!#REF!</definedName>
    <definedName name="HIST_108_PROD" localSheetId="20">'Rate Base'!#REF!</definedName>
    <definedName name="HIST_108_PROD">'Rate Base'!#REF!</definedName>
    <definedName name="HIST_111_PROD" localSheetId="20">'Rate Base'!#REF!</definedName>
    <definedName name="HIST_111_PROD">'Rate Base'!#REF!</definedName>
    <definedName name="HIST_403_GEN">EXPENSES!$F$391</definedName>
    <definedName name="HIST_403_PROD">EXPENSES!$F$388</definedName>
    <definedName name="HIST_403_UT">EXPENSES!$F$390</definedName>
    <definedName name="HIST_403_WY">EXPENSES!$F$389</definedName>
    <definedName name="Home" localSheetId="20">'Control Panel'!#REF!</definedName>
    <definedName name="Home">'Control Panel'!#REF!</definedName>
    <definedName name="I2_COM_UT_PER1">#REF!</definedName>
    <definedName name="I2_COM_UT_PER10">#REF!</definedName>
    <definedName name="I2_COM_UT_PER11">#REF!</definedName>
    <definedName name="I2_COM_UT_PER12">#REF!</definedName>
    <definedName name="I2_COM_UT_PER2">#REF!</definedName>
    <definedName name="I2_COM_UT_PER3">#REF!</definedName>
    <definedName name="I2_COM_UT_PER4">#REF!</definedName>
    <definedName name="I2_COM_UT_PER5">#REF!</definedName>
    <definedName name="I2_COM_UT_PER6">#REF!</definedName>
    <definedName name="I2_COM_UT_PER7">#REF!</definedName>
    <definedName name="I2_COM_UT_PER8">#REF!</definedName>
    <definedName name="I2_COM_UT_PER9">#REF!</definedName>
    <definedName name="I2_DNG_UT_PER1">#REF!</definedName>
    <definedName name="I2_DNG_UT_PER10">#REF!</definedName>
    <definedName name="I2_DNG_UT_PER11">#REF!</definedName>
    <definedName name="I2_DNG_UT_PER12">#REF!</definedName>
    <definedName name="I2_DNG_UT_PER2">#REF!</definedName>
    <definedName name="I2_DNG_UT_PER3">#REF!</definedName>
    <definedName name="I2_DNG_UT_PER4">#REF!</definedName>
    <definedName name="I2_DNG_UT_PER5">#REF!</definedName>
    <definedName name="I2_DNG_UT_PER6">#REF!</definedName>
    <definedName name="I2_DNG_UT_PER7">#REF!</definedName>
    <definedName name="I2_DNG_UT_PER8">#REF!</definedName>
    <definedName name="I2_DNG_UT_PER9">#REF!</definedName>
    <definedName name="I2_SNG_UT_PER1">#REF!</definedName>
    <definedName name="I2_SNG_UT_PER10">#REF!</definedName>
    <definedName name="I2_SNG_UT_PER11">#REF!</definedName>
    <definedName name="I2_SNG_UT_PER12">#REF!</definedName>
    <definedName name="I2_SNG_UT_PER2">#REF!</definedName>
    <definedName name="I2_SNG_UT_PER3">#REF!</definedName>
    <definedName name="I2_SNG_UT_PER4">#REF!</definedName>
    <definedName name="I2_SNG_UT_PER5">#REF!</definedName>
    <definedName name="I2_SNG_UT_PER6">#REF!</definedName>
    <definedName name="I2_SNG_UT_PER7">#REF!</definedName>
    <definedName name="I2_SNG_UT_PER8">#REF!</definedName>
    <definedName name="I2_SNG_UT_PER9">#REF!</definedName>
    <definedName name="I4_COM_UT_PER1">#REF!</definedName>
    <definedName name="I4_COM_UT_PER10">#REF!</definedName>
    <definedName name="I4_COM_UT_PER11">#REF!</definedName>
    <definedName name="I4_COM_UT_PER12">#REF!</definedName>
    <definedName name="I4_COM_UT_PER2">#REF!</definedName>
    <definedName name="I4_COM_UT_PER3">#REF!</definedName>
    <definedName name="I4_COM_UT_PER4">#REF!</definedName>
    <definedName name="I4_COM_UT_PER5">#REF!</definedName>
    <definedName name="I4_COM_UT_PER6">#REF!</definedName>
    <definedName name="I4_COM_UT_PER7">#REF!</definedName>
    <definedName name="I4_COM_UT_PER8">#REF!</definedName>
    <definedName name="I4_COM_UT_PER9">#REF!</definedName>
    <definedName name="I4_COM_WY_PER1">#REF!</definedName>
    <definedName name="I4_COM_WY_PER10">#REF!</definedName>
    <definedName name="I4_COM_WY_PER11">#REF!</definedName>
    <definedName name="I4_COM_WY_PER12">#REF!</definedName>
    <definedName name="I4_COM_WY_PER2">#REF!</definedName>
    <definedName name="I4_COM_WY_PER3">#REF!</definedName>
    <definedName name="I4_COM_WY_PER4">#REF!</definedName>
    <definedName name="I4_COM_WY_PER5">#REF!</definedName>
    <definedName name="I4_COM_WY_PER6">#REF!</definedName>
    <definedName name="I4_COM_WY_PER7">#REF!</definedName>
    <definedName name="I4_COM_WY_PER8">#REF!</definedName>
    <definedName name="I4_COM_WY_PER9">#REF!</definedName>
    <definedName name="I4_DNG_UT_PER1">#REF!</definedName>
    <definedName name="I4_DNG_UT_PER10">#REF!</definedName>
    <definedName name="I4_DNG_UT_PER11">#REF!</definedName>
    <definedName name="I4_DNG_UT_PER12">#REF!</definedName>
    <definedName name="I4_DNG_UT_PER2">#REF!</definedName>
    <definedName name="I4_DNG_UT_PER3">#REF!</definedName>
    <definedName name="I4_DNG_UT_PER4">#REF!</definedName>
    <definedName name="I4_DNG_UT_PER5">#REF!</definedName>
    <definedName name="I4_DNG_UT_PER6">#REF!</definedName>
    <definedName name="I4_DNG_UT_PER7">#REF!</definedName>
    <definedName name="I4_DNG_UT_PER8">#REF!</definedName>
    <definedName name="I4_DNG_UT_PER9">#REF!</definedName>
    <definedName name="I4_DNG_WY_PER1">#REF!</definedName>
    <definedName name="I4_DNG_WY_PER10">#REF!</definedName>
    <definedName name="I4_DNG_WY_PER11">#REF!</definedName>
    <definedName name="I4_DNG_WY_PER12">#REF!</definedName>
    <definedName name="I4_DNG_WY_PER2">#REF!</definedName>
    <definedName name="I4_DNG_WY_PER3">#REF!</definedName>
    <definedName name="I4_DNG_WY_PER4">#REF!</definedName>
    <definedName name="I4_DNG_WY_PER5">#REF!</definedName>
    <definedName name="I4_DNG_WY_PER6">#REF!</definedName>
    <definedName name="I4_DNG_WY_PER7">#REF!</definedName>
    <definedName name="I4_DNG_WY_PER8">#REF!</definedName>
    <definedName name="I4_DNG_WY_PER9">#REF!</definedName>
    <definedName name="I4_SNG_UT_PER1">#REF!</definedName>
    <definedName name="I4_SNG_UT_PER10">#REF!</definedName>
    <definedName name="I4_SNG_UT_PER11">#REF!</definedName>
    <definedName name="I4_SNG_UT_PER12">#REF!</definedName>
    <definedName name="I4_SNG_UT_PER2">#REF!</definedName>
    <definedName name="I4_SNG_UT_PER3">#REF!</definedName>
    <definedName name="I4_SNG_UT_PER4">#REF!</definedName>
    <definedName name="I4_SNG_UT_PER5">#REF!</definedName>
    <definedName name="I4_SNG_UT_PER6">#REF!</definedName>
    <definedName name="I4_SNG_UT_PER7">#REF!</definedName>
    <definedName name="I4_SNG_UT_PER8">#REF!</definedName>
    <definedName name="I4_SNG_UT_PER9">#REF!</definedName>
    <definedName name="I4_SNG_WY_PER1">#REF!</definedName>
    <definedName name="I4_SNG_WY_PER10">#REF!</definedName>
    <definedName name="I4_SNG_WY_PER11">#REF!</definedName>
    <definedName name="I4_SNG_WY_PER12">#REF!</definedName>
    <definedName name="I4_SNG_WY_PER2">#REF!</definedName>
    <definedName name="I4_SNG_WY_PER3">#REF!</definedName>
    <definedName name="I4_SNG_WY_PER4">#REF!</definedName>
    <definedName name="I4_SNG_WY_PER5">#REF!</definedName>
    <definedName name="I4_SNG_WY_PER6">#REF!</definedName>
    <definedName name="I4_SNG_WY_PER7">#REF!</definedName>
    <definedName name="I4_SNG_WY_PER8">#REF!</definedName>
    <definedName name="I4_SNG_WY_PER9">#REF!</definedName>
    <definedName name="I4_WNA_UT_PER1">#REF!</definedName>
    <definedName name="I4_WNA_UT_PER10">#REF!</definedName>
    <definedName name="I4_WNA_UT_PER11">#REF!</definedName>
    <definedName name="I4_WNA_UT_PER12">#REF!</definedName>
    <definedName name="I4_WNA_UT_PER2">#REF!</definedName>
    <definedName name="I4_WNA_UT_PER3">#REF!</definedName>
    <definedName name="I4_WNA_UT_PER4">#REF!</definedName>
    <definedName name="I4_WNA_UT_PER5">#REF!</definedName>
    <definedName name="I4_WNA_UT_PER6">#REF!</definedName>
    <definedName name="I4_WNA_UT_PER7">#REF!</definedName>
    <definedName name="I4_WNA_UT_PER8">#REF!</definedName>
    <definedName name="I4_WNA_UT_PER9">#REF!</definedName>
    <definedName name="I4_WNA_WY_PER1">#REF!</definedName>
    <definedName name="I4_WNA_WY_PER10">#REF!</definedName>
    <definedName name="I4_WNA_WY_PER11">#REF!</definedName>
    <definedName name="I4_WNA_WY_PER12">#REF!</definedName>
    <definedName name="I4_WNA_WY_PER2">#REF!</definedName>
    <definedName name="I4_WNA_WY_PER3">#REF!</definedName>
    <definedName name="I4_WNA_WY_PER4">#REF!</definedName>
    <definedName name="I4_WNA_WY_PER5">#REF!</definedName>
    <definedName name="I4_WNA_WY_PER6">#REF!</definedName>
    <definedName name="I4_WNA_WY_PER7">#REF!</definedName>
    <definedName name="I4_WNA_WY_PER8">#REF!</definedName>
    <definedName name="I4_WNA_WY_PER9">#REF!</definedName>
    <definedName name="IC_TRAN_WY_PER1">#REF!</definedName>
    <definedName name="IC_TRAN_WY_PER10">#REF!</definedName>
    <definedName name="IC_TRAN_WY_PER11">#REF!</definedName>
    <definedName name="IC_TRAN_WY_PER12">#REF!</definedName>
    <definedName name="IC_TRAN_WY_PER2">#REF!</definedName>
    <definedName name="IC_TRAN_WY_PER3">#REF!</definedName>
    <definedName name="IC_TRAN_WY_PER4">#REF!</definedName>
    <definedName name="IC_TRAN_WY_PER5">#REF!</definedName>
    <definedName name="IC_TRAN_WY_PER6">#REF!</definedName>
    <definedName name="IC_TRAN_WY_PER7">#REF!</definedName>
    <definedName name="IC_TRAN_WY_PER8">#REF!</definedName>
    <definedName name="IC_TRAN_WY_PER9">#REF!</definedName>
    <definedName name="IDGSDNG">[6]CRITERIA!$B$362:$D$363</definedName>
    <definedName name="IDGSDTH">[6]CRITERIA!$B$359:$D$360</definedName>
    <definedName name="IDGSGAS">[6]CRITERIA!$B$368:$D$369</definedName>
    <definedName name="IDGSSNG">[6]CRITERIA!$B$365:$D$366</definedName>
    <definedName name="IDIS2DNG">[6]CRITERIA!$B$376:$D$378</definedName>
    <definedName name="IDIS2DTH">[6]CRITERIA!$B$372:$D$374</definedName>
    <definedName name="IDIS2GAS">[6]CRITERIA!$B$384:$D$386</definedName>
    <definedName name="IDIS2SNG">[6]CRITERIA!$B$380:$D$382</definedName>
    <definedName name="INCENT_ADJ" localSheetId="20">Incentive!#REF!</definedName>
    <definedName name="INCENT_ADJ">Incentive!#REF!</definedName>
    <definedName name="INCENT_ADJ_UT" localSheetId="20">Incentive!#REF!</definedName>
    <definedName name="INCENT_ADJ_UT">Incentive!#REF!</definedName>
    <definedName name="INCENT_ADJ_WY" localSheetId="20">Incentive!#REF!</definedName>
    <definedName name="INCENT_ADJ_WY">Incentive!#REF!</definedName>
    <definedName name="INCENTIVE">Incentive!$AC$2:$AL$34</definedName>
    <definedName name="INCENTIVECORP">Incentive!$J$1:$P$49</definedName>
    <definedName name="INCENTIVEPER1">Incentive!#REF!</definedName>
    <definedName name="INCENTIVEPER10">Incentive!#REF!</definedName>
    <definedName name="INCENTIVEPER11">Incentive!$AT$52:$BC$53</definedName>
    <definedName name="INCENTIVEPER12">Incentive!$AT$55:$BC$56</definedName>
    <definedName name="INCENTIVEPER2">Incentive!#REF!</definedName>
    <definedName name="INCENTIVEPER3">Incentive!#REF!</definedName>
    <definedName name="INCENTIVEPER4">Incentive!#REF!</definedName>
    <definedName name="INCENTIVEPER5">Incentive!#REF!</definedName>
    <definedName name="INCENTIVEPER6">Incentive!#REF!</definedName>
    <definedName name="INCENTIVEPER7">Incentive!#REF!</definedName>
    <definedName name="INCENTIVEPER8">Incentive!#REF!</definedName>
    <definedName name="INCENTIVEPER9">Incentive!#REF!</definedName>
    <definedName name="INCENTIVESUMMARY">Incentive!$A$1:$H$25</definedName>
    <definedName name="Ind_Cust" localSheetId="20">#REF!</definedName>
    <definedName name="Ind_Cust">#REF!</definedName>
    <definedName name="INFOCOM_CREDIT">#REF!</definedName>
    <definedName name="INFOCOM_CREDIT1">#REF!</definedName>
    <definedName name="INFOCOM_REFUND">#REF!</definedName>
    <definedName name="INSENTIVEQGC">Incentive!$R$1:$Z$59</definedName>
    <definedName name="Insentives_QGC">'Control Panel'!$F$34</definedName>
    <definedName name="INSENTIVESCENARIO" localSheetId="20">Incentive!$D$3:$D$43</definedName>
    <definedName name="INSENTIVESCENARIO">Incentive!$D$3:$D$43</definedName>
    <definedName name="INSENTIVESSCENARIO" localSheetId="20">Incentive!#REF!</definedName>
    <definedName name="INSENTIVESSCENARIO">Incentive!#REF!</definedName>
    <definedName name="INTEGRITYSCENARIO" localSheetId="20">#REF!</definedName>
    <definedName name="INTEGRITYSCENARIO">#REF!</definedName>
    <definedName name="IS_FL_UT_PER1">[8]CRITERIA!$J$199:$Q$200</definedName>
    <definedName name="IS_FL_UT_PER10">[8]CRITERIA!$CM$199:$CT$200</definedName>
    <definedName name="IS_FL_UT_PER11">[8]CRITERIA!$CV$199:$DC$200</definedName>
    <definedName name="IS_FL_UT_PER12">[8]CRITERIA!$DE$199:$DL$200</definedName>
    <definedName name="IS_FL_UT_PER2">[8]CRITERIA!$S$199:$Z$200</definedName>
    <definedName name="IS_FL_UT_PER3">[8]CRITERIA!$AB$199:$AI$200</definedName>
    <definedName name="IS_FL_UT_PER4">[8]CRITERIA!$AK$199:$AR$200</definedName>
    <definedName name="IS_FL_UT_PER5">[8]CRITERIA!$AT$199:$BA$200</definedName>
    <definedName name="IS_FL_UT_PER6">[8]CRITERIA!$BC$199:$BJ$200</definedName>
    <definedName name="IS_FL_UT_PER7">[8]CRITERIA!$BL$199:$BS$200</definedName>
    <definedName name="IS_FL_UT_PER8">[8]CRITERIA!$BU$199:$CB$200</definedName>
    <definedName name="IS_FL_UT_PER9">[8]CRITERIA!$CD$199:$CK$200</definedName>
    <definedName name="IS4_COM_UT_PER1">#REF!</definedName>
    <definedName name="IS4_COM_UT_PER10">#REF!</definedName>
    <definedName name="IS4_COM_UT_PER11">#REF!</definedName>
    <definedName name="IS4_COM_UT_PER12">#REF!</definedName>
    <definedName name="IS4_COM_UT_PER2">#REF!</definedName>
    <definedName name="IS4_COM_UT_PER3">#REF!</definedName>
    <definedName name="IS4_COM_UT_PER4">#REF!</definedName>
    <definedName name="IS4_COM_UT_PER5">#REF!</definedName>
    <definedName name="IS4_COM_UT_PER6">#REF!</definedName>
    <definedName name="IS4_COM_UT_PER7">#REF!</definedName>
    <definedName name="IS4_COM_UT_PER8">#REF!</definedName>
    <definedName name="IS4_COM_UT_PER9">#REF!</definedName>
    <definedName name="IS4_DNG_UT_PER1">#REF!</definedName>
    <definedName name="IS4_DNG_UT_PER10">#REF!</definedName>
    <definedName name="IS4_DNG_UT_PER11">#REF!</definedName>
    <definedName name="IS4_DNG_UT_PER12">#REF!</definedName>
    <definedName name="IS4_DNG_UT_PER2">#REF!</definedName>
    <definedName name="IS4_DNG_UT_PER3">#REF!</definedName>
    <definedName name="IS4_DNG_UT_PER4">#REF!</definedName>
    <definedName name="IS4_DNG_UT_PER5">#REF!</definedName>
    <definedName name="IS4_DNG_UT_PER6">#REF!</definedName>
    <definedName name="IS4_DNG_UT_PER7">#REF!</definedName>
    <definedName name="IS4_DNG_UT_PER8">#REF!</definedName>
    <definedName name="IS4_DNG_UT_PER9">#REF!</definedName>
    <definedName name="IS4_SNG_UT_PER1">#REF!</definedName>
    <definedName name="IS4_SNG_UT_PER10">#REF!</definedName>
    <definedName name="IS4_SNG_UT_PER11">#REF!</definedName>
    <definedName name="IS4_SNG_UT_PER12">#REF!</definedName>
    <definedName name="IS4_SNG_UT_PER2">#REF!</definedName>
    <definedName name="IS4_SNG_UT_PER3">#REF!</definedName>
    <definedName name="IS4_SNG_UT_PER4">#REF!</definedName>
    <definedName name="IS4_SNG_UT_PER5">#REF!</definedName>
    <definedName name="IS4_SNG_UT_PER6">#REF!</definedName>
    <definedName name="IS4_SNG_UT_PER7">#REF!</definedName>
    <definedName name="IS4_SNG_UT_PER8">#REF!</definedName>
    <definedName name="IS4_SNG_UT_PER9">#REF!</definedName>
    <definedName name="IS4_WNA_UT_PER1">#REF!</definedName>
    <definedName name="IS4_WNA_UT_PER10">#REF!</definedName>
    <definedName name="IS4_WNA_UT_PER11">#REF!</definedName>
    <definedName name="IS4_WNA_UT_PER12">#REF!</definedName>
    <definedName name="IS4_WNA_UT_PER2">#REF!</definedName>
    <definedName name="IS4_WNA_UT_PER3">#REF!</definedName>
    <definedName name="IS4_WNA_UT_PER4">#REF!</definedName>
    <definedName name="IS4_WNA_UT_PER5">#REF!</definedName>
    <definedName name="IS4_WNA_UT_PER6">#REF!</definedName>
    <definedName name="IS4_WNA_UT_PER7">#REF!</definedName>
    <definedName name="IS4_WNA_UT_PER8">#REF!</definedName>
    <definedName name="IS4_WNA_UT_PER9">#REF!</definedName>
    <definedName name="IT_COMM_UT_PER1" localSheetId="20">#REF!</definedName>
    <definedName name="IT_COMM_UT_PER1">[3]CRITERIA!$J$104:$Q$105</definedName>
    <definedName name="IT_COMM_UT_PER10" localSheetId="20">#REF!</definedName>
    <definedName name="IT_COMM_UT_PER10">[3]CRITERIA!$CM$104:$CT$105</definedName>
    <definedName name="IT_COMM_UT_PER11" localSheetId="20">#REF!</definedName>
    <definedName name="IT_COMM_UT_PER11">[3]CRITERIA!$CV$104:$DC$105</definedName>
    <definedName name="IT_COMM_UT_PER12" localSheetId="20">#REF!</definedName>
    <definedName name="IT_COMM_UT_PER12">[3]CRITERIA!$DE$104:$DL$105</definedName>
    <definedName name="IT_COMM_UT_PER2" localSheetId="20">#REF!</definedName>
    <definedName name="IT_COMM_UT_PER2">[3]CRITERIA!$S$104:$Z$105</definedName>
    <definedName name="IT_COMM_UT_PER3" localSheetId="20">#REF!</definedName>
    <definedName name="IT_COMM_UT_PER3">[3]CRITERIA!$AB$104:$AI$105</definedName>
    <definedName name="IT_COMM_UT_PER4" localSheetId="20">#REF!</definedName>
    <definedName name="IT_COMM_UT_PER4">[3]CRITERIA!$AK$104:$AR$105</definedName>
    <definedName name="IT_COMM_UT_PER5" localSheetId="20">#REF!</definedName>
    <definedName name="IT_COMM_UT_PER5">[3]CRITERIA!$AT$104:$BA$105</definedName>
    <definedName name="IT_COMM_UT_PER6" localSheetId="20">#REF!</definedName>
    <definedName name="IT_COMM_UT_PER6">[3]CRITERIA!$BC$104:$BJ$105</definedName>
    <definedName name="IT_COMM_UT_PER7" localSheetId="20">#REF!</definedName>
    <definedName name="IT_COMM_UT_PER7">[3]CRITERIA!$BL$104:$BS$105</definedName>
    <definedName name="IT_COMM_UT_PER8" localSheetId="20">#REF!</definedName>
    <definedName name="IT_COMM_UT_PER8">[3]CRITERIA!$BU$104:$CB$105</definedName>
    <definedName name="IT_COMM_UT_PER9" localSheetId="20">#REF!</definedName>
    <definedName name="IT_COMM_UT_PER9">[3]CRITERIA!$CD$104:$CK$105</definedName>
    <definedName name="IT_F3">#REF!</definedName>
    <definedName name="IT_FT2">#REF!</definedName>
    <definedName name="IT_TRAN_UT_PER1">#REF!</definedName>
    <definedName name="IT_TRAN_UT_PER10">#REF!</definedName>
    <definedName name="IT_TRAN_UT_PER11">#REF!</definedName>
    <definedName name="IT_TRAN_UT_PER12">#REF!</definedName>
    <definedName name="IT_TRAN_UT_PER2">#REF!</definedName>
    <definedName name="IT_TRAN_UT_PER3">#REF!</definedName>
    <definedName name="IT_TRAN_UT_PER4">#REF!</definedName>
    <definedName name="IT_TRAN_UT_PER5">#REF!</definedName>
    <definedName name="IT_TRAN_UT_PER6">#REF!</definedName>
    <definedName name="IT_TRAN_UT_PER7">#REF!</definedName>
    <definedName name="IT_TRAN_UT_PER8">#REF!</definedName>
    <definedName name="IT_TRAN_UT_PER9">#REF!</definedName>
    <definedName name="IT_TRAN_WY_PER1">#REF!</definedName>
    <definedName name="IT_TRAN_WY_PER10">#REF!</definedName>
    <definedName name="IT_TRAN_WY_PER11">#REF!</definedName>
    <definedName name="IT_TRAN_WY_PER12">#REF!</definedName>
    <definedName name="IT_TRAN_WY_PER2">#REF!</definedName>
    <definedName name="IT_TRAN_WY_PER3">#REF!</definedName>
    <definedName name="IT_TRAN_WY_PER4">#REF!</definedName>
    <definedName name="IT_TRAN_WY_PER5">#REF!</definedName>
    <definedName name="IT_TRAN_WY_PER6">#REF!</definedName>
    <definedName name="IT_TRAN_WY_PER7">#REF!</definedName>
    <definedName name="IT_TRAN_WY_PER8">#REF!</definedName>
    <definedName name="IT_TRAN_WY_PER9">#REF!</definedName>
    <definedName name="JJIONJI">[10]Expenses!$G$372</definedName>
    <definedName name="JurisCASEFormula">#REF!</definedName>
    <definedName name="JurisCASENumber">#REF!</definedName>
    <definedName name="JurisRORFormula">Taxes!#REF!</definedName>
    <definedName name="JurisRORNumber" localSheetId="20">Taxes!$D$42</definedName>
    <definedName name="JurisRORNumber">Taxes!$D$42</definedName>
    <definedName name="LAB_UT">#REF!</definedName>
    <definedName name="LABADJ2">#REF!</definedName>
    <definedName name="LABOR_ADJ">#REF!</definedName>
    <definedName name="LABOR_ADJ_UT">#REF!</definedName>
    <definedName name="LABOR_ADJ_WY">#REF!</definedName>
    <definedName name="LABOR_SCENARIOS">#REF!</definedName>
    <definedName name="LABORADJ">#REF!</definedName>
    <definedName name="LABORSCENARIO" localSheetId="20">'Lab Adj'!$C$9:$D$20</definedName>
    <definedName name="LABORSCENARIO">#REF!</definedName>
    <definedName name="LABORTAB">'Lab Adj'!$B$1</definedName>
    <definedName name="Mark1">#REF!</definedName>
    <definedName name="Mark2">#REF!</definedName>
    <definedName name="Mark3">#REF!</definedName>
    <definedName name="Mark4">#REF!</definedName>
    <definedName name="Marktot">#REF!</definedName>
    <definedName name="MIN_FT2">#REF!</definedName>
    <definedName name="MIN_FTE">#REF!</definedName>
    <definedName name="MIN_IC_WY">#REF!</definedName>
    <definedName name="MINBILLSCENARIO" localSheetId="20">#REF!</definedName>
    <definedName name="MINBILLSCENARIO">#REF!</definedName>
    <definedName name="MINIMUMBILLS">#REF!</definedName>
    <definedName name="MODEL">'ROR-Model'!$A$3</definedName>
    <definedName name="MT_FL_UT_PER1">[8]CRITERIA!$J$208:$Q$209</definedName>
    <definedName name="MT_FL_UT_PER10">[8]CRITERIA!$CM$208:$CT$209</definedName>
    <definedName name="MT_FL_UT_PER11">[8]CRITERIA!$CV$208:$DC$209</definedName>
    <definedName name="MT_FL_UT_PER12">[8]CRITERIA!$DE$208:$DL$209</definedName>
    <definedName name="MT_FL_UT_PER2">[8]CRITERIA!$S$208:$Z$209</definedName>
    <definedName name="MT_FL_UT_PER3">[8]CRITERIA!$AB$208:$AI$209</definedName>
    <definedName name="MT_FL_UT_PER4">[8]CRITERIA!$AK$208:$AR$209</definedName>
    <definedName name="MT_FL_UT_PER5">[8]CRITERIA!$AT$208:$BA$209</definedName>
    <definedName name="MT_FL_UT_PER6">[8]CRITERIA!$BC$208:$BJ$209</definedName>
    <definedName name="MT_FL_UT_PER7">[8]CRITERIA!$BL$208:$BS$209</definedName>
    <definedName name="MT_FL_UT_PER8">[8]CRITERIA!$BU$208:$CB$209</definedName>
    <definedName name="MT_FL_UT_PER9">[8]CRITERIA!$CD$208:$CK$209</definedName>
    <definedName name="MT_SNG_UT_PER1" localSheetId="20">#REF!</definedName>
    <definedName name="MT_SNG_UT_PER1">[3]CRITERIA!$J$98:$Q$99</definedName>
    <definedName name="MT_SNG_UT_PER10" localSheetId="20">#REF!</definedName>
    <definedName name="MT_SNG_UT_PER10">[3]CRITERIA!$CM$98:$CT$99</definedName>
    <definedName name="MT_SNG_UT_PER11" localSheetId="20">#REF!</definedName>
    <definedName name="MT_SNG_UT_PER11">[3]CRITERIA!$CV$98:$DC$99</definedName>
    <definedName name="MT_SNG_UT_PER12" localSheetId="20">#REF!</definedName>
    <definedName name="MT_SNG_UT_PER12">[3]CRITERIA!$DE$98:$DL$99</definedName>
    <definedName name="MT_SNG_UT_PER2" localSheetId="20">#REF!</definedName>
    <definedName name="MT_SNG_UT_PER2">[3]CRITERIA!$S$98:$Z$99</definedName>
    <definedName name="MT_SNG_UT_PER3" localSheetId="20">#REF!</definedName>
    <definedName name="MT_SNG_UT_PER3">[3]CRITERIA!$AB$98:$AI$99</definedName>
    <definedName name="MT_SNG_UT_PER4" localSheetId="20">#REF!</definedName>
    <definedName name="MT_SNG_UT_PER4">[3]CRITERIA!$AK$98:$AR$99</definedName>
    <definedName name="MT_SNG_UT_PER5" localSheetId="20">#REF!</definedName>
    <definedName name="MT_SNG_UT_PER5">[3]CRITERIA!$AT$98:$BA$99</definedName>
    <definedName name="MT_SNG_UT_PER6" localSheetId="20">#REF!</definedName>
    <definedName name="MT_SNG_UT_PER6">[3]CRITERIA!$BC$98:$BJ$99</definedName>
    <definedName name="MT_SNG_UT_PER7" localSheetId="20">#REF!</definedName>
    <definedName name="MT_SNG_UT_PER7">[3]CRITERIA!$BL$98:$BS$99</definedName>
    <definedName name="MT_SNG_UT_PER8" localSheetId="20">#REF!</definedName>
    <definedName name="MT_SNG_UT_PER8">[3]CRITERIA!$BU$98:$CB$99</definedName>
    <definedName name="MT_SNG_UT_PER9" localSheetId="20">#REF!</definedName>
    <definedName name="MT_SNG_UT_PER9">[3]CRITERIA!$CD$98:$CK$99</definedName>
    <definedName name="MT_TRAN_UT_PER1">#REF!</definedName>
    <definedName name="MT_TRAN_UT_PER10">#REF!</definedName>
    <definedName name="MT_TRAN_UT_PER11">#REF!</definedName>
    <definedName name="MT_TRAN_UT_PER12">#REF!</definedName>
    <definedName name="MT_TRAN_UT_PER2">#REF!</definedName>
    <definedName name="MT_TRAN_UT_PER3">#REF!</definedName>
    <definedName name="MT_TRAN_UT_PER4">#REF!</definedName>
    <definedName name="MT_TRAN_UT_PER5">#REF!</definedName>
    <definedName name="MT_TRAN_UT_PER6">#REF!</definedName>
    <definedName name="MT_TRAN_UT_PER7">#REF!</definedName>
    <definedName name="MT_TRAN_UT_PER8">#REF!</definedName>
    <definedName name="MT_TRAN_UT_PER9">#REF!</definedName>
    <definedName name="NGV">#REF!</definedName>
    <definedName name="NGV_Accounting_Adjustment">#REF!</definedName>
    <definedName name="NGV_DATA">'[2]NGV REVENUES'!$BV$6:$IV$34</definedName>
    <definedName name="NGV_DSM">'ENERGY EFFICIENCY SERVICES ADJ'!#REF!</definedName>
    <definedName name="NGV_per1" localSheetId="20">#REF!</definedName>
    <definedName name="NGV_per1">[3]CRITERIA!$J$169:$Q$170</definedName>
    <definedName name="NGV_PER10" localSheetId="20">#REF!</definedName>
    <definedName name="NGV_PER10">[3]CRITERIA!$CM$169:$CT$170</definedName>
    <definedName name="NGV_PER11" localSheetId="20">#REF!</definedName>
    <definedName name="NGV_PER11">[3]CRITERIA!$CV$169:$DC$170</definedName>
    <definedName name="NGV_PER12" localSheetId="20">#REF!</definedName>
    <definedName name="NGV_PER12">[3]CRITERIA!$DE$169:$DL$170</definedName>
    <definedName name="NGV_PER2" localSheetId="20">#REF!</definedName>
    <definedName name="NGV_PER2">[3]CRITERIA!$S$169:$Z$170</definedName>
    <definedName name="NGV_PER3" localSheetId="20">#REF!</definedName>
    <definedName name="NGV_PER3">[3]CRITERIA!$AB$169:$AI$170</definedName>
    <definedName name="NGV_PER4" localSheetId="20">#REF!</definedName>
    <definedName name="NGV_PER4">[3]CRITERIA!$AK$169:$AR$170</definedName>
    <definedName name="NGV_PER5" localSheetId="20">#REF!</definedName>
    <definedName name="NGV_PER5">[3]CRITERIA!$AT$169:$BA$170</definedName>
    <definedName name="NGV_PER6" localSheetId="20">#REF!</definedName>
    <definedName name="NGV_PER6">[3]CRITERIA!$BC$169:$BJ$170</definedName>
    <definedName name="NGV_PER7" localSheetId="20">#REF!</definedName>
    <definedName name="NGV_PER7">[3]CRITERIA!$BL$169:$BS$170</definedName>
    <definedName name="NGV_PER8" localSheetId="20">#REF!</definedName>
    <definedName name="NGV_PER8">[3]CRITERIA!$BU$169:$CB$170</definedName>
    <definedName name="NGV_PER9" localSheetId="20">#REF!</definedName>
    <definedName name="NGV_PER9">[3]CRITERIA!$CD$169:$CK$170</definedName>
    <definedName name="NGV_QUERY" localSheetId="20">'[11]NGV Query'!$A$1:$H$65536</definedName>
    <definedName name="NGV_QUERY">'[3]NGV Query'!$A$1:$H$65536</definedName>
    <definedName name="NGVINFRASTRUCTURE">#REF!</definedName>
    <definedName name="NGVPRINT">#REF!</definedName>
    <definedName name="NGVWY_PER1" localSheetId="20">#REF!</definedName>
    <definedName name="NGVWY_PER1">[3]CRITERIA!$J$172:$Q$174</definedName>
    <definedName name="NGVWY_PER10" localSheetId="20">#REF!</definedName>
    <definedName name="NGVWY_PER10">[3]CRITERIA!$CM$172:$CT$174</definedName>
    <definedName name="NGVWY_PER11" localSheetId="20">#REF!</definedName>
    <definedName name="NGVWY_PER11">[3]CRITERIA!$CV$172:$DC$174</definedName>
    <definedName name="NGVWY_PER12" localSheetId="20">#REF!</definedName>
    <definedName name="NGVWY_PER12">[3]CRITERIA!$DE$172:$DL$174</definedName>
    <definedName name="NGVWY_PER2" localSheetId="20">#REF!</definedName>
    <definedName name="NGVWY_PER2">[3]CRITERIA!$S$172:$Z$174</definedName>
    <definedName name="NGVWY_PER3" localSheetId="20">#REF!</definedName>
    <definedName name="NGVWY_PER3">[3]CRITERIA!$AB$172:$AI$174</definedName>
    <definedName name="NGVWY_PER4" localSheetId="20">#REF!</definedName>
    <definedName name="NGVWY_PER4">[3]CRITERIA!$AK$172:$AR$174</definedName>
    <definedName name="NGVWY_PER5" localSheetId="20">#REF!</definedName>
    <definedName name="NGVWY_PER5">[3]CRITERIA!$AT$172:$BA$174</definedName>
    <definedName name="NGVWY_PER6" localSheetId="20">#REF!</definedName>
    <definedName name="NGVWY_PER6">[3]CRITERIA!$BC$172:$BJ$174</definedName>
    <definedName name="NGVWY_PER7" localSheetId="20">#REF!</definedName>
    <definedName name="NGVWY_PER7">[3]CRITERIA!$BL$172:$BS$174</definedName>
    <definedName name="NGVWY_PER8" localSheetId="20">#REF!</definedName>
    <definedName name="NGVWY_PER8">[3]CRITERIA!$BU$172:$CB$174</definedName>
    <definedName name="NGVWY_PER9" localSheetId="20">#REF!</definedName>
    <definedName name="NGVWY_PER9">[3]CRITERIA!$CD$172:$CK$174</definedName>
    <definedName name="OAK_CITY" localSheetId="20">#REF!</definedName>
    <definedName name="OAK_CITY">#REF!</definedName>
    <definedName name="OAKSCENARIO" localSheetId="20">#REF!</definedName>
    <definedName name="OAKSCENARIO">#REF!</definedName>
    <definedName name="OtherRevScenarios">'Other Rev'!$H$7:$I$145</definedName>
    <definedName name="pension">#REF!</definedName>
    <definedName name="PHANTOMCORP">#REF!</definedName>
    <definedName name="PHANTOMQGC">#REF!</definedName>
    <definedName name="PHANTOMQRS" localSheetId="20">#REF!</definedName>
    <definedName name="PHANTOMQRS">#REF!</definedName>
    <definedName name="PHANTOMSCENARIO" localSheetId="20">#REF!</definedName>
    <definedName name="PHANTOMSCENARIO">#REF!</definedName>
    <definedName name="PHANTOMSUMMARY">#REF!</definedName>
    <definedName name="PHTMSTK_ADJ" localSheetId="20">#REF!</definedName>
    <definedName name="PHTMSTK_ADJ">#REF!</definedName>
    <definedName name="PHTMSTK_ADJ_UT" localSheetId="20">#REF!</definedName>
    <definedName name="PHTMSTK_ADJ_UT">#REF!</definedName>
    <definedName name="PHTMSTK_ADJ_WY" localSheetId="20">#REF!</definedName>
    <definedName name="PHTMSTK_ADJ_WY">#REF!</definedName>
    <definedName name="Pipeline_Integrity">#REF!</definedName>
    <definedName name="POST_ADJ">#REF!</definedName>
    <definedName name="POST_ADJ_UT">#REF!</definedName>
    <definedName name="POST_ADJ_WY">#REF!</definedName>
    <definedName name="Print">#REF!</definedName>
    <definedName name="_xlnm.Print_Area" localSheetId="2">Adjustments!$A:$S</definedName>
    <definedName name="_xlnm.Print_Area" localSheetId="14">Advertising!$A$1:$Y$33</definedName>
    <definedName name="_xlnm.Print_Area" localSheetId="25">'ALLOCATIONS&amp;PRETAX'!$J$1:$N$60</definedName>
    <definedName name="_xlnm.Print_Area" localSheetId="22">'Bad Debt'!$A$1:$R$48</definedName>
    <definedName name="_xlnm.Print_Area" localSheetId="23">'Capital Str'!$B$1:$G$64</definedName>
    <definedName name="_xlnm.Print_Area" localSheetId="0">'Control Panel'!$B$1:$M$43</definedName>
    <definedName name="_xlnm.Print_Area" localSheetId="21">'Corp Overhead Adj'!$A$1:$F$51</definedName>
    <definedName name="_xlnm.Print_Area" localSheetId="13">Donations!$A$1:$X$29</definedName>
    <definedName name="_xlnm.Print_Area" localSheetId="9">'ENERGY EFFICIENCY SERVICES ADJ'!$A$1:$E$20</definedName>
    <definedName name="_xlnm.Print_Area" localSheetId="8">EXPENSES!$F$138:$K$430</definedName>
    <definedName name="_xlnm.Print_Area" localSheetId="15">Incentive!$A$1:$Z$38</definedName>
    <definedName name="_xlnm.Print_Area" localSheetId="20">'Lab Adj'!$I$1:$L$50</definedName>
    <definedName name="_xlnm.Print_Area" localSheetId="19">'Other Rev'!$B$1:$V$147</definedName>
    <definedName name="_xlnm.Print_Area" localSheetId="6">'Rate Base'!$AH$2:$AN$279</definedName>
    <definedName name="_xlnm.Print_Area" localSheetId="3">Report!$A$1:$J$78</definedName>
    <definedName name="_xlnm.Print_Area" localSheetId="12">'RESERVE ACCRUAL'!$A$1:$D$28</definedName>
    <definedName name="_xlnm.Print_Area" localSheetId="17">Revenue!$F$7:$F$8</definedName>
    <definedName name="_xlnm.Print_Area" localSheetId="4">'ROR-Model'!$A$782:$W$795</definedName>
    <definedName name="_xlnm.Print_Area" localSheetId="16">'Sporting Events'!$A$1:$W$35</definedName>
    <definedName name="_xlnm.Print_Area" localSheetId="1">Summaries!$A$1:$T$74</definedName>
    <definedName name="_xlnm.Print_Area" localSheetId="5">Taxes!$B$1:$G$75</definedName>
    <definedName name="_xlnm.Print_Area" localSheetId="7">'Transition Costs'!$A$1:$I$31</definedName>
    <definedName name="_xlnm.Print_Area" localSheetId="10">'Und Stor'!$A$1:$E$27</definedName>
    <definedName name="_xlnm.Print_Area" localSheetId="24">'Utah Allocation'!$A$1:$F$48</definedName>
    <definedName name="_xlnm.Print_Area" localSheetId="11">Wexpro!$A$1:$H$41</definedName>
    <definedName name="_xlnm.Print_Area">#REF!</definedName>
    <definedName name="print_files">#REF!</definedName>
    <definedName name="_xlnm.Print_Titles" localSheetId="2">Adjustments!$A:$E,Adjustments!$1:$9</definedName>
    <definedName name="_xlnm.Print_Titles" localSheetId="18">'Booked Dec 2017 Rev'!$A:$C,'Booked Dec 2017 Rev'!$7:$9</definedName>
    <definedName name="_xlnm.Print_Titles" localSheetId="8">EXPENSES!$B:$E,EXPENSES!$1:$9</definedName>
    <definedName name="_xlnm.Print_Titles" localSheetId="19">'Other Rev'!$Z:$AC,'Other Rev'!$1:$10</definedName>
    <definedName name="_xlnm.Print_Titles" localSheetId="6">'Rate Base'!$AH:$AK,'Rate Base'!$1:$10</definedName>
    <definedName name="_xlnm.Print_Titles" localSheetId="17">Revenue!$A:$D,Revenue!$1:$9</definedName>
    <definedName name="_xlnm.Print_Titles" localSheetId="4">'ROR-Model'!$A:$D,'ROR-Model'!$1:$13</definedName>
    <definedName name="_xlnm.Print_Titles" localSheetId="1">Summaries!$A:$E,Summaries!$1:$6</definedName>
    <definedName name="PROPERTYINSURANCE">#REF!</definedName>
    <definedName name="PT_OTH_REV_UT" localSheetId="20">'Other Rev'!$G$136</definedName>
    <definedName name="PT_OTH_REV_UT">'Other Rev'!$H$136</definedName>
    <definedName name="PT_OTH_REV_WY" localSheetId="20">'Other Rev'!$G$140</definedName>
    <definedName name="PT_OTH_REV_WY">'Other Rev'!$H$140</definedName>
    <definedName name="PTOSCENARIO" localSheetId="20">#REF!</definedName>
    <definedName name="PTOSCENARIO">#REF!</definedName>
    <definedName name="QES_ADJ">#REF!</definedName>
    <definedName name="QES_ADJ_UT">#REF!</definedName>
    <definedName name="QES_ADJ_WY">#REF!</definedName>
    <definedName name="QESDETAIL1">#REF!</definedName>
    <definedName name="QESSUMMARY">#REF!</definedName>
    <definedName name="QGC_UTAH_Bad_Debt">'Bad Debt'!$E$5:$H$39</definedName>
    <definedName name="QGCDIRECT">#REF!</definedName>
    <definedName name="QGCMARKTOT">#REF!</definedName>
    <definedName name="QGCSUMMARY">#REF!</definedName>
    <definedName name="QPEC_UTAH">#REF!</definedName>
    <definedName name="QPEC_WYO">#REF!</definedName>
    <definedName name="QRS_ROI">#REF!</definedName>
    <definedName name="R_D_Funds_Adjustment">#REF!</definedName>
    <definedName name="R_D_FUNDS_SCENARIO" localSheetId="20">#REF!</definedName>
    <definedName name="R_D_FUNDS_SCENARIO">#REF!</definedName>
    <definedName name="range" localSheetId="20">#REF!</definedName>
    <definedName name="range">#REF!</definedName>
    <definedName name="RateBaseFormula">'Utah Allocation'!$D$35:$F$35</definedName>
    <definedName name="RateBaseNumber">'Utah Allocation'!$D$34:$F$34</definedName>
    <definedName name="RateBaseScenarios" localSheetId="20">'Rate Base'!$X$8:$AY$279</definedName>
    <definedName name="RateBaseScenarios">'Rate Base'!$Y$8:$AB$279</definedName>
    <definedName name="rates" localSheetId="20">#REF!</definedName>
    <definedName name="rates">#REF!</definedName>
    <definedName name="rates2" localSheetId="20">#REF!</definedName>
    <definedName name="rates2">#REF!</definedName>
    <definedName name="ratescurrent" localSheetId="20">#REF!</definedName>
    <definedName name="ratescurrent">#REF!</definedName>
    <definedName name="ratesformulas" localSheetId="20">#REF!</definedName>
    <definedName name="ratesformulas">#REF!</definedName>
    <definedName name="rateshardnumbers" localSheetId="20">#REF!</definedName>
    <definedName name="rateshardnumbers">#REF!</definedName>
    <definedName name="REALLOCATION">#REF!</definedName>
    <definedName name="REALLOCATION2">#REF!</definedName>
    <definedName name="report">Report!$A$1:$L$78</definedName>
    <definedName name="REPORT1">Report!$A$1:$J$78</definedName>
    <definedName name="RES_ACC_ADJ">#REF!</definedName>
    <definedName name="RES_ACC_ADJ_UT">#REF!</definedName>
    <definedName name="RES_ACC_ADJ_WY">#REF!</definedName>
    <definedName name="RESERVE">'RESERVE ACCRUAL'!$A$1:$F$28</definedName>
    <definedName name="Reserve_Accrual_Adjustment">'RESERVE ACCRUAL'!$A$1:$F$30</definedName>
    <definedName name="RESERVEACCRUALSCENARIO" localSheetId="20">'RESERVE ACCRUAL'!#REF!</definedName>
    <definedName name="RESERVEACCRUALSCENARIO">'RESERVE ACCRUAL'!$D$6:$D$73</definedName>
    <definedName name="RevenueScenarios" localSheetId="20">Revenue!$F$8:$F$371</definedName>
    <definedName name="RevenueScenarios">Revenue!$F$8:$F$452</definedName>
    <definedName name="REVSUMMARY1" localSheetId="20">#REF!</definedName>
    <definedName name="REVSUMMARY1">#REF!</definedName>
    <definedName name="REVSUMMARY2">#REF!</definedName>
    <definedName name="RORAIRCRAFT">#REF!</definedName>
    <definedName name="RORCORP">#REF!</definedName>
    <definedName name="RORQIC">#REF!</definedName>
    <definedName name="RORQRS">#REF!</definedName>
    <definedName name="RORSUMMARY">#REF!</definedName>
    <definedName name="SalesFormula">'Utah Allocation'!$D$46:$F$46</definedName>
    <definedName name="SalesNumber">'Utah Allocation'!$D$45:$F$45</definedName>
    <definedName name="Scenarios" localSheetId="20">'Control Panel'!$H$10:$K$39</definedName>
    <definedName name="Scenarios">'Control Panel'!$H$10:$M$67</definedName>
    <definedName name="se5ry">'[7]QUERY_FOR PIVOT'!$A$1:$H$15062</definedName>
    <definedName name="Season" localSheetId="20">#REF!</definedName>
    <definedName name="Season">#REF!</definedName>
    <definedName name="SINGLEITEMCASE">#REF!</definedName>
    <definedName name="SNG_REV_ID" localSheetId="20">Revenue!$F$229</definedName>
    <definedName name="SNG_REV_ID">Revenue!$F$229</definedName>
    <definedName name="SNG_REV_UT" localSheetId="20">Revenue!$F$200</definedName>
    <definedName name="SNG_REV_UT">Revenue!$F$200</definedName>
    <definedName name="SNG_REV_WY" localSheetId="20">Revenue!$F$323</definedName>
    <definedName name="SNG_REV_WY">Revenue!$F$323</definedName>
    <definedName name="SOFTWAREADJUSTMENT">#REF!</definedName>
    <definedName name="SPORTING">#REF!</definedName>
    <definedName name="SPORTING2">#REF!</definedName>
    <definedName name="SPORTING3">#REF!</definedName>
    <definedName name="ST_TAX_ADJ">#REF!</definedName>
    <definedName name="ST_TAX_ADJ_UT" localSheetId="20">Adjustments!#REF!</definedName>
    <definedName name="ST_TAX_ADJ_UT">Adjustments!#REF!</definedName>
    <definedName name="ST_TAX_ADJ_WY">#REF!</definedName>
    <definedName name="Start_Print">#REF!</definedName>
    <definedName name="STATE_TAX">#REF!</definedName>
    <definedName name="STATETAX">#REF!</definedName>
    <definedName name="STATETAXSCENARIO" localSheetId="20">#REF!</definedName>
    <definedName name="STATETAXSCENARIO">#REF!</definedName>
    <definedName name="STOCKSUMMARY">#REF!</definedName>
    <definedName name="STOCKSUMMARYWP1">#REF!</definedName>
    <definedName name="STOCKSUMMARYWP2">#REF!</definedName>
    <definedName name="STTOCKSUMMARY1">#REF!</definedName>
    <definedName name="Summaries">Summaries!$A$1:$T$74</definedName>
    <definedName name="summarieswyo">#REF!</definedName>
    <definedName name="SUMMER_UT_F1" localSheetId="20">#REF!</definedName>
    <definedName name="SUMMER_UT_F1">#REF!</definedName>
    <definedName name="SUMMER_UT_GSC" localSheetId="20">#REF!</definedName>
    <definedName name="SUMMER_UT_GSC">#REF!</definedName>
    <definedName name="Summer_UT_GSR" localSheetId="20">#REF!</definedName>
    <definedName name="Summer_UT_GSR">#REF!</definedName>
    <definedName name="Summer_UT_GSS" localSheetId="20">#REF!</definedName>
    <definedName name="Summer_UT_GSS">#REF!</definedName>
    <definedName name="SYSCASEFormula">#REF!</definedName>
    <definedName name="SYSCASENumber">#REF!</definedName>
    <definedName name="SYSRORFormula">Taxes!#REF!</definedName>
    <definedName name="SYSRORNumber">Taxes!$C$42</definedName>
    <definedName name="Taxes" localSheetId="20">Taxes!$C$9:$E$75</definedName>
    <definedName name="Taxes">Taxes!$C$9:$E$75</definedName>
    <definedName name="TICKETS">#REF!</definedName>
    <definedName name="TICKETSCENARIO" localSheetId="20">#REF!</definedName>
    <definedName name="TICKETSCENARIO">#REF!</definedName>
    <definedName name="TITLE" localSheetId="20">'Control Panel'!#REF!</definedName>
    <definedName name="TITLE">'Control Panel'!#REF!</definedName>
    <definedName name="TITLE2" localSheetId="20">'Control Panel'!#REF!</definedName>
    <definedName name="TITLE2">'Control Panel'!#REF!</definedName>
    <definedName name="TS_COMM_UT_PER1">[7]CRITERIA!$J$89:$Q$90</definedName>
    <definedName name="TS_COMM_UT_PER10">[7]CRITERIA!$CM$89:$CT$90</definedName>
    <definedName name="TS_COMM_UT_PER11">[7]CRITERIA!$CV$89:$DC$90</definedName>
    <definedName name="TS_COMM_UT_PER12">[7]CRITERIA!$DE$89:$DL$90</definedName>
    <definedName name="TS_COMM_UT_PER2">[7]CRITERIA!$S$89:$Z$90</definedName>
    <definedName name="TS_COMM_UT_PER3">[7]CRITERIA!$AB$89:$AI$90</definedName>
    <definedName name="TS_COMM_UT_PER4">[7]CRITERIA!$AK$89:$AR$90</definedName>
    <definedName name="TS_COMM_UT_PER5">[7]CRITERIA!$AT$89:$BA$90</definedName>
    <definedName name="TS_COMM_UT_PER6">[7]CRITERIA!$BC$89:$BJ$90</definedName>
    <definedName name="TS_COMM_UT_PER7">[7]CRITERIA!$BL$89:$BS$90</definedName>
    <definedName name="TS_COMM_UT_PER8">[7]CRITERIA!$BU$89:$CB$90</definedName>
    <definedName name="TS_COMM_UT_PER9">[7]CRITERIA!$CD$89:$CK$90</definedName>
    <definedName name="TS_DNG_UT_PER1">[7]CRITERIA!$J$92:$Q$93</definedName>
    <definedName name="TS_DNG_UT_PER10">[7]CRITERIA!$CM$92:$CT$93</definedName>
    <definedName name="TS_DNG_UT_PER11">[7]CRITERIA!$CV$92:$DC$93</definedName>
    <definedName name="TS_DNG_UT_PER12">[7]CRITERIA!$DE$92:$DL$93</definedName>
    <definedName name="TS_DNG_UT_PER2">[7]CRITERIA!$S$92:$Z$93</definedName>
    <definedName name="TS_DNG_UT_PER3">[7]CRITERIA!$AB$92:$AI$93</definedName>
    <definedName name="TS_DNG_UT_PER4">[7]CRITERIA!$AK$92:$AR$93</definedName>
    <definedName name="TS_DNG_UT_PER5">[7]CRITERIA!$AT$92:$BA$93</definedName>
    <definedName name="TS_DNG_UT_PER6">[7]CRITERIA!$BC$92:$BJ$93</definedName>
    <definedName name="TS_DNG_UT_PER7">[7]CRITERIA!$BL$92:$BS$93</definedName>
    <definedName name="TS_DNG_UT_PER8">[7]CRITERIA!$BU$92:$CB$93</definedName>
    <definedName name="TS_DNG_UT_PER9">[7]CRITERIA!$CD$92:$CK$93</definedName>
    <definedName name="TS_FL_UT_PER1">[8]CRITERIA!$J$205:$Q$206</definedName>
    <definedName name="TS_FL_UT_PER10">[8]CRITERIA!$CM$205:$CT$206</definedName>
    <definedName name="TS_FL_UT_PER11">[8]CRITERIA!$CV$205:$DC$206</definedName>
    <definedName name="TS_FL_UT_PER12">[8]CRITERIA!$DE$205:$DL$206</definedName>
    <definedName name="TS_FL_UT_PER2">[8]CRITERIA!$S$205:$Z$206</definedName>
    <definedName name="TS_FL_UT_PER3">[8]CRITERIA!$AB$205:$AI$206</definedName>
    <definedName name="TS_FL_UT_PER4">[8]CRITERIA!$AK$205:$AR$206</definedName>
    <definedName name="TS_FL_UT_PER5">[8]CRITERIA!$AT$205:$BA$206</definedName>
    <definedName name="TS_FL_UT_PER6">[8]CRITERIA!$BC$205:$BJ$206</definedName>
    <definedName name="TS_FL_UT_PER7">[8]CRITERIA!$BL$205:$BS$206</definedName>
    <definedName name="TS_FL_UT_PER8">[8]CRITERIA!$BU$205:$CB$206</definedName>
    <definedName name="TS_FL_UT_PER9">[8]CRITERIA!$CD$205:$CK$206</definedName>
    <definedName name="UNDERGROUND_STORAGE">'Und Stor'!$D$11:$G$24</definedName>
    <definedName name="UNDERGROUND_STORAGE_RANGE">'Und Stor'!$D$11:$E$24</definedName>
    <definedName name="UT" localSheetId="20">#REF!</definedName>
    <definedName name="UT">#REF!</definedName>
    <definedName name="UT_CIS_PER1">[7]CRITERIA!$J$190:$Q$191</definedName>
    <definedName name="UT_CIS_PER10">[7]CRITERIA!$CM$190:$CT$191</definedName>
    <definedName name="UT_CIS_PER11">[7]CRITERIA!$CV$190:$DC$191</definedName>
    <definedName name="UT_CIS_PER12">[7]CRITERIA!$DE$190:$DL$191</definedName>
    <definedName name="UT_CIS_PER2">[7]CRITERIA!$S$190:$Z$191</definedName>
    <definedName name="UT_CIS_PER3">[7]CRITERIA!$AB$190:$AI$191</definedName>
    <definedName name="UT_CIS_PER4">[7]CRITERIA!$AK$190:$AR$191</definedName>
    <definedName name="UT_CIS_PER5">[7]CRITERIA!$AT$190:$BA$191</definedName>
    <definedName name="UT_CIS_PER6">[7]CRITERIA!$BC$190:$BJ$191</definedName>
    <definedName name="UT_CIS_PER7">[7]CRITERIA!$BL$190:$BS$191</definedName>
    <definedName name="UT_CIS_PER8">[7]CRITERIA!$BU$190:$CB$191</definedName>
    <definedName name="UT_CIS_PER9">[7]CRITERIA!$CD$190:$CK$191</definedName>
    <definedName name="UT_E1" localSheetId="20">#REF!</definedName>
    <definedName name="UT_E1">#REF!</definedName>
    <definedName name="UT_F1" localSheetId="20">#REF!</definedName>
    <definedName name="UT_F1">#REF!</definedName>
    <definedName name="UT_F1_SUMMER">[4]Criteria!$E$10:$G$17</definedName>
    <definedName name="UT_F1_WINTER">[4]Criteria!$E$2:$G$7</definedName>
    <definedName name="UT_F1E">#REF!</definedName>
    <definedName name="UT_F1E_SUMMER">[4]Criteria!$E$28:$G$35</definedName>
    <definedName name="UT_F1E_WINTER">[4]Criteria!$E$20:$G$25</definedName>
    <definedName name="UT_F3" localSheetId="20">#REF!</definedName>
    <definedName name="UT_F3">#REF!</definedName>
    <definedName name="UT_F4" localSheetId="20">#REF!</definedName>
    <definedName name="UT_F4">#REF!</definedName>
    <definedName name="UT_FT1" localSheetId="20">#REF!</definedName>
    <definedName name="UT_FT1">#REF!</definedName>
    <definedName name="UT_FT1L" localSheetId="20">#REF!</definedName>
    <definedName name="UT_FT1L">#REF!</definedName>
    <definedName name="UT_FT2" localSheetId="20">#REF!</definedName>
    <definedName name="UT_FT2">#REF!</definedName>
    <definedName name="UT_FT2C" localSheetId="20">#REF!</definedName>
    <definedName name="UT_FT2C">#REF!</definedName>
    <definedName name="UT_FTE">#REF!</definedName>
    <definedName name="UT_GS_SUMMER">[4]Criteria!$A$10:$C$17</definedName>
    <definedName name="UT_GS_WINTER">[4]Criteria!$A$2:$C$7</definedName>
    <definedName name="UT_GS_WINTER_BLK1" localSheetId="20">#REF!</definedName>
    <definedName name="UT_GS_WINTER_BLK1">#REF!</definedName>
    <definedName name="UT_GSC" localSheetId="20">#REF!</definedName>
    <definedName name="UT_GSC">#REF!</definedName>
    <definedName name="UT_GSC_SUMMER">[12]Criteria!$E$38:$G$45</definedName>
    <definedName name="UT_GSC_WINTER">[12]Criteria!$A$38:$C$43</definedName>
    <definedName name="UT_GSR" localSheetId="20">#REF!</definedName>
    <definedName name="UT_GSR">#REF!</definedName>
    <definedName name="UT_GSR_SUMMER">[12]Criteria!$A$10:$C$17</definedName>
    <definedName name="UT_GSR_WINTER">[12]Criteria!$A$2:$C$7</definedName>
    <definedName name="UT_GSS" localSheetId="20">#REF!</definedName>
    <definedName name="UT_GSS">#REF!</definedName>
    <definedName name="UT_GSS_SUMMER">[4]Criteria!$A$28:$C$35</definedName>
    <definedName name="UT_GSS_SUMMER_BLK1" localSheetId="20">#REF!</definedName>
    <definedName name="UT_GSS_SUMMER_BLK1">#REF!</definedName>
    <definedName name="UT_GSS_WINTER">[4]Criteria!$A$20:$C$25</definedName>
    <definedName name="UT_GSS_WINTER_BLK1" localSheetId="20">#REF!</definedName>
    <definedName name="UT_GSS_WINTER_BLK1">#REF!</definedName>
    <definedName name="UT_I2">[4]Criteria!$L$2:$M$3</definedName>
    <definedName name="UT_I2I4" localSheetId="20">#REF!</definedName>
    <definedName name="UT_I2I4">#REF!</definedName>
    <definedName name="UT_I4">[4]Criteria!$L$6:$M$7</definedName>
    <definedName name="UT_IS2">[4]Criteria!$L$10:$M$11</definedName>
    <definedName name="UT_IS2IS4" localSheetId="20">#REF!</definedName>
    <definedName name="UT_IS2IS4">#REF!</definedName>
    <definedName name="UT_IS4">[4]Criteria!$L$14:$M$15</definedName>
    <definedName name="UT_IT" localSheetId="20">#REF!</definedName>
    <definedName name="UT_IT">#REF!</definedName>
    <definedName name="UT_IT2">[4]Criteria!$L$22:$M$23</definedName>
    <definedName name="UT_ITS" localSheetId="20">#REF!</definedName>
    <definedName name="UT_ITS">#REF!</definedName>
    <definedName name="UT_MT" localSheetId="20">#REF!</definedName>
    <definedName name="UT_MT">#REF!</definedName>
    <definedName name="UT_NGV" localSheetId="20">#REF!</definedName>
    <definedName name="UT_NGV">#REF!</definedName>
    <definedName name="UT_T1">#REF!</definedName>
    <definedName name="UT_TSP">#REF!</definedName>
    <definedName name="Utah_Rates" localSheetId="20">'[11]NGV RATES'!$B$3:$U$6</definedName>
    <definedName name="Utah_Rates">'[3]NGV RATES'!$B$3:$U$6</definedName>
    <definedName name="UTAHSUMMARY">Summaries!$F$1:$P$74</definedName>
    <definedName name="UTCUSTOMERS">[5]CRITERIA!$B$447:$D$448</definedName>
    <definedName name="UTE1CUSTOMERS">[5]CRITERIA!$B$354:$D$355</definedName>
    <definedName name="UTE1DNG">[6]CRITERIA!$B$285:$D$286</definedName>
    <definedName name="UTE1DTH">[6]CRITERIA!$B$282:$D$283</definedName>
    <definedName name="UTE1GAS">[6]CRITERIA!$B$291:$D$292</definedName>
    <definedName name="UTE1SNG">[6]CRITERIA!$B$288:$D$289</definedName>
    <definedName name="UTF1CUSTOMERS">[5]CRITERIA!$B$61:$D$65</definedName>
    <definedName name="UTF1DNG">[6]CRITERIA!$B$71:$D$72</definedName>
    <definedName name="UTF1DTH">[6]CRITERIA!$B$68:$D$69</definedName>
    <definedName name="UTF1EDNG">[6]CRITERIA!$B$178:$D$179</definedName>
    <definedName name="UTF1EDTH">[6]CRITERIA!$B$175:$D$176</definedName>
    <definedName name="UTF1EGAS">[6]CRITERIA!$B$184:$D$185</definedName>
    <definedName name="UTF1ESNG">[6]CRITERIA!$B$181:$D$182</definedName>
    <definedName name="UTF1GAS">[6]CRITERIA!$B$77:$D$78</definedName>
    <definedName name="UTF1SNG">[6]CRITERIA!$B$74:$D$75</definedName>
    <definedName name="UTF3CUSTOMERS">[5]CRITERIA!$B$106:$D$107</definedName>
    <definedName name="UTF3DNG">[6]CRITERIA!$B$105:$D$106</definedName>
    <definedName name="UTF3DTH">[6]CRITERIA!$B$102:$D$103</definedName>
    <definedName name="UTF3GAS">[6]CRITERIA!$B$111:$D$112</definedName>
    <definedName name="UTF3SNG">[6]CRITERIA!$B$108:$D$109</definedName>
    <definedName name="UTF4CUSTOMERS">[5]CRITERIA!$B$122:$D$123</definedName>
    <definedName name="UTF4DNG">[5]CRITERIA!$B$125:$D$126</definedName>
    <definedName name="UTF4DTH">[5]CRITERIA!$B$119:$D$120</definedName>
    <definedName name="UTF4GAS">[5]CRITERIA!$B$131:$D$132</definedName>
    <definedName name="UTF4SNG">[5]CRITERIA!$B$128:$D$129</definedName>
    <definedName name="UTFT1CUSTOMERS">[5]CRITERIA!$B$254:$D$256</definedName>
    <definedName name="UTFT1DNG">[6]CRITERIA!$B$230:$D$232</definedName>
    <definedName name="UTFT1DTH">[6]CRITERIA!$B$226:$D$228</definedName>
    <definedName name="UTFT1GAS">[6]CRITERIA!$B$238:$D$240</definedName>
    <definedName name="UTFT1LDNG">[5]CRITERIA!$B$277:$D$278</definedName>
    <definedName name="UTFT1LDTH">[5]CRITERIA!$B$271:$D$272</definedName>
    <definedName name="UTFT1LGAS">[5]CRITERIA!$B$283:$D$284</definedName>
    <definedName name="UTFT1LSNG">[5]CRITERIA!$B$280:$D$281</definedName>
    <definedName name="UTFT1SNG">[6]CRITERIA!$B$234:$D$236</definedName>
    <definedName name="UTFT2CCUSTOMERS">[5]CRITERIA!$B$306:$D$307</definedName>
    <definedName name="UTFT2CDNG">[5]CRITERIA!$B$309:$D$310</definedName>
    <definedName name="UTFT2CDTH">[5]CRITERIA!$B$303:$D$304</definedName>
    <definedName name="UTFT2CGAS">[5]CRITERIA!$B$315:$D$316</definedName>
    <definedName name="UTFT2CSNG">[5]CRITERIA!$B$312:$D$313</definedName>
    <definedName name="UTFT2CUSTOMERS">[5]CRITERIA!$B$290:$D$291</definedName>
    <definedName name="UTFT2DNG">[6]CRITERIA!$B$246:$D$247</definedName>
    <definedName name="UTFT2DTH">[6]CRITERIA!$B$243:$D$244</definedName>
    <definedName name="UTFT2GAS">[6]CRITERIA!$B$252:$D$253</definedName>
    <definedName name="UTFT2SNG">[6]CRITERIA!$B$249:$D$250</definedName>
    <definedName name="UTFTECUSTOMERS">[5]CRITERIA!$B$322:$D$323</definedName>
    <definedName name="UTFTEDNG">[6]CRITERIA!$B$259:$D$260</definedName>
    <definedName name="UTFTEDTH">[6]CRITERIA!$B$256:$D$257</definedName>
    <definedName name="UTFTEGAS">[6]CRITERIA!$B$265:$D$266</definedName>
    <definedName name="UTFTESNG">[6]CRITERIA!$B$262:$D$263</definedName>
    <definedName name="UTGSCDNG">[5]CRITERIA!$B$29:$D$30</definedName>
    <definedName name="UTGSCDTH">[5]CRITERIA!$B$23:$D$24</definedName>
    <definedName name="UTGSCGAS">[5]CRITERIA!$B$35:$D$36</definedName>
    <definedName name="UTGSCSNG">[5]CRITERIA!$B$32:$D$33</definedName>
    <definedName name="UTGSCST">[6]CRITERIA!$B$10:$D$11</definedName>
    <definedName name="UTGSCUSTOMERS">[5]CRITERIA!$B$10:$D$11</definedName>
    <definedName name="UTGSDNG">[6]CRITERIA!$B$13:$D$14</definedName>
    <definedName name="UTGSDTH">[6]CRITERIA!$B$7:$D$8</definedName>
    <definedName name="UTGSECST">[6]CRITERIA!$B$31:$D$32</definedName>
    <definedName name="UTGSEDNG">[6]CRITERIA!$B$34:$D$35</definedName>
    <definedName name="UTGSEDTH">[6]CRITERIA!$B$28:$D$29</definedName>
    <definedName name="UTGSEGAS">[6]CRITERIA!$B$40:$D$41</definedName>
    <definedName name="UTGSESIF">[6]CRITERIA!$B$43:$D$44</definedName>
    <definedName name="UTGSESNG">[6]CRITERIA!$B$37:$D$38</definedName>
    <definedName name="UTGSGAS">[6]CRITERIA!$B$19:$D$20</definedName>
    <definedName name="UTGSRDNG">[5]CRITERIA!$F$13:$H$14</definedName>
    <definedName name="UTGSRDTH">[5]CRITERIA!$F$7:$H$8</definedName>
    <definedName name="UTGSRGAS">[5]CRITERIA!$F$19:$H$20</definedName>
    <definedName name="UTGSRSNG">[5]CRITERIA!$F$16:$H$17</definedName>
    <definedName name="UTGSSCST">[6]CRITERIA!$B$51:$D$52</definedName>
    <definedName name="UTGSSCUSTOMERS">[5]CRITERIA!$B$42:$D$43</definedName>
    <definedName name="UTGSSDNG">[6]CRITERIA!$B$54:$D$55</definedName>
    <definedName name="UTGSSDTH">[6]CRITERIA!$B$48:$D$49</definedName>
    <definedName name="UTGSSGAS">[6]CRITERIA!$B$60:$D$61</definedName>
    <definedName name="UTGSSIF">[6]CRITERIA!$B$23:$D$24</definedName>
    <definedName name="UTGSSNG">[6]CRITERIA!$B$16:$D$17</definedName>
    <definedName name="UTGSSSIF">[6]CRITERIA!$B$63:$D$64</definedName>
    <definedName name="UTGSSSNG">[6]CRITERIA!$B$57:$D$58</definedName>
    <definedName name="UTGSSSUMMER" localSheetId="20">#REF!</definedName>
    <definedName name="UTGSSSUMMER">#REF!</definedName>
    <definedName name="UTGSSUMMER" localSheetId="20">#REF!</definedName>
    <definedName name="UTGSSUMMER">#REF!</definedName>
    <definedName name="UTGSSWINTER" localSheetId="20">#REF!</definedName>
    <definedName name="UTGSSWINTER">#REF!</definedName>
    <definedName name="UTGSWINTER" localSheetId="20">#REF!</definedName>
    <definedName name="UTGSWINTER">#REF!</definedName>
    <definedName name="UTI2CUSTOMERS">[5]CRITERIA!$B$139:$D$140</definedName>
    <definedName name="UTI2DNG">[6]CRITERIA!$B$132:$D$134</definedName>
    <definedName name="UTI2DTH">[6]CRITERIA!$B$128:$D$130</definedName>
    <definedName name="UTI2GAS">[6]CRITERIA!$B$140:$D$142</definedName>
    <definedName name="UTI2SNG">[6]CRITERIA!$B$136:$D$138</definedName>
    <definedName name="UTI4CUSTOMERS">[5]CRITERIA!$B$420:$D$423</definedName>
    <definedName name="UTI4DNG">[6]CRITERIA!$B$342:$D$343</definedName>
    <definedName name="UTI4DTH">[6]CRITERIA!$B$339:$D$340</definedName>
    <definedName name="UTI4GAS">[6]CRITERIA!$B$348:$D$349</definedName>
    <definedName name="UTI4SNG">[6]CRITERIA!$B$345:$D$346</definedName>
    <definedName name="UTIS2CUSTOMERS">[5]CRITERIA!$B$159:$D$161</definedName>
    <definedName name="UTIS2DNG">[6]CRITERIA!$B$149:$D$151</definedName>
    <definedName name="UTIS2DTH">[6]CRITERIA!$B$145:$D$147</definedName>
    <definedName name="UTIS2GAS">[6]CRITERIA!$B$157:$D$159</definedName>
    <definedName name="UTIS2SNG">[6]CRITERIA!$B$153:$D$155</definedName>
    <definedName name="UTIS4CUSTOMERS">[5]CRITERIA!$B$179:$D$180</definedName>
    <definedName name="UTIS4DNG">[6]CRITERIA!$B$165:$D$166</definedName>
    <definedName name="UTIS4DTH">[6]CRITERIA!$B$162:$D$163</definedName>
    <definedName name="UTIS4GAS">[6]CRITERIA!$B$171:$D$172</definedName>
    <definedName name="UTIS4SNG">[6]CRITERIA!$B$168:$D$169</definedName>
    <definedName name="UTITCUSTOMERS">[5]CRITERIA!$B$213:$D$216</definedName>
    <definedName name="UTITDNG">[6]CRITERIA!$B$196:$D$198</definedName>
    <definedName name="UTITDTH">[6]CRITERIA!$B$192:$D$194</definedName>
    <definedName name="UTITGAS">[6]CRITERIA!$B$204:$D$206</definedName>
    <definedName name="UTITSCUSTOMERS">[5]CRITERIA!$B$237:$D$238</definedName>
    <definedName name="UTITSDNG">[6]CRITERIA!$B$213:$D$215</definedName>
    <definedName name="UTITSDTH">[6]CRITERIA!$B$209:$D$211</definedName>
    <definedName name="UTITSGAS">[6]CRITERIA!$B$221:$D$223</definedName>
    <definedName name="UTITSNG">[6]CRITERIA!$B$200:$D$202</definedName>
    <definedName name="UTITSSNG">[6]CRITERIA!$B$217:$D$219</definedName>
    <definedName name="UTMTCUSTOMERS">[5]CRITERIA!$B$338:$D$339</definedName>
    <definedName name="UTMTDNG">[6]CRITERIA!$B$272:$D$273</definedName>
    <definedName name="UTMTDTH">[6]CRITERIA!$B$269:$D$270</definedName>
    <definedName name="UTMTGAS">[6]CRITERIA!$B$278:$D$279</definedName>
    <definedName name="UTMTSNG">[6]CRITERIA!$B$275:$D$276</definedName>
    <definedName name="UTNGVCUSTOMERS">[5]CRITERIA!$B$90:$D$91</definedName>
    <definedName name="UTNGVDNG">[6]CRITERIA!$B$88:$D$89</definedName>
    <definedName name="UTNGVDTH">[6]CRITERIA!$B$85:$D$86</definedName>
    <definedName name="UTNGVGAS">[6]CRITERIA!$B$94:$D$95</definedName>
    <definedName name="UTNGVSNG">[6]CRITERIA!$B$91:$D$92</definedName>
    <definedName name="UTP1CUSTOMERS">[5]CRITERIA!$B$370:$D$371</definedName>
    <definedName name="UTP1DNG">[6]CRITERIA!$B$303:$D$304</definedName>
    <definedName name="UTP1DTH">[6]CRITERIA!$B$300:$D$301</definedName>
    <definedName name="UTP1GAS">[6]CRITERIA!$B$309:$D$310</definedName>
    <definedName name="UTP1SNG">[6]CRITERIA!$B$306:$D$307</definedName>
    <definedName name="WCCFormula">'ROR-Model'!$I$1253</definedName>
    <definedName name="WCCNumber">'ROR-Model'!#REF!</definedName>
    <definedName name="WEX_ADJ_101_PROD">Wexpro!$H$12</definedName>
    <definedName name="WEX_ADJ_108_PROD" localSheetId="20">Wexpro!$H$22</definedName>
    <definedName name="WEX_ADJ_108_PROD">Wexpro!$H$22</definedName>
    <definedName name="WEX_ADJ_111_PROD" localSheetId="20">Wexpro!$H$23</definedName>
    <definedName name="WEX_ADJ_111_PROD">Wexpro!$H$23</definedName>
    <definedName name="Winter" localSheetId="20">#REF!</definedName>
    <definedName name="Winter">#REF!</definedName>
    <definedName name="WINTER_UT_F1" localSheetId="20">#REF!</definedName>
    <definedName name="WINTER_UT_F1">#REF!</definedName>
    <definedName name="WINTER_UT_GSC" localSheetId="20">#REF!</definedName>
    <definedName name="WINTER_UT_GSC">#REF!</definedName>
    <definedName name="Winter_UT_GSR" localSheetId="20">#REF!</definedName>
    <definedName name="Winter_UT_GSR">#REF!</definedName>
    <definedName name="Winter_UT_GSS" localSheetId="20">#REF!</definedName>
    <definedName name="Winter_UT_GSS">#REF!</definedName>
    <definedName name="WY_CET_PER1">[7]CRITERIA!$J$184:$Q$185</definedName>
    <definedName name="WY_CET_PER10">[7]CRITERIA!$CM$184:$CT$185</definedName>
    <definedName name="WY_CET_PER11">[7]CRITERIA!$CV$184:$DC$185</definedName>
    <definedName name="WY_CET_PER12">[7]CRITERIA!$DE$184:$DL$185</definedName>
    <definedName name="WY_CET_PER2">[7]CRITERIA!$S$184:$Z$185</definedName>
    <definedName name="WY_CET_PER3">[7]CRITERIA!$AB$184:$AI$185</definedName>
    <definedName name="WY_CET_PER4">[7]CRITERIA!$AK$184:$AR$185</definedName>
    <definedName name="WY_CET_PER5">[7]CRITERIA!$AT$184:$BA$185</definedName>
    <definedName name="WY_CET_PER6">[7]CRITERIA!$BC$184:$BJ$185</definedName>
    <definedName name="WY_CET_PER7">[7]CRITERIA!$BL$184:$BS$185</definedName>
    <definedName name="WY_CET_PER8">[7]CRITERIA!$BU$184:$CB$185</definedName>
    <definedName name="WY_CET_PER9">[7]CRITERIA!$CD$184:$CK$185</definedName>
    <definedName name="WY_CIS_PER1">[8]CRITERIA!$J$211:$Q$212</definedName>
    <definedName name="WY_CIS_PER10">[8]CRITERIA!$CM$211:$CT$212</definedName>
    <definedName name="WY_CIS_PER11">[8]CRITERIA!$CV$211:$DC$212</definedName>
    <definedName name="WY_CIS_PER12">[8]CRITERIA!$DE$211:$DL$212</definedName>
    <definedName name="WY_CIS_PER2">[8]CRITERIA!$S$211:$Z$212</definedName>
    <definedName name="WY_CIS_PER3">[8]CRITERIA!$AB$211:$AI$212</definedName>
    <definedName name="WY_CIS_PER4">[8]CRITERIA!$AK$211:$AR$212</definedName>
    <definedName name="WY_CIS_PER5">[8]CRITERIA!$AT$211:$BA$212</definedName>
    <definedName name="WY_CIS_PER6">[8]CRITERIA!$BC$211:$BJ$212</definedName>
    <definedName name="WY_CIS_PER7">[8]CRITERIA!$BL$211:$BS$212</definedName>
    <definedName name="WY_CIS_PER8">[8]CRITERIA!$BU$211:$CB$212</definedName>
    <definedName name="WY_CIS_PER9">[8]CRITERIA!$CD$211:$CK$212</definedName>
    <definedName name="WY_DSM_PER1">[7]CRITERIA!$J$187:$Q$188</definedName>
    <definedName name="WY_DSM_PER10">[7]CRITERIA!$CM$187:$CT$188</definedName>
    <definedName name="WY_DSM_PER11">[7]CRITERIA!$CV$187:$DC$188</definedName>
    <definedName name="WY_DSM_PER12">[7]CRITERIA!$DE$187:$DL$188</definedName>
    <definedName name="WY_DSM_PER2">[7]CRITERIA!$S$187:$Z$188</definedName>
    <definedName name="WY_DSM_PER3">[7]CRITERIA!$AB$187:$AI$188</definedName>
    <definedName name="WY_DSM_PER4">[7]CRITERIA!$AK$187:$AR$188</definedName>
    <definedName name="WY_DSM_PER5">[7]CRITERIA!$AT$187:$BA$188</definedName>
    <definedName name="WY_DSM_PER6">[7]CRITERIA!$BC$187:$BJ$188</definedName>
    <definedName name="WY_DSM_PER7">[7]CRITERIA!$BL$187:$BS$188</definedName>
    <definedName name="WY_DSM_PER8">[7]CRITERIA!$BU$187:$CB$188</definedName>
    <definedName name="WY_DSM_PER9">[7]CRITERIA!$CD$187:$CK$188</definedName>
    <definedName name="WY_F1">[4]Criteria!$O$10:$P$11</definedName>
    <definedName name="WY_GS">[4]Criteria!$O$2:$P$3</definedName>
    <definedName name="WY_GSW">[4]Criteria!$O$14:$P$15</definedName>
    <definedName name="WY_I2">[4]Criteria!$Q$2:$R$3</definedName>
    <definedName name="WY_I4">[4]Criteria!$Q$6:$R$7</definedName>
    <definedName name="WY_IC">[4]Criteria!$Q$10:$R$11</definedName>
    <definedName name="WY_IC1">[4]Criteria!$Q$14:$R$15</definedName>
    <definedName name="WY_IC2">[4]Criteria!$Q$18:$R$19</definedName>
    <definedName name="WY_IC3">[4]Criteria!$Q$14:$R$15</definedName>
    <definedName name="WY_IC8">[4]Criteria!$Q$18:$R$19</definedName>
    <definedName name="WY_IT">[4]Criteria!$Q$22:$R$23</definedName>
    <definedName name="WY_NGV">[4]Criteria!$O$6:$P$7</definedName>
    <definedName name="WYCUSTOMERS">[5]CRITERIA!$B$677:$D$678</definedName>
    <definedName name="WYF1CUSTOMERS">[5]CRITERIA!$B$515:$D$519</definedName>
    <definedName name="WYF1DNG">[6]CRITERIA!$B$413:$D$414</definedName>
    <definedName name="WYF1DTH">[6]CRITERIA!$B$410:$D$411</definedName>
    <definedName name="WYF1GAS">[6]CRITERIA!$B$416:$D$417</definedName>
    <definedName name="WYGSCUSTOMERS">[5]CRITERIA!$B$499:$D$500</definedName>
    <definedName name="WYGSDNG">[6]CRITERIA!$B$400:$D$401</definedName>
    <definedName name="WYGSDTH">[6]CRITERIA!$B$397:$D$398</definedName>
    <definedName name="WYGSGAS">[6]CRITERIA!$B$403:$D$404</definedName>
    <definedName name="WYGSSIF">[6]CRITERIA!$B$406:$D$407</definedName>
    <definedName name="WYGSWCUSTOMERS">[5]CRITERIA!$B$550:$D$551</definedName>
    <definedName name="WYGSWDNG">[6]CRITERIA!$B$433:$D$434</definedName>
    <definedName name="WYGSWDTH">[6]CRITERIA!$B$430:$D$431</definedName>
    <definedName name="WYGSWGAS">[6]CRITERIA!$B$436:$D$437</definedName>
    <definedName name="WYI2CUSTOMERS">[5]CRITERIA!$B$589:$D$590</definedName>
    <definedName name="WYI2DNG">[6]CRITERIA!$B$463:$D$464</definedName>
    <definedName name="WYI2DTH">[6]CRITERIA!$B$460:$D$461</definedName>
    <definedName name="WYI2GAS">[6]CRITERIA!$B$469:$D$470</definedName>
    <definedName name="WYI2SNG">[6]CRITERIA!$B$466:$D$467</definedName>
    <definedName name="WYI4CUSTOMERS">[5]CRITERIA!$B$606:$D$608</definedName>
    <definedName name="WYI4DNG">[6]CRITERIA!$B$476:$D$477</definedName>
    <definedName name="WYI4DTH">[6]CRITERIA!$B$473:$D$474</definedName>
    <definedName name="WYI4GAS">[6]CRITERIA!$B$482:$D$483</definedName>
    <definedName name="WYI4SNG">[6]CRITERIA!$B$479:$D$480</definedName>
    <definedName name="WYICCUSTOMERS">[5]CRITERIA!$B$647:$D$652</definedName>
    <definedName name="WYICDNG">[6]CRITERIA!$B$506:$D$511</definedName>
    <definedName name="WYICDTH">[6]CRITERIA!$B$499:$D$504</definedName>
    <definedName name="WYICGAS">[6]CRITERIA!$B$513:$D$520</definedName>
    <definedName name="WYICSDNG">[6]CRITERIA!$B$453:$D$454</definedName>
    <definedName name="WYICSDTH">[6]CRITERIA!$B$450:$D$451</definedName>
    <definedName name="WYICSGAS">[6]CRITERIA!$B$456:$D$457</definedName>
    <definedName name="WYITCUSTOMERS">[5]CRITERIA!$B$627:$D$629</definedName>
    <definedName name="WYITDNG">[6]CRITERIA!$B$490:$D$492</definedName>
    <definedName name="WYITDTH">[6]CRITERIA!$B$486:$D$488</definedName>
    <definedName name="WYITGAS">[6]CRITERIA!$B$494:$D$496</definedName>
    <definedName name="Wym_Rates" localSheetId="20">'[11]NGV RATES'!$B$11:$U$13</definedName>
    <definedName name="Wym_Rates">'[3]NGV RATES'!$B$11:$U$13</definedName>
    <definedName name="WYNGVCUSTOMERS">[5]CRITERIA!$B$537:$D$538</definedName>
    <definedName name="WYNGVDNG">[6]CRITERIA!$B$423:$D$424</definedName>
    <definedName name="WYNGVDTH">[6]CRITERIA!$B$420:$D$421</definedName>
    <definedName name="WYNGVGAS">[6]CRITERIA!$B$426:$D$427</definedName>
    <definedName name="Wyo_Bad_Debt_Position">#REF!</definedName>
    <definedName name="X" localSheetId="20">#REF!</definedName>
    <definedName name="X">[3]CRITERIA!$J$3:$Q$4</definedName>
    <definedName name="YEDEPRADJUSTMENT">#REF!</definedName>
  </definedNames>
  <calcPr calcId="152511"/>
  <fileRecoveryPr autoRecover="0"/>
</workbook>
</file>

<file path=xl/calcChain.xml><?xml version="1.0" encoding="utf-8"?>
<calcChain xmlns="http://schemas.openxmlformats.org/spreadsheetml/2006/main">
  <c r="A2" i="650" l="1"/>
  <c r="A2" i="582"/>
  <c r="T12" i="594"/>
  <c r="T13" i="594" s="1"/>
  <c r="T14" i="594" s="1"/>
  <c r="T15" i="594" s="1"/>
  <c r="T16" i="594" s="1"/>
  <c r="T17" i="594" s="1"/>
  <c r="T18" i="594" s="1"/>
  <c r="T19" i="594" s="1"/>
  <c r="T20" i="594" s="1"/>
  <c r="T21" i="594" s="1"/>
  <c r="T22" i="594" s="1"/>
  <c r="T23" i="594" s="1"/>
  <c r="T24" i="594" s="1"/>
  <c r="T25" i="594" s="1"/>
  <c r="T26" i="594" s="1"/>
  <c r="T27" i="594" s="1"/>
  <c r="T28" i="594" s="1"/>
  <c r="T29" i="594" s="1"/>
  <c r="T30" i="594" s="1"/>
  <c r="T31" i="594" s="1"/>
  <c r="T32" i="594" s="1"/>
  <c r="K4" i="5" l="1"/>
  <c r="L4" i="5"/>
  <c r="M4" i="5"/>
  <c r="N4" i="5"/>
  <c r="O4" i="5"/>
  <c r="P4" i="5"/>
  <c r="Q4" i="5"/>
  <c r="R4" i="5"/>
  <c r="K66" i="5"/>
  <c r="L66" i="5"/>
  <c r="M66" i="5"/>
  <c r="N66" i="5"/>
  <c r="O66" i="5"/>
  <c r="P66" i="5"/>
  <c r="Q66" i="5"/>
  <c r="R66" i="5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F6" i="650" l="1"/>
  <c r="T248" i="4" l="1"/>
  <c r="T181" i="4"/>
  <c r="S1240" i="3" l="1"/>
  <c r="S1239" i="3"/>
  <c r="S1223" i="3"/>
  <c r="S1222" i="3"/>
  <c r="S1221" i="3"/>
  <c r="S1218" i="3"/>
  <c r="S931" i="3"/>
  <c r="S929" i="3"/>
  <c r="S927" i="3"/>
  <c r="S925" i="3"/>
  <c r="F7" i="650"/>
  <c r="S883" i="3" l="1"/>
  <c r="S882" i="3"/>
  <c r="S879" i="3"/>
  <c r="S878" i="3"/>
  <c r="S871" i="3"/>
  <c r="S870" i="3"/>
  <c r="S867" i="3"/>
  <c r="S866" i="3"/>
  <c r="S859" i="3"/>
  <c r="S858" i="3"/>
  <c r="S855" i="3"/>
  <c r="S854" i="3"/>
  <c r="S851" i="3"/>
  <c r="S850" i="3"/>
  <c r="S847" i="3"/>
  <c r="S846" i="3"/>
  <c r="S826" i="3"/>
  <c r="S825" i="3"/>
  <c r="S811" i="3"/>
  <c r="S810" i="3"/>
  <c r="S798" i="3"/>
  <c r="S797" i="3"/>
  <c r="S778" i="3"/>
  <c r="S777" i="3"/>
  <c r="S773" i="3"/>
  <c r="S772" i="3"/>
  <c r="S768" i="3"/>
  <c r="S767" i="3"/>
  <c r="S763" i="3"/>
  <c r="S762" i="3"/>
  <c r="S758" i="3"/>
  <c r="S757" i="3"/>
  <c r="S745" i="3"/>
  <c r="S744" i="3"/>
  <c r="S740" i="3"/>
  <c r="S739" i="3"/>
  <c r="S735" i="3"/>
  <c r="S734" i="3"/>
  <c r="S730" i="3"/>
  <c r="S729" i="3"/>
  <c r="S725" i="3"/>
  <c r="S724" i="3"/>
  <c r="S720" i="3"/>
  <c r="S719" i="3"/>
  <c r="S715" i="3"/>
  <c r="S714" i="3"/>
  <c r="S710" i="3"/>
  <c r="S709" i="3"/>
  <c r="S705" i="3"/>
  <c r="S704" i="3"/>
  <c r="S700" i="3"/>
  <c r="S699" i="3"/>
  <c r="S695" i="3"/>
  <c r="S694" i="3"/>
  <c r="S690" i="3"/>
  <c r="S689" i="3"/>
  <c r="S685" i="3"/>
  <c r="S684" i="3"/>
  <c r="S680" i="3"/>
  <c r="S679" i="3"/>
  <c r="S675" i="3"/>
  <c r="S674" i="3"/>
  <c r="S670" i="3"/>
  <c r="S669" i="3"/>
  <c r="S665" i="3"/>
  <c r="S664" i="3"/>
  <c r="S660" i="3"/>
  <c r="S659" i="3"/>
  <c r="S655" i="3"/>
  <c r="S654" i="3"/>
  <c r="S647" i="3"/>
  <c r="S646" i="3"/>
  <c r="S627" i="3"/>
  <c r="S626" i="3"/>
  <c r="S622" i="3"/>
  <c r="S621" i="3"/>
  <c r="S617" i="3"/>
  <c r="S616" i="3"/>
  <c r="S612" i="3"/>
  <c r="S611" i="3"/>
  <c r="S607" i="3"/>
  <c r="S606" i="3"/>
  <c r="S602" i="3"/>
  <c r="S601" i="3"/>
  <c r="S597" i="3"/>
  <c r="S596" i="3"/>
  <c r="S592" i="3"/>
  <c r="S591" i="3"/>
  <c r="S587" i="3"/>
  <c r="S586" i="3"/>
  <c r="S582" i="3"/>
  <c r="S581" i="3"/>
  <c r="S577" i="3"/>
  <c r="S576" i="3"/>
  <c r="S572" i="3"/>
  <c r="S571" i="3"/>
  <c r="S567" i="3"/>
  <c r="S566" i="3"/>
  <c r="S562" i="3"/>
  <c r="S561" i="3"/>
  <c r="S557" i="3"/>
  <c r="S556" i="3"/>
  <c r="S552" i="3"/>
  <c r="S551" i="3"/>
  <c r="S547" i="3"/>
  <c r="S546" i="3"/>
  <c r="S542" i="3"/>
  <c r="S541" i="3"/>
  <c r="S537" i="3"/>
  <c r="S536" i="3"/>
  <c r="S532" i="3"/>
  <c r="S531" i="3"/>
  <c r="S527" i="3"/>
  <c r="S526" i="3"/>
  <c r="S522" i="3"/>
  <c r="S521" i="3"/>
  <c r="S496" i="3"/>
  <c r="S495" i="3"/>
  <c r="S491" i="3"/>
  <c r="S490" i="3"/>
  <c r="S486" i="3"/>
  <c r="S485" i="3"/>
  <c r="S481" i="3"/>
  <c r="S480" i="3"/>
  <c r="S476" i="3"/>
  <c r="S475" i="3"/>
  <c r="S471" i="3"/>
  <c r="S470" i="3"/>
  <c r="S466" i="3"/>
  <c r="S465" i="3"/>
  <c r="S461" i="3"/>
  <c r="S460" i="3"/>
  <c r="S456" i="3"/>
  <c r="S455" i="3"/>
  <c r="S451" i="3"/>
  <c r="S450" i="3"/>
  <c r="S446" i="3"/>
  <c r="S445" i="3"/>
  <c r="S441" i="3"/>
  <c r="S440" i="3"/>
  <c r="S436" i="3"/>
  <c r="S435" i="3"/>
  <c r="S431" i="3"/>
  <c r="S430" i="3"/>
  <c r="S426" i="3"/>
  <c r="S425" i="3"/>
  <c r="S421" i="3"/>
  <c r="S420" i="3"/>
  <c r="S416" i="3"/>
  <c r="S415" i="3"/>
  <c r="S411" i="3"/>
  <c r="S410" i="3"/>
  <c r="S406" i="3"/>
  <c r="S405" i="3"/>
  <c r="S401" i="3"/>
  <c r="S400" i="3"/>
  <c r="S396" i="3"/>
  <c r="S395" i="3"/>
  <c r="S391" i="3"/>
  <c r="S390" i="3"/>
  <c r="S386" i="3"/>
  <c r="S385" i="3"/>
  <c r="S381" i="3"/>
  <c r="S380" i="3"/>
  <c r="S345" i="3"/>
  <c r="S336" i="3"/>
  <c r="S318" i="3"/>
  <c r="S313" i="3"/>
  <c r="S304" i="3"/>
  <c r="S295" i="3"/>
  <c r="S268" i="3"/>
  <c r="S259" i="3"/>
  <c r="S250" i="3"/>
  <c r="S241" i="3"/>
  <c r="S55" i="3"/>
  <c r="S53" i="3"/>
  <c r="F8" i="650" l="1"/>
  <c r="F16" i="650" s="1"/>
  <c r="F18" i="650" l="1"/>
  <c r="K1199" i="3" l="1"/>
  <c r="K1198" i="3"/>
  <c r="K1197" i="3"/>
  <c r="K1196" i="3"/>
  <c r="K1193" i="3"/>
  <c r="K1189" i="3"/>
  <c r="K1182" i="3"/>
  <c r="K1175" i="3"/>
  <c r="K68" i="5" s="1"/>
  <c r="K1168" i="3"/>
  <c r="K67" i="5" s="1"/>
  <c r="K1159" i="3"/>
  <c r="K65" i="5" s="1"/>
  <c r="K1154" i="3"/>
  <c r="K1147" i="3"/>
  <c r="K64" i="5" s="1"/>
  <c r="K1140" i="3"/>
  <c r="K63" i="5" s="1"/>
  <c r="K1136" i="3"/>
  <c r="K62" i="5" s="1"/>
  <c r="K1132" i="3"/>
  <c r="K61" i="5" s="1"/>
  <c r="K1114" i="3"/>
  <c r="K57" i="5" s="1"/>
  <c r="K1107" i="3"/>
  <c r="K56" i="5" s="1"/>
  <c r="K1100" i="3"/>
  <c r="K55" i="5" s="1"/>
  <c r="K1093" i="3"/>
  <c r="K54" i="5" s="1"/>
  <c r="K1086" i="3"/>
  <c r="K53" i="5" s="1"/>
  <c r="K802" i="3"/>
  <c r="K794" i="3"/>
  <c r="K789" i="3"/>
  <c r="K634" i="3"/>
  <c r="K633" i="3"/>
  <c r="K25" i="5" s="1"/>
  <c r="K632" i="3"/>
  <c r="K628" i="3"/>
  <c r="K631" i="3" s="1"/>
  <c r="K24" i="5" s="1"/>
  <c r="K26" i="5" s="1"/>
  <c r="K623" i="3"/>
  <c r="K618" i="3"/>
  <c r="K359" i="3"/>
  <c r="K358" i="3"/>
  <c r="K357" i="3"/>
  <c r="K354" i="3"/>
  <c r="K353" i="3"/>
  <c r="K348" i="3"/>
  <c r="K339" i="3"/>
  <c r="K316" i="3"/>
  <c r="K307" i="3"/>
  <c r="K298" i="3"/>
  <c r="K289" i="3"/>
  <c r="K280" i="3"/>
  <c r="K271" i="3"/>
  <c r="K262" i="3"/>
  <c r="K253" i="3"/>
  <c r="K244" i="3"/>
  <c r="K236" i="3"/>
  <c r="K234" i="3"/>
  <c r="K231" i="3"/>
  <c r="K230" i="3"/>
  <c r="K229" i="3"/>
  <c r="K224" i="3"/>
  <c r="K215" i="3"/>
  <c r="K200" i="3"/>
  <c r="K192" i="3"/>
  <c r="K183" i="3"/>
  <c r="K174" i="3"/>
  <c r="K165" i="3"/>
  <c r="K156" i="3"/>
  <c r="K147" i="3"/>
  <c r="K138" i="3"/>
  <c r="K129" i="3"/>
  <c r="K120" i="3"/>
  <c r="K111" i="3"/>
  <c r="K102" i="3"/>
  <c r="K93" i="3"/>
  <c r="K84" i="3"/>
  <c r="K75" i="3"/>
  <c r="K66" i="3"/>
  <c r="K57" i="3"/>
  <c r="K48" i="3"/>
  <c r="K39" i="3"/>
  <c r="K30" i="3"/>
  <c r="K21" i="3"/>
  <c r="K69" i="5" l="1"/>
  <c r="K232" i="3"/>
  <c r="K203" i="3"/>
  <c r="K355" i="3"/>
  <c r="K1202" i="3"/>
  <c r="T92" i="4" l="1"/>
  <c r="T249" i="4" l="1"/>
  <c r="Q26" i="20" l="1"/>
  <c r="P26" i="20"/>
  <c r="O26" i="20"/>
  <c r="P23" i="20"/>
  <c r="Q23" i="20"/>
  <c r="O23" i="20"/>
  <c r="Q22" i="20"/>
  <c r="P22" i="20"/>
  <c r="O22" i="20"/>
  <c r="R21" i="595" l="1"/>
  <c r="BO17" i="33"/>
  <c r="AV23" i="594" l="1"/>
  <c r="AW3" i="594" s="1"/>
  <c r="AV22" i="594"/>
  <c r="AP18" i="594"/>
  <c r="AP16" i="594"/>
  <c r="AP105" i="594"/>
  <c r="AV24" i="594" l="1"/>
  <c r="AE334" i="42"/>
  <c r="AM399" i="42"/>
  <c r="AV147" i="42"/>
  <c r="D13" i="52" l="1"/>
  <c r="C13" i="52"/>
  <c r="B13" i="52"/>
  <c r="AH35" i="33" l="1"/>
  <c r="AH26" i="33"/>
  <c r="AH27" i="33"/>
  <c r="AH19" i="33"/>
  <c r="H20" i="647"/>
  <c r="D17" i="137" l="1"/>
  <c r="D22" i="137" s="1"/>
  <c r="Q22" i="595"/>
  <c r="Q21" i="595"/>
  <c r="Q20" i="595"/>
  <c r="T260" i="4" l="1"/>
  <c r="S260" i="4"/>
  <c r="R260" i="4"/>
  <c r="Q260" i="4"/>
  <c r="P260" i="4"/>
  <c r="O260" i="4"/>
  <c r="N260" i="4"/>
  <c r="M260" i="4"/>
  <c r="L260" i="4"/>
  <c r="K260" i="4"/>
  <c r="J260" i="4"/>
  <c r="I260" i="4"/>
  <c r="H260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S92" i="4"/>
  <c r="R92" i="4"/>
  <c r="Q92" i="4"/>
  <c r="P92" i="4"/>
  <c r="O92" i="4"/>
  <c r="N92" i="4"/>
  <c r="M92" i="4"/>
  <c r="L92" i="4"/>
  <c r="K92" i="4"/>
  <c r="J92" i="4"/>
  <c r="I92" i="4"/>
  <c r="H92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T21" i="4"/>
  <c r="Y21" i="4" s="1"/>
  <c r="S21" i="4"/>
  <c r="R21" i="4"/>
  <c r="Q21" i="4"/>
  <c r="P21" i="4"/>
  <c r="O21" i="4"/>
  <c r="N21" i="4"/>
  <c r="M21" i="4"/>
  <c r="L21" i="4"/>
  <c r="K21" i="4"/>
  <c r="J21" i="4"/>
  <c r="I21" i="4"/>
  <c r="H21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T9" i="4"/>
  <c r="S9" i="4"/>
  <c r="R9" i="4"/>
  <c r="Q9" i="4"/>
  <c r="P9" i="4"/>
  <c r="O9" i="4"/>
  <c r="N9" i="4"/>
  <c r="M9" i="4"/>
  <c r="L9" i="4"/>
  <c r="K9" i="4"/>
  <c r="J9" i="4"/>
  <c r="I9" i="4"/>
  <c r="H9" i="4"/>
  <c r="D59" i="49"/>
  <c r="C59" i="49"/>
  <c r="D58" i="49"/>
  <c r="C58" i="49"/>
  <c r="D57" i="49"/>
  <c r="C57" i="49"/>
  <c r="D50" i="49"/>
  <c r="C50" i="49"/>
  <c r="D49" i="49"/>
  <c r="C49" i="49"/>
  <c r="D44" i="49"/>
  <c r="C44" i="49"/>
  <c r="D43" i="49"/>
  <c r="C43" i="49"/>
  <c r="D42" i="49"/>
  <c r="C42" i="49"/>
  <c r="D41" i="49"/>
  <c r="C41" i="49"/>
  <c r="D40" i="49"/>
  <c r="C40" i="49"/>
  <c r="I134" i="14"/>
  <c r="H134" i="14"/>
  <c r="I132" i="14"/>
  <c r="H132" i="14"/>
  <c r="I131" i="14"/>
  <c r="H131" i="14"/>
  <c r="I130" i="14"/>
  <c r="H130" i="14"/>
  <c r="I127" i="14"/>
  <c r="H127" i="14"/>
  <c r="I126" i="14"/>
  <c r="H126" i="14"/>
  <c r="I125" i="14"/>
  <c r="H125" i="14"/>
  <c r="I122" i="14"/>
  <c r="H122" i="14"/>
  <c r="I121" i="14"/>
  <c r="H121" i="14"/>
  <c r="I120" i="14"/>
  <c r="H120" i="14"/>
  <c r="I117" i="14"/>
  <c r="H117" i="14"/>
  <c r="I116" i="14"/>
  <c r="H116" i="14"/>
  <c r="I115" i="14"/>
  <c r="H115" i="14"/>
  <c r="I112" i="14"/>
  <c r="H112" i="14"/>
  <c r="I111" i="14"/>
  <c r="H111" i="14"/>
  <c r="I110" i="14"/>
  <c r="H110" i="14"/>
  <c r="I107" i="14"/>
  <c r="H107" i="14"/>
  <c r="I106" i="14"/>
  <c r="H106" i="14"/>
  <c r="I105" i="14"/>
  <c r="H105" i="14"/>
  <c r="I102" i="14"/>
  <c r="H102" i="14"/>
  <c r="I101" i="14"/>
  <c r="H101" i="14"/>
  <c r="I100" i="14"/>
  <c r="H100" i="14"/>
  <c r="I97" i="14"/>
  <c r="H97" i="14"/>
  <c r="I96" i="14"/>
  <c r="H96" i="14"/>
  <c r="I95" i="14"/>
  <c r="H95" i="14"/>
  <c r="I92" i="14"/>
  <c r="H92" i="14"/>
  <c r="I91" i="14"/>
  <c r="H91" i="14"/>
  <c r="I90" i="14"/>
  <c r="H90" i="14"/>
  <c r="I87" i="14"/>
  <c r="H87" i="14"/>
  <c r="I86" i="14"/>
  <c r="H86" i="14"/>
  <c r="I85" i="14"/>
  <c r="H85" i="14"/>
  <c r="I82" i="14"/>
  <c r="H82" i="14"/>
  <c r="I81" i="14"/>
  <c r="H81" i="14"/>
  <c r="I80" i="14"/>
  <c r="H80" i="14"/>
  <c r="I77" i="14"/>
  <c r="H77" i="14"/>
  <c r="I76" i="14"/>
  <c r="H76" i="14"/>
  <c r="I75" i="14"/>
  <c r="H75" i="14"/>
  <c r="I72" i="14"/>
  <c r="H72" i="14"/>
  <c r="I71" i="14"/>
  <c r="H71" i="14"/>
  <c r="I70" i="14"/>
  <c r="H70" i="14"/>
  <c r="I67" i="14"/>
  <c r="H67" i="14"/>
  <c r="I66" i="14"/>
  <c r="H66" i="14"/>
  <c r="I65" i="14"/>
  <c r="H65" i="14"/>
  <c r="I62" i="14"/>
  <c r="H62" i="14"/>
  <c r="I61" i="14"/>
  <c r="H61" i="14"/>
  <c r="I60" i="14"/>
  <c r="H60" i="14"/>
  <c r="I57" i="14"/>
  <c r="H57" i="14"/>
  <c r="I56" i="14"/>
  <c r="H56" i="14"/>
  <c r="I55" i="14"/>
  <c r="H55" i="14"/>
  <c r="I52" i="14"/>
  <c r="H52" i="14"/>
  <c r="I51" i="14"/>
  <c r="H51" i="14"/>
  <c r="I50" i="14"/>
  <c r="H50" i="14"/>
  <c r="I47" i="14"/>
  <c r="H47" i="14"/>
  <c r="I46" i="14"/>
  <c r="H46" i="14"/>
  <c r="I45" i="14"/>
  <c r="H45" i="14"/>
  <c r="I42" i="14"/>
  <c r="H42" i="14"/>
  <c r="I41" i="14"/>
  <c r="H41" i="14"/>
  <c r="I40" i="14"/>
  <c r="H40" i="14"/>
  <c r="I37" i="14"/>
  <c r="H37" i="14"/>
  <c r="I36" i="14"/>
  <c r="H36" i="14"/>
  <c r="I35" i="14"/>
  <c r="H35" i="14"/>
  <c r="I32" i="14"/>
  <c r="H32" i="14"/>
  <c r="I31" i="14"/>
  <c r="H31" i="14"/>
  <c r="I30" i="14"/>
  <c r="H30" i="14"/>
  <c r="I27" i="14"/>
  <c r="H27" i="14"/>
  <c r="I26" i="14"/>
  <c r="H26" i="14"/>
  <c r="I25" i="14"/>
  <c r="H25" i="14"/>
  <c r="I22" i="14"/>
  <c r="H22" i="14"/>
  <c r="I21" i="14"/>
  <c r="H21" i="14"/>
  <c r="I20" i="14"/>
  <c r="H20" i="14"/>
  <c r="I17" i="14"/>
  <c r="H17" i="14"/>
  <c r="I16" i="14"/>
  <c r="H16" i="14"/>
  <c r="I15" i="14"/>
  <c r="H15" i="14"/>
  <c r="F423" i="139"/>
  <c r="F421" i="139"/>
  <c r="F419" i="139"/>
  <c r="F417" i="139"/>
  <c r="F415" i="139"/>
  <c r="F413" i="139"/>
  <c r="F411" i="139"/>
  <c r="F409" i="139"/>
  <c r="F408" i="139"/>
  <c r="F407" i="139"/>
  <c r="F406" i="139"/>
  <c r="F405" i="139"/>
  <c r="F398" i="139"/>
  <c r="F397" i="139"/>
  <c r="F396" i="139"/>
  <c r="F395" i="139"/>
  <c r="F391" i="139"/>
  <c r="F390" i="139"/>
  <c r="F389" i="139"/>
  <c r="F388" i="139"/>
  <c r="F376" i="139"/>
  <c r="F375" i="139"/>
  <c r="F372" i="139"/>
  <c r="F371" i="139"/>
  <c r="F368" i="139"/>
  <c r="F367" i="139"/>
  <c r="F364" i="139"/>
  <c r="F363" i="139"/>
  <c r="F360" i="139"/>
  <c r="F359" i="139"/>
  <c r="F356" i="139"/>
  <c r="F355" i="139"/>
  <c r="F352" i="139"/>
  <c r="F351" i="139"/>
  <c r="F348" i="139"/>
  <c r="F347" i="139"/>
  <c r="F344" i="139"/>
  <c r="F343" i="139"/>
  <c r="F340" i="139"/>
  <c r="F339" i="139"/>
  <c r="F336" i="139"/>
  <c r="F335" i="139"/>
  <c r="F332" i="139"/>
  <c r="F331" i="139"/>
  <c r="F319" i="139"/>
  <c r="F318" i="139"/>
  <c r="F314" i="139"/>
  <c r="F313" i="139"/>
  <c r="F309" i="139"/>
  <c r="F308" i="139"/>
  <c r="F304" i="139"/>
  <c r="F303" i="139"/>
  <c r="F291" i="139"/>
  <c r="F290" i="139"/>
  <c r="F285" i="139"/>
  <c r="F284" i="139"/>
  <c r="F280" i="139"/>
  <c r="F279" i="139"/>
  <c r="F275" i="139"/>
  <c r="F274" i="139"/>
  <c r="F270" i="139"/>
  <c r="F269" i="139"/>
  <c r="F265" i="139"/>
  <c r="F264" i="139"/>
  <c r="F260" i="139"/>
  <c r="F259" i="139"/>
  <c r="F255" i="139"/>
  <c r="F254" i="139"/>
  <c r="F250" i="139"/>
  <c r="F249" i="139"/>
  <c r="F237" i="139"/>
  <c r="F236" i="139"/>
  <c r="F232" i="139"/>
  <c r="F231" i="139"/>
  <c r="F227" i="139"/>
  <c r="F226" i="139"/>
  <c r="F222" i="139"/>
  <c r="F221" i="139"/>
  <c r="F217" i="139"/>
  <c r="F216" i="139"/>
  <c r="F212" i="139"/>
  <c r="F211" i="139"/>
  <c r="F207" i="139"/>
  <c r="F206" i="139"/>
  <c r="F202" i="139"/>
  <c r="F201" i="139"/>
  <c r="F197" i="139"/>
  <c r="F196" i="139"/>
  <c r="F192" i="139"/>
  <c r="F191" i="139"/>
  <c r="F187" i="139"/>
  <c r="F186" i="139"/>
  <c r="F182" i="139"/>
  <c r="F181" i="139"/>
  <c r="F177" i="139"/>
  <c r="F176" i="139"/>
  <c r="F172" i="139"/>
  <c r="F171" i="139"/>
  <c r="F167" i="139"/>
  <c r="F166" i="139"/>
  <c r="F162" i="139"/>
  <c r="F161" i="139"/>
  <c r="F157" i="139"/>
  <c r="F156" i="139"/>
  <c r="F152" i="139"/>
  <c r="F151" i="139"/>
  <c r="F147" i="139"/>
  <c r="F146" i="139"/>
  <c r="F141" i="139"/>
  <c r="F139" i="139"/>
  <c r="F138" i="139"/>
  <c r="F119" i="139"/>
  <c r="F118" i="139"/>
  <c r="F114" i="139"/>
  <c r="F113" i="139"/>
  <c r="F109" i="139"/>
  <c r="F108" i="139"/>
  <c r="F104" i="139"/>
  <c r="F103" i="139"/>
  <c r="F99" i="139"/>
  <c r="F98" i="139"/>
  <c r="F94" i="139"/>
  <c r="F93" i="139"/>
  <c r="F89" i="139"/>
  <c r="F88" i="139"/>
  <c r="F84" i="139"/>
  <c r="F83" i="139"/>
  <c r="F79" i="139"/>
  <c r="F78" i="139"/>
  <c r="F74" i="139"/>
  <c r="F73" i="139"/>
  <c r="F69" i="139"/>
  <c r="F68" i="139"/>
  <c r="F64" i="139"/>
  <c r="F63" i="139"/>
  <c r="F59" i="139"/>
  <c r="F58" i="139"/>
  <c r="F54" i="139"/>
  <c r="F53" i="139"/>
  <c r="F49" i="139"/>
  <c r="F48" i="139"/>
  <c r="F44" i="139"/>
  <c r="F43" i="139"/>
  <c r="F39" i="139"/>
  <c r="F38" i="139"/>
  <c r="F34" i="139"/>
  <c r="F31" i="139"/>
  <c r="F27" i="139"/>
  <c r="F26" i="139"/>
  <c r="F22" i="139"/>
  <c r="F21" i="139"/>
  <c r="F17" i="139"/>
  <c r="F16" i="139"/>
  <c r="I4" i="5" l="1"/>
  <c r="J4" i="5"/>
  <c r="I66" i="5"/>
  <c r="J66" i="5"/>
  <c r="H4" i="5"/>
  <c r="S182" i="4" l="1"/>
  <c r="K182" i="4"/>
  <c r="N182" i="4"/>
  <c r="I182" i="4"/>
  <c r="Q182" i="4"/>
  <c r="L182" i="4"/>
  <c r="T182" i="4"/>
  <c r="O182" i="4"/>
  <c r="J182" i="4"/>
  <c r="R182" i="4"/>
  <c r="M182" i="4"/>
  <c r="H182" i="4"/>
  <c r="P182" i="4"/>
  <c r="J38" i="52" l="1"/>
  <c r="J39" i="52" s="1"/>
  <c r="J40" i="52" s="1"/>
  <c r="J41" i="52" s="1"/>
  <c r="J42" i="52" s="1"/>
  <c r="J46" i="52" s="1"/>
  <c r="J47" i="52" s="1"/>
  <c r="J48" i="52" s="1"/>
  <c r="J50" i="52" s="1"/>
  <c r="J54" i="52" s="1"/>
  <c r="J55" i="52" s="1"/>
  <c r="J56" i="52" s="1"/>
  <c r="J57" i="52" s="1"/>
  <c r="J60" i="52" s="1"/>
  <c r="H23" i="49"/>
  <c r="H24" i="49" s="1"/>
  <c r="H25" i="49" s="1"/>
  <c r="H26" i="49" s="1"/>
  <c r="H27" i="49" s="1"/>
  <c r="H28" i="49" s="1"/>
  <c r="H29" i="49" s="1"/>
  <c r="H30" i="49" s="1"/>
  <c r="H31" i="49" s="1"/>
  <c r="H32" i="49" s="1"/>
  <c r="H33" i="49" s="1"/>
  <c r="H34" i="49" s="1"/>
  <c r="H35" i="49" s="1"/>
  <c r="H36" i="49" s="1"/>
  <c r="H37" i="49" s="1"/>
  <c r="H38" i="49" s="1"/>
  <c r="H39" i="49" s="1"/>
  <c r="H40" i="49" s="1"/>
  <c r="H41" i="49" s="1"/>
  <c r="H42" i="49" s="1"/>
  <c r="H43" i="49" s="1"/>
  <c r="H44" i="49" s="1"/>
  <c r="H45" i="49" s="1"/>
  <c r="H46" i="49" s="1"/>
  <c r="H47" i="49" s="1"/>
  <c r="H48" i="49" s="1"/>
  <c r="H49" i="49" s="1"/>
  <c r="H50" i="49" s="1"/>
  <c r="H51" i="49" s="1"/>
  <c r="H52" i="49" s="1"/>
  <c r="H53" i="49" s="1"/>
  <c r="H54" i="49" s="1"/>
  <c r="H55" i="49" s="1"/>
  <c r="H56" i="49" s="1"/>
  <c r="H57" i="49" s="1"/>
  <c r="H58" i="49" s="1"/>
  <c r="H59" i="49" s="1"/>
  <c r="H60" i="49" s="1"/>
  <c r="H61" i="49" s="1"/>
  <c r="H62" i="49" s="1"/>
  <c r="H63" i="49" s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O21" i="595"/>
  <c r="O22" i="595" s="1"/>
  <c r="O23" i="595" s="1"/>
  <c r="O24" i="595" s="1"/>
  <c r="O25" i="595" s="1"/>
  <c r="O26" i="595" s="1"/>
  <c r="O27" i="595" s="1"/>
  <c r="O28" i="595" s="1"/>
  <c r="O29" i="595" s="1"/>
  <c r="O30" i="595" s="1"/>
  <c r="O31" i="595" s="1"/>
  <c r="O32" i="595" s="1"/>
  <c r="O33" i="595" s="1"/>
  <c r="O34" i="595" s="1"/>
  <c r="O35" i="595" s="1"/>
  <c r="I15" i="595"/>
  <c r="I16" i="595" s="1"/>
  <c r="I17" i="595" s="1"/>
  <c r="I18" i="595" s="1"/>
  <c r="I19" i="595" s="1"/>
  <c r="I20" i="595" s="1"/>
  <c r="I21" i="595" s="1"/>
  <c r="I22" i="595" s="1"/>
  <c r="I23" i="595" s="1"/>
  <c r="I24" i="595" s="1"/>
  <c r="I25" i="595" s="1"/>
  <c r="I26" i="595" s="1"/>
  <c r="I27" i="595" s="1"/>
  <c r="I28" i="595" s="1"/>
  <c r="I29" i="595" s="1"/>
  <c r="I30" i="595" s="1"/>
  <c r="I31" i="595" s="1"/>
  <c r="I32" i="595" s="1"/>
  <c r="I33" i="595" s="1"/>
  <c r="A8" i="595"/>
  <c r="A9" i="595" s="1"/>
  <c r="A10" i="595" s="1"/>
  <c r="A11" i="595" s="1"/>
  <c r="A12" i="595" s="1"/>
  <c r="A13" i="595" s="1"/>
  <c r="A14" i="595" s="1"/>
  <c r="A15" i="595" s="1"/>
  <c r="H1100" i="6" l="1"/>
  <c r="H1099" i="6"/>
  <c r="AE658" i="6" l="1"/>
  <c r="AE659" i="6"/>
  <c r="AE663" i="6"/>
  <c r="AE664" i="6"/>
  <c r="AE665" i="6"/>
  <c r="AE666" i="6"/>
  <c r="AE667" i="6"/>
  <c r="AE668" i="6"/>
  <c r="AE669" i="6"/>
  <c r="AE671" i="6"/>
  <c r="AE673" i="6"/>
  <c r="AE674" i="6"/>
  <c r="AE678" i="6"/>
  <c r="AE679" i="6"/>
  <c r="AE683" i="6"/>
  <c r="AE684" i="6"/>
  <c r="AE688" i="6"/>
  <c r="AE689" i="6"/>
  <c r="AE693" i="6"/>
  <c r="AE694" i="6"/>
  <c r="AE698" i="6"/>
  <c r="AE699" i="6"/>
  <c r="AE703" i="6"/>
  <c r="AE704" i="6"/>
  <c r="AE708" i="6"/>
  <c r="AE709" i="6"/>
  <c r="AE713" i="6"/>
  <c r="AE714" i="6"/>
  <c r="AE718" i="6"/>
  <c r="AE719" i="6"/>
  <c r="AE723" i="6"/>
  <c r="AE724" i="6"/>
  <c r="AE728" i="6"/>
  <c r="AE729" i="6"/>
  <c r="AE733" i="6"/>
  <c r="AE734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2" i="6"/>
  <c r="AE754" i="6"/>
  <c r="AE755" i="6"/>
  <c r="AE756" i="6"/>
  <c r="AE757" i="6"/>
  <c r="AE761" i="6"/>
  <c r="AE762" i="6"/>
  <c r="AE766" i="6"/>
  <c r="AE767" i="6"/>
  <c r="AE771" i="6"/>
  <c r="AE772" i="6"/>
  <c r="AE776" i="6"/>
  <c r="AE777" i="6"/>
  <c r="AE781" i="6"/>
  <c r="AE782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5" i="6"/>
  <c r="AE807" i="6"/>
  <c r="AE808" i="6"/>
  <c r="AE809" i="6"/>
  <c r="AE810" i="6"/>
  <c r="AE814" i="6"/>
  <c r="AE815" i="6"/>
  <c r="AE819" i="6"/>
  <c r="AE820" i="6"/>
  <c r="AE824" i="6"/>
  <c r="AE825" i="6"/>
  <c r="AE826" i="6"/>
  <c r="AE827" i="6"/>
  <c r="AE828" i="6"/>
  <c r="AE829" i="6"/>
  <c r="AE830" i="6"/>
  <c r="AE833" i="6"/>
  <c r="AE835" i="6"/>
  <c r="AE836" i="6"/>
  <c r="AE837" i="6"/>
  <c r="AE838" i="6"/>
  <c r="AE842" i="6"/>
  <c r="AE843" i="6"/>
  <c r="AE847" i="6"/>
  <c r="AE848" i="6"/>
  <c r="AE852" i="6"/>
  <c r="AE853" i="6"/>
  <c r="AE857" i="6"/>
  <c r="AE858" i="6"/>
  <c r="AE862" i="6"/>
  <c r="AE863" i="6"/>
  <c r="AE867" i="6"/>
  <c r="AE868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7" i="6"/>
  <c r="AE888" i="6"/>
  <c r="AE892" i="6"/>
  <c r="AE893" i="6"/>
  <c r="AE894" i="6"/>
  <c r="AE895" i="6"/>
  <c r="AE896" i="6"/>
  <c r="AE897" i="6"/>
  <c r="AE898" i="6"/>
  <c r="AE901" i="6"/>
  <c r="AE903" i="6"/>
  <c r="AE904" i="6"/>
  <c r="AE906" i="6"/>
  <c r="AE907" i="6"/>
  <c r="AE908" i="6"/>
  <c r="AE909" i="6"/>
  <c r="AE910" i="6"/>
  <c r="AE911" i="6"/>
  <c r="AE912" i="6"/>
  <c r="AE918" i="6"/>
  <c r="AE919" i="6"/>
  <c r="AE921" i="6"/>
  <c r="AE922" i="6"/>
  <c r="AE923" i="6"/>
  <c r="AE925" i="6"/>
  <c r="AE927" i="6"/>
  <c r="AE928" i="6"/>
  <c r="AE929" i="6"/>
  <c r="AE930" i="6"/>
  <c r="AE935" i="6"/>
  <c r="AE937" i="6"/>
  <c r="AE938" i="6"/>
  <c r="AE939" i="6"/>
  <c r="AE940" i="6"/>
  <c r="AE941" i="6"/>
  <c r="AE942" i="6"/>
  <c r="AE943" i="6"/>
  <c r="AE944" i="6"/>
  <c r="AE945" i="6"/>
  <c r="AE946" i="6"/>
  <c r="AE947" i="6"/>
  <c r="AE948" i="6"/>
  <c r="AE949" i="6"/>
  <c r="AE951" i="6"/>
  <c r="AE952" i="6"/>
  <c r="AE954" i="6"/>
  <c r="AE955" i="6"/>
  <c r="AE957" i="6"/>
  <c r="AE958" i="6"/>
  <c r="AE959" i="6"/>
  <c r="AE960" i="6"/>
  <c r="AE961" i="6"/>
  <c r="AE962" i="6"/>
  <c r="AE963" i="6"/>
  <c r="AE964" i="6"/>
  <c r="AE965" i="6"/>
  <c r="AE968" i="6"/>
  <c r="AE970" i="6"/>
  <c r="AE971" i="6"/>
  <c r="AE979" i="6"/>
  <c r="AE981" i="6"/>
  <c r="AE982" i="6"/>
  <c r="AE983" i="6"/>
  <c r="AE987" i="6"/>
  <c r="AE988" i="6"/>
  <c r="AE992" i="6"/>
  <c r="AE993" i="6"/>
  <c r="AE994" i="6"/>
  <c r="AE995" i="6"/>
  <c r="AE996" i="6"/>
  <c r="AE998" i="6"/>
  <c r="AE999" i="6"/>
  <c r="AE1000" i="6"/>
  <c r="AE1003" i="6"/>
  <c r="AE1004" i="6"/>
  <c r="AE1005" i="6"/>
  <c r="AE1008" i="6"/>
  <c r="AE1009" i="6"/>
  <c r="AE1013" i="6"/>
  <c r="AE1014" i="6"/>
  <c r="AE1018" i="6"/>
  <c r="AE1019" i="6"/>
  <c r="AE1023" i="6"/>
  <c r="AE1024" i="6"/>
  <c r="AE1028" i="6"/>
  <c r="AE1029" i="6"/>
  <c r="AE1033" i="6"/>
  <c r="AE1036" i="6"/>
  <c r="AE1038" i="6"/>
  <c r="AE1041" i="6"/>
  <c r="AE1042" i="6"/>
  <c r="AE1047" i="6"/>
  <c r="AE1049" i="6"/>
  <c r="AE1053" i="6"/>
  <c r="AE1055" i="6"/>
  <c r="AE1059" i="6"/>
  <c r="AE1061" i="6"/>
  <c r="AE1064" i="6"/>
  <c r="AE1065" i="6"/>
  <c r="AE1070" i="6"/>
  <c r="AE1072" i="6"/>
  <c r="AE1076" i="6"/>
  <c r="AE1077" i="6"/>
  <c r="AE1078" i="6"/>
  <c r="AE1080" i="6"/>
  <c r="AE1082" i="6"/>
  <c r="AE1084" i="6"/>
  <c r="AE1087" i="6"/>
  <c r="AE1088" i="6"/>
  <c r="AE1093" i="6"/>
  <c r="AE1095" i="6"/>
  <c r="AE1096" i="6"/>
  <c r="AE1099" i="6"/>
  <c r="AE1103" i="6"/>
  <c r="AE1104" i="6"/>
  <c r="AE1107" i="6"/>
  <c r="AE1108" i="6"/>
  <c r="AE1109" i="6"/>
  <c r="AE1114" i="6"/>
  <c r="AE1115" i="6"/>
  <c r="AE1117" i="6"/>
  <c r="AE1122" i="6"/>
  <c r="AE1126" i="6"/>
  <c r="AE1129" i="6"/>
  <c r="AE1133" i="6"/>
  <c r="AE1136" i="6"/>
  <c r="AE1137" i="6"/>
  <c r="AE1139" i="6"/>
  <c r="AE1143" i="6"/>
  <c r="AE1146" i="6"/>
  <c r="AE1147" i="6"/>
  <c r="AE1148" i="6"/>
  <c r="AE1149" i="6"/>
  <c r="AE1153" i="6"/>
  <c r="AE1154" i="6"/>
  <c r="AE1156" i="6"/>
  <c r="AE1157" i="6"/>
  <c r="AE1158" i="6"/>
  <c r="AE1162" i="6"/>
  <c r="AE1164" i="6"/>
  <c r="AE1166" i="6"/>
  <c r="AE1168" i="6"/>
  <c r="AE1169" i="6"/>
  <c r="AE1173" i="6"/>
  <c r="AE1175" i="6"/>
  <c r="AE1176" i="6"/>
  <c r="AE1177" i="6"/>
  <c r="AE1180" i="6"/>
  <c r="AE1181" i="6"/>
  <c r="AE1182" i="6"/>
  <c r="AE1185" i="6"/>
  <c r="AE1186" i="6"/>
  <c r="AE1189" i="6"/>
  <c r="AE1192" i="6"/>
  <c r="AE1196" i="6"/>
  <c r="AE1197" i="6"/>
  <c r="AE1204" i="6"/>
  <c r="AE1211" i="6"/>
  <c r="AE1214" i="6"/>
  <c r="AE1215" i="6"/>
  <c r="AE1217" i="6"/>
  <c r="AE1221" i="6"/>
  <c r="AE1223" i="6"/>
  <c r="AE1224" i="6"/>
  <c r="AE1226" i="6"/>
  <c r="AE1229" i="6"/>
  <c r="AE1232" i="6"/>
  <c r="AE1234" i="6"/>
  <c r="AE1235" i="6"/>
  <c r="AE1236" i="6"/>
  <c r="AE1238" i="6"/>
  <c r="AE1240" i="6"/>
  <c r="AE1241" i="6"/>
  <c r="AE1243" i="6"/>
  <c r="AE1244" i="6"/>
  <c r="AE1245" i="6"/>
  <c r="AE1246" i="6"/>
  <c r="AE1247" i="6"/>
  <c r="AE1248" i="6"/>
  <c r="AE1249" i="6"/>
  <c r="AE1250" i="6"/>
  <c r="AE1251" i="6"/>
  <c r="AE1252" i="6"/>
  <c r="AE1254" i="6"/>
  <c r="AE1255" i="6"/>
  <c r="AE1256" i="6"/>
  <c r="AE1258" i="6"/>
  <c r="AE1261" i="6"/>
  <c r="AE1262" i="6"/>
  <c r="AE18" i="6"/>
  <c r="AE19" i="6"/>
  <c r="AE20" i="6"/>
  <c r="AE22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4" i="6"/>
  <c r="AE45" i="6"/>
  <c r="AE46" i="6"/>
  <c r="AE47" i="6"/>
  <c r="AE49" i="6"/>
  <c r="AE51" i="6"/>
  <c r="AE52" i="6"/>
  <c r="AE53" i="6"/>
  <c r="AE54" i="6"/>
  <c r="AE55" i="6"/>
  <c r="AE56" i="6"/>
  <c r="AE57" i="6"/>
  <c r="AE58" i="6"/>
  <c r="AE59" i="6"/>
  <c r="AE60" i="6"/>
  <c r="AE62" i="6"/>
  <c r="AE63" i="6"/>
  <c r="AE64" i="6"/>
  <c r="AE65" i="6"/>
  <c r="AE67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8" i="6"/>
  <c r="AE99" i="6"/>
  <c r="AE100" i="6"/>
  <c r="AE101" i="6"/>
  <c r="AE103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5" i="6"/>
  <c r="AE126" i="6"/>
  <c r="AE127" i="6"/>
  <c r="AE128" i="6"/>
  <c r="AE130" i="6"/>
  <c r="AE132" i="6"/>
  <c r="AE133" i="6"/>
  <c r="AE134" i="6"/>
  <c r="AE135" i="6"/>
  <c r="AE136" i="6"/>
  <c r="AE137" i="6"/>
  <c r="AE138" i="6"/>
  <c r="AE139" i="6"/>
  <c r="AE140" i="6"/>
  <c r="AE141" i="6"/>
  <c r="AE143" i="6"/>
  <c r="AE144" i="6"/>
  <c r="AE145" i="6"/>
  <c r="AE146" i="6"/>
  <c r="AE148" i="6"/>
  <c r="AE150" i="6"/>
  <c r="AE151" i="6"/>
  <c r="AE152" i="6"/>
  <c r="AE153" i="6"/>
  <c r="AE154" i="6"/>
  <c r="AE155" i="6"/>
  <c r="AE156" i="6"/>
  <c r="AE157" i="6"/>
  <c r="AE158" i="6"/>
  <c r="AE159" i="6"/>
  <c r="AE161" i="6"/>
  <c r="AE162" i="6"/>
  <c r="AE163" i="6"/>
  <c r="AE164" i="6"/>
  <c r="AE166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7" i="6"/>
  <c r="AE198" i="6"/>
  <c r="AE199" i="6"/>
  <c r="AE201" i="6"/>
  <c r="AE202" i="6"/>
  <c r="AE204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40" i="6"/>
  <c r="AE241" i="6"/>
  <c r="AE242" i="6"/>
  <c r="AE243" i="6"/>
  <c r="AE245" i="6"/>
  <c r="AE247" i="6"/>
  <c r="AE249" i="6"/>
  <c r="AE250" i="6"/>
  <c r="AE251" i="6"/>
  <c r="AE252" i="6"/>
  <c r="AE254" i="6"/>
  <c r="AE256" i="6"/>
  <c r="AE258" i="6"/>
  <c r="AE259" i="6"/>
  <c r="AE260" i="6"/>
  <c r="AE261" i="6"/>
  <c r="AE263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1" i="6"/>
  <c r="AE322" i="6"/>
  <c r="AE324" i="6"/>
  <c r="AE325" i="6"/>
  <c r="AE326" i="6"/>
  <c r="AE328" i="6"/>
  <c r="AE330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4" i="6"/>
  <c r="AE365" i="6"/>
  <c r="AE366" i="6"/>
  <c r="AE367" i="6"/>
  <c r="AE369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8" i="6"/>
  <c r="AE389" i="6"/>
  <c r="AE390" i="6"/>
  <c r="AE391" i="6"/>
  <c r="AE392" i="6"/>
  <c r="AE393" i="6"/>
  <c r="AE394" i="6"/>
  <c r="AE396" i="6"/>
  <c r="AE398" i="6"/>
  <c r="AE399" i="6"/>
  <c r="AE401" i="6"/>
  <c r="AE403" i="6"/>
  <c r="AE404" i="6"/>
  <c r="AE408" i="6"/>
  <c r="AE409" i="6"/>
  <c r="AE410" i="6"/>
  <c r="AE411" i="6"/>
  <c r="AE412" i="6"/>
  <c r="AE413" i="6"/>
  <c r="AE414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6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4" i="6"/>
  <c r="AE505" i="6"/>
  <c r="AE508" i="6"/>
  <c r="AE510" i="6"/>
  <c r="AE511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9" i="6"/>
  <c r="AE651" i="6"/>
  <c r="AE652" i="6"/>
  <c r="AE653" i="6"/>
  <c r="AE654" i="6"/>
  <c r="AE17" i="6"/>
  <c r="AC1262" i="6"/>
  <c r="AC1261" i="6"/>
  <c r="AC1258" i="6"/>
  <c r="AC1256" i="6"/>
  <c r="AC1255" i="6"/>
  <c r="AC1254" i="6"/>
  <c r="AC1252" i="6"/>
  <c r="AC1251" i="6"/>
  <c r="AC1250" i="6"/>
  <c r="AC1249" i="6"/>
  <c r="AC1248" i="6"/>
  <c r="AC1247" i="6"/>
  <c r="AC1246" i="6"/>
  <c r="AC1245" i="6"/>
  <c r="AC1244" i="6"/>
  <c r="AC1243" i="6"/>
  <c r="AC1242" i="6"/>
  <c r="AE1242" i="6" s="1"/>
  <c r="AC1241" i="6"/>
  <c r="AC1240" i="6"/>
  <c r="AC1239" i="6"/>
  <c r="AE1239" i="6" s="1"/>
  <c r="AC1238" i="6"/>
  <c r="AC1237" i="6"/>
  <c r="AE1237" i="6" s="1"/>
  <c r="AC1236" i="6"/>
  <c r="AC1235" i="6"/>
  <c r="AC1234" i="6"/>
  <c r="AC1233" i="6"/>
  <c r="AE1233" i="6" s="1"/>
  <c r="AC1232" i="6"/>
  <c r="AC1230" i="6"/>
  <c r="AE1230" i="6" s="1"/>
  <c r="AC1229" i="6"/>
  <c r="AC1226" i="6"/>
  <c r="AC1224" i="6"/>
  <c r="AC1223" i="6"/>
  <c r="AC1221" i="6"/>
  <c r="AC1220" i="6"/>
  <c r="AE1220" i="6" s="1"/>
  <c r="AC1217" i="6"/>
  <c r="AC1215" i="6"/>
  <c r="AC1214" i="6"/>
  <c r="AC1211" i="6"/>
  <c r="AC1210" i="6"/>
  <c r="AE1210" i="6" s="1"/>
  <c r="AC1204" i="6"/>
  <c r="AC1203" i="6"/>
  <c r="AE1203" i="6" s="1"/>
  <c r="AC1197" i="6"/>
  <c r="AC1196" i="6"/>
  <c r="AC1192" i="6"/>
  <c r="AC1190" i="6"/>
  <c r="AE1190" i="6" s="1"/>
  <c r="AC1189" i="6"/>
  <c r="AC1186" i="6"/>
  <c r="AC1185" i="6"/>
  <c r="AC1182" i="6"/>
  <c r="AC1181" i="6"/>
  <c r="AC1180" i="6"/>
  <c r="AC1177" i="6"/>
  <c r="AC1176" i="6"/>
  <c r="AC1175" i="6"/>
  <c r="AC1173" i="6"/>
  <c r="AC1169" i="6"/>
  <c r="AC1168" i="6"/>
  <c r="AC1166" i="6"/>
  <c r="AC1164" i="6"/>
  <c r="AC1162" i="6"/>
  <c r="AC1161" i="6"/>
  <c r="AE1161" i="6" s="1"/>
  <c r="AC1158" i="6"/>
  <c r="AC1157" i="6"/>
  <c r="AC1156" i="6"/>
  <c r="AC1154" i="6"/>
  <c r="AC1153" i="6"/>
  <c r="AC1149" i="6"/>
  <c r="AC1148" i="6"/>
  <c r="AC1147" i="6"/>
  <c r="AC1146" i="6"/>
  <c r="AC1145" i="6"/>
  <c r="AE1145" i="6" s="1"/>
  <c r="AC1143" i="6"/>
  <c r="AC1142" i="6"/>
  <c r="AE1142" i="6" s="1"/>
  <c r="AC1139" i="6"/>
  <c r="AC1137" i="6"/>
  <c r="AC1136" i="6"/>
  <c r="AC1135" i="6"/>
  <c r="AE1135" i="6" s="1"/>
  <c r="AC1133" i="6"/>
  <c r="AC1129" i="6"/>
  <c r="AC1128" i="6"/>
  <c r="AE1128" i="6" s="1"/>
  <c r="AC1126" i="6"/>
  <c r="AC1122" i="6"/>
  <c r="AC1121" i="6"/>
  <c r="AE1121" i="6" s="1"/>
  <c r="AC1117" i="6"/>
  <c r="AC1115" i="6"/>
  <c r="AC1114" i="6"/>
  <c r="AC1109" i="6"/>
  <c r="AC1108" i="6"/>
  <c r="AC1107" i="6"/>
  <c r="AC1104" i="6"/>
  <c r="AC1103" i="6"/>
  <c r="AC1099" i="6"/>
  <c r="AC1097" i="6"/>
  <c r="AE1097" i="6" s="1"/>
  <c r="AC1096" i="6"/>
  <c r="AC1095" i="6"/>
  <c r="AC1093" i="6"/>
  <c r="AC1088" i="6"/>
  <c r="AC1087" i="6"/>
  <c r="AC1084" i="6"/>
  <c r="AC1083" i="6"/>
  <c r="AE1083" i="6" s="1"/>
  <c r="AC1082" i="6"/>
  <c r="AC1080" i="6"/>
  <c r="AC1078" i="6"/>
  <c r="AC1077" i="6"/>
  <c r="AC1076" i="6"/>
  <c r="AC1072" i="6"/>
  <c r="AC1071" i="6"/>
  <c r="AE1071" i="6" s="1"/>
  <c r="AC1070" i="6"/>
  <c r="AC1065" i="6"/>
  <c r="AC1064" i="6"/>
  <c r="AC1061" i="6"/>
  <c r="AC1060" i="6"/>
  <c r="AE1060" i="6" s="1"/>
  <c r="AC1059" i="6"/>
  <c r="AC1055" i="6"/>
  <c r="AC1054" i="6"/>
  <c r="AE1054" i="6" s="1"/>
  <c r="AC1053" i="6"/>
  <c r="AC1049" i="6"/>
  <c r="AC1048" i="6"/>
  <c r="AE1048" i="6" s="1"/>
  <c r="AC1047" i="6"/>
  <c r="AC1042" i="6"/>
  <c r="AC1041" i="6"/>
  <c r="AC1038" i="6"/>
  <c r="AC1037" i="6"/>
  <c r="AE1037" i="6" s="1"/>
  <c r="AC1036" i="6"/>
  <c r="AC1035" i="6"/>
  <c r="AE1035" i="6" s="1"/>
  <c r="AC1033" i="6"/>
  <c r="AC1029" i="6"/>
  <c r="AC1028" i="6"/>
  <c r="AC1024" i="6"/>
  <c r="AC1023" i="6"/>
  <c r="AC1019" i="6"/>
  <c r="AC1018" i="6"/>
  <c r="AC1014" i="6"/>
  <c r="AC1013" i="6"/>
  <c r="AC1009" i="6"/>
  <c r="AC1008" i="6"/>
  <c r="AC1005" i="6"/>
  <c r="AC1004" i="6"/>
  <c r="AC1003" i="6"/>
  <c r="AC1000" i="6"/>
  <c r="AC999" i="6"/>
  <c r="AC998" i="6"/>
  <c r="AC996" i="6"/>
  <c r="AC995" i="6"/>
  <c r="AC994" i="6"/>
  <c r="AC993" i="6"/>
  <c r="AC992" i="6"/>
  <c r="AC988" i="6"/>
  <c r="AC987" i="6"/>
  <c r="AC983" i="6"/>
  <c r="AC982" i="6"/>
  <c r="AC981" i="6"/>
  <c r="AC979" i="6"/>
  <c r="AC971" i="6"/>
  <c r="AC970" i="6"/>
  <c r="AC968" i="6"/>
  <c r="AC965" i="6"/>
  <c r="AC964" i="6"/>
  <c r="AC963" i="6"/>
  <c r="AC962" i="6"/>
  <c r="AC961" i="6"/>
  <c r="AC960" i="6"/>
  <c r="AC959" i="6"/>
  <c r="AC958" i="6"/>
  <c r="AC957" i="6"/>
  <c r="AC955" i="6"/>
  <c r="AC954" i="6"/>
  <c r="AC952" i="6"/>
  <c r="AC951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5" i="6"/>
  <c r="AC930" i="6"/>
  <c r="AC929" i="6"/>
  <c r="AC928" i="6"/>
  <c r="AC927" i="6"/>
  <c r="AC925" i="6"/>
  <c r="AC923" i="6"/>
  <c r="AC922" i="6"/>
  <c r="AC921" i="6"/>
  <c r="AC919" i="6"/>
  <c r="AC918" i="6"/>
  <c r="AC912" i="6"/>
  <c r="AC911" i="6"/>
  <c r="AC910" i="6"/>
  <c r="AC909" i="6"/>
  <c r="AC908" i="6"/>
  <c r="AC907" i="6"/>
  <c r="AC906" i="6"/>
  <c r="AC904" i="6"/>
  <c r="AC903" i="6"/>
  <c r="AC901" i="6"/>
  <c r="AC898" i="6"/>
  <c r="AC897" i="6"/>
  <c r="AC896" i="6"/>
  <c r="AC895" i="6"/>
  <c r="AC894" i="6"/>
  <c r="AC893" i="6"/>
  <c r="AC892" i="6"/>
  <c r="AC888" i="6"/>
  <c r="AC887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68" i="6"/>
  <c r="AC867" i="6"/>
  <c r="AC863" i="6"/>
  <c r="AC862" i="6"/>
  <c r="AC858" i="6"/>
  <c r="AC857" i="6"/>
  <c r="AC853" i="6"/>
  <c r="AC852" i="6"/>
  <c r="AC848" i="6"/>
  <c r="AC847" i="6"/>
  <c r="AC843" i="6"/>
  <c r="AC842" i="6"/>
  <c r="AC838" i="6"/>
  <c r="AC837" i="6"/>
  <c r="AC836" i="6"/>
  <c r="AC835" i="6"/>
  <c r="AC833" i="6"/>
  <c r="AC830" i="6"/>
  <c r="AC829" i="6"/>
  <c r="AC828" i="6"/>
  <c r="AC827" i="6"/>
  <c r="AC826" i="6"/>
  <c r="AC825" i="6"/>
  <c r="AC824" i="6"/>
  <c r="AC820" i="6"/>
  <c r="AC819" i="6"/>
  <c r="AC815" i="6"/>
  <c r="AC814" i="6"/>
  <c r="AC810" i="6"/>
  <c r="AC809" i="6"/>
  <c r="AC808" i="6"/>
  <c r="AC807" i="6"/>
  <c r="AC805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2" i="6"/>
  <c r="AC781" i="6"/>
  <c r="AC777" i="6"/>
  <c r="AC776" i="6"/>
  <c r="AC772" i="6"/>
  <c r="AC771" i="6"/>
  <c r="AC767" i="6"/>
  <c r="AC766" i="6"/>
  <c r="AC762" i="6"/>
  <c r="AC761" i="6"/>
  <c r="AC757" i="6"/>
  <c r="AC756" i="6"/>
  <c r="AC755" i="6"/>
  <c r="AC754" i="6"/>
  <c r="AC752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4" i="6"/>
  <c r="AC733" i="6"/>
  <c r="AC729" i="6"/>
  <c r="AC728" i="6"/>
  <c r="AC724" i="6"/>
  <c r="AC723" i="6"/>
  <c r="AC719" i="6"/>
  <c r="AC718" i="6"/>
  <c r="AC714" i="6"/>
  <c r="AC713" i="6"/>
  <c r="AC709" i="6"/>
  <c r="AC708" i="6"/>
  <c r="AC704" i="6"/>
  <c r="AC703" i="6"/>
  <c r="AC699" i="6"/>
  <c r="AC698" i="6"/>
  <c r="AC694" i="6"/>
  <c r="AC693" i="6"/>
  <c r="AC689" i="6"/>
  <c r="AC688" i="6"/>
  <c r="AC684" i="6"/>
  <c r="AC683" i="6"/>
  <c r="AC679" i="6"/>
  <c r="AC678" i="6"/>
  <c r="AC674" i="6"/>
  <c r="AC673" i="6"/>
  <c r="AC671" i="6"/>
  <c r="AC669" i="6"/>
  <c r="AC668" i="6"/>
  <c r="AC667" i="6"/>
  <c r="AC666" i="6"/>
  <c r="AC665" i="6"/>
  <c r="AC664" i="6"/>
  <c r="AC663" i="6"/>
  <c r="AC659" i="6"/>
  <c r="AC658" i="6"/>
  <c r="AC654" i="6"/>
  <c r="AC653" i="6"/>
  <c r="AC652" i="6"/>
  <c r="AC651" i="6"/>
  <c r="AC649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1" i="6"/>
  <c r="AC510" i="6"/>
  <c r="AC508" i="6"/>
  <c r="AC505" i="6"/>
  <c r="AC504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6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4" i="6"/>
  <c r="AC413" i="6"/>
  <c r="AC412" i="6"/>
  <c r="AC411" i="6"/>
  <c r="AC410" i="6"/>
  <c r="AC409" i="6"/>
  <c r="AC408" i="6"/>
  <c r="AC404" i="6"/>
  <c r="AC403" i="6"/>
  <c r="AC401" i="6"/>
  <c r="AC399" i="6"/>
  <c r="AC398" i="6"/>
  <c r="AC396" i="6"/>
  <c r="AC394" i="6"/>
  <c r="AC393" i="6"/>
  <c r="AC392" i="6"/>
  <c r="AC391" i="6"/>
  <c r="AC390" i="6"/>
  <c r="AC389" i="6"/>
  <c r="AC388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69" i="6"/>
  <c r="AC367" i="6"/>
  <c r="AC366" i="6"/>
  <c r="AC365" i="6"/>
  <c r="AC364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0" i="6"/>
  <c r="AC328" i="6"/>
  <c r="AC326" i="6"/>
  <c r="AC325" i="6"/>
  <c r="AC324" i="6"/>
  <c r="AC322" i="6"/>
  <c r="AC321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3" i="6"/>
  <c r="AC261" i="6"/>
  <c r="AC260" i="6"/>
  <c r="AC259" i="6"/>
  <c r="AC258" i="6"/>
  <c r="AC256" i="6"/>
  <c r="AC254" i="6"/>
  <c r="AC252" i="6"/>
  <c r="AC251" i="6"/>
  <c r="AC250" i="6"/>
  <c r="AC249" i="6"/>
  <c r="AC247" i="6"/>
  <c r="AC245" i="6"/>
  <c r="AC243" i="6"/>
  <c r="AC242" i="6"/>
  <c r="AC241" i="6"/>
  <c r="AC240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4" i="6"/>
  <c r="AC202" i="6"/>
  <c r="AC201" i="6"/>
  <c r="AC199" i="6"/>
  <c r="AC198" i="6"/>
  <c r="AC197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6" i="6"/>
  <c r="AC164" i="6"/>
  <c r="AC163" i="6"/>
  <c r="AC162" i="6"/>
  <c r="AC161" i="6"/>
  <c r="AC159" i="6"/>
  <c r="AC158" i="6"/>
  <c r="AC157" i="6"/>
  <c r="AC156" i="6"/>
  <c r="AC155" i="6"/>
  <c r="AC154" i="6"/>
  <c r="AC153" i="6"/>
  <c r="AC152" i="6"/>
  <c r="AC151" i="6"/>
  <c r="AC150" i="6"/>
  <c r="AC148" i="6"/>
  <c r="AC146" i="6"/>
  <c r="AC145" i="6"/>
  <c r="AC144" i="6"/>
  <c r="AC143" i="6"/>
  <c r="AC141" i="6"/>
  <c r="AC140" i="6"/>
  <c r="AC139" i="6"/>
  <c r="AC138" i="6"/>
  <c r="AC137" i="6"/>
  <c r="AC136" i="6"/>
  <c r="AC135" i="6"/>
  <c r="AC134" i="6"/>
  <c r="AC133" i="6"/>
  <c r="AC132" i="6"/>
  <c r="AC130" i="6"/>
  <c r="AC128" i="6"/>
  <c r="AC127" i="6"/>
  <c r="AC126" i="6"/>
  <c r="AC125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3" i="6"/>
  <c r="AC101" i="6"/>
  <c r="AC100" i="6"/>
  <c r="AC99" i="6"/>
  <c r="AC98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7" i="6"/>
  <c r="AC65" i="6"/>
  <c r="AC64" i="6"/>
  <c r="AC63" i="6"/>
  <c r="AC62" i="6"/>
  <c r="AC60" i="6"/>
  <c r="AC59" i="6"/>
  <c r="AC58" i="6"/>
  <c r="AC57" i="6"/>
  <c r="AC56" i="6"/>
  <c r="AC55" i="6"/>
  <c r="AC54" i="6"/>
  <c r="AC53" i="6"/>
  <c r="AC52" i="6"/>
  <c r="AC51" i="6"/>
  <c r="AC49" i="6"/>
  <c r="AC47" i="6"/>
  <c r="AC46" i="6"/>
  <c r="AC45" i="6"/>
  <c r="AC44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2" i="6"/>
  <c r="AC20" i="6"/>
  <c r="AC19" i="6"/>
  <c r="AC18" i="6"/>
  <c r="AC17" i="6"/>
  <c r="AH36" i="33" l="1"/>
  <c r="AH20" i="33"/>
  <c r="AH28" i="33"/>
  <c r="AH45" i="33"/>
  <c r="AH54" i="33"/>
  <c r="AQ53" i="33"/>
  <c r="AH24" i="33" s="1"/>
  <c r="AH22" i="33" s="1"/>
  <c r="AP53" i="33"/>
  <c r="AH41" i="33" s="1"/>
  <c r="AQ52" i="33"/>
  <c r="AQ51" i="33"/>
  <c r="AP52" i="33"/>
  <c r="AP51" i="33"/>
  <c r="AH16" i="33" l="1"/>
  <c r="AH14" i="33" s="1"/>
  <c r="AH40" i="33"/>
  <c r="AH39" i="33"/>
  <c r="AH23" i="33"/>
  <c r="AH32" i="33"/>
  <c r="AH30" i="33" s="1"/>
  <c r="AH15" i="33" l="1"/>
  <c r="AH31" i="33"/>
  <c r="D16" i="137"/>
  <c r="AD11" i="33" l="1"/>
  <c r="AQ55" i="33"/>
  <c r="AP55" i="33"/>
  <c r="AR54" i="33"/>
  <c r="AR53" i="33"/>
  <c r="AR52" i="33"/>
  <c r="AR51" i="33"/>
  <c r="BF23" i="33"/>
  <c r="P18" i="33" s="1"/>
  <c r="BY16" i="33"/>
  <c r="AY23" i="33"/>
  <c r="V41" i="33" s="1"/>
  <c r="V39" i="33" s="1"/>
  <c r="V40" i="33" s="1"/>
  <c r="AP72" i="594"/>
  <c r="AP6" i="594" s="1"/>
  <c r="AR55" i="33" l="1"/>
  <c r="R16" i="42"/>
  <c r="BB16" i="42"/>
  <c r="R18" i="42" s="1"/>
  <c r="R17" i="42" l="1"/>
  <c r="J147" i="4"/>
  <c r="J187" i="4" s="1"/>
  <c r="R147" i="4"/>
  <c r="R187" i="4" s="1"/>
  <c r="M148" i="4"/>
  <c r="M188" i="4" s="1"/>
  <c r="N148" i="4"/>
  <c r="N188" i="4" s="1"/>
  <c r="L147" i="4"/>
  <c r="L187" i="4" s="1"/>
  <c r="P148" i="4"/>
  <c r="P188" i="4" s="1"/>
  <c r="I147" i="4"/>
  <c r="I187" i="4" s="1"/>
  <c r="Q147" i="4"/>
  <c r="Q187" i="4" s="1"/>
  <c r="L148" i="4"/>
  <c r="L188" i="4" s="1"/>
  <c r="T148" i="4"/>
  <c r="T188" i="4" s="1"/>
  <c r="S147" i="4"/>
  <c r="S187" i="4" s="1"/>
  <c r="O148" i="4"/>
  <c r="O188" i="4" s="1"/>
  <c r="M147" i="4"/>
  <c r="M187" i="4" s="1"/>
  <c r="N147" i="4"/>
  <c r="N187" i="4" s="1"/>
  <c r="I148" i="4"/>
  <c r="I188" i="4" s="1"/>
  <c r="Q148" i="4"/>
  <c r="Q188" i="4" s="1"/>
  <c r="O147" i="4"/>
  <c r="O187" i="4" s="1"/>
  <c r="J148" i="4"/>
  <c r="J188" i="4" s="1"/>
  <c r="R148" i="4"/>
  <c r="R188" i="4" s="1"/>
  <c r="K147" i="4"/>
  <c r="K187" i="4" s="1"/>
  <c r="T147" i="4"/>
  <c r="T187" i="4" s="1"/>
  <c r="H148" i="4"/>
  <c r="H188" i="4" s="1"/>
  <c r="H147" i="4"/>
  <c r="P147" i="4"/>
  <c r="P187" i="4" s="1"/>
  <c r="K148" i="4"/>
  <c r="K188" i="4" s="1"/>
  <c r="S148" i="4"/>
  <c r="S188" i="4" s="1"/>
  <c r="V21" i="4"/>
  <c r="Z21" i="4" s="1"/>
  <c r="V148" i="4" l="1"/>
  <c r="V147" i="4"/>
  <c r="T18" i="12" l="1"/>
  <c r="S18" i="12"/>
  <c r="R18" i="12"/>
  <c r="Q18" i="12"/>
  <c r="P18" i="12"/>
  <c r="O18" i="12"/>
  <c r="N18" i="12"/>
  <c r="L18" i="12" l="1"/>
  <c r="R13" i="42"/>
  <c r="W13" i="42" l="1"/>
  <c r="AG27" i="33" l="1"/>
  <c r="N22" i="33" s="1"/>
  <c r="AF28" i="33"/>
  <c r="AA251" i="4" l="1"/>
  <c r="Z251" i="4" l="1"/>
  <c r="AF6" i="33"/>
  <c r="AF7" i="33" s="1"/>
  <c r="AG35" i="33" l="1"/>
  <c r="AG19" i="33"/>
  <c r="AG50" i="33"/>
  <c r="AG26" i="33" s="1"/>
  <c r="AG28" i="33" l="1"/>
  <c r="N21" i="33"/>
  <c r="AG16" i="33"/>
  <c r="AG14" i="33" s="1"/>
  <c r="AG24" i="33"/>
  <c r="AG23" i="33" s="1"/>
  <c r="AG32" i="33"/>
  <c r="AG31" i="33" s="1"/>
  <c r="AG41" i="33"/>
  <c r="AG39" i="33" s="1"/>
  <c r="AG20" i="33"/>
  <c r="AG36" i="33"/>
  <c r="AG45" i="33"/>
  <c r="AG54" i="33"/>
  <c r="AF16" i="33"/>
  <c r="AQ46" i="33"/>
  <c r="AP46" i="33"/>
  <c r="AR45" i="33"/>
  <c r="AR44" i="33"/>
  <c r="AR43" i="33"/>
  <c r="AR42" i="33"/>
  <c r="AF19" i="33"/>
  <c r="AD16" i="33"/>
  <c r="AD14" i="33" s="1"/>
  <c r="AE16" i="33"/>
  <c r="AE14" i="33" s="1"/>
  <c r="AD20" i="33"/>
  <c r="AE20" i="33"/>
  <c r="AD24" i="33"/>
  <c r="AE24" i="33"/>
  <c r="AD27" i="33"/>
  <c r="AD32" i="33"/>
  <c r="AD31" i="33" s="1"/>
  <c r="AE32" i="33"/>
  <c r="AE30" i="33" s="1"/>
  <c r="AD34" i="33"/>
  <c r="AD36" i="33" s="1"/>
  <c r="AE35" i="33"/>
  <c r="AE36" i="33"/>
  <c r="AD41" i="33"/>
  <c r="AE41" i="33"/>
  <c r="AE49" i="33"/>
  <c r="AE27" i="33" s="1"/>
  <c r="AD50" i="33"/>
  <c r="AD26" i="33" s="1"/>
  <c r="AE52" i="33"/>
  <c r="AD54" i="33"/>
  <c r="AD44" i="33" s="1"/>
  <c r="AG30" i="33" l="1"/>
  <c r="AG15" i="33"/>
  <c r="AD30" i="33"/>
  <c r="AD22" i="33"/>
  <c r="AG22" i="33"/>
  <c r="AG40" i="33"/>
  <c r="AR46" i="33"/>
  <c r="AE50" i="33"/>
  <c r="AD28" i="33"/>
  <c r="AD40" i="33"/>
  <c r="AE31" i="33"/>
  <c r="AD43" i="33"/>
  <c r="AD39" i="33" s="1"/>
  <c r="AE15" i="33"/>
  <c r="AD23" i="33"/>
  <c r="AD15" i="33"/>
  <c r="AE54" i="33"/>
  <c r="AE44" i="33" s="1"/>
  <c r="AE40" i="33" s="1"/>
  <c r="AE23" i="33"/>
  <c r="S33" i="595"/>
  <c r="Q34" i="595"/>
  <c r="AE26" i="33" l="1"/>
  <c r="AE22" i="33" s="1"/>
  <c r="AE43" i="33"/>
  <c r="AD45" i="33"/>
  <c r="AE28" i="33" l="1"/>
  <c r="AE39" i="33"/>
  <c r="AE45" i="33"/>
  <c r="W67" i="52" l="1"/>
  <c r="X54" i="52" s="1"/>
  <c r="AC67" i="52"/>
  <c r="AD54" i="52" s="1"/>
  <c r="Z67" i="52"/>
  <c r="AA62" i="52" s="1"/>
  <c r="W31" i="52"/>
  <c r="X26" i="52" s="1"/>
  <c r="X60" i="52" l="1"/>
  <c r="X56" i="52"/>
  <c r="X58" i="52"/>
  <c r="X64" i="52"/>
  <c r="X50" i="52"/>
  <c r="AD56" i="52"/>
  <c r="X62" i="52"/>
  <c r="X52" i="52"/>
  <c r="AD58" i="52"/>
  <c r="AD60" i="52"/>
  <c r="AD62" i="52"/>
  <c r="AD64" i="52"/>
  <c r="AD50" i="52"/>
  <c r="AD52" i="52"/>
  <c r="AA50" i="52"/>
  <c r="AA52" i="52"/>
  <c r="AA54" i="52"/>
  <c r="AA60" i="52"/>
  <c r="AA64" i="52"/>
  <c r="AA56" i="52"/>
  <c r="AA58" i="52"/>
  <c r="X28" i="52"/>
  <c r="X16" i="52"/>
  <c r="X18" i="52"/>
  <c r="X20" i="52"/>
  <c r="X22" i="52"/>
  <c r="X24" i="52"/>
  <c r="AF64" i="52" l="1"/>
  <c r="X67" i="52"/>
  <c r="X31" i="52"/>
  <c r="AB17" i="595"/>
  <c r="AK10" i="595"/>
  <c r="P24" i="20" l="1"/>
  <c r="P27" i="20" s="1"/>
  <c r="P29" i="20" s="1"/>
  <c r="V203" i="4" l="1"/>
  <c r="W14" i="42" l="1"/>
  <c r="F21" i="3" l="1"/>
  <c r="F30" i="3"/>
  <c r="F39" i="3"/>
  <c r="F48" i="3"/>
  <c r="F57" i="3"/>
  <c r="F66" i="3"/>
  <c r="F75" i="3"/>
  <c r="F84" i="3"/>
  <c r="F93" i="3"/>
  <c r="F102" i="3"/>
  <c r="F111" i="3"/>
  <c r="F120" i="3"/>
  <c r="F129" i="3"/>
  <c r="F138" i="3"/>
  <c r="F147" i="3"/>
  <c r="F156" i="3"/>
  <c r="F165" i="3"/>
  <c r="F174" i="3"/>
  <c r="F183" i="3"/>
  <c r="F192" i="3"/>
  <c r="F200" i="3"/>
  <c r="F215" i="3"/>
  <c r="F224" i="3"/>
  <c r="F229" i="3"/>
  <c r="F230" i="3"/>
  <c r="F231" i="3"/>
  <c r="F234" i="3"/>
  <c r="F236" i="3"/>
  <c r="F244" i="3"/>
  <c r="F253" i="3"/>
  <c r="F262" i="3"/>
  <c r="F271" i="3"/>
  <c r="F280" i="3"/>
  <c r="F289" i="3"/>
  <c r="F298" i="3"/>
  <c r="F307" i="3"/>
  <c r="F316" i="3"/>
  <c r="F339" i="3"/>
  <c r="F348" i="3"/>
  <c r="F353" i="3"/>
  <c r="F354" i="3"/>
  <c r="F357" i="3"/>
  <c r="F358" i="3"/>
  <c r="F359" i="3"/>
  <c r="F382" i="3"/>
  <c r="F387" i="3"/>
  <c r="F392" i="3"/>
  <c r="F397" i="3"/>
  <c r="F402" i="3"/>
  <c r="F407" i="3"/>
  <c r="F412" i="3"/>
  <c r="F417" i="3"/>
  <c r="F422" i="3"/>
  <c r="F427" i="3"/>
  <c r="F432" i="3"/>
  <c r="F437" i="3"/>
  <c r="F442" i="3"/>
  <c r="F447" i="3"/>
  <c r="F452" i="3"/>
  <c r="F457" i="3"/>
  <c r="F462" i="3"/>
  <c r="F467" i="3"/>
  <c r="F472" i="3"/>
  <c r="F477" i="3"/>
  <c r="F482" i="3"/>
  <c r="F487" i="3"/>
  <c r="F492" i="3"/>
  <c r="F497" i="3"/>
  <c r="F501" i="3"/>
  <c r="F502" i="3"/>
  <c r="F503" i="3"/>
  <c r="F505" i="3"/>
  <c r="F506" i="3"/>
  <c r="F507" i="3"/>
  <c r="F523" i="3"/>
  <c r="F528" i="3"/>
  <c r="F533" i="3"/>
  <c r="F538" i="3"/>
  <c r="F543" i="3"/>
  <c r="F548" i="3"/>
  <c r="F553" i="3"/>
  <c r="F558" i="3"/>
  <c r="F563" i="3"/>
  <c r="F568" i="3"/>
  <c r="F573" i="3"/>
  <c r="F578" i="3"/>
  <c r="F583" i="3"/>
  <c r="F588" i="3"/>
  <c r="F593" i="3"/>
  <c r="F598" i="3"/>
  <c r="F603" i="3"/>
  <c r="F608" i="3"/>
  <c r="F613" i="3"/>
  <c r="F618" i="3"/>
  <c r="F623" i="3"/>
  <c r="F628" i="3"/>
  <c r="F631" i="3" s="1"/>
  <c r="F632" i="3"/>
  <c r="F633" i="3"/>
  <c r="F634" i="3"/>
  <c r="F649" i="3"/>
  <c r="F656" i="3"/>
  <c r="F661" i="3"/>
  <c r="F666" i="3"/>
  <c r="F671" i="3"/>
  <c r="F676" i="3"/>
  <c r="F681" i="3"/>
  <c r="F686" i="3"/>
  <c r="F691" i="3"/>
  <c r="F696" i="3"/>
  <c r="F701" i="3"/>
  <c r="F706" i="3"/>
  <c r="F711" i="3"/>
  <c r="F716" i="3"/>
  <c r="F721" i="3"/>
  <c r="F726" i="3"/>
  <c r="F731" i="3"/>
  <c r="F736" i="3"/>
  <c r="F741" i="3"/>
  <c r="F746" i="3"/>
  <c r="F749" i="3"/>
  <c r="F750" i="3"/>
  <c r="F759" i="3"/>
  <c r="F764" i="3"/>
  <c r="F769" i="3"/>
  <c r="F774" i="3"/>
  <c r="F779" i="3"/>
  <c r="F799" i="3"/>
  <c r="F812" i="3"/>
  <c r="F817" i="3"/>
  <c r="F822" i="3"/>
  <c r="F827" i="3"/>
  <c r="F830" i="3"/>
  <c r="F831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86" i="3"/>
  <c r="F887" i="3"/>
  <c r="F904" i="3"/>
  <c r="F911" i="3"/>
  <c r="F921" i="3"/>
  <c r="G53" i="5"/>
  <c r="G54" i="5"/>
  <c r="G66" i="5"/>
  <c r="H66" i="5"/>
  <c r="F355" i="3" l="1"/>
  <c r="F752" i="3"/>
  <c r="F509" i="3"/>
  <c r="F203" i="3"/>
  <c r="F913" i="3"/>
  <c r="F889" i="3"/>
  <c r="F833" i="3"/>
  <c r="F232" i="3"/>
  <c r="M21" i="548" l="1"/>
  <c r="M20" i="548"/>
  <c r="M19" i="548"/>
  <c r="M18" i="548"/>
  <c r="M17" i="548"/>
  <c r="M16" i="548"/>
  <c r="M15" i="548"/>
  <c r="M14" i="548"/>
  <c r="M13" i="548"/>
  <c r="M12" i="548"/>
  <c r="M11" i="548"/>
  <c r="M10" i="548"/>
  <c r="L21" i="548"/>
  <c r="L20" i="548"/>
  <c r="L19" i="548"/>
  <c r="L18" i="548"/>
  <c r="L17" i="548"/>
  <c r="L16" i="548"/>
  <c r="L15" i="548"/>
  <c r="L14" i="548"/>
  <c r="L13" i="548"/>
  <c r="L12" i="548"/>
  <c r="L11" i="548"/>
  <c r="L10" i="548"/>
  <c r="X27" i="33"/>
  <c r="L22" i="548" l="1"/>
  <c r="I7" i="582"/>
  <c r="I8" i="582" s="1"/>
  <c r="I9" i="582" s="1"/>
  <c r="I10" i="582" s="1"/>
  <c r="I11" i="582" s="1"/>
  <c r="I12" i="582" s="1"/>
  <c r="I13" i="582" s="1"/>
  <c r="I14" i="582" s="1"/>
  <c r="I15" i="582" s="1"/>
  <c r="I16" i="582" s="1"/>
  <c r="I17" i="582" s="1"/>
  <c r="I18" i="582" s="1"/>
  <c r="I19" i="582" s="1"/>
  <c r="I20" i="582" s="1"/>
  <c r="I21" i="582" s="1"/>
  <c r="I22" i="582" s="1"/>
  <c r="I23" i="582" s="1"/>
  <c r="I24" i="582" s="1"/>
  <c r="I25" i="582" s="1"/>
  <c r="I26" i="582" s="1"/>
  <c r="I27" i="582" s="1"/>
  <c r="I28" i="582" s="1"/>
  <c r="I29" i="582" s="1"/>
  <c r="I30" i="582" s="1"/>
  <c r="I31" i="582" s="1"/>
  <c r="I32" i="582" s="1"/>
  <c r="I33" i="582" s="1"/>
  <c r="I34" i="582" s="1"/>
  <c r="I35" i="582" s="1"/>
  <c r="I36" i="582" s="1"/>
  <c r="I37" i="582" s="1"/>
  <c r="I38" i="582" s="1"/>
  <c r="I39" i="582" s="1"/>
  <c r="I40" i="582" s="1"/>
  <c r="I41" i="582" s="1"/>
  <c r="I42" i="582" s="1"/>
  <c r="I43" i="582" s="1"/>
  <c r="I44" i="582" s="1"/>
  <c r="I45" i="582" s="1"/>
  <c r="I46" i="582" s="1"/>
  <c r="I47" i="582" s="1"/>
  <c r="I48" i="582" s="1"/>
  <c r="I49" i="582" s="1"/>
  <c r="AF18" i="33" l="1"/>
  <c r="AF35" i="33"/>
  <c r="AF34" i="33" s="1"/>
  <c r="AF50" i="33"/>
  <c r="C15" i="582" l="1"/>
  <c r="AW4" i="594"/>
  <c r="O17" i="594" l="1"/>
  <c r="W11" i="594"/>
  <c r="AF41" i="33"/>
  <c r="AF39" i="33" s="1"/>
  <c r="AI39" i="33" s="1"/>
  <c r="AF36" i="33"/>
  <c r="AF32" i="33"/>
  <c r="AF30" i="33" s="1"/>
  <c r="AI30" i="33" s="1"/>
  <c r="AF24" i="33"/>
  <c r="AF23" i="33" l="1"/>
  <c r="AI23" i="33" s="1"/>
  <c r="AF22" i="33"/>
  <c r="AI22" i="33" s="1"/>
  <c r="AF40" i="33"/>
  <c r="AI40" i="33" s="1"/>
  <c r="AF31" i="33"/>
  <c r="AI31" i="33" s="1"/>
  <c r="AF45" i="33"/>
  <c r="AF54" i="33"/>
  <c r="AF20" i="33"/>
  <c r="AF15" i="33"/>
  <c r="AI15" i="33" s="1"/>
  <c r="AQ37" i="33"/>
  <c r="AP37" i="33"/>
  <c r="AR36" i="33"/>
  <c r="AR35" i="33"/>
  <c r="AR34" i="33"/>
  <c r="AR33" i="33"/>
  <c r="AF14" i="33" l="1"/>
  <c r="AI14" i="33" s="1"/>
  <c r="AR37" i="33"/>
  <c r="AA132" i="4"/>
  <c r="AA131" i="4"/>
  <c r="AA203" i="4" l="1"/>
  <c r="AA204" i="4" s="1"/>
  <c r="H137" i="14" l="1"/>
  <c r="H140" i="14"/>
  <c r="H142" i="14"/>
  <c r="H141" i="14"/>
  <c r="H144" i="14"/>
  <c r="H136" i="14"/>
  <c r="H138" i="14"/>
  <c r="H146" i="14" l="1"/>
  <c r="M22" i="548"/>
  <c r="E13" i="548" s="1"/>
  <c r="E12" i="548"/>
  <c r="G197" i="3" s="1"/>
  <c r="S197" i="3" s="1"/>
  <c r="N21" i="548"/>
  <c r="N20" i="548"/>
  <c r="N19" i="548"/>
  <c r="N18" i="548"/>
  <c r="N17" i="548"/>
  <c r="N16" i="548"/>
  <c r="N15" i="548"/>
  <c r="N14" i="548"/>
  <c r="N13" i="548"/>
  <c r="N12" i="548"/>
  <c r="N11" i="548"/>
  <c r="N10" i="548"/>
  <c r="N22" i="548" l="1"/>
  <c r="V1108" i="3"/>
  <c r="V1109" i="3"/>
  <c r="V1115" i="3"/>
  <c r="V1116" i="3"/>
  <c r="V1117" i="3"/>
  <c r="U354" i="3"/>
  <c r="K56" i="2" l="1"/>
  <c r="J1135" i="6"/>
  <c r="H1134" i="6"/>
  <c r="H55" i="2" s="1"/>
  <c r="U1133" i="6"/>
  <c r="R1133" i="6"/>
  <c r="U1132" i="6"/>
  <c r="R1132" i="6"/>
  <c r="U1131" i="6"/>
  <c r="R1131" i="6"/>
  <c r="T1130" i="6"/>
  <c r="R1130" i="6"/>
  <c r="J1129" i="6"/>
  <c r="E1129" i="6"/>
  <c r="J1114" i="3"/>
  <c r="J57" i="5" s="1"/>
  <c r="R1114" i="3"/>
  <c r="R57" i="5" s="1"/>
  <c r="Q1114" i="3"/>
  <c r="Q57" i="5" s="1"/>
  <c r="P1114" i="3"/>
  <c r="P57" i="5" s="1"/>
  <c r="O1114" i="3"/>
  <c r="O57" i="5" s="1"/>
  <c r="N1114" i="3"/>
  <c r="N57" i="5" s="1"/>
  <c r="M1114" i="3"/>
  <c r="M57" i="5" s="1"/>
  <c r="L1114" i="3"/>
  <c r="L57" i="5" s="1"/>
  <c r="H1114" i="3"/>
  <c r="H57" i="5" s="1"/>
  <c r="AB171" i="4"/>
  <c r="AL181" i="4"/>
  <c r="AO181" i="4" s="1"/>
  <c r="AL180" i="4"/>
  <c r="AO180" i="4" s="1"/>
  <c r="AL179" i="4"/>
  <c r="AO179" i="4" s="1"/>
  <c r="AO183" i="4"/>
  <c r="AO177" i="4"/>
  <c r="F1133" i="6" l="1"/>
  <c r="F1131" i="6"/>
  <c r="F1132" i="6"/>
  <c r="R1134" i="6"/>
  <c r="Y179" i="4"/>
  <c r="AB179" i="4"/>
  <c r="Y180" i="4"/>
  <c r="AB180" i="4"/>
  <c r="Y181" i="4"/>
  <c r="AB181" i="4"/>
  <c r="V179" i="4"/>
  <c r="V180" i="4"/>
  <c r="V181" i="4"/>
  <c r="Z180" i="4" l="1"/>
  <c r="AA180" i="4"/>
  <c r="Z181" i="4"/>
  <c r="AA181" i="4"/>
  <c r="Z179" i="4"/>
  <c r="AA179" i="4"/>
  <c r="F1130" i="6"/>
  <c r="F1134" i="6" s="1"/>
  <c r="F55" i="2" s="1"/>
  <c r="V182" i="4"/>
  <c r="AB182" i="4"/>
  <c r="Y182" i="4"/>
  <c r="L200" i="3"/>
  <c r="Z182" i="4" l="1"/>
  <c r="AA182" i="4"/>
  <c r="AL178" i="4"/>
  <c r="AB178" i="4"/>
  <c r="Y178" i="4"/>
  <c r="V178" i="4"/>
  <c r="AC31" i="52"/>
  <c r="Z31" i="52"/>
  <c r="E13" i="52"/>
  <c r="AF54" i="52" l="1"/>
  <c r="AA28" i="52"/>
  <c r="AA22" i="52"/>
  <c r="AD28" i="52"/>
  <c r="AD22" i="52"/>
  <c r="AA16" i="52"/>
  <c r="AA26" i="52"/>
  <c r="AD24" i="52"/>
  <c r="AD26" i="52"/>
  <c r="Z178" i="4"/>
  <c r="AA178" i="4"/>
  <c r="AO178" i="4"/>
  <c r="AL182" i="4"/>
  <c r="AO182" i="4" s="1"/>
  <c r="AA18" i="52"/>
  <c r="AA24" i="52"/>
  <c r="AA20" i="52"/>
  <c r="AD16" i="52"/>
  <c r="AD20" i="52"/>
  <c r="AD18" i="52"/>
  <c r="AR25" i="33"/>
  <c r="AR26" i="33"/>
  <c r="AR27" i="33"/>
  <c r="AR24" i="33"/>
  <c r="AQ28" i="33"/>
  <c r="AP28" i="33"/>
  <c r="AD67" i="52" l="1"/>
  <c r="AF56" i="52"/>
  <c r="AA67" i="52"/>
  <c r="AF50" i="52"/>
  <c r="AF16" i="52"/>
  <c r="AF62" i="52"/>
  <c r="AF60" i="52"/>
  <c r="AF52" i="52"/>
  <c r="AF58" i="52"/>
  <c r="AF26" i="52"/>
  <c r="AF20" i="52"/>
  <c r="AF24" i="52"/>
  <c r="AF22" i="52"/>
  <c r="AF18" i="52"/>
  <c r="AF28" i="52"/>
  <c r="AA31" i="52"/>
  <c r="AD31" i="52"/>
  <c r="AR28" i="33"/>
  <c r="AF67" i="52" l="1"/>
  <c r="AF31" i="52"/>
  <c r="V22" i="595" l="1"/>
  <c r="AP4" i="594" l="1"/>
  <c r="W15" i="42" l="1"/>
  <c r="R14" i="42"/>
  <c r="R15" i="42"/>
  <c r="AI16" i="33" l="1"/>
  <c r="AI19" i="33" s="1"/>
  <c r="F933" i="6"/>
  <c r="F932" i="6"/>
  <c r="F931" i="6"/>
  <c r="F930" i="6"/>
  <c r="F124" i="139"/>
  <c r="AI18" i="33" l="1"/>
  <c r="T277" i="6"/>
  <c r="A2" i="137" l="1"/>
  <c r="G7" i="137"/>
  <c r="G8" i="137" s="1"/>
  <c r="G9" i="137" s="1"/>
  <c r="G10" i="137" s="1"/>
  <c r="G11" i="137" s="1"/>
  <c r="G12" i="137" s="1"/>
  <c r="G13" i="137" s="1"/>
  <c r="G14" i="137" s="1"/>
  <c r="G15" i="137" s="1"/>
  <c r="G16" i="137" s="1"/>
  <c r="G17" i="137" s="1"/>
  <c r="G18" i="137" s="1"/>
  <c r="G19" i="137" s="1"/>
  <c r="G20" i="137" s="1"/>
  <c r="G21" i="137" s="1"/>
  <c r="G22" i="137" s="1"/>
  <c r="G23" i="137" s="1"/>
  <c r="G24" i="137" s="1"/>
  <c r="G25" i="137" s="1"/>
  <c r="G26" i="137" s="1"/>
  <c r="G27" i="137" s="1"/>
  <c r="AQ8" i="33" l="1"/>
  <c r="AO17" i="4" l="1"/>
  <c r="AO19" i="4"/>
  <c r="AO20" i="4"/>
  <c r="AO28" i="4"/>
  <c r="AO30" i="4"/>
  <c r="AO31" i="4"/>
  <c r="AO32" i="4"/>
  <c r="AO36" i="4"/>
  <c r="AO37" i="4"/>
  <c r="AO41" i="4"/>
  <c r="AO42" i="4"/>
  <c r="AO43" i="4"/>
  <c r="AO44" i="4"/>
  <c r="AO45" i="4"/>
  <c r="AO47" i="4"/>
  <c r="AO48" i="4"/>
  <c r="AO49" i="4"/>
  <c r="AO52" i="4"/>
  <c r="AO53" i="4"/>
  <c r="AO57" i="4"/>
  <c r="AO58" i="4"/>
  <c r="AO62" i="4"/>
  <c r="AO63" i="4"/>
  <c r="AO67" i="4"/>
  <c r="AO68" i="4"/>
  <c r="AO72" i="4"/>
  <c r="AO73" i="4"/>
  <c r="AO77" i="4"/>
  <c r="AO78" i="4"/>
  <c r="AO82" i="4"/>
  <c r="AO84" i="4"/>
  <c r="AO85" i="4"/>
  <c r="AO86" i="4"/>
  <c r="AO90" i="4"/>
  <c r="AO91" i="4"/>
  <c r="AO96" i="4"/>
  <c r="AO97" i="4"/>
  <c r="AO102" i="4"/>
  <c r="AO103" i="4"/>
  <c r="AO108" i="4"/>
  <c r="AO109" i="4"/>
  <c r="AO113" i="4"/>
  <c r="AO114" i="4"/>
  <c r="AO119" i="4"/>
  <c r="AO120" i="4"/>
  <c r="AO125" i="4"/>
  <c r="AO126" i="4"/>
  <c r="AO131" i="4"/>
  <c r="AO132" i="4"/>
  <c r="AO136" i="4"/>
  <c r="AO137" i="4"/>
  <c r="AO142" i="4"/>
  <c r="AO144" i="4"/>
  <c r="AO145" i="4"/>
  <c r="AO151" i="4"/>
  <c r="AO152" i="4"/>
  <c r="AO155" i="4"/>
  <c r="AO156" i="4"/>
  <c r="AO162" i="4"/>
  <c r="AO163" i="4"/>
  <c r="AO169" i="4"/>
  <c r="AO170" i="4"/>
  <c r="AO176" i="4"/>
  <c r="AO184" i="4"/>
  <c r="AO185" i="4"/>
  <c r="AO190" i="4"/>
  <c r="AO191" i="4"/>
  <c r="AO193" i="4"/>
  <c r="AO194" i="4"/>
  <c r="AO195" i="4"/>
  <c r="AO196" i="4"/>
  <c r="AO197" i="4"/>
  <c r="AO201" i="4"/>
  <c r="AO202" i="4"/>
  <c r="AO205" i="4"/>
  <c r="AO206" i="4"/>
  <c r="AO209" i="4"/>
  <c r="AO210" i="4"/>
  <c r="AO216" i="4"/>
  <c r="AO217" i="4"/>
  <c r="AO224" i="4"/>
  <c r="AO228" i="4"/>
  <c r="AO229" i="4"/>
  <c r="AO233" i="4"/>
  <c r="AO234" i="4"/>
  <c r="AO237" i="4"/>
  <c r="AO238" i="4"/>
  <c r="AO244" i="4"/>
  <c r="AO245" i="4"/>
  <c r="AO251" i="4"/>
  <c r="AO252" i="4"/>
  <c r="AO258" i="4"/>
  <c r="AO259" i="4"/>
  <c r="AO262" i="4"/>
  <c r="AO263" i="4"/>
  <c r="AO268" i="4"/>
  <c r="AO269" i="4"/>
  <c r="AO271" i="4"/>
  <c r="AO272" i="4"/>
  <c r="AO278" i="4"/>
  <c r="AI41" i="33" l="1"/>
  <c r="T22" i="595"/>
  <c r="R1199" i="3" l="1"/>
  <c r="R1198" i="3"/>
  <c r="R1197" i="3"/>
  <c r="R1196" i="3"/>
  <c r="R1193" i="3"/>
  <c r="R1189" i="3"/>
  <c r="R1182" i="3"/>
  <c r="R69" i="5" s="1"/>
  <c r="R1175" i="3"/>
  <c r="R68" i="5" s="1"/>
  <c r="R1168" i="3"/>
  <c r="R67" i="5" s="1"/>
  <c r="R1159" i="3"/>
  <c r="R65" i="5" s="1"/>
  <c r="R1154" i="3"/>
  <c r="R1147" i="3"/>
  <c r="R64" i="5" s="1"/>
  <c r="R1140" i="3"/>
  <c r="R63" i="5" s="1"/>
  <c r="R1136" i="3"/>
  <c r="R62" i="5" s="1"/>
  <c r="R1132" i="3"/>
  <c r="R61" i="5" s="1"/>
  <c r="R1107" i="3"/>
  <c r="R56" i="5" s="1"/>
  <c r="R1100" i="3"/>
  <c r="R55" i="5" s="1"/>
  <c r="R1093" i="3"/>
  <c r="R54" i="5" s="1"/>
  <c r="R1086" i="3"/>
  <c r="R53" i="5" s="1"/>
  <c r="R802" i="3"/>
  <c r="R794" i="3"/>
  <c r="R789" i="3"/>
  <c r="R634" i="3"/>
  <c r="R633" i="3"/>
  <c r="R25" i="5" s="1"/>
  <c r="R26" i="5" s="1"/>
  <c r="R632" i="3"/>
  <c r="R628" i="3"/>
  <c r="R631" i="3" s="1"/>
  <c r="R24" i="5" s="1"/>
  <c r="R623" i="3"/>
  <c r="R618" i="3"/>
  <c r="R359" i="3"/>
  <c r="R358" i="3"/>
  <c r="R357" i="3"/>
  <c r="R354" i="3"/>
  <c r="R353" i="3"/>
  <c r="R348" i="3"/>
  <c r="R339" i="3"/>
  <c r="R316" i="3"/>
  <c r="R307" i="3"/>
  <c r="R298" i="3"/>
  <c r="R289" i="3"/>
  <c r="R280" i="3"/>
  <c r="R271" i="3"/>
  <c r="R262" i="3"/>
  <c r="R253" i="3"/>
  <c r="R244" i="3"/>
  <c r="R236" i="3"/>
  <c r="R234" i="3"/>
  <c r="R231" i="3"/>
  <c r="R230" i="3"/>
  <c r="R229" i="3"/>
  <c r="R224" i="3"/>
  <c r="R215" i="3"/>
  <c r="R200" i="3"/>
  <c r="R192" i="3"/>
  <c r="R183" i="3"/>
  <c r="R174" i="3"/>
  <c r="R165" i="3"/>
  <c r="R156" i="3"/>
  <c r="R147" i="3"/>
  <c r="R138" i="3"/>
  <c r="R129" i="3"/>
  <c r="R120" i="3"/>
  <c r="R111" i="3"/>
  <c r="R102" i="3"/>
  <c r="R93" i="3"/>
  <c r="R84" i="3"/>
  <c r="R75" i="3"/>
  <c r="R66" i="3"/>
  <c r="R57" i="3"/>
  <c r="R48" i="3"/>
  <c r="R39" i="3"/>
  <c r="R30" i="3"/>
  <c r="R21" i="3"/>
  <c r="R232" i="3" l="1"/>
  <c r="R355" i="3"/>
  <c r="R203" i="3"/>
  <c r="R1202" i="3"/>
  <c r="B3" i="647" l="1"/>
  <c r="J21" i="3"/>
  <c r="J30" i="3"/>
  <c r="J39" i="3"/>
  <c r="J48" i="3"/>
  <c r="J57" i="3"/>
  <c r="J66" i="3"/>
  <c r="J75" i="3"/>
  <c r="J84" i="3"/>
  <c r="J93" i="3"/>
  <c r="J102" i="3"/>
  <c r="J111" i="3"/>
  <c r="J120" i="3"/>
  <c r="J129" i="3"/>
  <c r="J138" i="3"/>
  <c r="J147" i="3"/>
  <c r="J156" i="3"/>
  <c r="J165" i="3"/>
  <c r="J174" i="3"/>
  <c r="J183" i="3"/>
  <c r="J192" i="3"/>
  <c r="J200" i="3"/>
  <c r="J215" i="3"/>
  <c r="J224" i="3"/>
  <c r="J229" i="3"/>
  <c r="J230" i="3"/>
  <c r="J231" i="3"/>
  <c r="J234" i="3"/>
  <c r="J236" i="3"/>
  <c r="J244" i="3"/>
  <c r="J253" i="3"/>
  <c r="J262" i="3"/>
  <c r="J271" i="3"/>
  <c r="J280" i="3"/>
  <c r="J289" i="3"/>
  <c r="J298" i="3"/>
  <c r="J307" i="3"/>
  <c r="J316" i="3"/>
  <c r="J339" i="3"/>
  <c r="J348" i="3"/>
  <c r="J353" i="3"/>
  <c r="J354" i="3"/>
  <c r="J357" i="3"/>
  <c r="J358" i="3"/>
  <c r="J359" i="3"/>
  <c r="J618" i="3"/>
  <c r="J623" i="3"/>
  <c r="J628" i="3"/>
  <c r="J631" i="3" s="1"/>
  <c r="J24" i="5" s="1"/>
  <c r="J26" i="5" s="1"/>
  <c r="J632" i="3"/>
  <c r="J633" i="3"/>
  <c r="J25" i="5" s="1"/>
  <c r="J634" i="3"/>
  <c r="J789" i="3"/>
  <c r="J794" i="3"/>
  <c r="J802" i="3"/>
  <c r="J1086" i="3"/>
  <c r="J53" i="5" s="1"/>
  <c r="J1093" i="3"/>
  <c r="J54" i="5" s="1"/>
  <c r="J1100" i="3"/>
  <c r="J55" i="5" s="1"/>
  <c r="J1107" i="3"/>
  <c r="J56" i="5" s="1"/>
  <c r="J1132" i="3"/>
  <c r="J61" i="5" s="1"/>
  <c r="J1136" i="3"/>
  <c r="J62" i="5" s="1"/>
  <c r="J1140" i="3"/>
  <c r="J63" i="5" s="1"/>
  <c r="J1147" i="3"/>
  <c r="J1154" i="3"/>
  <c r="J1159" i="3"/>
  <c r="J65" i="5" s="1"/>
  <c r="J1168" i="3"/>
  <c r="J67" i="5" s="1"/>
  <c r="J1175" i="3"/>
  <c r="J68" i="5" s="1"/>
  <c r="J1182" i="3"/>
  <c r="J1189" i="3"/>
  <c r="J1193" i="3"/>
  <c r="J1196" i="3"/>
  <c r="J1197" i="3"/>
  <c r="J1198" i="3"/>
  <c r="J1199" i="3"/>
  <c r="J69" i="5" l="1"/>
  <c r="J64" i="5"/>
  <c r="J355" i="3"/>
  <c r="J232" i="3"/>
  <c r="J203" i="3"/>
  <c r="J1202" i="3"/>
  <c r="AO123" i="4" l="1"/>
  <c r="G4" i="5" l="1"/>
  <c r="AP7" i="594" l="1"/>
  <c r="N14" i="594" l="1"/>
  <c r="Q14" i="594" l="1"/>
  <c r="R14" i="594"/>
  <c r="D14" i="594" s="1"/>
  <c r="O24" i="20" l="1"/>
  <c r="O27" i="20" s="1"/>
  <c r="O29" i="20" s="1"/>
  <c r="E27" i="49" l="1"/>
  <c r="AB2" i="33" l="1"/>
  <c r="AJ94" i="4" l="1"/>
  <c r="S2" i="33" l="1"/>
  <c r="K2" i="33"/>
  <c r="A2" i="33"/>
  <c r="I6" i="20"/>
  <c r="I7" i="20" s="1"/>
  <c r="I8" i="20" s="1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AJ12" i="33" l="1"/>
  <c r="AL94" i="4" l="1"/>
  <c r="AO94" i="4" s="1"/>
  <c r="AP8" i="594" l="1"/>
  <c r="N16" i="594" l="1"/>
  <c r="A42" i="1" l="1"/>
  <c r="AR7" i="33"/>
  <c r="AR6" i="33"/>
  <c r="AR5" i="33"/>
  <c r="AP8" i="33" l="1"/>
  <c r="AR4" i="33"/>
  <c r="AR8" i="33" l="1"/>
  <c r="R22" i="20"/>
  <c r="AI24" i="33" l="1"/>
  <c r="AB13" i="641"/>
  <c r="AB65" i="641" s="1"/>
  <c r="AC13" i="641"/>
  <c r="T444" i="641"/>
  <c r="Z13" i="641"/>
  <c r="AA14" i="641"/>
  <c r="AC14" i="641"/>
  <c r="Z14" i="641"/>
  <c r="AA15" i="641"/>
  <c r="AB15" i="641"/>
  <c r="AC15" i="641"/>
  <c r="T446" i="641"/>
  <c r="Z15" i="641"/>
  <c r="AA19" i="641"/>
  <c r="AB19" i="641"/>
  <c r="AB20" i="641" s="1"/>
  <c r="AC19" i="641"/>
  <c r="AC20" i="641" s="1"/>
  <c r="T450" i="641"/>
  <c r="T451" i="641" s="1"/>
  <c r="AA27" i="641"/>
  <c r="AB27" i="641"/>
  <c r="AC27" i="641"/>
  <c r="Y27" i="641"/>
  <c r="Z27" i="641"/>
  <c r="AA28" i="641"/>
  <c r="AB28" i="641"/>
  <c r="T459" i="641"/>
  <c r="Z28" i="641"/>
  <c r="AA31" i="641"/>
  <c r="AB31" i="641"/>
  <c r="AC31" i="641"/>
  <c r="T462" i="641"/>
  <c r="Z31" i="641"/>
  <c r="AA29" i="641"/>
  <c r="AB29" i="641"/>
  <c r="AC29" i="641"/>
  <c r="Y29" i="641"/>
  <c r="Z29" i="641"/>
  <c r="AA32" i="641"/>
  <c r="AB32" i="641"/>
  <c r="AC32" i="641"/>
  <c r="T463" i="641"/>
  <c r="Z32" i="641"/>
  <c r="AA33" i="641"/>
  <c r="AB33" i="641"/>
  <c r="Y33" i="641"/>
  <c r="Z33" i="641"/>
  <c r="AA30" i="641"/>
  <c r="AB30" i="641"/>
  <c r="AC30" i="641"/>
  <c r="T461" i="641"/>
  <c r="AA22" i="641"/>
  <c r="AA23" i="641"/>
  <c r="AD23" i="641" s="1"/>
  <c r="AA41" i="641"/>
  <c r="AC41" i="641"/>
  <c r="Y41" i="641"/>
  <c r="Z41" i="641"/>
  <c r="AA42" i="641"/>
  <c r="AC42" i="641"/>
  <c r="Y42" i="641"/>
  <c r="Z42" i="641"/>
  <c r="AA43" i="641"/>
  <c r="AC43" i="641"/>
  <c r="T474" i="641"/>
  <c r="Z43" i="641"/>
  <c r="AB53" i="641"/>
  <c r="AC53" i="641"/>
  <c r="Y53" i="641"/>
  <c r="Z53" i="641"/>
  <c r="AA52" i="641"/>
  <c r="AC52" i="641"/>
  <c r="T483" i="641"/>
  <c r="Z52" i="641"/>
  <c r="AA58" i="641"/>
  <c r="AC58" i="641"/>
  <c r="T489" i="641"/>
  <c r="Z58" i="641"/>
  <c r="AA57" i="641"/>
  <c r="AC57" i="641"/>
  <c r="T488" i="641"/>
  <c r="Z57" i="641"/>
  <c r="AA46" i="641"/>
  <c r="AA47" i="641"/>
  <c r="AD47" i="641" s="1"/>
  <c r="U367" i="641"/>
  <c r="T376" i="641"/>
  <c r="T377" i="641"/>
  <c r="T378" i="641"/>
  <c r="T382" i="641"/>
  <c r="T383" i="641" s="1"/>
  <c r="T390" i="641"/>
  <c r="T391" i="641"/>
  <c r="T392" i="641"/>
  <c r="T393" i="641"/>
  <c r="T394" i="641"/>
  <c r="T395" i="641"/>
  <c r="T396" i="641"/>
  <c r="T404" i="641"/>
  <c r="T405" i="641"/>
  <c r="T406" i="641"/>
  <c r="T415" i="641"/>
  <c r="T416" i="641"/>
  <c r="T420" i="641"/>
  <c r="T421" i="641"/>
  <c r="T445" i="641"/>
  <c r="X13" i="641"/>
  <c r="X14" i="641"/>
  <c r="X15" i="641"/>
  <c r="X19" i="641"/>
  <c r="X20" i="641" s="1"/>
  <c r="X27" i="641"/>
  <c r="X28" i="641"/>
  <c r="X29" i="641"/>
  <c r="X30" i="641"/>
  <c r="X31" i="641"/>
  <c r="X32" i="641"/>
  <c r="X33" i="641"/>
  <c r="X41" i="641"/>
  <c r="X42" i="641"/>
  <c r="X43" i="641"/>
  <c r="X52" i="641"/>
  <c r="X53" i="641"/>
  <c r="X57" i="641"/>
  <c r="X58" i="641"/>
  <c r="Y14" i="641"/>
  <c r="AB14" i="641"/>
  <c r="AB44" i="641"/>
  <c r="AB52" i="641"/>
  <c r="AB59" i="641"/>
  <c r="Z19" i="641"/>
  <c r="Z20" i="641" s="1"/>
  <c r="AC28" i="641"/>
  <c r="T472" i="641" l="1"/>
  <c r="T496" i="641" s="1"/>
  <c r="X65" i="641"/>
  <c r="Y19" i="641"/>
  <c r="Y20" i="641" s="1"/>
  <c r="T464" i="641"/>
  <c r="X16" i="641"/>
  <c r="Y43" i="641"/>
  <c r="Y44" i="641" s="1"/>
  <c r="X54" i="641"/>
  <c r="X68" i="641" s="1"/>
  <c r="T460" i="641"/>
  <c r="Y32" i="641"/>
  <c r="Y15" i="641"/>
  <c r="T428" i="641"/>
  <c r="Y31" i="641"/>
  <c r="T484" i="641"/>
  <c r="T485" i="641" s="1"/>
  <c r="T499" i="641" s="1"/>
  <c r="Y13" i="641"/>
  <c r="Y65" i="641" s="1"/>
  <c r="T458" i="641"/>
  <c r="T473" i="641"/>
  <c r="Y58" i="641"/>
  <c r="Y28" i="641"/>
  <c r="Y30" i="641"/>
  <c r="Y57" i="641"/>
  <c r="AA53" i="641"/>
  <c r="AD53" i="641" s="1"/>
  <c r="F274" i="15"/>
  <c r="X59" i="641"/>
  <c r="X34" i="641"/>
  <c r="AA13" i="641"/>
  <c r="AD13" i="641" s="1"/>
  <c r="T397" i="641"/>
  <c r="T379" i="641"/>
  <c r="T417" i="641"/>
  <c r="T431" i="641" s="1"/>
  <c r="T422" i="641"/>
  <c r="T490" i="641"/>
  <c r="Z30" i="641"/>
  <c r="Z34" i="641" s="1"/>
  <c r="Y52" i="641"/>
  <c r="Y54" i="641" s="1"/>
  <c r="AC54" i="641"/>
  <c r="AC68" i="641" s="1"/>
  <c r="T447" i="641"/>
  <c r="X44" i="641"/>
  <c r="T407" i="641"/>
  <c r="AD52" i="641"/>
  <c r="Z59" i="641"/>
  <c r="AD43" i="641"/>
  <c r="AA59" i="641"/>
  <c r="AD57" i="641"/>
  <c r="AD46" i="641"/>
  <c r="AD48" i="641" s="1"/>
  <c r="AA48" i="641"/>
  <c r="Z54" i="641"/>
  <c r="Z68" i="641" s="1"/>
  <c r="AD42" i="641"/>
  <c r="AC44" i="641"/>
  <c r="AB34" i="641"/>
  <c r="AC65" i="641"/>
  <c r="AD15" i="641"/>
  <c r="AB54" i="641"/>
  <c r="AC16" i="641"/>
  <c r="AC59" i="641"/>
  <c r="AD58" i="641"/>
  <c r="Z44" i="641"/>
  <c r="AD41" i="641"/>
  <c r="AA44" i="641"/>
  <c r="AD22" i="641"/>
  <c r="AD24" i="641" s="1"/>
  <c r="AA24" i="641"/>
  <c r="AD30" i="641"/>
  <c r="AD32" i="641"/>
  <c r="AC33" i="641"/>
  <c r="AD33" i="641" s="1"/>
  <c r="AD29" i="641"/>
  <c r="AD31" i="641"/>
  <c r="AD28" i="641"/>
  <c r="AD27" i="641"/>
  <c r="AA34" i="641"/>
  <c r="AD19" i="641"/>
  <c r="AD20" i="641" s="1"/>
  <c r="AA20" i="641"/>
  <c r="Z65" i="641"/>
  <c r="AD14" i="641"/>
  <c r="Z16" i="641"/>
  <c r="AB16" i="641"/>
  <c r="AB67" i="641" s="1"/>
  <c r="T475" i="641" l="1"/>
  <c r="X36" i="641"/>
  <c r="X74" i="641" s="1"/>
  <c r="X67" i="641"/>
  <c r="AA16" i="641"/>
  <c r="AA67" i="641" s="1"/>
  <c r="AA65" i="641"/>
  <c r="T424" i="641"/>
  <c r="T438" i="641" s="1"/>
  <c r="Y34" i="641"/>
  <c r="T465" i="641"/>
  <c r="T467" i="641" s="1"/>
  <c r="T505" i="641" s="1"/>
  <c r="X69" i="641"/>
  <c r="Y59" i="641"/>
  <c r="Y61" i="641" s="1"/>
  <c r="Y75" i="641" s="1"/>
  <c r="T432" i="641"/>
  <c r="Y16" i="641"/>
  <c r="AA54" i="641"/>
  <c r="AA61" i="641" s="1"/>
  <c r="AA75" i="641" s="1"/>
  <c r="T430" i="641"/>
  <c r="T492" i="641"/>
  <c r="T506" i="641" s="1"/>
  <c r="T498" i="641"/>
  <c r="T427" i="641"/>
  <c r="T399" i="641"/>
  <c r="T437" i="641" s="1"/>
  <c r="X61" i="641"/>
  <c r="X75" i="641" s="1"/>
  <c r="X64" i="641"/>
  <c r="Y68" i="641"/>
  <c r="AD54" i="641"/>
  <c r="AD68" i="641" s="1"/>
  <c r="Z67" i="641"/>
  <c r="AC67" i="641"/>
  <c r="AD34" i="641"/>
  <c r="AD44" i="641"/>
  <c r="AD65" i="641"/>
  <c r="AD16" i="641"/>
  <c r="AB36" i="641"/>
  <c r="AB74" i="641" s="1"/>
  <c r="AB69" i="641"/>
  <c r="Z36" i="641"/>
  <c r="U206" i="641" s="1"/>
  <c r="AA69" i="641"/>
  <c r="Z61" i="641"/>
  <c r="U330" i="641" s="1"/>
  <c r="AC34" i="641"/>
  <c r="AC36" i="641" s="1"/>
  <c r="AC74" i="641" s="1"/>
  <c r="AC61" i="641"/>
  <c r="AC75" i="641" s="1"/>
  <c r="AB64" i="641"/>
  <c r="AB61" i="641"/>
  <c r="AB75" i="641" s="1"/>
  <c r="AB68" i="641"/>
  <c r="AD59" i="641"/>
  <c r="Z69" i="641"/>
  <c r="Z64" i="641"/>
  <c r="Y69" i="641" l="1"/>
  <c r="X77" i="641"/>
  <c r="X66" i="641" s="1"/>
  <c r="Y36" i="641"/>
  <c r="Y74" i="641" s="1"/>
  <c r="Y77" i="641" s="1"/>
  <c r="T440" i="641"/>
  <c r="T429" i="641" s="1"/>
  <c r="AA36" i="641"/>
  <c r="AA74" i="641" s="1"/>
  <c r="AA77" i="641" s="1"/>
  <c r="AA66" i="641" s="1"/>
  <c r="T495" i="641"/>
  <c r="T500" i="641"/>
  <c r="Y64" i="641"/>
  <c r="AA68" i="641"/>
  <c r="Y67" i="641"/>
  <c r="AA64" i="641"/>
  <c r="T508" i="641"/>
  <c r="T497" i="641" s="1"/>
  <c r="AD67" i="641"/>
  <c r="AC69" i="641"/>
  <c r="AC77" i="641"/>
  <c r="AC66" i="641" s="1"/>
  <c r="AC64" i="641"/>
  <c r="AD64" i="641"/>
  <c r="AD61" i="641"/>
  <c r="AD75" i="641" s="1"/>
  <c r="AD69" i="641"/>
  <c r="Z75" i="641"/>
  <c r="Z74" i="641"/>
  <c r="AB77" i="641"/>
  <c r="AD36" i="641"/>
  <c r="AD74" i="641" s="1"/>
  <c r="X80" i="641" l="1"/>
  <c r="Y80" i="641"/>
  <c r="Y66" i="641"/>
  <c r="A12" i="137"/>
  <c r="AA80" i="641"/>
  <c r="AC80" i="641"/>
  <c r="Z77" i="641"/>
  <c r="Z80" i="641" s="1"/>
  <c r="AD77" i="641"/>
  <c r="AD66" i="641" s="1"/>
  <c r="AB66" i="641"/>
  <c r="AB80" i="641"/>
  <c r="Z66" i="641" l="1"/>
  <c r="A13" i="137"/>
  <c r="AD80" i="641"/>
  <c r="A14" i="137" l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L23" i="12"/>
  <c r="N831" i="3"/>
  <c r="D18" i="594" l="1"/>
  <c r="S168" i="4" l="1"/>
  <c r="T168" i="4" l="1"/>
  <c r="W17" i="42"/>
  <c r="R34" i="595" l="1"/>
  <c r="AW6" i="594" l="1"/>
  <c r="F350" i="15" l="1"/>
  <c r="F349" i="15"/>
  <c r="F346" i="15"/>
  <c r="F342" i="15"/>
  <c r="F340" i="15"/>
  <c r="F337" i="15"/>
  <c r="F333" i="15"/>
  <c r="F314" i="15"/>
  <c r="F305" i="15"/>
  <c r="F296" i="15"/>
  <c r="F227" i="15"/>
  <c r="F184" i="15"/>
  <c r="F182" i="15"/>
  <c r="F181" i="15"/>
  <c r="F179" i="15"/>
  <c r="F177" i="15"/>
  <c r="F54" i="15"/>
  <c r="F52" i="15"/>
  <c r="F31" i="15"/>
  <c r="F29" i="15"/>
  <c r="F28" i="15"/>
  <c r="F26" i="15"/>
  <c r="F24" i="15"/>
  <c r="F320" i="15" l="1"/>
  <c r="F196" i="15"/>
  <c r="F20" i="15" l="1"/>
  <c r="F35" i="15"/>
  <c r="F44" i="15"/>
  <c r="F15" i="15"/>
  <c r="F19" i="15"/>
  <c r="F22" i="15"/>
  <c r="F38" i="15"/>
  <c r="F42" i="15"/>
  <c r="F46" i="15"/>
  <c r="F49" i="15"/>
  <c r="F53" i="15"/>
  <c r="F56" i="15"/>
  <c r="F60" i="15"/>
  <c r="F64" i="15"/>
  <c r="F67" i="15"/>
  <c r="F71" i="15"/>
  <c r="F74" i="15"/>
  <c r="F78" i="15"/>
  <c r="F82" i="15"/>
  <c r="F85" i="15"/>
  <c r="F89" i="15"/>
  <c r="F92" i="15"/>
  <c r="F101" i="15"/>
  <c r="F105" i="15"/>
  <c r="F109" i="15"/>
  <c r="F112" i="15"/>
  <c r="F114" i="15"/>
  <c r="F116" i="15"/>
  <c r="F118" i="15"/>
  <c r="F121" i="15"/>
  <c r="F125" i="15"/>
  <c r="F128" i="15"/>
  <c r="F132" i="15"/>
  <c r="F136" i="15"/>
  <c r="F141" i="15"/>
  <c r="F145" i="15"/>
  <c r="F148" i="15"/>
  <c r="F155" i="15"/>
  <c r="F159" i="15"/>
  <c r="F163" i="15"/>
  <c r="F166" i="15"/>
  <c r="F173" i="15"/>
  <c r="F186" i="15"/>
  <c r="F188" i="15"/>
  <c r="F190" i="15"/>
  <c r="F193" i="15"/>
  <c r="F209" i="15"/>
  <c r="F211" i="15"/>
  <c r="F213" i="15"/>
  <c r="F223" i="15"/>
  <c r="F228" i="15"/>
  <c r="F230" i="15"/>
  <c r="F233" i="15"/>
  <c r="F235" i="15"/>
  <c r="F242" i="15"/>
  <c r="F245" i="15"/>
  <c r="F251" i="15"/>
  <c r="F254" i="15"/>
  <c r="F260" i="15"/>
  <c r="F263" i="15"/>
  <c r="F269" i="15"/>
  <c r="F272" i="15"/>
  <c r="F279" i="15"/>
  <c r="F283" i="15"/>
  <c r="F287" i="15"/>
  <c r="F290" i="15"/>
  <c r="F297" i="15"/>
  <c r="F301" i="15"/>
  <c r="F308" i="15"/>
  <c r="F315" i="15"/>
  <c r="F319" i="15"/>
  <c r="F17" i="15"/>
  <c r="F33" i="15"/>
  <c r="F37" i="15"/>
  <c r="F40" i="15"/>
  <c r="F47" i="15"/>
  <c r="F51" i="15"/>
  <c r="F55" i="15"/>
  <c r="F58" i="15"/>
  <c r="F62" i="15"/>
  <c r="F65" i="15"/>
  <c r="F69" i="15"/>
  <c r="F73" i="15"/>
  <c r="F76" i="15"/>
  <c r="F80" i="15"/>
  <c r="F83" i="15"/>
  <c r="F87" i="15"/>
  <c r="F91" i="15"/>
  <c r="F94" i="15"/>
  <c r="F96" i="15"/>
  <c r="F98" i="15"/>
  <c r="F100" i="15"/>
  <c r="F103" i="15"/>
  <c r="F107" i="15"/>
  <c r="F110" i="15"/>
  <c r="F119" i="15"/>
  <c r="F123" i="15"/>
  <c r="F127" i="15"/>
  <c r="F130" i="15"/>
  <c r="F134" i="15"/>
  <c r="F137" i="15"/>
  <c r="F139" i="15"/>
  <c r="F143" i="15"/>
  <c r="F146" i="15"/>
  <c r="F150" i="15"/>
  <c r="F152" i="15"/>
  <c r="F154" i="15"/>
  <c r="F157" i="15"/>
  <c r="F161" i="15"/>
  <c r="F164" i="15"/>
  <c r="F168" i="15"/>
  <c r="F170" i="15"/>
  <c r="F172" i="15"/>
  <c r="F175" i="15"/>
  <c r="F191" i="15"/>
  <c r="F195" i="15"/>
  <c r="F214" i="15"/>
  <c r="F216" i="15"/>
  <c r="F218" i="15"/>
  <c r="F220" i="15"/>
  <c r="F222" i="15"/>
  <c r="F225" i="15"/>
  <c r="F229" i="15"/>
  <c r="F231" i="15"/>
  <c r="F234" i="15"/>
  <c r="F238" i="15"/>
  <c r="F243" i="15"/>
  <c r="F247" i="15"/>
  <c r="F252" i="15"/>
  <c r="F256" i="15"/>
  <c r="F261" i="15"/>
  <c r="F265" i="15"/>
  <c r="F270" i="15"/>
  <c r="F276" i="15"/>
  <c r="F278" i="15"/>
  <c r="F281" i="15"/>
  <c r="F285" i="15"/>
  <c r="F288" i="15"/>
  <c r="F292" i="15"/>
  <c r="F306" i="15"/>
  <c r="F310" i="15"/>
  <c r="F317" i="15"/>
  <c r="F322" i="15" l="1"/>
  <c r="F324" i="15"/>
  <c r="F364" i="15" s="1"/>
  <c r="Q200" i="3"/>
  <c r="P200" i="3"/>
  <c r="O200" i="3"/>
  <c r="N200" i="3"/>
  <c r="M200" i="3"/>
  <c r="I200" i="3"/>
  <c r="H200" i="3"/>
  <c r="U321" i="6" l="1"/>
  <c r="R321" i="6"/>
  <c r="U320" i="6"/>
  <c r="R320" i="6"/>
  <c r="K2" i="594" l="1"/>
  <c r="U2" i="42" l="1"/>
  <c r="AI44" i="33" l="1"/>
  <c r="AA21" i="4" l="1"/>
  <c r="R26" i="20" l="1"/>
  <c r="R23" i="20" l="1"/>
  <c r="Q24" i="20"/>
  <c r="Q27" i="20" s="1"/>
  <c r="Q29" i="20" s="1"/>
  <c r="V107" i="594" l="1"/>
  <c r="AB9" i="594"/>
  <c r="Z1" i="594"/>
  <c r="T1" i="594" s="1"/>
  <c r="J2" i="595"/>
  <c r="S32" i="595"/>
  <c r="B2" i="595"/>
  <c r="G8" i="595"/>
  <c r="G9" i="595" s="1"/>
  <c r="G10" i="595" s="1"/>
  <c r="G11" i="595" s="1"/>
  <c r="G12" i="595" s="1"/>
  <c r="G13" i="595" s="1"/>
  <c r="G14" i="595" s="1"/>
  <c r="G15" i="595" s="1"/>
  <c r="AB129" i="4"/>
  <c r="U1240" i="3"/>
  <c r="U1239" i="3"/>
  <c r="U1223" i="3"/>
  <c r="U1222" i="3"/>
  <c r="V1222" i="3" s="1"/>
  <c r="U1221" i="3"/>
  <c r="V1221" i="3" s="1"/>
  <c r="U1218" i="3"/>
  <c r="V1218" i="3" s="1"/>
  <c r="U931" i="3"/>
  <c r="G944" i="6" s="1"/>
  <c r="U929" i="3"/>
  <c r="G942" i="6" s="1"/>
  <c r="U927" i="3"/>
  <c r="U925" i="3"/>
  <c r="G938" i="6" s="1"/>
  <c r="S920" i="3"/>
  <c r="U920" i="3" s="1"/>
  <c r="S919" i="3"/>
  <c r="U919" i="3" s="1"/>
  <c r="G932" i="6" s="1"/>
  <c r="S918" i="3"/>
  <c r="U918" i="3" s="1"/>
  <c r="G931" i="6" s="1"/>
  <c r="V918" i="3" s="1"/>
  <c r="S917" i="3"/>
  <c r="U917" i="3" s="1"/>
  <c r="S910" i="3"/>
  <c r="U910" i="3" s="1"/>
  <c r="V910" i="3" s="1"/>
  <c r="S909" i="3"/>
  <c r="U909" i="3" s="1"/>
  <c r="S908" i="3"/>
  <c r="U908" i="3" s="1"/>
  <c r="S907" i="3"/>
  <c r="U907" i="3" s="1"/>
  <c r="U883" i="3"/>
  <c r="G895" i="6" s="1"/>
  <c r="E895" i="6" s="1"/>
  <c r="U882" i="3"/>
  <c r="G894" i="6" s="1"/>
  <c r="U879" i="3"/>
  <c r="G890" i="6" s="1"/>
  <c r="E890" i="6" s="1"/>
  <c r="U878" i="3"/>
  <c r="G889" i="6" s="1"/>
  <c r="V878" i="3" s="1"/>
  <c r="U871" i="3"/>
  <c r="U870" i="3"/>
  <c r="V870" i="3" s="1"/>
  <c r="U867" i="3"/>
  <c r="G875" i="6" s="1"/>
  <c r="U866" i="3"/>
  <c r="G874" i="6" s="1"/>
  <c r="U859" i="3"/>
  <c r="G865" i="6" s="1"/>
  <c r="U858" i="3"/>
  <c r="G864" i="6" s="1"/>
  <c r="U855" i="3"/>
  <c r="G860" i="6" s="1"/>
  <c r="U854" i="3"/>
  <c r="G859" i="6" s="1"/>
  <c r="E859" i="6" s="1"/>
  <c r="U847" i="3"/>
  <c r="G850" i="6" s="1"/>
  <c r="U846" i="3"/>
  <c r="G849" i="6" s="1"/>
  <c r="U826" i="3"/>
  <c r="G827" i="6" s="1"/>
  <c r="V826" i="3" s="1"/>
  <c r="U825" i="3"/>
  <c r="U811" i="3"/>
  <c r="U810" i="3"/>
  <c r="U798" i="3"/>
  <c r="G799" i="6" s="1"/>
  <c r="U797" i="3"/>
  <c r="G798" i="6" s="1"/>
  <c r="U778" i="3"/>
  <c r="G779" i="6" s="1"/>
  <c r="U777" i="3"/>
  <c r="G778" i="6" s="1"/>
  <c r="U773" i="3"/>
  <c r="G774" i="6" s="1"/>
  <c r="U772" i="3"/>
  <c r="U768" i="3"/>
  <c r="G769" i="6" s="1"/>
  <c r="U767" i="3"/>
  <c r="G768" i="6" s="1"/>
  <c r="U763" i="3"/>
  <c r="U762" i="3"/>
  <c r="U758" i="3"/>
  <c r="U757" i="3"/>
  <c r="U745" i="3"/>
  <c r="G746" i="6" s="1"/>
  <c r="U744" i="3"/>
  <c r="U740" i="3"/>
  <c r="G741" i="6" s="1"/>
  <c r="U739" i="3"/>
  <c r="U735" i="3"/>
  <c r="G736" i="6" s="1"/>
  <c r="U734" i="3"/>
  <c r="G735" i="6" s="1"/>
  <c r="E735" i="6" s="1"/>
  <c r="U730" i="3"/>
  <c r="G731" i="6" s="1"/>
  <c r="U729" i="3"/>
  <c r="U725" i="3"/>
  <c r="G726" i="6" s="1"/>
  <c r="V725" i="3" s="1"/>
  <c r="U724" i="3"/>
  <c r="U720" i="3"/>
  <c r="G721" i="6" s="1"/>
  <c r="U719" i="3"/>
  <c r="U715" i="3"/>
  <c r="G716" i="6" s="1"/>
  <c r="U714" i="3"/>
  <c r="G715" i="6" s="1"/>
  <c r="V714" i="3" s="1"/>
  <c r="U710" i="3"/>
  <c r="G711" i="6" s="1"/>
  <c r="U709" i="3"/>
  <c r="U705" i="3"/>
  <c r="G706" i="6" s="1"/>
  <c r="U704" i="3"/>
  <c r="G705" i="6" s="1"/>
  <c r="U700" i="3"/>
  <c r="G701" i="6" s="1"/>
  <c r="U699" i="3"/>
  <c r="U695" i="3"/>
  <c r="G696" i="6" s="1"/>
  <c r="U694" i="3"/>
  <c r="U690" i="3"/>
  <c r="G691" i="6" s="1"/>
  <c r="U689" i="3"/>
  <c r="U685" i="3"/>
  <c r="G686" i="6" s="1"/>
  <c r="U684" i="3"/>
  <c r="G685" i="6" s="1"/>
  <c r="E685" i="6" s="1"/>
  <c r="U680" i="3"/>
  <c r="G681" i="6" s="1"/>
  <c r="U679" i="3"/>
  <c r="G680" i="6" s="1"/>
  <c r="U675" i="3"/>
  <c r="U674" i="3"/>
  <c r="G675" i="6" s="1"/>
  <c r="V674" i="3" s="1"/>
  <c r="U670" i="3"/>
  <c r="G671" i="6" s="1"/>
  <c r="V670" i="3" s="1"/>
  <c r="U669" i="3"/>
  <c r="U665" i="3"/>
  <c r="G666" i="6" s="1"/>
  <c r="U664" i="3"/>
  <c r="G665" i="6" s="1"/>
  <c r="U660" i="3"/>
  <c r="G661" i="6" s="1"/>
  <c r="U659" i="3"/>
  <c r="U655" i="3"/>
  <c r="G656" i="6" s="1"/>
  <c r="U654" i="3"/>
  <c r="U647" i="3"/>
  <c r="G648" i="6" s="1"/>
  <c r="V647" i="3" s="1"/>
  <c r="U646" i="3"/>
  <c r="U627" i="3"/>
  <c r="G628" i="6" s="1"/>
  <c r="I628" i="6" s="1"/>
  <c r="U626" i="3"/>
  <c r="U622" i="3"/>
  <c r="U621" i="3"/>
  <c r="U617" i="3"/>
  <c r="G618" i="6" s="1"/>
  <c r="U616" i="3"/>
  <c r="U612" i="3"/>
  <c r="U611" i="3"/>
  <c r="U607" i="3"/>
  <c r="G608" i="6" s="1"/>
  <c r="U606" i="3"/>
  <c r="U602" i="3"/>
  <c r="G603" i="6" s="1"/>
  <c r="U601" i="3"/>
  <c r="V601" i="3" s="1"/>
  <c r="U597" i="3"/>
  <c r="G598" i="6" s="1"/>
  <c r="U596" i="3"/>
  <c r="U592" i="3"/>
  <c r="U591" i="3"/>
  <c r="G592" i="6" s="1"/>
  <c r="U587" i="3"/>
  <c r="U586" i="3"/>
  <c r="U582" i="3"/>
  <c r="G583" i="6" s="1"/>
  <c r="U581" i="3"/>
  <c r="G582" i="6" s="1"/>
  <c r="U577" i="3"/>
  <c r="U576" i="3"/>
  <c r="V576" i="3" s="1"/>
  <c r="U572" i="3"/>
  <c r="G573" i="6" s="1"/>
  <c r="U571" i="3"/>
  <c r="V571" i="3" s="1"/>
  <c r="U567" i="3"/>
  <c r="U566" i="3"/>
  <c r="U562" i="3"/>
  <c r="U561" i="3"/>
  <c r="U557" i="3"/>
  <c r="G558" i="6" s="1"/>
  <c r="U556" i="3"/>
  <c r="U552" i="3"/>
  <c r="G553" i="6" s="1"/>
  <c r="U551" i="3"/>
  <c r="V551" i="3" s="1"/>
  <c r="U547" i="3"/>
  <c r="U546" i="3"/>
  <c r="U542" i="3"/>
  <c r="U541" i="3"/>
  <c r="G542" i="6" s="1"/>
  <c r="U537" i="3"/>
  <c r="G538" i="6" s="1"/>
  <c r="U536" i="3"/>
  <c r="U532" i="3"/>
  <c r="G533" i="6" s="1"/>
  <c r="U531" i="3"/>
  <c r="V531" i="3" s="1"/>
  <c r="U527" i="3"/>
  <c r="U526" i="3"/>
  <c r="U522" i="3"/>
  <c r="G523" i="6" s="1"/>
  <c r="U521" i="3"/>
  <c r="G522" i="6" s="1"/>
  <c r="U496" i="3"/>
  <c r="G496" i="6" s="1"/>
  <c r="U495" i="3"/>
  <c r="U491" i="3"/>
  <c r="U490" i="3"/>
  <c r="U486" i="3"/>
  <c r="U485" i="3"/>
  <c r="G485" i="6" s="1"/>
  <c r="U481" i="3"/>
  <c r="G481" i="6" s="1"/>
  <c r="U480" i="3"/>
  <c r="U476" i="3"/>
  <c r="U475" i="3"/>
  <c r="U471" i="3"/>
  <c r="G471" i="6" s="1"/>
  <c r="U470" i="3"/>
  <c r="U466" i="3"/>
  <c r="G466" i="6" s="1"/>
  <c r="U465" i="3"/>
  <c r="U461" i="3"/>
  <c r="U460" i="3"/>
  <c r="G460" i="6" s="1"/>
  <c r="U456" i="3"/>
  <c r="U455" i="3"/>
  <c r="U451" i="3"/>
  <c r="G451" i="6" s="1"/>
  <c r="V451" i="3" s="1"/>
  <c r="U450" i="3"/>
  <c r="U446" i="3"/>
  <c r="G446" i="6" s="1"/>
  <c r="V446" i="3" s="1"/>
  <c r="U445" i="3"/>
  <c r="U441" i="3"/>
  <c r="G441" i="6" s="1"/>
  <c r="U440" i="3"/>
  <c r="U436" i="3"/>
  <c r="G436" i="6" s="1"/>
  <c r="U435" i="3"/>
  <c r="U431" i="3"/>
  <c r="G431" i="6" s="1"/>
  <c r="U430" i="3"/>
  <c r="G430" i="6" s="1"/>
  <c r="V430" i="3" s="1"/>
  <c r="U426" i="3"/>
  <c r="G426" i="6" s="1"/>
  <c r="U425" i="3"/>
  <c r="U421" i="3"/>
  <c r="G421" i="6" s="1"/>
  <c r="U420" i="3"/>
  <c r="G420" i="6" s="1"/>
  <c r="U416" i="3"/>
  <c r="G416" i="6" s="1"/>
  <c r="U415" i="3"/>
  <c r="U411" i="3"/>
  <c r="U410" i="3"/>
  <c r="G410" i="6" s="1"/>
  <c r="U406" i="3"/>
  <c r="G406" i="6" s="1"/>
  <c r="U405" i="3"/>
  <c r="U401" i="3"/>
  <c r="U400" i="3"/>
  <c r="G400" i="6" s="1"/>
  <c r="U396" i="3"/>
  <c r="G396" i="6" s="1"/>
  <c r="U395" i="3"/>
  <c r="U391" i="3"/>
  <c r="U390" i="3"/>
  <c r="G390" i="6" s="1"/>
  <c r="V390" i="3" s="1"/>
  <c r="U386" i="3"/>
  <c r="U385" i="3"/>
  <c r="G385" i="6" s="1"/>
  <c r="U381" i="3"/>
  <c r="G381" i="6" s="1"/>
  <c r="V381" i="3" s="1"/>
  <c r="U380" i="3"/>
  <c r="U345" i="3"/>
  <c r="U336" i="3"/>
  <c r="G336" i="6" s="1"/>
  <c r="U313" i="3"/>
  <c r="G313" i="6" s="1"/>
  <c r="E313" i="6" s="1"/>
  <c r="U304" i="3"/>
  <c r="G304" i="6" s="1"/>
  <c r="U295" i="3"/>
  <c r="G295" i="6" s="1"/>
  <c r="U268" i="3"/>
  <c r="U259" i="3"/>
  <c r="G259" i="6" s="1"/>
  <c r="I259" i="6" s="1"/>
  <c r="U250" i="3"/>
  <c r="G250" i="6" s="1"/>
  <c r="I250" i="6" s="1"/>
  <c r="U241" i="3"/>
  <c r="G241" i="6" s="1"/>
  <c r="I241" i="6" s="1"/>
  <c r="U55" i="3"/>
  <c r="V55" i="3" s="1"/>
  <c r="U53" i="3"/>
  <c r="V53" i="3" s="1"/>
  <c r="T6" i="5"/>
  <c r="C45" i="49"/>
  <c r="C51" i="49"/>
  <c r="C60" i="49"/>
  <c r="G505" i="3"/>
  <c r="G506" i="3"/>
  <c r="G618" i="3"/>
  <c r="G623" i="3"/>
  <c r="G628" i="3"/>
  <c r="G631" i="3" s="1"/>
  <c r="G24" i="5" s="1"/>
  <c r="G632" i="3"/>
  <c r="G633" i="3"/>
  <c r="G25" i="5" s="1"/>
  <c r="G634" i="3"/>
  <c r="G789" i="3"/>
  <c r="G794" i="3"/>
  <c r="G802" i="3"/>
  <c r="E802" i="6" s="1"/>
  <c r="G1196" i="3"/>
  <c r="G1197" i="3"/>
  <c r="G1198" i="3"/>
  <c r="G1199" i="3"/>
  <c r="M11" i="1"/>
  <c r="M12" i="1" s="1"/>
  <c r="M13" i="1" s="1"/>
  <c r="M14" i="1" s="1"/>
  <c r="M15" i="1" s="1"/>
  <c r="M16" i="1" s="1"/>
  <c r="AB260" i="4"/>
  <c r="AB132" i="4"/>
  <c r="AB131" i="4"/>
  <c r="F10" i="582"/>
  <c r="F11" i="582" s="1"/>
  <c r="F12" i="582" s="1"/>
  <c r="F13" i="582" s="1"/>
  <c r="F14" i="582" s="1"/>
  <c r="F15" i="582" s="1"/>
  <c r="F16" i="582" s="1"/>
  <c r="F17" i="582" s="1"/>
  <c r="F18" i="582" s="1"/>
  <c r="F19" i="582" s="1"/>
  <c r="F20" i="582" s="1"/>
  <c r="F21" i="582" s="1"/>
  <c r="F22" i="582" s="1"/>
  <c r="F23" i="582" s="1"/>
  <c r="F24" i="582" s="1"/>
  <c r="F25" i="582" s="1"/>
  <c r="F26" i="582" s="1"/>
  <c r="F27" i="582" s="1"/>
  <c r="F28" i="582" s="1"/>
  <c r="F29" i="582" s="1"/>
  <c r="F30" i="582" s="1"/>
  <c r="F31" i="582" s="1"/>
  <c r="F32" i="582" s="1"/>
  <c r="F33" i="582" s="1"/>
  <c r="F34" i="582" s="1"/>
  <c r="F35" i="582" s="1"/>
  <c r="F36" i="582" s="1"/>
  <c r="F37" i="582" s="1"/>
  <c r="F38" i="582" s="1"/>
  <c r="F39" i="582" s="1"/>
  <c r="F40" i="582" s="1"/>
  <c r="F41" i="582" s="1"/>
  <c r="F42" i="582" s="1"/>
  <c r="F43" i="582" s="1"/>
  <c r="F44" i="582" s="1"/>
  <c r="F45" i="582" s="1"/>
  <c r="F46" i="582" s="1"/>
  <c r="F47" i="582" s="1"/>
  <c r="F48" i="582" s="1"/>
  <c r="F49" i="582" s="1"/>
  <c r="F50" i="582" s="1"/>
  <c r="F51" i="582" s="1"/>
  <c r="F52" i="582" s="1"/>
  <c r="F53" i="582" s="1"/>
  <c r="F54" i="582" s="1"/>
  <c r="F55" i="582" s="1"/>
  <c r="F56" i="582" s="1"/>
  <c r="F57" i="582" s="1"/>
  <c r="F58" i="582" s="1"/>
  <c r="F59" i="582" s="1"/>
  <c r="F60" i="582" s="1"/>
  <c r="H6" i="20"/>
  <c r="H7" i="20" s="1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O2" i="42"/>
  <c r="I141" i="14"/>
  <c r="I137" i="14"/>
  <c r="I144" i="14"/>
  <c r="I142" i="14"/>
  <c r="I138" i="14"/>
  <c r="F496" i="6"/>
  <c r="F476" i="6"/>
  <c r="F470" i="6"/>
  <c r="F466" i="6"/>
  <c r="F460" i="6"/>
  <c r="F456" i="6"/>
  <c r="F446" i="6"/>
  <c r="F440" i="6"/>
  <c r="F436" i="6"/>
  <c r="F430" i="6"/>
  <c r="F426" i="6"/>
  <c r="F420" i="6"/>
  <c r="F386" i="6"/>
  <c r="D60" i="49"/>
  <c r="D51" i="49"/>
  <c r="D45" i="49"/>
  <c r="F357" i="139"/>
  <c r="F353" i="139"/>
  <c r="F349" i="139"/>
  <c r="F345" i="139"/>
  <c r="F341" i="139"/>
  <c r="F337" i="139"/>
  <c r="F333" i="139"/>
  <c r="F320" i="139"/>
  <c r="F315" i="139"/>
  <c r="F310" i="139"/>
  <c r="F324" i="139"/>
  <c r="F323" i="139"/>
  <c r="F292" i="139"/>
  <c r="F286" i="139"/>
  <c r="F281" i="139"/>
  <c r="F271" i="139"/>
  <c r="F266" i="139"/>
  <c r="F261" i="139"/>
  <c r="F256" i="139"/>
  <c r="F296" i="139"/>
  <c r="F251" i="139"/>
  <c r="F238" i="139"/>
  <c r="F233" i="139"/>
  <c r="F228" i="139"/>
  <c r="F223" i="139"/>
  <c r="F218" i="139"/>
  <c r="F213" i="139"/>
  <c r="F208" i="139"/>
  <c r="F203" i="139"/>
  <c r="F198" i="139"/>
  <c r="F193" i="139"/>
  <c r="F188" i="139"/>
  <c r="F183" i="139"/>
  <c r="F178" i="139"/>
  <c r="F173" i="139"/>
  <c r="F168" i="139"/>
  <c r="F163" i="139"/>
  <c r="F158" i="139"/>
  <c r="F153" i="139"/>
  <c r="F242" i="139"/>
  <c r="F148" i="139"/>
  <c r="F125" i="139"/>
  <c r="F123" i="139"/>
  <c r="F126" i="139"/>
  <c r="B2" i="4"/>
  <c r="T261" i="4"/>
  <c r="AB261" i="4" s="1"/>
  <c r="S261" i="4"/>
  <c r="R261" i="4"/>
  <c r="Q261" i="4"/>
  <c r="P261" i="4"/>
  <c r="O261" i="4"/>
  <c r="N261" i="4"/>
  <c r="M261" i="4"/>
  <c r="L261" i="4"/>
  <c r="K261" i="4"/>
  <c r="J261" i="4"/>
  <c r="I261" i="4"/>
  <c r="H261" i="4"/>
  <c r="T257" i="4"/>
  <c r="AB257" i="4" s="1"/>
  <c r="Q257" i="4"/>
  <c r="P257" i="4"/>
  <c r="O257" i="4"/>
  <c r="N257" i="4"/>
  <c r="M257" i="4"/>
  <c r="L257" i="4"/>
  <c r="K257" i="4"/>
  <c r="J257" i="4"/>
  <c r="I257" i="4"/>
  <c r="H257" i="4"/>
  <c r="Q250" i="4"/>
  <c r="P250" i="4"/>
  <c r="O250" i="4"/>
  <c r="N250" i="4"/>
  <c r="M250" i="4"/>
  <c r="L250" i="4"/>
  <c r="K250" i="4"/>
  <c r="T243" i="4"/>
  <c r="AB243" i="4" s="1"/>
  <c r="Q243" i="4"/>
  <c r="P243" i="4"/>
  <c r="O243" i="4"/>
  <c r="N243" i="4"/>
  <c r="K243" i="4"/>
  <c r="Q236" i="4"/>
  <c r="P236" i="4"/>
  <c r="O236" i="4"/>
  <c r="N236" i="4"/>
  <c r="M236" i="4"/>
  <c r="L236" i="4"/>
  <c r="K236" i="4"/>
  <c r="J236" i="4"/>
  <c r="I236" i="4"/>
  <c r="H236" i="4"/>
  <c r="Q232" i="4"/>
  <c r="O232" i="4"/>
  <c r="M232" i="4"/>
  <c r="K232" i="4"/>
  <c r="I232" i="4"/>
  <c r="Q227" i="4"/>
  <c r="O227" i="4"/>
  <c r="M227" i="4"/>
  <c r="K227" i="4"/>
  <c r="I227" i="4"/>
  <c r="Q222" i="4"/>
  <c r="O222" i="4"/>
  <c r="M222" i="4"/>
  <c r="K222" i="4"/>
  <c r="I222" i="4"/>
  <c r="Q215" i="4"/>
  <c r="O215" i="4"/>
  <c r="M215" i="4"/>
  <c r="K215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AB203" i="4"/>
  <c r="AB204" i="4" s="1"/>
  <c r="T264" i="4"/>
  <c r="Y264" i="4" s="1"/>
  <c r="Q264" i="4"/>
  <c r="P264" i="4"/>
  <c r="O264" i="4"/>
  <c r="N264" i="4"/>
  <c r="M264" i="4"/>
  <c r="L264" i="4"/>
  <c r="K264" i="4"/>
  <c r="J264" i="4"/>
  <c r="I264" i="4"/>
  <c r="H264" i="4"/>
  <c r="AB174" i="4"/>
  <c r="AB173" i="4"/>
  <c r="AB172" i="4"/>
  <c r="T175" i="4"/>
  <c r="P175" i="4"/>
  <c r="N175" i="4"/>
  <c r="J175" i="4"/>
  <c r="AB167" i="4"/>
  <c r="AB166" i="4"/>
  <c r="AB165" i="4"/>
  <c r="AB164" i="4"/>
  <c r="P168" i="4"/>
  <c r="N168" i="4"/>
  <c r="AB160" i="4"/>
  <c r="AB159" i="4"/>
  <c r="AB158" i="4"/>
  <c r="AB157" i="4"/>
  <c r="T161" i="4"/>
  <c r="AB161" i="4" s="1"/>
  <c r="P161" i="4"/>
  <c r="N161" i="4"/>
  <c r="L161" i="4"/>
  <c r="AB153" i="4"/>
  <c r="T154" i="4"/>
  <c r="AB154" i="4" s="1"/>
  <c r="S154" i="4"/>
  <c r="R154" i="4"/>
  <c r="Q154" i="4"/>
  <c r="P154" i="4"/>
  <c r="O154" i="4"/>
  <c r="N154" i="4"/>
  <c r="M154" i="4"/>
  <c r="L154" i="4"/>
  <c r="K154" i="4"/>
  <c r="J154" i="4"/>
  <c r="I154" i="4"/>
  <c r="H154" i="4"/>
  <c r="AB140" i="4"/>
  <c r="AB139" i="4"/>
  <c r="AB138" i="4"/>
  <c r="P141" i="4"/>
  <c r="L141" i="4"/>
  <c r="J141" i="4"/>
  <c r="AB134" i="4"/>
  <c r="AB133" i="4"/>
  <c r="P135" i="4"/>
  <c r="N135" i="4"/>
  <c r="J135" i="4"/>
  <c r="AB127" i="4"/>
  <c r="Q130" i="4"/>
  <c r="O130" i="4"/>
  <c r="K130" i="4"/>
  <c r="R124" i="4"/>
  <c r="P124" i="4"/>
  <c r="L124" i="4"/>
  <c r="J124" i="4"/>
  <c r="AB117" i="4"/>
  <c r="AB116" i="4"/>
  <c r="AB115" i="4"/>
  <c r="S118" i="4"/>
  <c r="Q118" i="4"/>
  <c r="O118" i="4"/>
  <c r="M118" i="4"/>
  <c r="K118" i="4"/>
  <c r="I118" i="4"/>
  <c r="AB111" i="4"/>
  <c r="AB110" i="4"/>
  <c r="O112" i="4"/>
  <c r="K112" i="4"/>
  <c r="I112" i="4"/>
  <c r="AB106" i="4"/>
  <c r="AB105" i="4"/>
  <c r="P107" i="4"/>
  <c r="N107" i="4"/>
  <c r="L107" i="4"/>
  <c r="J107" i="4"/>
  <c r="Q101" i="4"/>
  <c r="O101" i="4"/>
  <c r="M101" i="4"/>
  <c r="K101" i="4"/>
  <c r="P95" i="4"/>
  <c r="N95" i="4"/>
  <c r="L95" i="4"/>
  <c r="J95" i="4"/>
  <c r="AB88" i="4"/>
  <c r="AB87" i="4"/>
  <c r="T89" i="4"/>
  <c r="R89" i="4"/>
  <c r="P89" i="4"/>
  <c r="L89" i="4"/>
  <c r="J89" i="4"/>
  <c r="AB80" i="4"/>
  <c r="AB79" i="4"/>
  <c r="T81" i="4"/>
  <c r="R81" i="4"/>
  <c r="P81" i="4"/>
  <c r="N81" i="4"/>
  <c r="L81" i="4"/>
  <c r="J81" i="4"/>
  <c r="AB75" i="4"/>
  <c r="AB70" i="4"/>
  <c r="AB65" i="4"/>
  <c r="AB60" i="4"/>
  <c r="AB55" i="4"/>
  <c r="Q40" i="4"/>
  <c r="O40" i="4"/>
  <c r="M40" i="4"/>
  <c r="K40" i="4"/>
  <c r="AB34" i="4"/>
  <c r="S35" i="4"/>
  <c r="Q35" i="4"/>
  <c r="O35" i="4"/>
  <c r="M35" i="4"/>
  <c r="AB27" i="4"/>
  <c r="AB26" i="4"/>
  <c r="AB25" i="4"/>
  <c r="AB24" i="4"/>
  <c r="AB23" i="4"/>
  <c r="AB22" i="4"/>
  <c r="T29" i="4"/>
  <c r="P29" i="4"/>
  <c r="P146" i="4" s="1"/>
  <c r="P186" i="4" s="1"/>
  <c r="N29" i="4"/>
  <c r="N146" i="4" s="1"/>
  <c r="N186" i="4" s="1"/>
  <c r="L29" i="4"/>
  <c r="L146" i="4" s="1"/>
  <c r="L186" i="4" s="1"/>
  <c r="J29" i="4"/>
  <c r="J146" i="4" s="1"/>
  <c r="J186" i="4" s="1"/>
  <c r="AB15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H323" i="6"/>
  <c r="F321" i="6"/>
  <c r="N19" i="2"/>
  <c r="M19" i="2" s="1"/>
  <c r="N20" i="2"/>
  <c r="M20" i="2" s="1"/>
  <c r="N21" i="2"/>
  <c r="M21" i="2" s="1"/>
  <c r="N25" i="2"/>
  <c r="M25" i="2" s="1"/>
  <c r="N26" i="2"/>
  <c r="M26" i="2" s="1"/>
  <c r="N33" i="2"/>
  <c r="M33" i="2" s="1"/>
  <c r="N34" i="2"/>
  <c r="M34" i="2" s="1"/>
  <c r="N39" i="2"/>
  <c r="M39" i="2" s="1"/>
  <c r="N40" i="2"/>
  <c r="M40" i="2" s="1"/>
  <c r="N42" i="2"/>
  <c r="M42" i="2" s="1"/>
  <c r="N43" i="2"/>
  <c r="M43" i="2" s="1"/>
  <c r="M57" i="2"/>
  <c r="M58" i="2"/>
  <c r="N71" i="2"/>
  <c r="M71" i="2" s="1"/>
  <c r="N72" i="2"/>
  <c r="M72" i="2" s="1"/>
  <c r="N75" i="2"/>
  <c r="M75" i="2" s="1"/>
  <c r="N77" i="2"/>
  <c r="F7" i="2"/>
  <c r="H2" i="52"/>
  <c r="H3" i="52" s="1"/>
  <c r="H4" i="52" s="1"/>
  <c r="H5" i="52" s="1"/>
  <c r="H6" i="52" s="1"/>
  <c r="H7" i="52" s="1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K2" i="52"/>
  <c r="A2" i="50"/>
  <c r="B2" i="49"/>
  <c r="B16" i="49" s="1"/>
  <c r="B2" i="14"/>
  <c r="M8" i="14"/>
  <c r="M9" i="14" s="1"/>
  <c r="M10" i="14" s="1"/>
  <c r="M11" i="14" s="1"/>
  <c r="M12" i="14" s="1"/>
  <c r="M13" i="14" s="1"/>
  <c r="M14" i="14" s="1"/>
  <c r="M15" i="14" s="1"/>
  <c r="M16" i="14" s="1"/>
  <c r="M17" i="14" s="1"/>
  <c r="A2" i="15"/>
  <c r="K9" i="15"/>
  <c r="K10" i="15" s="1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K59" i="15" s="1"/>
  <c r="K60" i="15" s="1"/>
  <c r="K61" i="15" s="1"/>
  <c r="K62" i="15" s="1"/>
  <c r="K63" i="15" s="1"/>
  <c r="K64" i="15" s="1"/>
  <c r="K65" i="15" s="1"/>
  <c r="K66" i="15" s="1"/>
  <c r="K67" i="15" s="1"/>
  <c r="K68" i="15" s="1"/>
  <c r="K69" i="15" s="1"/>
  <c r="K70" i="15" s="1"/>
  <c r="K71" i="15" s="1"/>
  <c r="K72" i="15" s="1"/>
  <c r="K73" i="15" s="1"/>
  <c r="K74" i="15" s="1"/>
  <c r="K75" i="15" s="1"/>
  <c r="K76" i="15" s="1"/>
  <c r="K77" i="15" s="1"/>
  <c r="K78" i="15" s="1"/>
  <c r="K79" i="15" s="1"/>
  <c r="K80" i="15" s="1"/>
  <c r="K81" i="15" s="1"/>
  <c r="K82" i="15" s="1"/>
  <c r="K83" i="15" s="1"/>
  <c r="K84" i="15" s="1"/>
  <c r="K85" i="15" s="1"/>
  <c r="K86" i="15" s="1"/>
  <c r="K87" i="15" s="1"/>
  <c r="K88" i="15" s="1"/>
  <c r="K89" i="15" s="1"/>
  <c r="K90" i="15" s="1"/>
  <c r="K91" i="15" s="1"/>
  <c r="K92" i="15" s="1"/>
  <c r="K93" i="15" s="1"/>
  <c r="K94" i="15" s="1"/>
  <c r="K95" i="15" s="1"/>
  <c r="K96" i="15" s="1"/>
  <c r="K97" i="15" s="1"/>
  <c r="K98" i="15" s="1"/>
  <c r="K99" i="15" s="1"/>
  <c r="K100" i="15" s="1"/>
  <c r="K101" i="15" s="1"/>
  <c r="K102" i="15" s="1"/>
  <c r="K103" i="15" s="1"/>
  <c r="K104" i="15" s="1"/>
  <c r="K105" i="15" s="1"/>
  <c r="K106" i="15" s="1"/>
  <c r="K107" i="15" s="1"/>
  <c r="K108" i="15" s="1"/>
  <c r="K109" i="15" s="1"/>
  <c r="K110" i="15" s="1"/>
  <c r="K111" i="15" s="1"/>
  <c r="K112" i="15" s="1"/>
  <c r="K113" i="15" s="1"/>
  <c r="K114" i="15" s="1"/>
  <c r="K115" i="15" s="1"/>
  <c r="K116" i="15" s="1"/>
  <c r="K117" i="15" s="1"/>
  <c r="K118" i="15" s="1"/>
  <c r="K119" i="15" s="1"/>
  <c r="K120" i="15" s="1"/>
  <c r="K121" i="15" s="1"/>
  <c r="K122" i="15" s="1"/>
  <c r="K123" i="15" s="1"/>
  <c r="K124" i="15" s="1"/>
  <c r="K125" i="15" s="1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s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K154" i="15" s="1"/>
  <c r="K155" i="15" s="1"/>
  <c r="K156" i="15" s="1"/>
  <c r="K157" i="15" s="1"/>
  <c r="K158" i="15" s="1"/>
  <c r="K159" i="15" s="1"/>
  <c r="K160" i="15" s="1"/>
  <c r="K161" i="15" s="1"/>
  <c r="K162" i="15" s="1"/>
  <c r="K163" i="15" s="1"/>
  <c r="K164" i="15" s="1"/>
  <c r="K165" i="15" s="1"/>
  <c r="K166" i="15" s="1"/>
  <c r="K167" i="15" s="1"/>
  <c r="K168" i="15" s="1"/>
  <c r="K169" i="15" s="1"/>
  <c r="K170" i="15" s="1"/>
  <c r="K171" i="15" s="1"/>
  <c r="K172" i="15" s="1"/>
  <c r="K173" i="15" s="1"/>
  <c r="K174" i="15" s="1"/>
  <c r="K175" i="15" s="1"/>
  <c r="K176" i="15" s="1"/>
  <c r="K177" i="15" s="1"/>
  <c r="K178" i="15" s="1"/>
  <c r="K179" i="15" s="1"/>
  <c r="K180" i="15" s="1"/>
  <c r="K181" i="15" s="1"/>
  <c r="K182" i="15" s="1"/>
  <c r="K183" i="15" s="1"/>
  <c r="K184" i="15" s="1"/>
  <c r="K185" i="15" s="1"/>
  <c r="K186" i="15" s="1"/>
  <c r="K187" i="15" s="1"/>
  <c r="K188" i="15" s="1"/>
  <c r="K189" i="15" s="1"/>
  <c r="K190" i="15" s="1"/>
  <c r="K191" i="15" s="1"/>
  <c r="K192" i="15" s="1"/>
  <c r="K193" i="15" s="1"/>
  <c r="K194" i="15" s="1"/>
  <c r="K195" i="15" s="1"/>
  <c r="K196" i="15" s="1"/>
  <c r="K197" i="15" s="1"/>
  <c r="K198" i="15" s="1"/>
  <c r="K199" i="15" s="1"/>
  <c r="K200" i="15" s="1"/>
  <c r="K201" i="15" s="1"/>
  <c r="K202" i="15" s="1"/>
  <c r="K203" i="15" s="1"/>
  <c r="K204" i="15" s="1"/>
  <c r="K205" i="15" s="1"/>
  <c r="K206" i="15" s="1"/>
  <c r="K207" i="15" s="1"/>
  <c r="K208" i="15" s="1"/>
  <c r="K209" i="15" s="1"/>
  <c r="K210" i="15" s="1"/>
  <c r="K211" i="15" s="1"/>
  <c r="K212" i="15" s="1"/>
  <c r="K213" i="15" s="1"/>
  <c r="K214" i="15" s="1"/>
  <c r="K215" i="15" s="1"/>
  <c r="K216" i="15" s="1"/>
  <c r="K217" i="15" s="1"/>
  <c r="K218" i="15" s="1"/>
  <c r="K219" i="15" s="1"/>
  <c r="K220" i="15" s="1"/>
  <c r="K221" i="15" s="1"/>
  <c r="K222" i="15" s="1"/>
  <c r="K223" i="15" s="1"/>
  <c r="K224" i="15" s="1"/>
  <c r="K225" i="15" s="1"/>
  <c r="K226" i="15" s="1"/>
  <c r="K227" i="15" s="1"/>
  <c r="K228" i="15" s="1"/>
  <c r="K229" i="15" s="1"/>
  <c r="K230" i="15" s="1"/>
  <c r="K231" i="15" s="1"/>
  <c r="K232" i="15" s="1"/>
  <c r="K233" i="15" s="1"/>
  <c r="K234" i="15" s="1"/>
  <c r="K235" i="15" s="1"/>
  <c r="K236" i="15" s="1"/>
  <c r="K237" i="15" s="1"/>
  <c r="K238" i="15" s="1"/>
  <c r="K239" i="15" s="1"/>
  <c r="K240" i="15" s="1"/>
  <c r="K241" i="15" s="1"/>
  <c r="K242" i="15" s="1"/>
  <c r="K243" i="15" s="1"/>
  <c r="K244" i="15" s="1"/>
  <c r="K245" i="15" s="1"/>
  <c r="K246" i="15" s="1"/>
  <c r="K247" i="15" s="1"/>
  <c r="K248" i="15" s="1"/>
  <c r="K249" i="15" s="1"/>
  <c r="K250" i="15" s="1"/>
  <c r="K251" i="15" s="1"/>
  <c r="K252" i="15" s="1"/>
  <c r="K253" i="15" s="1"/>
  <c r="K254" i="15" s="1"/>
  <c r="K255" i="15" s="1"/>
  <c r="K256" i="15" s="1"/>
  <c r="K257" i="15" s="1"/>
  <c r="K258" i="15" s="1"/>
  <c r="K259" i="15" s="1"/>
  <c r="K260" i="15" s="1"/>
  <c r="K261" i="15" s="1"/>
  <c r="K262" i="15" s="1"/>
  <c r="K263" i="15" s="1"/>
  <c r="K264" i="15" s="1"/>
  <c r="K265" i="15" s="1"/>
  <c r="K266" i="15" s="1"/>
  <c r="K267" i="15" s="1"/>
  <c r="K268" i="15" s="1"/>
  <c r="K269" i="15" s="1"/>
  <c r="K270" i="15" s="1"/>
  <c r="K271" i="15" s="1"/>
  <c r="K272" i="15" s="1"/>
  <c r="K273" i="15" s="1"/>
  <c r="K274" i="15" s="1"/>
  <c r="F16" i="6"/>
  <c r="F18" i="6"/>
  <c r="F20" i="6"/>
  <c r="F25" i="6"/>
  <c r="F27" i="6"/>
  <c r="F29" i="6"/>
  <c r="F34" i="6"/>
  <c r="F36" i="6"/>
  <c r="F38" i="6"/>
  <c r="F41" i="6"/>
  <c r="F43" i="6"/>
  <c r="F45" i="6"/>
  <c r="F47" i="6"/>
  <c r="F50" i="6"/>
  <c r="F52" i="6"/>
  <c r="F54" i="6"/>
  <c r="F56" i="6"/>
  <c r="F59" i="6"/>
  <c r="F68" i="6"/>
  <c r="F70" i="6"/>
  <c r="F72" i="6"/>
  <c r="F77" i="6"/>
  <c r="F79" i="6"/>
  <c r="F81" i="6"/>
  <c r="F83" i="6"/>
  <c r="F86" i="6"/>
  <c r="F88" i="6"/>
  <c r="F90" i="6"/>
  <c r="F95" i="6"/>
  <c r="F99" i="6"/>
  <c r="F101" i="6"/>
  <c r="F104" i="6"/>
  <c r="F108" i="6"/>
  <c r="F113" i="6"/>
  <c r="F115" i="6"/>
  <c r="F117" i="6"/>
  <c r="F119" i="6"/>
  <c r="F122" i="6"/>
  <c r="F126" i="6"/>
  <c r="F131" i="6"/>
  <c r="F135" i="6"/>
  <c r="F137" i="6"/>
  <c r="F140" i="6"/>
  <c r="F142" i="6"/>
  <c r="F144" i="6"/>
  <c r="F149" i="6"/>
  <c r="F153" i="6"/>
  <c r="F155" i="6"/>
  <c r="F158" i="6"/>
  <c r="F162" i="6"/>
  <c r="F164" i="6"/>
  <c r="F167" i="6"/>
  <c r="F171" i="6"/>
  <c r="F173" i="6"/>
  <c r="F176" i="6"/>
  <c r="F178" i="6"/>
  <c r="F180" i="6"/>
  <c r="F182" i="6"/>
  <c r="F185" i="6"/>
  <c r="F187" i="6"/>
  <c r="F191" i="6"/>
  <c r="F194" i="6"/>
  <c r="F196" i="6"/>
  <c r="F210" i="6"/>
  <c r="F212" i="6"/>
  <c r="F214" i="6"/>
  <c r="F217" i="6"/>
  <c r="F219" i="6"/>
  <c r="F221" i="6"/>
  <c r="F223" i="6"/>
  <c r="F226" i="6"/>
  <c r="I227" i="15"/>
  <c r="F239" i="6"/>
  <c r="F248" i="6"/>
  <c r="F252" i="6"/>
  <c r="F255" i="6"/>
  <c r="F264" i="6"/>
  <c r="I275" i="15"/>
  <c r="F277" i="6"/>
  <c r="I277" i="15"/>
  <c r="F279" i="6"/>
  <c r="I280" i="15"/>
  <c r="F282" i="6"/>
  <c r="I282" i="15"/>
  <c r="I284" i="15"/>
  <c r="F286" i="6"/>
  <c r="I286" i="15"/>
  <c r="F288" i="6"/>
  <c r="I289" i="15"/>
  <c r="F291" i="6"/>
  <c r="I291" i="15"/>
  <c r="F293" i="6"/>
  <c r="I293" i="15"/>
  <c r="I294" i="15"/>
  <c r="I295" i="15"/>
  <c r="F297" i="6"/>
  <c r="I298" i="15"/>
  <c r="I300" i="15"/>
  <c r="I302" i="15"/>
  <c r="I303" i="15"/>
  <c r="I304" i="15"/>
  <c r="F306" i="6"/>
  <c r="I307" i="15"/>
  <c r="I309" i="15"/>
  <c r="F311" i="6"/>
  <c r="I311" i="15"/>
  <c r="I312" i="15"/>
  <c r="I313" i="15"/>
  <c r="F315" i="6"/>
  <c r="I316" i="15"/>
  <c r="F318" i="6"/>
  <c r="I321" i="15"/>
  <c r="I327" i="15"/>
  <c r="I331" i="15"/>
  <c r="I332" i="15"/>
  <c r="I334" i="15"/>
  <c r="I335" i="15"/>
  <c r="I336" i="15"/>
  <c r="F338" i="6"/>
  <c r="I339" i="15"/>
  <c r="I341" i="15"/>
  <c r="I343" i="15"/>
  <c r="I344" i="15"/>
  <c r="I345" i="15"/>
  <c r="F347" i="6"/>
  <c r="I348" i="15"/>
  <c r="F357" i="15"/>
  <c r="I350" i="15"/>
  <c r="I351" i="15"/>
  <c r="F353" i="15"/>
  <c r="I355" i="15"/>
  <c r="I359" i="15"/>
  <c r="I360" i="15"/>
  <c r="I361" i="15"/>
  <c r="D366" i="15"/>
  <c r="I366" i="15"/>
  <c r="I368" i="15"/>
  <c r="G2" i="33"/>
  <c r="G3" i="33" s="1"/>
  <c r="G4" i="33" s="1"/>
  <c r="G5" i="33" s="1"/>
  <c r="G6" i="33" s="1"/>
  <c r="G7" i="33" s="1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AK13" i="33"/>
  <c r="AK14" i="33" s="1"/>
  <c r="AK15" i="33" s="1"/>
  <c r="AK16" i="33" s="1"/>
  <c r="AK17" i="33" s="1"/>
  <c r="AK18" i="33" s="1"/>
  <c r="AK19" i="33" s="1"/>
  <c r="J15" i="33"/>
  <c r="J16" i="33" s="1"/>
  <c r="J17" i="33" s="1"/>
  <c r="J18" i="33" s="1"/>
  <c r="J19" i="33" s="1"/>
  <c r="J20" i="33" s="1"/>
  <c r="J21" i="33" s="1"/>
  <c r="J22" i="33" s="1"/>
  <c r="J23" i="33" s="1"/>
  <c r="J24" i="33" s="1"/>
  <c r="J25" i="33" s="1"/>
  <c r="J26" i="33" s="1"/>
  <c r="J27" i="33" s="1"/>
  <c r="J28" i="33" s="1"/>
  <c r="J29" i="33" s="1"/>
  <c r="J30" i="33" s="1"/>
  <c r="J31" i="33" s="1"/>
  <c r="J32" i="33" s="1"/>
  <c r="J33" i="33" s="1"/>
  <c r="R15" i="33"/>
  <c r="R16" i="33" s="1"/>
  <c r="R17" i="33" s="1"/>
  <c r="R18" i="33" s="1"/>
  <c r="R19" i="33" s="1"/>
  <c r="R20" i="33" s="1"/>
  <c r="R21" i="33" s="1"/>
  <c r="R22" i="33" s="1"/>
  <c r="R23" i="33" s="1"/>
  <c r="R24" i="33" s="1"/>
  <c r="R25" i="33" s="1"/>
  <c r="R26" i="33" s="1"/>
  <c r="R27" i="33" s="1"/>
  <c r="R28" i="33" s="1"/>
  <c r="R29" i="33" s="1"/>
  <c r="R30" i="33" s="1"/>
  <c r="R31" i="33" s="1"/>
  <c r="R32" i="33" s="1"/>
  <c r="B2" i="594"/>
  <c r="C2" i="42"/>
  <c r="A2" i="17"/>
  <c r="G13" i="17"/>
  <c r="H13" i="17" s="1"/>
  <c r="G14" i="17"/>
  <c r="H14" i="17" s="1"/>
  <c r="G15" i="17"/>
  <c r="H15" i="17" s="1"/>
  <c r="G16" i="17"/>
  <c r="H16" i="17" s="1"/>
  <c r="G17" i="17"/>
  <c r="H17" i="17" s="1"/>
  <c r="G18" i="17"/>
  <c r="H18" i="17" s="1"/>
  <c r="G22" i="17"/>
  <c r="G23" i="17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A2" i="16"/>
  <c r="A2" i="548"/>
  <c r="G8" i="548"/>
  <c r="G9" i="548" s="1"/>
  <c r="G10" i="548" s="1"/>
  <c r="G11" i="548" s="1"/>
  <c r="G12" i="548" s="1"/>
  <c r="G13" i="548" s="1"/>
  <c r="G14" i="548" s="1"/>
  <c r="G15" i="548" s="1"/>
  <c r="G16" i="548" s="1"/>
  <c r="G17" i="548" s="1"/>
  <c r="G18" i="548" s="1"/>
  <c r="G19" i="548" s="1"/>
  <c r="G20" i="548" s="1"/>
  <c r="B2" i="139"/>
  <c r="K7" i="139"/>
  <c r="K8" i="139" s="1"/>
  <c r="K9" i="139" s="1"/>
  <c r="K10" i="139" s="1"/>
  <c r="K11" i="139" s="1"/>
  <c r="K12" i="139" s="1"/>
  <c r="K13" i="139" s="1"/>
  <c r="K14" i="139" s="1"/>
  <c r="K15" i="139" s="1"/>
  <c r="K16" i="139" s="1"/>
  <c r="K17" i="139" s="1"/>
  <c r="K18" i="139" s="1"/>
  <c r="K19" i="139" s="1"/>
  <c r="K20" i="139" s="1"/>
  <c r="K21" i="139" s="1"/>
  <c r="K22" i="139" s="1"/>
  <c r="K23" i="139" s="1"/>
  <c r="K24" i="139" s="1"/>
  <c r="K25" i="139" s="1"/>
  <c r="K26" i="139" s="1"/>
  <c r="K27" i="139" s="1"/>
  <c r="K28" i="139" s="1"/>
  <c r="K29" i="139" s="1"/>
  <c r="K30" i="139" s="1"/>
  <c r="K31" i="139" s="1"/>
  <c r="K32" i="139" s="1"/>
  <c r="K33" i="139" s="1"/>
  <c r="K34" i="139" s="1"/>
  <c r="K35" i="139" s="1"/>
  <c r="K36" i="139" s="1"/>
  <c r="K37" i="139" s="1"/>
  <c r="K38" i="139" s="1"/>
  <c r="K39" i="139" s="1"/>
  <c r="K40" i="139" s="1"/>
  <c r="K41" i="139" s="1"/>
  <c r="K42" i="139" s="1"/>
  <c r="K43" i="139" s="1"/>
  <c r="K44" i="139" s="1"/>
  <c r="K45" i="139" s="1"/>
  <c r="K46" i="139" s="1"/>
  <c r="K47" i="139" s="1"/>
  <c r="K48" i="139" s="1"/>
  <c r="K49" i="139" s="1"/>
  <c r="K50" i="139" s="1"/>
  <c r="K51" i="139" s="1"/>
  <c r="K52" i="139" s="1"/>
  <c r="K53" i="139" s="1"/>
  <c r="K54" i="139" s="1"/>
  <c r="K55" i="139" s="1"/>
  <c r="K56" i="139" s="1"/>
  <c r="K57" i="139" s="1"/>
  <c r="K58" i="139" s="1"/>
  <c r="K59" i="139" s="1"/>
  <c r="K60" i="139" s="1"/>
  <c r="K61" i="139" s="1"/>
  <c r="K62" i="139" s="1"/>
  <c r="K63" i="139" s="1"/>
  <c r="K64" i="139" s="1"/>
  <c r="K65" i="139" s="1"/>
  <c r="K66" i="139" s="1"/>
  <c r="K67" i="139" s="1"/>
  <c r="K68" i="139" s="1"/>
  <c r="K69" i="139" s="1"/>
  <c r="K70" i="139" s="1"/>
  <c r="K71" i="139" s="1"/>
  <c r="K72" i="139" s="1"/>
  <c r="K73" i="139" s="1"/>
  <c r="K74" i="139" s="1"/>
  <c r="K75" i="139" s="1"/>
  <c r="K76" i="139" s="1"/>
  <c r="K77" i="139" s="1"/>
  <c r="K78" i="139" s="1"/>
  <c r="K79" i="139" s="1"/>
  <c r="K80" i="139" s="1"/>
  <c r="K81" i="139" s="1"/>
  <c r="K82" i="139" s="1"/>
  <c r="K83" i="139" s="1"/>
  <c r="K84" i="139" s="1"/>
  <c r="K85" i="139" s="1"/>
  <c r="K86" i="139" s="1"/>
  <c r="K87" i="139" s="1"/>
  <c r="K88" i="139" s="1"/>
  <c r="K89" i="139" s="1"/>
  <c r="K90" i="139" s="1"/>
  <c r="K91" i="139" s="1"/>
  <c r="K92" i="139" s="1"/>
  <c r="K93" i="139" s="1"/>
  <c r="K94" i="139" s="1"/>
  <c r="K95" i="139" s="1"/>
  <c r="K96" i="139" s="1"/>
  <c r="K97" i="139" s="1"/>
  <c r="K98" i="139" s="1"/>
  <c r="K99" i="139" s="1"/>
  <c r="K100" i="139" s="1"/>
  <c r="K101" i="139" s="1"/>
  <c r="K102" i="139" s="1"/>
  <c r="K103" i="139" s="1"/>
  <c r="K104" i="139" s="1"/>
  <c r="K105" i="139" s="1"/>
  <c r="K106" i="139" s="1"/>
  <c r="K107" i="139" s="1"/>
  <c r="K108" i="139" s="1"/>
  <c r="K109" i="139" s="1"/>
  <c r="K110" i="139" s="1"/>
  <c r="K111" i="139" s="1"/>
  <c r="K112" i="139" s="1"/>
  <c r="K113" i="139" s="1"/>
  <c r="K114" i="139" s="1"/>
  <c r="K115" i="139" s="1"/>
  <c r="K116" i="139" s="1"/>
  <c r="K117" i="139" s="1"/>
  <c r="K118" i="139" s="1"/>
  <c r="K119" i="139" s="1"/>
  <c r="K120" i="139" s="1"/>
  <c r="K121" i="139" s="1"/>
  <c r="K122" i="139" s="1"/>
  <c r="K123" i="139" s="1"/>
  <c r="K124" i="139" s="1"/>
  <c r="K125" i="139" s="1"/>
  <c r="K126" i="139" s="1"/>
  <c r="K127" i="139" s="1"/>
  <c r="K128" i="139" s="1"/>
  <c r="K129" i="139" s="1"/>
  <c r="K130" i="139" s="1"/>
  <c r="K131" i="139" s="1"/>
  <c r="K132" i="139" s="1"/>
  <c r="K133" i="139" s="1"/>
  <c r="K134" i="139" s="1"/>
  <c r="K135" i="139" s="1"/>
  <c r="K136" i="139" s="1"/>
  <c r="K137" i="139" s="1"/>
  <c r="K138" i="139" s="1"/>
  <c r="K139" i="139" s="1"/>
  <c r="K140" i="139" s="1"/>
  <c r="K141" i="139" s="1"/>
  <c r="K142" i="139" s="1"/>
  <c r="K143" i="139" s="1"/>
  <c r="K144" i="139" s="1"/>
  <c r="K145" i="139" s="1"/>
  <c r="K146" i="139" s="1"/>
  <c r="K147" i="139" s="1"/>
  <c r="K148" i="139" s="1"/>
  <c r="K149" i="139" s="1"/>
  <c r="K150" i="139" s="1"/>
  <c r="K151" i="139" s="1"/>
  <c r="K152" i="139" s="1"/>
  <c r="K153" i="139" s="1"/>
  <c r="K154" i="139" s="1"/>
  <c r="K155" i="139" s="1"/>
  <c r="K156" i="139" s="1"/>
  <c r="A11" i="139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 s="1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 s="1"/>
  <c r="A127" i="139" s="1"/>
  <c r="A128" i="139" s="1"/>
  <c r="A129" i="139" s="1"/>
  <c r="A130" i="139" s="1"/>
  <c r="A131" i="139" s="1"/>
  <c r="A132" i="139" s="1"/>
  <c r="A133" i="139" s="1"/>
  <c r="A134" i="139" s="1"/>
  <c r="A135" i="139" s="1"/>
  <c r="A136" i="139" s="1"/>
  <c r="A137" i="139" s="1"/>
  <c r="A138" i="139" s="1"/>
  <c r="A139" i="139" s="1"/>
  <c r="A140" i="139" s="1"/>
  <c r="A141" i="139" s="1"/>
  <c r="A142" i="139" s="1"/>
  <c r="A143" i="139" s="1"/>
  <c r="A144" i="139" s="1"/>
  <c r="A145" i="139" s="1"/>
  <c r="A146" i="139" s="1"/>
  <c r="A147" i="139" s="1"/>
  <c r="A148" i="139" s="1"/>
  <c r="A149" i="139" s="1"/>
  <c r="A150" i="139" s="1"/>
  <c r="A151" i="139" s="1"/>
  <c r="A152" i="139" s="1"/>
  <c r="A153" i="139" s="1"/>
  <c r="A154" i="139" s="1"/>
  <c r="A155" i="139" s="1"/>
  <c r="A156" i="139" s="1"/>
  <c r="A157" i="139" s="1"/>
  <c r="A158" i="139" s="1"/>
  <c r="A159" i="139" s="1"/>
  <c r="A160" i="139" s="1"/>
  <c r="A161" i="139" s="1"/>
  <c r="A162" i="139" s="1"/>
  <c r="A163" i="139" s="1"/>
  <c r="A164" i="139" s="1"/>
  <c r="A165" i="139" s="1"/>
  <c r="A166" i="139" s="1"/>
  <c r="A167" i="139" s="1"/>
  <c r="A168" i="139" s="1"/>
  <c r="A169" i="139" s="1"/>
  <c r="A170" i="139" s="1"/>
  <c r="A171" i="139" s="1"/>
  <c r="A172" i="139" s="1"/>
  <c r="A173" i="139" s="1"/>
  <c r="A174" i="139" s="1"/>
  <c r="A175" i="139" s="1"/>
  <c r="A176" i="139" s="1"/>
  <c r="A177" i="139" s="1"/>
  <c r="A178" i="139" s="1"/>
  <c r="A179" i="139" s="1"/>
  <c r="A180" i="139" s="1"/>
  <c r="A181" i="139" s="1"/>
  <c r="A182" i="139" s="1"/>
  <c r="A183" i="139" s="1"/>
  <c r="A184" i="139" s="1"/>
  <c r="A185" i="139" s="1"/>
  <c r="A186" i="139" s="1"/>
  <c r="A187" i="139" s="1"/>
  <c r="A188" i="139" s="1"/>
  <c r="A189" i="139" s="1"/>
  <c r="A190" i="139" s="1"/>
  <c r="A191" i="139" s="1"/>
  <c r="A192" i="139" s="1"/>
  <c r="A193" i="139" s="1"/>
  <c r="A194" i="139" s="1"/>
  <c r="A195" i="139" s="1"/>
  <c r="A196" i="139" s="1"/>
  <c r="A197" i="139" s="1"/>
  <c r="A198" i="139" s="1"/>
  <c r="A199" i="139" s="1"/>
  <c r="A200" i="139" s="1"/>
  <c r="A201" i="139" s="1"/>
  <c r="A202" i="139" s="1"/>
  <c r="A203" i="139" s="1"/>
  <c r="A204" i="139" s="1"/>
  <c r="A205" i="139" s="1"/>
  <c r="A206" i="139" s="1"/>
  <c r="A207" i="139" s="1"/>
  <c r="A208" i="139" s="1"/>
  <c r="A209" i="139" s="1"/>
  <c r="A210" i="139" s="1"/>
  <c r="A211" i="139" s="1"/>
  <c r="A212" i="139" s="1"/>
  <c r="A213" i="139" s="1"/>
  <c r="A214" i="139" s="1"/>
  <c r="A215" i="139" s="1"/>
  <c r="A216" i="139" s="1"/>
  <c r="A217" i="139" s="1"/>
  <c r="A218" i="139" s="1"/>
  <c r="A219" i="139" s="1"/>
  <c r="A220" i="139" s="1"/>
  <c r="A221" i="139" s="1"/>
  <c r="A222" i="139" s="1"/>
  <c r="A223" i="139" s="1"/>
  <c r="A224" i="139" s="1"/>
  <c r="A225" i="139" s="1"/>
  <c r="A226" i="139" s="1"/>
  <c r="A227" i="139" s="1"/>
  <c r="A228" i="139" s="1"/>
  <c r="A229" i="139" s="1"/>
  <c r="A230" i="139" s="1"/>
  <c r="A231" i="139" s="1"/>
  <c r="A232" i="139" s="1"/>
  <c r="A233" i="139" s="1"/>
  <c r="A234" i="139" s="1"/>
  <c r="A235" i="139" s="1"/>
  <c r="A236" i="139" s="1"/>
  <c r="A237" i="139" s="1"/>
  <c r="A238" i="139" s="1"/>
  <c r="A239" i="139" s="1"/>
  <c r="A240" i="139" s="1"/>
  <c r="A241" i="139" s="1"/>
  <c r="A242" i="139" s="1"/>
  <c r="A243" i="139" s="1"/>
  <c r="A244" i="139" s="1"/>
  <c r="A245" i="139" s="1"/>
  <c r="A246" i="139" s="1"/>
  <c r="A247" i="139" s="1"/>
  <c r="A248" i="139" s="1"/>
  <c r="A249" i="139" s="1"/>
  <c r="A250" i="139" s="1"/>
  <c r="A251" i="139" s="1"/>
  <c r="A252" i="139" s="1"/>
  <c r="A253" i="139" s="1"/>
  <c r="A254" i="139" s="1"/>
  <c r="A255" i="139" s="1"/>
  <c r="A256" i="139" s="1"/>
  <c r="A257" i="139" s="1"/>
  <c r="A258" i="139" s="1"/>
  <c r="A259" i="139" s="1"/>
  <c r="A260" i="139" s="1"/>
  <c r="A261" i="139" s="1"/>
  <c r="A262" i="139" s="1"/>
  <c r="A263" i="139" s="1"/>
  <c r="A264" i="139" s="1"/>
  <c r="A265" i="139" s="1"/>
  <c r="A266" i="139" s="1"/>
  <c r="A267" i="139" s="1"/>
  <c r="A268" i="139" s="1"/>
  <c r="A269" i="139" s="1"/>
  <c r="A270" i="139" s="1"/>
  <c r="A271" i="139" s="1"/>
  <c r="A272" i="139" s="1"/>
  <c r="A273" i="139" s="1"/>
  <c r="A274" i="139" s="1"/>
  <c r="A275" i="139" s="1"/>
  <c r="A276" i="139" s="1"/>
  <c r="A277" i="139" s="1"/>
  <c r="A278" i="139" s="1"/>
  <c r="A279" i="139" s="1"/>
  <c r="A280" i="139" s="1"/>
  <c r="A281" i="139" s="1"/>
  <c r="A282" i="139" s="1"/>
  <c r="A283" i="139" s="1"/>
  <c r="A284" i="139" s="1"/>
  <c r="A285" i="139" s="1"/>
  <c r="A286" i="139" s="1"/>
  <c r="A287" i="139" s="1"/>
  <c r="A288" i="139" s="1"/>
  <c r="A289" i="139" s="1"/>
  <c r="A290" i="139" s="1"/>
  <c r="A291" i="139" s="1"/>
  <c r="A292" i="139" s="1"/>
  <c r="A293" i="139" s="1"/>
  <c r="A294" i="139" s="1"/>
  <c r="A295" i="139" s="1"/>
  <c r="A296" i="139" s="1"/>
  <c r="A297" i="139" s="1"/>
  <c r="A298" i="139" s="1"/>
  <c r="A299" i="139" s="1"/>
  <c r="A300" i="139" s="1"/>
  <c r="A301" i="139" s="1"/>
  <c r="A302" i="139" s="1"/>
  <c r="A303" i="139" s="1"/>
  <c r="A304" i="139" s="1"/>
  <c r="A305" i="139" s="1"/>
  <c r="A306" i="139" s="1"/>
  <c r="A307" i="139" s="1"/>
  <c r="A308" i="139" s="1"/>
  <c r="A309" i="139" s="1"/>
  <c r="A310" i="139" s="1"/>
  <c r="A311" i="139" s="1"/>
  <c r="A312" i="139" s="1"/>
  <c r="A313" i="139" s="1"/>
  <c r="A314" i="139" s="1"/>
  <c r="A315" i="139" s="1"/>
  <c r="A316" i="139" s="1"/>
  <c r="A317" i="139" s="1"/>
  <c r="A318" i="139" s="1"/>
  <c r="A319" i="139" s="1"/>
  <c r="A320" i="139" s="1"/>
  <c r="A321" i="139" s="1"/>
  <c r="A322" i="139" s="1"/>
  <c r="A323" i="139" s="1"/>
  <c r="A324" i="139" s="1"/>
  <c r="A325" i="139" s="1"/>
  <c r="A326" i="139" s="1"/>
  <c r="A327" i="139" s="1"/>
  <c r="A328" i="139" s="1"/>
  <c r="A329" i="139" s="1"/>
  <c r="A330" i="139" s="1"/>
  <c r="A331" i="139" s="1"/>
  <c r="A332" i="139" s="1"/>
  <c r="A333" i="139" s="1"/>
  <c r="A334" i="139" s="1"/>
  <c r="A335" i="139" s="1"/>
  <c r="A336" i="139" s="1"/>
  <c r="A337" i="139" s="1"/>
  <c r="A338" i="139" s="1"/>
  <c r="A339" i="139" s="1"/>
  <c r="A340" i="139" s="1"/>
  <c r="A341" i="139" s="1"/>
  <c r="A342" i="139" s="1"/>
  <c r="A343" i="139" s="1"/>
  <c r="A344" i="139" s="1"/>
  <c r="A345" i="139" s="1"/>
  <c r="A346" i="139" s="1"/>
  <c r="A347" i="139" s="1"/>
  <c r="A348" i="139" s="1"/>
  <c r="A349" i="139" s="1"/>
  <c r="A350" i="139" s="1"/>
  <c r="A351" i="139" s="1"/>
  <c r="A352" i="139" s="1"/>
  <c r="A353" i="139" s="1"/>
  <c r="A354" i="139" s="1"/>
  <c r="A355" i="139" s="1"/>
  <c r="A356" i="139" s="1"/>
  <c r="A357" i="139" s="1"/>
  <c r="A358" i="139" s="1"/>
  <c r="A359" i="139" s="1"/>
  <c r="A360" i="139" s="1"/>
  <c r="A361" i="139" s="1"/>
  <c r="A362" i="139" s="1"/>
  <c r="A363" i="139" s="1"/>
  <c r="A364" i="139" s="1"/>
  <c r="A365" i="139" s="1"/>
  <c r="A366" i="139" s="1"/>
  <c r="A367" i="139" s="1"/>
  <c r="A368" i="139" s="1"/>
  <c r="A369" i="139" s="1"/>
  <c r="A370" i="139" s="1"/>
  <c r="A371" i="139" s="1"/>
  <c r="A372" i="139" s="1"/>
  <c r="A373" i="139" s="1"/>
  <c r="A374" i="139" s="1"/>
  <c r="A375" i="139" s="1"/>
  <c r="A376" i="139" s="1"/>
  <c r="A377" i="139" s="1"/>
  <c r="A378" i="139" s="1"/>
  <c r="A379" i="139" s="1"/>
  <c r="A380" i="139" s="1"/>
  <c r="A381" i="139" s="1"/>
  <c r="A382" i="139" s="1"/>
  <c r="A383" i="139" s="1"/>
  <c r="A387" i="139" s="1"/>
  <c r="A388" i="139" s="1"/>
  <c r="A389" i="139" s="1"/>
  <c r="A390" i="139" s="1"/>
  <c r="A391" i="139" s="1"/>
  <c r="A392" i="139" s="1"/>
  <c r="A393" i="139" s="1"/>
  <c r="A394" i="139" s="1"/>
  <c r="A395" i="139" s="1"/>
  <c r="A396" i="139" s="1"/>
  <c r="A397" i="139" s="1"/>
  <c r="A398" i="139" s="1"/>
  <c r="A399" i="139" s="1"/>
  <c r="A400" i="139" s="1"/>
  <c r="A401" i="139" s="1"/>
  <c r="A402" i="139" s="1"/>
  <c r="A403" i="139" s="1"/>
  <c r="A404" i="139" s="1"/>
  <c r="A405" i="139" s="1"/>
  <c r="A406" i="139" s="1"/>
  <c r="A407" i="139" s="1"/>
  <c r="A408" i="139" s="1"/>
  <c r="A409" i="139" s="1"/>
  <c r="A410" i="139" s="1"/>
  <c r="A411" i="139" s="1"/>
  <c r="A412" i="139" s="1"/>
  <c r="A413" i="139" s="1"/>
  <c r="A414" i="139" s="1"/>
  <c r="A415" i="139" s="1"/>
  <c r="A416" i="139" s="1"/>
  <c r="A417" i="139" s="1"/>
  <c r="A418" i="139" s="1"/>
  <c r="A419" i="139" s="1"/>
  <c r="A420" i="139" s="1"/>
  <c r="A421" i="139" s="1"/>
  <c r="A422" i="139" s="1"/>
  <c r="A423" i="139" s="1"/>
  <c r="A424" i="139" s="1"/>
  <c r="A425" i="139" s="1"/>
  <c r="A426" i="139" s="1"/>
  <c r="A427" i="139" s="1"/>
  <c r="A428" i="139" s="1"/>
  <c r="A429" i="139" s="1"/>
  <c r="A430" i="139" s="1"/>
  <c r="A431" i="139" s="1"/>
  <c r="J283" i="139"/>
  <c r="J325" i="139"/>
  <c r="J338" i="139"/>
  <c r="J362" i="139"/>
  <c r="J366" i="139"/>
  <c r="J370" i="139"/>
  <c r="J374" i="139"/>
  <c r="J378" i="139"/>
  <c r="J379" i="139"/>
  <c r="AH3" i="4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AE9" i="4"/>
  <c r="AF9" i="4"/>
  <c r="AE11" i="4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E37" i="4" s="1"/>
  <c r="AE38" i="4" s="1"/>
  <c r="AE39" i="4" s="1"/>
  <c r="AE40" i="4" s="1"/>
  <c r="AE41" i="4" s="1"/>
  <c r="AE42" i="4" s="1"/>
  <c r="AE43" i="4" s="1"/>
  <c r="AE44" i="4" s="1"/>
  <c r="AE45" i="4" s="1"/>
  <c r="AE46" i="4" s="1"/>
  <c r="AE47" i="4" s="1"/>
  <c r="AE48" i="4" s="1"/>
  <c r="AE49" i="4" s="1"/>
  <c r="AE50" i="4" s="1"/>
  <c r="AE51" i="4" s="1"/>
  <c r="AE52" i="4" s="1"/>
  <c r="AE53" i="4" s="1"/>
  <c r="AE54" i="4" s="1"/>
  <c r="AE55" i="4" s="1"/>
  <c r="AE56" i="4" s="1"/>
  <c r="AE57" i="4" s="1"/>
  <c r="AE58" i="4" s="1"/>
  <c r="AE59" i="4" s="1"/>
  <c r="AE60" i="4" s="1"/>
  <c r="AE61" i="4" s="1"/>
  <c r="AE62" i="4" s="1"/>
  <c r="AE63" i="4" s="1"/>
  <c r="AE64" i="4" s="1"/>
  <c r="AE65" i="4" s="1"/>
  <c r="AE66" i="4" s="1"/>
  <c r="AE67" i="4" s="1"/>
  <c r="AE68" i="4" s="1"/>
  <c r="AE69" i="4" s="1"/>
  <c r="AE70" i="4" s="1"/>
  <c r="AE71" i="4" s="1"/>
  <c r="AE72" i="4" s="1"/>
  <c r="AE73" i="4" s="1"/>
  <c r="AE74" i="4" s="1"/>
  <c r="AE75" i="4" s="1"/>
  <c r="AE76" i="4" s="1"/>
  <c r="AE77" i="4" s="1"/>
  <c r="AE78" i="4" s="1"/>
  <c r="AE79" i="4" s="1"/>
  <c r="AE80" i="4" s="1"/>
  <c r="AE81" i="4" s="1"/>
  <c r="AE82" i="4" s="1"/>
  <c r="AF11" i="4"/>
  <c r="AF12" i="4" s="1"/>
  <c r="AF13" i="4" s="1"/>
  <c r="AF14" i="4" s="1"/>
  <c r="V15" i="4"/>
  <c r="Y15" i="4"/>
  <c r="AF16" i="4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 s="1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F57" i="4" s="1"/>
  <c r="AF58" i="4" s="1"/>
  <c r="AF59" i="4" s="1"/>
  <c r="AF60" i="4" s="1"/>
  <c r="AF61" i="4" s="1"/>
  <c r="AF62" i="4" s="1"/>
  <c r="AF63" i="4" s="1"/>
  <c r="AF64" i="4" s="1"/>
  <c r="AF65" i="4" s="1"/>
  <c r="AF66" i="4" s="1"/>
  <c r="AF67" i="4" s="1"/>
  <c r="AF68" i="4" s="1"/>
  <c r="AF69" i="4" s="1"/>
  <c r="AF70" i="4" s="1"/>
  <c r="AF71" i="4" s="1"/>
  <c r="AF72" i="4" s="1"/>
  <c r="AF73" i="4" s="1"/>
  <c r="AF74" i="4" s="1"/>
  <c r="AF75" i="4" s="1"/>
  <c r="AF76" i="4" s="1"/>
  <c r="AF77" i="4" s="1"/>
  <c r="AF78" i="4" s="1"/>
  <c r="AF79" i="4" s="1"/>
  <c r="AF80" i="4" s="1"/>
  <c r="AF81" i="4" s="1"/>
  <c r="AF82" i="4" s="1"/>
  <c r="AF83" i="4" s="1"/>
  <c r="AF84" i="4" s="1"/>
  <c r="AF85" i="4" s="1"/>
  <c r="AF86" i="4" s="1"/>
  <c r="AF87" i="4" s="1"/>
  <c r="AF88" i="4" s="1"/>
  <c r="AF89" i="4" s="1"/>
  <c r="AF90" i="4" s="1"/>
  <c r="AF91" i="4" s="1"/>
  <c r="AF92" i="4" s="1"/>
  <c r="AF93" i="4" s="1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F126" i="4" s="1"/>
  <c r="AF127" i="4" s="1"/>
  <c r="AF128" i="4" s="1"/>
  <c r="AF129" i="4" s="1"/>
  <c r="AF130" i="4" s="1"/>
  <c r="AF131" i="4" s="1"/>
  <c r="AF132" i="4" s="1"/>
  <c r="AF133" i="4" s="1"/>
  <c r="AF134" i="4" s="1"/>
  <c r="AF135" i="4" s="1"/>
  <c r="AF136" i="4" s="1"/>
  <c r="AF137" i="4" s="1"/>
  <c r="AF138" i="4" s="1"/>
  <c r="AF139" i="4" s="1"/>
  <c r="AF140" i="4" s="1"/>
  <c r="AF141" i="4" s="1"/>
  <c r="AF142" i="4" s="1"/>
  <c r="AF143" i="4" s="1"/>
  <c r="AF144" i="4" s="1"/>
  <c r="AF145" i="4" s="1"/>
  <c r="AF146" i="4" s="1"/>
  <c r="AF147" i="4" s="1"/>
  <c r="AF148" i="4" s="1"/>
  <c r="AF149" i="4" s="1"/>
  <c r="AF150" i="4" s="1"/>
  <c r="AF151" i="4" s="1"/>
  <c r="AF152" i="4" s="1"/>
  <c r="AF153" i="4" s="1"/>
  <c r="AF154" i="4" s="1"/>
  <c r="AF155" i="4" s="1"/>
  <c r="AF156" i="4" s="1"/>
  <c r="AF157" i="4" s="1"/>
  <c r="AF158" i="4" s="1"/>
  <c r="AF159" i="4" s="1"/>
  <c r="AF160" i="4" s="1"/>
  <c r="AF161" i="4" s="1"/>
  <c r="AF162" i="4" s="1"/>
  <c r="AF163" i="4" s="1"/>
  <c r="AF164" i="4" s="1"/>
  <c r="AF165" i="4" s="1"/>
  <c r="AF166" i="4" s="1"/>
  <c r="AF167" i="4" s="1"/>
  <c r="AF168" i="4" s="1"/>
  <c r="AF169" i="4" s="1"/>
  <c r="AF170" i="4" s="1"/>
  <c r="AF171" i="4" s="1"/>
  <c r="AF172" i="4" s="1"/>
  <c r="AF173" i="4" s="1"/>
  <c r="AF174" i="4" s="1"/>
  <c r="AF175" i="4" s="1"/>
  <c r="AF176" i="4" s="1"/>
  <c r="V33" i="4"/>
  <c r="Y33" i="4"/>
  <c r="AL54" i="4"/>
  <c r="AO54" i="4" s="1"/>
  <c r="Y60" i="4"/>
  <c r="V64" i="4"/>
  <c r="Y65" i="4"/>
  <c r="Y74" i="4"/>
  <c r="AL74" i="4"/>
  <c r="AO74" i="4" s="1"/>
  <c r="V104" i="4"/>
  <c r="V121" i="4"/>
  <c r="Y131" i="4"/>
  <c r="Z131" i="4"/>
  <c r="Y132" i="4"/>
  <c r="Z132" i="4"/>
  <c r="Y134" i="4"/>
  <c r="V153" i="4"/>
  <c r="E22" i="17"/>
  <c r="E23" i="17"/>
  <c r="V173" i="4"/>
  <c r="D12" i="16"/>
  <c r="D13" i="16"/>
  <c r="D14" i="16"/>
  <c r="D15" i="16"/>
  <c r="D16" i="16"/>
  <c r="D17" i="16"/>
  <c r="D19" i="16"/>
  <c r="D20" i="16"/>
  <c r="D21" i="16"/>
  <c r="D22" i="16"/>
  <c r="D23" i="16"/>
  <c r="Y213" i="4"/>
  <c r="Y219" i="4"/>
  <c r="V220" i="4"/>
  <c r="Y225" i="4"/>
  <c r="Y226" i="4"/>
  <c r="V230" i="4"/>
  <c r="V231" i="4"/>
  <c r="Y235" i="4"/>
  <c r="Y246" i="4"/>
  <c r="Y248" i="4"/>
  <c r="Y253" i="4"/>
  <c r="Y254" i="4"/>
  <c r="Y256" i="4"/>
  <c r="V260" i="4"/>
  <c r="AA260" i="4" s="1"/>
  <c r="Y260" i="4"/>
  <c r="AL260" i="4"/>
  <c r="A1" i="3"/>
  <c r="V17" i="3"/>
  <c r="V19" i="3"/>
  <c r="H21" i="3"/>
  <c r="I21" i="3"/>
  <c r="L21" i="3"/>
  <c r="M21" i="3"/>
  <c r="N21" i="3"/>
  <c r="O21" i="3"/>
  <c r="P21" i="3"/>
  <c r="Q21" i="3"/>
  <c r="V22" i="3"/>
  <c r="V24" i="3"/>
  <c r="V26" i="3"/>
  <c r="V28" i="3"/>
  <c r="H30" i="3"/>
  <c r="I30" i="3"/>
  <c r="L30" i="3"/>
  <c r="M30" i="3"/>
  <c r="N30" i="3"/>
  <c r="O30" i="3"/>
  <c r="P30" i="3"/>
  <c r="Q30" i="3"/>
  <c r="V31" i="3"/>
  <c r="V33" i="3"/>
  <c r="V35" i="3"/>
  <c r="V37" i="3"/>
  <c r="H39" i="3"/>
  <c r="I39" i="3"/>
  <c r="L39" i="3"/>
  <c r="M39" i="3"/>
  <c r="N39" i="3"/>
  <c r="O39" i="3"/>
  <c r="P39" i="3"/>
  <c r="Q39" i="3"/>
  <c r="V40" i="3"/>
  <c r="V42" i="3"/>
  <c r="V44" i="3"/>
  <c r="V46" i="3"/>
  <c r="H48" i="3"/>
  <c r="I48" i="3"/>
  <c r="L48" i="3"/>
  <c r="M48" i="3"/>
  <c r="N48" i="3"/>
  <c r="O48" i="3"/>
  <c r="P48" i="3"/>
  <c r="Q48" i="3"/>
  <c r="V49" i="3"/>
  <c r="V51" i="3"/>
  <c r="H57" i="3"/>
  <c r="I57" i="3"/>
  <c r="L57" i="3"/>
  <c r="M57" i="3"/>
  <c r="N57" i="3"/>
  <c r="O57" i="3"/>
  <c r="P57" i="3"/>
  <c r="Q57" i="3"/>
  <c r="V58" i="3"/>
  <c r="V60" i="3"/>
  <c r="H66" i="3"/>
  <c r="I66" i="3"/>
  <c r="L66" i="3"/>
  <c r="M66" i="3"/>
  <c r="N66" i="3"/>
  <c r="O66" i="3"/>
  <c r="P66" i="3"/>
  <c r="Q66" i="3"/>
  <c r="V67" i="3"/>
  <c r="V69" i="3"/>
  <c r="V71" i="3"/>
  <c r="V73" i="3"/>
  <c r="H75" i="3"/>
  <c r="I75" i="3"/>
  <c r="L75" i="3"/>
  <c r="M75" i="3"/>
  <c r="N75" i="3"/>
  <c r="O75" i="3"/>
  <c r="P75" i="3"/>
  <c r="Q75" i="3"/>
  <c r="V76" i="3"/>
  <c r="V78" i="3"/>
  <c r="V80" i="3"/>
  <c r="V82" i="3"/>
  <c r="H84" i="3"/>
  <c r="I84" i="3"/>
  <c r="L84" i="3"/>
  <c r="M84" i="3"/>
  <c r="N84" i="3"/>
  <c r="O84" i="3"/>
  <c r="P84" i="3"/>
  <c r="Q84" i="3"/>
  <c r="V85" i="3"/>
  <c r="V87" i="3"/>
  <c r="V89" i="3"/>
  <c r="V91" i="3"/>
  <c r="H93" i="3"/>
  <c r="I93" i="3"/>
  <c r="L93" i="3"/>
  <c r="M93" i="3"/>
  <c r="N93" i="3"/>
  <c r="O93" i="3"/>
  <c r="P93" i="3"/>
  <c r="Q93" i="3"/>
  <c r="V94" i="3"/>
  <c r="V96" i="3"/>
  <c r="V98" i="3"/>
  <c r="V100" i="3"/>
  <c r="H102" i="3"/>
  <c r="I102" i="3"/>
  <c r="L102" i="3"/>
  <c r="M102" i="3"/>
  <c r="N102" i="3"/>
  <c r="O102" i="3"/>
  <c r="P102" i="3"/>
  <c r="Q102" i="3"/>
  <c r="V103" i="3"/>
  <c r="V105" i="3"/>
  <c r="V107" i="3"/>
  <c r="V109" i="3"/>
  <c r="H111" i="3"/>
  <c r="I111" i="3"/>
  <c r="L111" i="3"/>
  <c r="M111" i="3"/>
  <c r="N111" i="3"/>
  <c r="O111" i="3"/>
  <c r="P111" i="3"/>
  <c r="Q111" i="3"/>
  <c r="V112" i="3"/>
  <c r="V114" i="3"/>
  <c r="V116" i="3"/>
  <c r="V118" i="3"/>
  <c r="H120" i="3"/>
  <c r="I120" i="3"/>
  <c r="L120" i="3"/>
  <c r="M120" i="3"/>
  <c r="N120" i="3"/>
  <c r="O120" i="3"/>
  <c r="P120" i="3"/>
  <c r="Q120" i="3"/>
  <c r="V121" i="3"/>
  <c r="V123" i="3"/>
  <c r="V125" i="3"/>
  <c r="V127" i="3"/>
  <c r="H129" i="3"/>
  <c r="I129" i="3"/>
  <c r="L129" i="3"/>
  <c r="M129" i="3"/>
  <c r="N129" i="3"/>
  <c r="O129" i="3"/>
  <c r="P129" i="3"/>
  <c r="Q129" i="3"/>
  <c r="V130" i="3"/>
  <c r="V132" i="3"/>
  <c r="V134" i="3"/>
  <c r="V136" i="3"/>
  <c r="H138" i="3"/>
  <c r="I138" i="3"/>
  <c r="L138" i="3"/>
  <c r="M138" i="3"/>
  <c r="N138" i="3"/>
  <c r="O138" i="3"/>
  <c r="P138" i="3"/>
  <c r="Q138" i="3"/>
  <c r="V139" i="3"/>
  <c r="V141" i="3"/>
  <c r="V143" i="3"/>
  <c r="V145" i="3"/>
  <c r="H147" i="3"/>
  <c r="I147" i="3"/>
  <c r="L147" i="3"/>
  <c r="M147" i="3"/>
  <c r="N147" i="3"/>
  <c r="O147" i="3"/>
  <c r="P147" i="3"/>
  <c r="Q147" i="3"/>
  <c r="V148" i="3"/>
  <c r="V150" i="3"/>
  <c r="V152" i="3"/>
  <c r="V154" i="3"/>
  <c r="H156" i="3"/>
  <c r="I156" i="3"/>
  <c r="L156" i="3"/>
  <c r="M156" i="3"/>
  <c r="N156" i="3"/>
  <c r="O156" i="3"/>
  <c r="P156" i="3"/>
  <c r="Q156" i="3"/>
  <c r="V157" i="3"/>
  <c r="V159" i="3"/>
  <c r="V161" i="3"/>
  <c r="V163" i="3"/>
  <c r="H165" i="3"/>
  <c r="I165" i="3"/>
  <c r="L165" i="3"/>
  <c r="M165" i="3"/>
  <c r="N165" i="3"/>
  <c r="O165" i="3"/>
  <c r="P165" i="3"/>
  <c r="Q165" i="3"/>
  <c r="V166" i="3"/>
  <c r="V168" i="3"/>
  <c r="V170" i="3"/>
  <c r="V172" i="3"/>
  <c r="H174" i="3"/>
  <c r="I174" i="3"/>
  <c r="L174" i="3"/>
  <c r="M174" i="3"/>
  <c r="N174" i="3"/>
  <c r="O174" i="3"/>
  <c r="P174" i="3"/>
  <c r="Q174" i="3"/>
  <c r="V175" i="3"/>
  <c r="V177" i="3"/>
  <c r="V179" i="3"/>
  <c r="V181" i="3"/>
  <c r="H183" i="3"/>
  <c r="I183" i="3"/>
  <c r="L183" i="3"/>
  <c r="M183" i="3"/>
  <c r="N183" i="3"/>
  <c r="O183" i="3"/>
  <c r="P183" i="3"/>
  <c r="Q183" i="3"/>
  <c r="V184" i="3"/>
  <c r="V186" i="3"/>
  <c r="V188" i="3"/>
  <c r="V190" i="3"/>
  <c r="H192" i="3"/>
  <c r="I192" i="3"/>
  <c r="L192" i="3"/>
  <c r="M192" i="3"/>
  <c r="N192" i="3"/>
  <c r="O192" i="3"/>
  <c r="P192" i="3"/>
  <c r="Q192" i="3"/>
  <c r="V193" i="3"/>
  <c r="V195" i="3"/>
  <c r="V198" i="3"/>
  <c r="V199" i="3"/>
  <c r="V204" i="3"/>
  <c r="V208" i="3"/>
  <c r="V209" i="3"/>
  <c r="V211" i="3"/>
  <c r="V213" i="3"/>
  <c r="H215" i="3"/>
  <c r="I215" i="3"/>
  <c r="L215" i="3"/>
  <c r="M215" i="3"/>
  <c r="N215" i="3"/>
  <c r="O215" i="3"/>
  <c r="P215" i="3"/>
  <c r="Q215" i="3"/>
  <c r="V216" i="3"/>
  <c r="V218" i="3"/>
  <c r="V220" i="3"/>
  <c r="V222" i="3"/>
  <c r="H224" i="3"/>
  <c r="I224" i="3"/>
  <c r="L224" i="3"/>
  <c r="M224" i="3"/>
  <c r="N224" i="3"/>
  <c r="O224" i="3"/>
  <c r="P224" i="3"/>
  <c r="Q224" i="3"/>
  <c r="V225" i="3"/>
  <c r="V227" i="3"/>
  <c r="V228" i="3"/>
  <c r="H229" i="3"/>
  <c r="I229" i="3"/>
  <c r="L229" i="3"/>
  <c r="M229" i="3"/>
  <c r="N229" i="3"/>
  <c r="O229" i="3"/>
  <c r="P229" i="3"/>
  <c r="Q229" i="3"/>
  <c r="H230" i="3"/>
  <c r="I230" i="3"/>
  <c r="L230" i="3"/>
  <c r="M230" i="3"/>
  <c r="N230" i="3"/>
  <c r="O230" i="3"/>
  <c r="P230" i="3"/>
  <c r="Q230" i="3"/>
  <c r="H231" i="3"/>
  <c r="I231" i="3"/>
  <c r="L231" i="3"/>
  <c r="M231" i="3"/>
  <c r="N231" i="3"/>
  <c r="O231" i="3"/>
  <c r="P231" i="3"/>
  <c r="Q231" i="3"/>
  <c r="V233" i="3"/>
  <c r="H234" i="3"/>
  <c r="I234" i="3"/>
  <c r="L234" i="3"/>
  <c r="M234" i="3"/>
  <c r="N234" i="3"/>
  <c r="O234" i="3"/>
  <c r="P234" i="3"/>
  <c r="Q234" i="3"/>
  <c r="V235" i="3"/>
  <c r="H236" i="3"/>
  <c r="I236" i="3"/>
  <c r="L236" i="3"/>
  <c r="M236" i="3"/>
  <c r="N236" i="3"/>
  <c r="O236" i="3"/>
  <c r="P236" i="3"/>
  <c r="Q236" i="3"/>
  <c r="V237" i="3"/>
  <c r="V238" i="3"/>
  <c r="V240" i="3"/>
  <c r="V242" i="3"/>
  <c r="H244" i="3"/>
  <c r="I244" i="3"/>
  <c r="L244" i="3"/>
  <c r="M244" i="3"/>
  <c r="N244" i="3"/>
  <c r="O244" i="3"/>
  <c r="P244" i="3"/>
  <c r="Q244" i="3"/>
  <c r="V245" i="3"/>
  <c r="V247" i="3"/>
  <c r="V249" i="3"/>
  <c r="V251" i="3"/>
  <c r="H253" i="3"/>
  <c r="I253" i="3"/>
  <c r="L253" i="3"/>
  <c r="M253" i="3"/>
  <c r="N253" i="3"/>
  <c r="O253" i="3"/>
  <c r="P253" i="3"/>
  <c r="Q253" i="3"/>
  <c r="V254" i="3"/>
  <c r="V256" i="3"/>
  <c r="V258" i="3"/>
  <c r="V260" i="3"/>
  <c r="H262" i="3"/>
  <c r="I262" i="3"/>
  <c r="L262" i="3"/>
  <c r="M262" i="3"/>
  <c r="N262" i="3"/>
  <c r="O262" i="3"/>
  <c r="P262" i="3"/>
  <c r="Q262" i="3"/>
  <c r="V263" i="3"/>
  <c r="V265" i="3"/>
  <c r="V267" i="3"/>
  <c r="V269" i="3"/>
  <c r="H271" i="3"/>
  <c r="I271" i="3"/>
  <c r="L271" i="3"/>
  <c r="M271" i="3"/>
  <c r="N271" i="3"/>
  <c r="O271" i="3"/>
  <c r="P271" i="3"/>
  <c r="Q271" i="3"/>
  <c r="V272" i="3"/>
  <c r="V274" i="3"/>
  <c r="V276" i="3"/>
  <c r="V278" i="3"/>
  <c r="H280" i="3"/>
  <c r="I280" i="3"/>
  <c r="L280" i="3"/>
  <c r="M280" i="3"/>
  <c r="N280" i="3"/>
  <c r="O280" i="3"/>
  <c r="P280" i="3"/>
  <c r="Q280" i="3"/>
  <c r="V281" i="3"/>
  <c r="V283" i="3"/>
  <c r="V285" i="3"/>
  <c r="V287" i="3"/>
  <c r="H289" i="3"/>
  <c r="I289" i="3"/>
  <c r="L289" i="3"/>
  <c r="M289" i="3"/>
  <c r="N289" i="3"/>
  <c r="O289" i="3"/>
  <c r="P289" i="3"/>
  <c r="Q289" i="3"/>
  <c r="V290" i="3"/>
  <c r="V292" i="3"/>
  <c r="V294" i="3"/>
  <c r="V296" i="3"/>
  <c r="H298" i="3"/>
  <c r="I298" i="3"/>
  <c r="L298" i="3"/>
  <c r="M298" i="3"/>
  <c r="N298" i="3"/>
  <c r="O298" i="3"/>
  <c r="P298" i="3"/>
  <c r="Q298" i="3"/>
  <c r="V299" i="3"/>
  <c r="V301" i="3"/>
  <c r="V303" i="3"/>
  <c r="V305" i="3"/>
  <c r="H307" i="3"/>
  <c r="I307" i="3"/>
  <c r="L307" i="3"/>
  <c r="M307" i="3"/>
  <c r="N307" i="3"/>
  <c r="O307" i="3"/>
  <c r="P307" i="3"/>
  <c r="Q307" i="3"/>
  <c r="V308" i="3"/>
  <c r="V310" i="3"/>
  <c r="V312" i="3"/>
  <c r="V314" i="3"/>
  <c r="H316" i="3"/>
  <c r="I316" i="3"/>
  <c r="L316" i="3"/>
  <c r="M316" i="3"/>
  <c r="N316" i="3"/>
  <c r="O316" i="3"/>
  <c r="P316" i="3"/>
  <c r="Q316" i="3"/>
  <c r="V317" i="3"/>
  <c r="V322" i="3"/>
  <c r="V328" i="3"/>
  <c r="V332" i="3"/>
  <c r="V333" i="3"/>
  <c r="V335" i="3"/>
  <c r="V337" i="3"/>
  <c r="H339" i="3"/>
  <c r="I339" i="3"/>
  <c r="L339" i="3"/>
  <c r="M339" i="3"/>
  <c r="N339" i="3"/>
  <c r="O339" i="3"/>
  <c r="P339" i="3"/>
  <c r="Q339" i="3"/>
  <c r="V340" i="3"/>
  <c r="V342" i="3"/>
  <c r="V344" i="3"/>
  <c r="V346" i="3"/>
  <c r="H348" i="3"/>
  <c r="I348" i="3"/>
  <c r="L348" i="3"/>
  <c r="M348" i="3"/>
  <c r="N348" i="3"/>
  <c r="O348" i="3"/>
  <c r="P348" i="3"/>
  <c r="Q348" i="3"/>
  <c r="V351" i="3"/>
  <c r="V352" i="3"/>
  <c r="H353" i="3"/>
  <c r="I353" i="3"/>
  <c r="L353" i="3"/>
  <c r="M353" i="3"/>
  <c r="N353" i="3"/>
  <c r="O353" i="3"/>
  <c r="P353" i="3"/>
  <c r="Q353" i="3"/>
  <c r="H354" i="3"/>
  <c r="I354" i="3"/>
  <c r="L354" i="3"/>
  <c r="M354" i="3"/>
  <c r="N354" i="3"/>
  <c r="O354" i="3"/>
  <c r="P354" i="3"/>
  <c r="Q354" i="3"/>
  <c r="S354" i="3"/>
  <c r="V356" i="3"/>
  <c r="H357" i="3"/>
  <c r="I357" i="3"/>
  <c r="L357" i="3"/>
  <c r="M357" i="3"/>
  <c r="N357" i="3"/>
  <c r="O357" i="3"/>
  <c r="P357" i="3"/>
  <c r="Q357" i="3"/>
  <c r="H358" i="3"/>
  <c r="I358" i="3"/>
  <c r="L358" i="3"/>
  <c r="M358" i="3"/>
  <c r="N358" i="3"/>
  <c r="O358" i="3"/>
  <c r="P358" i="3"/>
  <c r="Q358" i="3"/>
  <c r="H359" i="3"/>
  <c r="I359" i="3"/>
  <c r="L359" i="3"/>
  <c r="M359" i="3"/>
  <c r="N359" i="3"/>
  <c r="O359" i="3"/>
  <c r="P359" i="3"/>
  <c r="Q359" i="3"/>
  <c r="V360" i="3"/>
  <c r="V367" i="3"/>
  <c r="V369" i="3"/>
  <c r="V373" i="3"/>
  <c r="V374" i="3"/>
  <c r="V375" i="3"/>
  <c r="V376" i="3"/>
  <c r="V377" i="3"/>
  <c r="V378" i="3"/>
  <c r="V379" i="3"/>
  <c r="H382" i="3"/>
  <c r="I382" i="3"/>
  <c r="L382" i="3"/>
  <c r="M382" i="3"/>
  <c r="N382" i="3"/>
  <c r="O382" i="3"/>
  <c r="P382" i="3"/>
  <c r="Q382" i="3"/>
  <c r="V383" i="3"/>
  <c r="V384" i="3"/>
  <c r="H387" i="3"/>
  <c r="I387" i="3"/>
  <c r="L387" i="3"/>
  <c r="M387" i="3"/>
  <c r="N387" i="3"/>
  <c r="O387" i="3"/>
  <c r="P387" i="3"/>
  <c r="Q387" i="3"/>
  <c r="V388" i="3"/>
  <c r="V389" i="3"/>
  <c r="H392" i="3"/>
  <c r="I392" i="3"/>
  <c r="L392" i="3"/>
  <c r="M392" i="3"/>
  <c r="N392" i="3"/>
  <c r="O392" i="3"/>
  <c r="P392" i="3"/>
  <c r="Q392" i="3"/>
  <c r="V393" i="3"/>
  <c r="V394" i="3"/>
  <c r="H397" i="3"/>
  <c r="I397" i="3"/>
  <c r="L397" i="3"/>
  <c r="M397" i="3"/>
  <c r="N397" i="3"/>
  <c r="O397" i="3"/>
  <c r="P397" i="3"/>
  <c r="Q397" i="3"/>
  <c r="V398" i="3"/>
  <c r="V399" i="3"/>
  <c r="H402" i="3"/>
  <c r="I402" i="3"/>
  <c r="L402" i="3"/>
  <c r="M402" i="3"/>
  <c r="N402" i="3"/>
  <c r="O402" i="3"/>
  <c r="P402" i="3"/>
  <c r="Q402" i="3"/>
  <c r="V403" i="3"/>
  <c r="V404" i="3"/>
  <c r="H407" i="3"/>
  <c r="I407" i="3"/>
  <c r="L407" i="3"/>
  <c r="M407" i="3"/>
  <c r="N407" i="3"/>
  <c r="O407" i="3"/>
  <c r="P407" i="3"/>
  <c r="Q407" i="3"/>
  <c r="V408" i="3"/>
  <c r="V409" i="3"/>
  <c r="H412" i="3"/>
  <c r="I412" i="3"/>
  <c r="L412" i="3"/>
  <c r="M412" i="3"/>
  <c r="N412" i="3"/>
  <c r="O412" i="3"/>
  <c r="P412" i="3"/>
  <c r="Q412" i="3"/>
  <c r="V413" i="3"/>
  <c r="V414" i="3"/>
  <c r="H417" i="3"/>
  <c r="I417" i="3"/>
  <c r="L417" i="3"/>
  <c r="M417" i="3"/>
  <c r="N417" i="3"/>
  <c r="O417" i="3"/>
  <c r="P417" i="3"/>
  <c r="Q417" i="3"/>
  <c r="V418" i="3"/>
  <c r="V419" i="3"/>
  <c r="H422" i="3"/>
  <c r="I422" i="3"/>
  <c r="L422" i="3"/>
  <c r="M422" i="3"/>
  <c r="N422" i="3"/>
  <c r="O422" i="3"/>
  <c r="P422" i="3"/>
  <c r="Q422" i="3"/>
  <c r="V423" i="3"/>
  <c r="V424" i="3"/>
  <c r="H427" i="3"/>
  <c r="I427" i="3"/>
  <c r="L427" i="3"/>
  <c r="M427" i="3"/>
  <c r="N427" i="3"/>
  <c r="O427" i="3"/>
  <c r="P427" i="3"/>
  <c r="Q427" i="3"/>
  <c r="V428" i="3"/>
  <c r="V429" i="3"/>
  <c r="H432" i="3"/>
  <c r="I432" i="3"/>
  <c r="L432" i="3"/>
  <c r="M432" i="3"/>
  <c r="N432" i="3"/>
  <c r="O432" i="3"/>
  <c r="P432" i="3"/>
  <c r="Q432" i="3"/>
  <c r="V433" i="3"/>
  <c r="V434" i="3"/>
  <c r="H437" i="3"/>
  <c r="I437" i="3"/>
  <c r="L437" i="3"/>
  <c r="M437" i="3"/>
  <c r="N437" i="3"/>
  <c r="O437" i="3"/>
  <c r="P437" i="3"/>
  <c r="Q437" i="3"/>
  <c r="V438" i="3"/>
  <c r="V439" i="3"/>
  <c r="H442" i="3"/>
  <c r="I442" i="3"/>
  <c r="L442" i="3"/>
  <c r="M442" i="3"/>
  <c r="N442" i="3"/>
  <c r="O442" i="3"/>
  <c r="P442" i="3"/>
  <c r="Q442" i="3"/>
  <c r="V443" i="3"/>
  <c r="V444" i="3"/>
  <c r="H447" i="3"/>
  <c r="I447" i="3"/>
  <c r="L447" i="3"/>
  <c r="M447" i="3"/>
  <c r="N447" i="3"/>
  <c r="O447" i="3"/>
  <c r="P447" i="3"/>
  <c r="Q447" i="3"/>
  <c r="V448" i="3"/>
  <c r="V449" i="3"/>
  <c r="H452" i="3"/>
  <c r="I452" i="3"/>
  <c r="L452" i="3"/>
  <c r="M452" i="3"/>
  <c r="N452" i="3"/>
  <c r="O452" i="3"/>
  <c r="P452" i="3"/>
  <c r="Q452" i="3"/>
  <c r="V453" i="3"/>
  <c r="V454" i="3"/>
  <c r="H457" i="3"/>
  <c r="I457" i="3"/>
  <c r="L457" i="3"/>
  <c r="M457" i="3"/>
  <c r="N457" i="3"/>
  <c r="O457" i="3"/>
  <c r="P457" i="3"/>
  <c r="Q457" i="3"/>
  <c r="V458" i="3"/>
  <c r="V459" i="3"/>
  <c r="H462" i="3"/>
  <c r="I462" i="3"/>
  <c r="L462" i="3"/>
  <c r="M462" i="3"/>
  <c r="N462" i="3"/>
  <c r="O462" i="3"/>
  <c r="P462" i="3"/>
  <c r="Q462" i="3"/>
  <c r="V463" i="3"/>
  <c r="V464" i="3"/>
  <c r="H467" i="3"/>
  <c r="I467" i="3"/>
  <c r="L467" i="3"/>
  <c r="M467" i="3"/>
  <c r="N467" i="3"/>
  <c r="O467" i="3"/>
  <c r="P467" i="3"/>
  <c r="Q467" i="3"/>
  <c r="V468" i="3"/>
  <c r="V469" i="3"/>
  <c r="H472" i="3"/>
  <c r="I472" i="3"/>
  <c r="L472" i="3"/>
  <c r="M472" i="3"/>
  <c r="N472" i="3"/>
  <c r="O472" i="3"/>
  <c r="P472" i="3"/>
  <c r="Q472" i="3"/>
  <c r="V473" i="3"/>
  <c r="V474" i="3"/>
  <c r="H477" i="3"/>
  <c r="I477" i="3"/>
  <c r="L477" i="3"/>
  <c r="M477" i="3"/>
  <c r="N477" i="3"/>
  <c r="O477" i="3"/>
  <c r="P477" i="3"/>
  <c r="Q477" i="3"/>
  <c r="V478" i="3"/>
  <c r="V479" i="3"/>
  <c r="H482" i="3"/>
  <c r="I482" i="3"/>
  <c r="L482" i="3"/>
  <c r="M482" i="3"/>
  <c r="N482" i="3"/>
  <c r="O482" i="3"/>
  <c r="P482" i="3"/>
  <c r="Q482" i="3"/>
  <c r="V483" i="3"/>
  <c r="V484" i="3"/>
  <c r="H487" i="3"/>
  <c r="I487" i="3"/>
  <c r="L487" i="3"/>
  <c r="M487" i="3"/>
  <c r="N487" i="3"/>
  <c r="O487" i="3"/>
  <c r="P487" i="3"/>
  <c r="Q487" i="3"/>
  <c r="V488" i="3"/>
  <c r="V489" i="3"/>
  <c r="H492" i="3"/>
  <c r="I492" i="3"/>
  <c r="L492" i="3"/>
  <c r="M492" i="3"/>
  <c r="N492" i="3"/>
  <c r="O492" i="3"/>
  <c r="P492" i="3"/>
  <c r="Q492" i="3"/>
  <c r="V493" i="3"/>
  <c r="V494" i="3"/>
  <c r="H497" i="3"/>
  <c r="I497" i="3"/>
  <c r="L497" i="3"/>
  <c r="M497" i="3"/>
  <c r="N497" i="3"/>
  <c r="O497" i="3"/>
  <c r="P497" i="3"/>
  <c r="Q497" i="3"/>
  <c r="V498" i="3"/>
  <c r="V499" i="3"/>
  <c r="V500" i="3"/>
  <c r="H501" i="3"/>
  <c r="I501" i="3"/>
  <c r="L501" i="3"/>
  <c r="M501" i="3"/>
  <c r="N501" i="3"/>
  <c r="O501" i="3"/>
  <c r="P501" i="3"/>
  <c r="Q501" i="3"/>
  <c r="Q14" i="5" s="1"/>
  <c r="H502" i="3"/>
  <c r="I502" i="3"/>
  <c r="L502" i="3"/>
  <c r="M502" i="3"/>
  <c r="N502" i="3"/>
  <c r="O502" i="3"/>
  <c r="P502" i="3"/>
  <c r="Q502" i="3"/>
  <c r="Q15" i="5" s="1"/>
  <c r="H503" i="3"/>
  <c r="I503" i="3"/>
  <c r="L503" i="3"/>
  <c r="M503" i="3"/>
  <c r="N503" i="3"/>
  <c r="O503" i="3"/>
  <c r="P503" i="3"/>
  <c r="Q503" i="3"/>
  <c r="V504" i="3"/>
  <c r="F14" i="5"/>
  <c r="H505" i="3"/>
  <c r="I505" i="3"/>
  <c r="L505" i="3"/>
  <c r="M505" i="3"/>
  <c r="N505" i="3"/>
  <c r="O505" i="3"/>
  <c r="P505" i="3"/>
  <c r="Q505" i="3"/>
  <c r="H506" i="3"/>
  <c r="I506" i="3"/>
  <c r="L506" i="3"/>
  <c r="M506" i="3"/>
  <c r="N506" i="3"/>
  <c r="O506" i="3"/>
  <c r="P506" i="3"/>
  <c r="Q506" i="3"/>
  <c r="H507" i="3"/>
  <c r="I507" i="3"/>
  <c r="L507" i="3"/>
  <c r="M507" i="3"/>
  <c r="N507" i="3"/>
  <c r="O507" i="3"/>
  <c r="P507" i="3"/>
  <c r="Q507" i="3"/>
  <c r="V508" i="3"/>
  <c r="V513" i="3"/>
  <c r="V514" i="3"/>
  <c r="V515" i="3"/>
  <c r="V516" i="3"/>
  <c r="V517" i="3"/>
  <c r="V518" i="3"/>
  <c r="V519" i="3"/>
  <c r="V520" i="3"/>
  <c r="H523" i="3"/>
  <c r="I523" i="3"/>
  <c r="L523" i="3"/>
  <c r="M523" i="3"/>
  <c r="N523" i="3"/>
  <c r="O523" i="3"/>
  <c r="P523" i="3"/>
  <c r="Q523" i="3"/>
  <c r="V525" i="3"/>
  <c r="H528" i="3"/>
  <c r="I528" i="3"/>
  <c r="L528" i="3"/>
  <c r="M528" i="3"/>
  <c r="N528" i="3"/>
  <c r="O528" i="3"/>
  <c r="P528" i="3"/>
  <c r="Q528" i="3"/>
  <c r="V530" i="3"/>
  <c r="H533" i="3"/>
  <c r="I533" i="3"/>
  <c r="L533" i="3"/>
  <c r="M533" i="3"/>
  <c r="N533" i="3"/>
  <c r="O533" i="3"/>
  <c r="P533" i="3"/>
  <c r="Q533" i="3"/>
  <c r="V535" i="3"/>
  <c r="H538" i="3"/>
  <c r="I538" i="3"/>
  <c r="L538" i="3"/>
  <c r="M538" i="3"/>
  <c r="N538" i="3"/>
  <c r="O538" i="3"/>
  <c r="P538" i="3"/>
  <c r="Q538" i="3"/>
  <c r="V540" i="3"/>
  <c r="H543" i="3"/>
  <c r="I543" i="3"/>
  <c r="L543" i="3"/>
  <c r="M543" i="3"/>
  <c r="N543" i="3"/>
  <c r="O543" i="3"/>
  <c r="P543" i="3"/>
  <c r="Q543" i="3"/>
  <c r="V545" i="3"/>
  <c r="H548" i="3"/>
  <c r="I548" i="3"/>
  <c r="L548" i="3"/>
  <c r="M548" i="3"/>
  <c r="N548" i="3"/>
  <c r="O548" i="3"/>
  <c r="P548" i="3"/>
  <c r="Q548" i="3"/>
  <c r="V550" i="3"/>
  <c r="H553" i="3"/>
  <c r="I553" i="3"/>
  <c r="L553" i="3"/>
  <c r="M553" i="3"/>
  <c r="N553" i="3"/>
  <c r="O553" i="3"/>
  <c r="P553" i="3"/>
  <c r="Q553" i="3"/>
  <c r="V555" i="3"/>
  <c r="H558" i="3"/>
  <c r="I558" i="3"/>
  <c r="L558" i="3"/>
  <c r="M558" i="3"/>
  <c r="N558" i="3"/>
  <c r="O558" i="3"/>
  <c r="P558" i="3"/>
  <c r="Q558" i="3"/>
  <c r="V560" i="3"/>
  <c r="H563" i="3"/>
  <c r="I563" i="3"/>
  <c r="L563" i="3"/>
  <c r="M563" i="3"/>
  <c r="N563" i="3"/>
  <c r="O563" i="3"/>
  <c r="P563" i="3"/>
  <c r="Q563" i="3"/>
  <c r="V565" i="3"/>
  <c r="H568" i="3"/>
  <c r="I568" i="3"/>
  <c r="L568" i="3"/>
  <c r="M568" i="3"/>
  <c r="N568" i="3"/>
  <c r="O568" i="3"/>
  <c r="P568" i="3"/>
  <c r="Q568" i="3"/>
  <c r="V570" i="3"/>
  <c r="H573" i="3"/>
  <c r="I573" i="3"/>
  <c r="L573" i="3"/>
  <c r="M573" i="3"/>
  <c r="N573" i="3"/>
  <c r="O573" i="3"/>
  <c r="P573" i="3"/>
  <c r="Q573" i="3"/>
  <c r="V575" i="3"/>
  <c r="H578" i="3"/>
  <c r="I578" i="3"/>
  <c r="L578" i="3"/>
  <c r="M578" i="3"/>
  <c r="N578" i="3"/>
  <c r="O578" i="3"/>
  <c r="P578" i="3"/>
  <c r="Q578" i="3"/>
  <c r="V580" i="3"/>
  <c r="H583" i="3"/>
  <c r="I583" i="3"/>
  <c r="L583" i="3"/>
  <c r="M583" i="3"/>
  <c r="N583" i="3"/>
  <c r="O583" i="3"/>
  <c r="P583" i="3"/>
  <c r="Q583" i="3"/>
  <c r="V585" i="3"/>
  <c r="H588" i="3"/>
  <c r="I588" i="3"/>
  <c r="L588" i="3"/>
  <c r="M588" i="3"/>
  <c r="N588" i="3"/>
  <c r="O588" i="3"/>
  <c r="P588" i="3"/>
  <c r="Q588" i="3"/>
  <c r="V590" i="3"/>
  <c r="H593" i="3"/>
  <c r="I593" i="3"/>
  <c r="L593" i="3"/>
  <c r="M593" i="3"/>
  <c r="N593" i="3"/>
  <c r="O593" i="3"/>
  <c r="P593" i="3"/>
  <c r="Q593" i="3"/>
  <c r="V595" i="3"/>
  <c r="H598" i="3"/>
  <c r="I598" i="3"/>
  <c r="L598" i="3"/>
  <c r="M598" i="3"/>
  <c r="N598" i="3"/>
  <c r="O598" i="3"/>
  <c r="P598" i="3"/>
  <c r="Q598" i="3"/>
  <c r="V600" i="3"/>
  <c r="H603" i="3"/>
  <c r="I603" i="3"/>
  <c r="L603" i="3"/>
  <c r="M603" i="3"/>
  <c r="N603" i="3"/>
  <c r="O603" i="3"/>
  <c r="P603" i="3"/>
  <c r="Q603" i="3"/>
  <c r="V605" i="3"/>
  <c r="H608" i="3"/>
  <c r="I608" i="3"/>
  <c r="L608" i="3"/>
  <c r="M608" i="3"/>
  <c r="N608" i="3"/>
  <c r="O608" i="3"/>
  <c r="P608" i="3"/>
  <c r="Q608" i="3"/>
  <c r="V610" i="3"/>
  <c r="H613" i="3"/>
  <c r="I613" i="3"/>
  <c r="L613" i="3"/>
  <c r="M613" i="3"/>
  <c r="N613" i="3"/>
  <c r="O613" i="3"/>
  <c r="P613" i="3"/>
  <c r="Q613" i="3"/>
  <c r="V615" i="3"/>
  <c r="H618" i="3"/>
  <c r="I618" i="3"/>
  <c r="L618" i="3"/>
  <c r="M618" i="3"/>
  <c r="N618" i="3"/>
  <c r="O618" i="3"/>
  <c r="P618" i="3"/>
  <c r="Q618" i="3"/>
  <c r="V620" i="3"/>
  <c r="H623" i="3"/>
  <c r="I623" i="3"/>
  <c r="L623" i="3"/>
  <c r="M623" i="3"/>
  <c r="N623" i="3"/>
  <c r="O623" i="3"/>
  <c r="P623" i="3"/>
  <c r="Q623" i="3"/>
  <c r="V625" i="3"/>
  <c r="F24" i="5"/>
  <c r="H628" i="3"/>
  <c r="H631" i="3" s="1"/>
  <c r="H24" i="5" s="1"/>
  <c r="I628" i="3"/>
  <c r="I631" i="3" s="1"/>
  <c r="I24" i="5" s="1"/>
  <c r="L628" i="3"/>
  <c r="L631" i="3" s="1"/>
  <c r="L24" i="5" s="1"/>
  <c r="M628" i="3"/>
  <c r="M631" i="3" s="1"/>
  <c r="M24" i="5" s="1"/>
  <c r="N628" i="3"/>
  <c r="N631" i="3" s="1"/>
  <c r="N24" i="5" s="1"/>
  <c r="O628" i="3"/>
  <c r="O631" i="3" s="1"/>
  <c r="O24" i="5" s="1"/>
  <c r="P628" i="3"/>
  <c r="P631" i="3" s="1"/>
  <c r="P24" i="5" s="1"/>
  <c r="P26" i="5" s="1"/>
  <c r="Q628" i="3"/>
  <c r="Q631" i="3" s="1"/>
  <c r="Q24" i="5" s="1"/>
  <c r="Q26" i="5" s="1"/>
  <c r="V630" i="3"/>
  <c r="H632" i="3"/>
  <c r="I632" i="3"/>
  <c r="L632" i="3"/>
  <c r="M632" i="3"/>
  <c r="N632" i="3"/>
  <c r="O632" i="3"/>
  <c r="P632" i="3"/>
  <c r="Q632" i="3"/>
  <c r="F25" i="5"/>
  <c r="H633" i="3"/>
  <c r="H25" i="5" s="1"/>
  <c r="I633" i="3"/>
  <c r="I25" i="5" s="1"/>
  <c r="L633" i="3"/>
  <c r="L25" i="5" s="1"/>
  <c r="M633" i="3"/>
  <c r="M25" i="5" s="1"/>
  <c r="N633" i="3"/>
  <c r="N25" i="5" s="1"/>
  <c r="O633" i="3"/>
  <c r="O25" i="5" s="1"/>
  <c r="P633" i="3"/>
  <c r="P25" i="5" s="1"/>
  <c r="Q633" i="3"/>
  <c r="Q25" i="5" s="1"/>
  <c r="H634" i="3"/>
  <c r="I634" i="3"/>
  <c r="L634" i="3"/>
  <c r="M634" i="3"/>
  <c r="N634" i="3"/>
  <c r="O634" i="3"/>
  <c r="P634" i="3"/>
  <c r="Q634" i="3"/>
  <c r="V637" i="3"/>
  <c r="V638" i="3"/>
  <c r="V640" i="3"/>
  <c r="V641" i="3"/>
  <c r="V642" i="3"/>
  <c r="V643" i="3"/>
  <c r="V644" i="3"/>
  <c r="V645" i="3"/>
  <c r="V648" i="3"/>
  <c r="F29" i="5"/>
  <c r="H649" i="3"/>
  <c r="H29" i="5" s="1"/>
  <c r="I649" i="3"/>
  <c r="I29" i="5" s="1"/>
  <c r="L649" i="3"/>
  <c r="L29" i="5" s="1"/>
  <c r="M649" i="3"/>
  <c r="M29" i="5" s="1"/>
  <c r="N649" i="3"/>
  <c r="N29" i="5" s="1"/>
  <c r="O649" i="3"/>
  <c r="O29" i="5" s="1"/>
  <c r="P649" i="3"/>
  <c r="P29" i="5" s="1"/>
  <c r="Q649" i="3"/>
  <c r="Q29" i="5" s="1"/>
  <c r="V650" i="3"/>
  <c r="V651" i="3"/>
  <c r="V652" i="3"/>
  <c r="V653" i="3"/>
  <c r="H656" i="3"/>
  <c r="I656" i="3"/>
  <c r="L656" i="3"/>
  <c r="M656" i="3"/>
  <c r="N656" i="3"/>
  <c r="O656" i="3"/>
  <c r="P656" i="3"/>
  <c r="Q656" i="3"/>
  <c r="V657" i="3"/>
  <c r="V658" i="3"/>
  <c r="H661" i="3"/>
  <c r="I661" i="3"/>
  <c r="L661" i="3"/>
  <c r="M661" i="3"/>
  <c r="N661" i="3"/>
  <c r="O661" i="3"/>
  <c r="P661" i="3"/>
  <c r="Q661" i="3"/>
  <c r="V662" i="3"/>
  <c r="V663" i="3"/>
  <c r="H666" i="3"/>
  <c r="I666" i="3"/>
  <c r="L666" i="3"/>
  <c r="M666" i="3"/>
  <c r="N666" i="3"/>
  <c r="O666" i="3"/>
  <c r="P666" i="3"/>
  <c r="Q666" i="3"/>
  <c r="V667" i="3"/>
  <c r="V668" i="3"/>
  <c r="H671" i="3"/>
  <c r="I671" i="3"/>
  <c r="L671" i="3"/>
  <c r="M671" i="3"/>
  <c r="N671" i="3"/>
  <c r="O671" i="3"/>
  <c r="P671" i="3"/>
  <c r="Q671" i="3"/>
  <c r="V672" i="3"/>
  <c r="V673" i="3"/>
  <c r="H676" i="3"/>
  <c r="I676" i="3"/>
  <c r="L676" i="3"/>
  <c r="M676" i="3"/>
  <c r="N676" i="3"/>
  <c r="O676" i="3"/>
  <c r="P676" i="3"/>
  <c r="Q676" i="3"/>
  <c r="V677" i="3"/>
  <c r="V678" i="3"/>
  <c r="H681" i="3"/>
  <c r="I681" i="3"/>
  <c r="L681" i="3"/>
  <c r="M681" i="3"/>
  <c r="N681" i="3"/>
  <c r="O681" i="3"/>
  <c r="P681" i="3"/>
  <c r="Q681" i="3"/>
  <c r="V682" i="3"/>
  <c r="V683" i="3"/>
  <c r="H686" i="3"/>
  <c r="I686" i="3"/>
  <c r="L686" i="3"/>
  <c r="M686" i="3"/>
  <c r="N686" i="3"/>
  <c r="O686" i="3"/>
  <c r="P686" i="3"/>
  <c r="Q686" i="3"/>
  <c r="V687" i="3"/>
  <c r="V688" i="3"/>
  <c r="H691" i="3"/>
  <c r="I691" i="3"/>
  <c r="L691" i="3"/>
  <c r="M691" i="3"/>
  <c r="N691" i="3"/>
  <c r="O691" i="3"/>
  <c r="P691" i="3"/>
  <c r="Q691" i="3"/>
  <c r="V692" i="3"/>
  <c r="V693" i="3"/>
  <c r="H696" i="3"/>
  <c r="I696" i="3"/>
  <c r="L696" i="3"/>
  <c r="M696" i="3"/>
  <c r="N696" i="3"/>
  <c r="O696" i="3"/>
  <c r="P696" i="3"/>
  <c r="Q696" i="3"/>
  <c r="V697" i="3"/>
  <c r="V698" i="3"/>
  <c r="H701" i="3"/>
  <c r="I701" i="3"/>
  <c r="L701" i="3"/>
  <c r="M701" i="3"/>
  <c r="N701" i="3"/>
  <c r="O701" i="3"/>
  <c r="P701" i="3"/>
  <c r="Q701" i="3"/>
  <c r="V702" i="3"/>
  <c r="V703" i="3"/>
  <c r="H706" i="3"/>
  <c r="I706" i="3"/>
  <c r="L706" i="3"/>
  <c r="M706" i="3"/>
  <c r="N706" i="3"/>
  <c r="O706" i="3"/>
  <c r="P706" i="3"/>
  <c r="Q706" i="3"/>
  <c r="V707" i="3"/>
  <c r="V708" i="3"/>
  <c r="H711" i="3"/>
  <c r="I711" i="3"/>
  <c r="L711" i="3"/>
  <c r="M711" i="3"/>
  <c r="N711" i="3"/>
  <c r="O711" i="3"/>
  <c r="P711" i="3"/>
  <c r="Q711" i="3"/>
  <c r="V712" i="3"/>
  <c r="V713" i="3"/>
  <c r="H716" i="3"/>
  <c r="I716" i="3"/>
  <c r="L716" i="3"/>
  <c r="M716" i="3"/>
  <c r="N716" i="3"/>
  <c r="O716" i="3"/>
  <c r="P716" i="3"/>
  <c r="Q716" i="3"/>
  <c r="V717" i="3"/>
  <c r="V718" i="3"/>
  <c r="H721" i="3"/>
  <c r="I721" i="3"/>
  <c r="L721" i="3"/>
  <c r="M721" i="3"/>
  <c r="N721" i="3"/>
  <c r="O721" i="3"/>
  <c r="P721" i="3"/>
  <c r="Q721" i="3"/>
  <c r="V722" i="3"/>
  <c r="V723" i="3"/>
  <c r="H726" i="3"/>
  <c r="I726" i="3"/>
  <c r="L726" i="3"/>
  <c r="M726" i="3"/>
  <c r="N726" i="3"/>
  <c r="O726" i="3"/>
  <c r="P726" i="3"/>
  <c r="Q726" i="3"/>
  <c r="V727" i="3"/>
  <c r="V728" i="3"/>
  <c r="H731" i="3"/>
  <c r="I731" i="3"/>
  <c r="L731" i="3"/>
  <c r="M731" i="3"/>
  <c r="N731" i="3"/>
  <c r="O731" i="3"/>
  <c r="P731" i="3"/>
  <c r="Q731" i="3"/>
  <c r="V732" i="3"/>
  <c r="V733" i="3"/>
  <c r="H736" i="3"/>
  <c r="I736" i="3"/>
  <c r="L736" i="3"/>
  <c r="M736" i="3"/>
  <c r="N736" i="3"/>
  <c r="O736" i="3"/>
  <c r="P736" i="3"/>
  <c r="Q736" i="3"/>
  <c r="V737" i="3"/>
  <c r="V738" i="3"/>
  <c r="H741" i="3"/>
  <c r="I741" i="3"/>
  <c r="L741" i="3"/>
  <c r="M741" i="3"/>
  <c r="N741" i="3"/>
  <c r="O741" i="3"/>
  <c r="P741" i="3"/>
  <c r="Q741" i="3"/>
  <c r="V742" i="3"/>
  <c r="V743" i="3"/>
  <c r="H746" i="3"/>
  <c r="I746" i="3"/>
  <c r="L746" i="3"/>
  <c r="M746" i="3"/>
  <c r="N746" i="3"/>
  <c r="O746" i="3"/>
  <c r="P746" i="3"/>
  <c r="Q746" i="3"/>
  <c r="V747" i="3"/>
  <c r="V748" i="3"/>
  <c r="H749" i="3"/>
  <c r="I749" i="3"/>
  <c r="L749" i="3"/>
  <c r="M749" i="3"/>
  <c r="N749" i="3"/>
  <c r="O749" i="3"/>
  <c r="P749" i="3"/>
  <c r="Q749" i="3"/>
  <c r="H750" i="3"/>
  <c r="I750" i="3"/>
  <c r="L750" i="3"/>
  <c r="M750" i="3"/>
  <c r="N750" i="3"/>
  <c r="O750" i="3"/>
  <c r="P750" i="3"/>
  <c r="Q750" i="3"/>
  <c r="V751" i="3"/>
  <c r="V753" i="3"/>
  <c r="V754" i="3"/>
  <c r="V755" i="3"/>
  <c r="V756" i="3"/>
  <c r="H759" i="3"/>
  <c r="I759" i="3"/>
  <c r="L759" i="3"/>
  <c r="M759" i="3"/>
  <c r="N759" i="3"/>
  <c r="O759" i="3"/>
  <c r="P759" i="3"/>
  <c r="Q759" i="3"/>
  <c r="V760" i="3"/>
  <c r="V761" i="3"/>
  <c r="H764" i="3"/>
  <c r="I764" i="3"/>
  <c r="L764" i="3"/>
  <c r="M764" i="3"/>
  <c r="N764" i="3"/>
  <c r="O764" i="3"/>
  <c r="P764" i="3"/>
  <c r="Q764" i="3"/>
  <c r="V765" i="3"/>
  <c r="V766" i="3"/>
  <c r="H769" i="3"/>
  <c r="I769" i="3"/>
  <c r="L769" i="3"/>
  <c r="M769" i="3"/>
  <c r="N769" i="3"/>
  <c r="O769" i="3"/>
  <c r="P769" i="3"/>
  <c r="Q769" i="3"/>
  <c r="V770" i="3"/>
  <c r="V771" i="3"/>
  <c r="H774" i="3"/>
  <c r="I774" i="3"/>
  <c r="L774" i="3"/>
  <c r="M774" i="3"/>
  <c r="N774" i="3"/>
  <c r="O774" i="3"/>
  <c r="P774" i="3"/>
  <c r="Q774" i="3"/>
  <c r="V775" i="3"/>
  <c r="V776" i="3"/>
  <c r="H779" i="3"/>
  <c r="I779" i="3"/>
  <c r="L779" i="3"/>
  <c r="M779" i="3"/>
  <c r="N779" i="3"/>
  <c r="O779" i="3"/>
  <c r="P779" i="3"/>
  <c r="Q779" i="3"/>
  <c r="V780" i="3"/>
  <c r="V781" i="3"/>
  <c r="V785" i="3"/>
  <c r="V786" i="3"/>
  <c r="V790" i="3"/>
  <c r="V791" i="3"/>
  <c r="V795" i="3"/>
  <c r="V796" i="3"/>
  <c r="H799" i="3"/>
  <c r="I799" i="3"/>
  <c r="L799" i="3"/>
  <c r="M799" i="3"/>
  <c r="N799" i="3"/>
  <c r="O799" i="3"/>
  <c r="P799" i="3"/>
  <c r="Q799" i="3"/>
  <c r="V800" i="3"/>
  <c r="V801" i="3"/>
  <c r="V804" i="3"/>
  <c r="V806" i="3"/>
  <c r="V807" i="3"/>
  <c r="V808" i="3"/>
  <c r="V809" i="3"/>
  <c r="H812" i="3"/>
  <c r="I812" i="3"/>
  <c r="L812" i="3"/>
  <c r="M812" i="3"/>
  <c r="N812" i="3"/>
  <c r="O812" i="3"/>
  <c r="P812" i="3"/>
  <c r="Q812" i="3"/>
  <c r="V813" i="3"/>
  <c r="V814" i="3"/>
  <c r="H817" i="3"/>
  <c r="I817" i="3"/>
  <c r="L817" i="3"/>
  <c r="M817" i="3"/>
  <c r="N817" i="3"/>
  <c r="O817" i="3"/>
  <c r="P817" i="3"/>
  <c r="Q817" i="3"/>
  <c r="V818" i="3"/>
  <c r="V819" i="3"/>
  <c r="H822" i="3"/>
  <c r="I822" i="3"/>
  <c r="L822" i="3"/>
  <c r="M822" i="3"/>
  <c r="N822" i="3"/>
  <c r="P822" i="3"/>
  <c r="Q822" i="3"/>
  <c r="V823" i="3"/>
  <c r="V824" i="3"/>
  <c r="H827" i="3"/>
  <c r="I827" i="3"/>
  <c r="L827" i="3"/>
  <c r="M827" i="3"/>
  <c r="N827" i="3"/>
  <c r="O827" i="3"/>
  <c r="P827" i="3"/>
  <c r="Q827" i="3"/>
  <c r="V828" i="3"/>
  <c r="V829" i="3"/>
  <c r="H830" i="3"/>
  <c r="I830" i="3"/>
  <c r="L830" i="3"/>
  <c r="M830" i="3"/>
  <c r="N830" i="3"/>
  <c r="P830" i="3"/>
  <c r="Q830" i="3"/>
  <c r="H831" i="3"/>
  <c r="I831" i="3"/>
  <c r="L831" i="3"/>
  <c r="M831" i="3"/>
  <c r="P831" i="3"/>
  <c r="Q831" i="3"/>
  <c r="V832" i="3"/>
  <c r="V834" i="3"/>
  <c r="V835" i="3"/>
  <c r="V836" i="3"/>
  <c r="V837" i="3"/>
  <c r="H840" i="3"/>
  <c r="I840" i="3"/>
  <c r="L840" i="3"/>
  <c r="O840" i="3"/>
  <c r="P840" i="3"/>
  <c r="Q840" i="3"/>
  <c r="V841" i="3"/>
  <c r="H844" i="3"/>
  <c r="I844" i="3"/>
  <c r="L844" i="3"/>
  <c r="M844" i="3"/>
  <c r="O844" i="3"/>
  <c r="V845" i="3"/>
  <c r="H848" i="3"/>
  <c r="I848" i="3"/>
  <c r="L848" i="3"/>
  <c r="M848" i="3"/>
  <c r="N848" i="3"/>
  <c r="O848" i="3"/>
  <c r="P848" i="3"/>
  <c r="Q848" i="3"/>
  <c r="V849" i="3"/>
  <c r="H852" i="3"/>
  <c r="I852" i="3"/>
  <c r="L852" i="3"/>
  <c r="M852" i="3"/>
  <c r="N852" i="3"/>
  <c r="O852" i="3"/>
  <c r="P852" i="3"/>
  <c r="V853" i="3"/>
  <c r="H856" i="3"/>
  <c r="I856" i="3"/>
  <c r="L856" i="3"/>
  <c r="M856" i="3"/>
  <c r="N856" i="3"/>
  <c r="O856" i="3"/>
  <c r="P856" i="3"/>
  <c r="Q856" i="3"/>
  <c r="V857" i="3"/>
  <c r="H860" i="3"/>
  <c r="I860" i="3"/>
  <c r="L860" i="3"/>
  <c r="M860" i="3"/>
  <c r="N860" i="3"/>
  <c r="O860" i="3"/>
  <c r="P860" i="3"/>
  <c r="Q860" i="3"/>
  <c r="V861" i="3"/>
  <c r="H864" i="3"/>
  <c r="I864" i="3"/>
  <c r="L864" i="3"/>
  <c r="M864" i="3"/>
  <c r="N864" i="3"/>
  <c r="O864" i="3"/>
  <c r="P864" i="3"/>
  <c r="Q864" i="3"/>
  <c r="V865" i="3"/>
  <c r="H868" i="3"/>
  <c r="I868" i="3"/>
  <c r="L868" i="3"/>
  <c r="M868" i="3"/>
  <c r="N868" i="3"/>
  <c r="O868" i="3"/>
  <c r="P868" i="3"/>
  <c r="Q868" i="3"/>
  <c r="H872" i="3"/>
  <c r="I872" i="3"/>
  <c r="L872" i="3"/>
  <c r="M872" i="3"/>
  <c r="N872" i="3"/>
  <c r="O872" i="3"/>
  <c r="P872" i="3"/>
  <c r="Q872" i="3"/>
  <c r="H876" i="3"/>
  <c r="I876" i="3"/>
  <c r="L876" i="3"/>
  <c r="M876" i="3"/>
  <c r="N876" i="3"/>
  <c r="O876" i="3"/>
  <c r="P876" i="3"/>
  <c r="Q876" i="3"/>
  <c r="V877" i="3"/>
  <c r="H880" i="3"/>
  <c r="I880" i="3"/>
  <c r="L880" i="3"/>
  <c r="M880" i="3"/>
  <c r="N880" i="3"/>
  <c r="O880" i="3"/>
  <c r="P880" i="3"/>
  <c r="Q880" i="3"/>
  <c r="V881" i="3"/>
  <c r="H884" i="3"/>
  <c r="I884" i="3"/>
  <c r="L884" i="3"/>
  <c r="M884" i="3"/>
  <c r="N884" i="3"/>
  <c r="O884" i="3"/>
  <c r="P884" i="3"/>
  <c r="Q884" i="3"/>
  <c r="V885" i="3"/>
  <c r="H886" i="3"/>
  <c r="I886" i="3"/>
  <c r="L886" i="3"/>
  <c r="O886" i="3"/>
  <c r="H887" i="3"/>
  <c r="I887" i="3"/>
  <c r="L887" i="3"/>
  <c r="O887" i="3"/>
  <c r="V891" i="3"/>
  <c r="H904" i="3"/>
  <c r="I904" i="3"/>
  <c r="L904" i="3"/>
  <c r="M904" i="3"/>
  <c r="N904" i="3"/>
  <c r="O904" i="3"/>
  <c r="P904" i="3"/>
  <c r="Q904" i="3"/>
  <c r="V905" i="3"/>
  <c r="V906" i="3"/>
  <c r="H911" i="3"/>
  <c r="I911" i="3"/>
  <c r="L911" i="3"/>
  <c r="M911" i="3"/>
  <c r="N911" i="3"/>
  <c r="O911" i="3"/>
  <c r="P911" i="3"/>
  <c r="Q911" i="3"/>
  <c r="V912" i="3"/>
  <c r="V915" i="3"/>
  <c r="V916" i="3"/>
  <c r="F1219" i="3"/>
  <c r="H921" i="3"/>
  <c r="H38" i="5" s="1"/>
  <c r="I921" i="3"/>
  <c r="I38" i="5" s="1"/>
  <c r="L921" i="3"/>
  <c r="L38" i="5" s="1"/>
  <c r="M921" i="3"/>
  <c r="M38" i="5" s="1"/>
  <c r="N921" i="3"/>
  <c r="N38" i="5" s="1"/>
  <c r="O921" i="3"/>
  <c r="O38" i="5" s="1"/>
  <c r="P921" i="3"/>
  <c r="P38" i="5" s="1"/>
  <c r="Q921" i="3"/>
  <c r="Q38" i="5" s="1"/>
  <c r="V922" i="3"/>
  <c r="V924" i="3"/>
  <c r="V926" i="3"/>
  <c r="V928" i="3"/>
  <c r="V930" i="3"/>
  <c r="V932" i="3"/>
  <c r="V938" i="3"/>
  <c r="V952" i="3"/>
  <c r="V954" i="3"/>
  <c r="V955" i="3"/>
  <c r="V963" i="3"/>
  <c r="V965" i="3"/>
  <c r="V966" i="3"/>
  <c r="V967" i="3"/>
  <c r="V971" i="3"/>
  <c r="V972" i="3"/>
  <c r="V976" i="3"/>
  <c r="V977" i="3"/>
  <c r="V987" i="3"/>
  <c r="V988" i="3"/>
  <c r="V992" i="3"/>
  <c r="V993" i="3"/>
  <c r="V997" i="3"/>
  <c r="V998" i="3"/>
  <c r="V1002" i="3"/>
  <c r="V1003" i="3"/>
  <c r="V1007" i="3"/>
  <c r="V1008" i="3"/>
  <c r="V1012" i="3"/>
  <c r="V1013" i="3"/>
  <c r="V1017" i="3"/>
  <c r="V1018" i="3"/>
  <c r="V1022" i="3"/>
  <c r="V1023" i="3"/>
  <c r="V1028" i="3"/>
  <c r="V1029" i="3"/>
  <c r="V1034" i="3"/>
  <c r="V1040" i="3"/>
  <c r="V1041" i="3"/>
  <c r="V1045" i="3"/>
  <c r="V1046" i="3"/>
  <c r="V1051" i="3"/>
  <c r="V1052" i="3"/>
  <c r="V1057" i="3"/>
  <c r="V1058" i="3"/>
  <c r="V1063" i="3"/>
  <c r="V1064" i="3"/>
  <c r="V1068" i="3"/>
  <c r="V1069" i="3"/>
  <c r="V1074" i="3"/>
  <c r="V1076" i="3"/>
  <c r="V1077" i="3"/>
  <c r="V1083" i="3"/>
  <c r="V1084" i="3"/>
  <c r="H1086" i="3"/>
  <c r="H53" i="5" s="1"/>
  <c r="I1086" i="3"/>
  <c r="I53" i="5" s="1"/>
  <c r="L1086" i="3"/>
  <c r="L53" i="5" s="1"/>
  <c r="M1086" i="3"/>
  <c r="M53" i="5" s="1"/>
  <c r="N1086" i="3"/>
  <c r="N53" i="5" s="1"/>
  <c r="O1086" i="3"/>
  <c r="O53" i="5" s="1"/>
  <c r="P1086" i="3"/>
  <c r="P53" i="5" s="1"/>
  <c r="Q1086" i="3"/>
  <c r="Q53" i="5" s="1"/>
  <c r="V1087" i="3"/>
  <c r="V1088" i="3"/>
  <c r="H1093" i="3"/>
  <c r="H54" i="5" s="1"/>
  <c r="I1093" i="3"/>
  <c r="I54" i="5" s="1"/>
  <c r="L1093" i="3"/>
  <c r="L54" i="5" s="1"/>
  <c r="M1093" i="3"/>
  <c r="M54" i="5" s="1"/>
  <c r="N1093" i="3"/>
  <c r="N54" i="5" s="1"/>
  <c r="O1093" i="3"/>
  <c r="O54" i="5" s="1"/>
  <c r="P1093" i="3"/>
  <c r="P54" i="5" s="1"/>
  <c r="Q1093" i="3"/>
  <c r="Q54" i="5" s="1"/>
  <c r="V1094" i="3"/>
  <c r="V1095" i="3"/>
  <c r="H1100" i="3"/>
  <c r="H55" i="5" s="1"/>
  <c r="L1100" i="3"/>
  <c r="L55" i="5" s="1"/>
  <c r="M1100" i="3"/>
  <c r="M55" i="5" s="1"/>
  <c r="N1100" i="3"/>
  <c r="N55" i="5" s="1"/>
  <c r="O1100" i="3"/>
  <c r="O55" i="5" s="1"/>
  <c r="P1100" i="3"/>
  <c r="P55" i="5" s="1"/>
  <c r="Q1100" i="3"/>
  <c r="Q55" i="5" s="1"/>
  <c r="V1101" i="3"/>
  <c r="V1102" i="3"/>
  <c r="H1107" i="3"/>
  <c r="H56" i="5" s="1"/>
  <c r="L1107" i="3"/>
  <c r="L56" i="5" s="1"/>
  <c r="M1107" i="3"/>
  <c r="M56" i="5" s="1"/>
  <c r="N1107" i="3"/>
  <c r="N56" i="5" s="1"/>
  <c r="O1107" i="3"/>
  <c r="O56" i="5" s="1"/>
  <c r="P1107" i="3"/>
  <c r="P56" i="5" s="1"/>
  <c r="Q1107" i="3"/>
  <c r="Q56" i="5" s="1"/>
  <c r="V1122" i="3"/>
  <c r="V1123" i="3"/>
  <c r="V1125" i="3"/>
  <c r="V1126" i="3"/>
  <c r="V1127" i="3"/>
  <c r="V1128" i="3"/>
  <c r="V1129" i="3"/>
  <c r="H1132" i="3"/>
  <c r="H61" i="5" s="1"/>
  <c r="I1132" i="3"/>
  <c r="I61" i="5" s="1"/>
  <c r="L1132" i="3"/>
  <c r="L61" i="5" s="1"/>
  <c r="M1132" i="3"/>
  <c r="M61" i="5" s="1"/>
  <c r="N1132" i="3"/>
  <c r="N61" i="5" s="1"/>
  <c r="O1132" i="3"/>
  <c r="O61" i="5" s="1"/>
  <c r="P1132" i="3"/>
  <c r="P61" i="5" s="1"/>
  <c r="Q1132" i="3"/>
  <c r="Q61" i="5" s="1"/>
  <c r="V1133" i="3"/>
  <c r="V1134" i="3"/>
  <c r="I1136" i="3"/>
  <c r="I62" i="5" s="1"/>
  <c r="L1136" i="3"/>
  <c r="L62" i="5" s="1"/>
  <c r="M1136" i="3"/>
  <c r="M62" i="5" s="1"/>
  <c r="N1136" i="3"/>
  <c r="N62" i="5" s="1"/>
  <c r="O1136" i="3"/>
  <c r="O62" i="5" s="1"/>
  <c r="P1136" i="3"/>
  <c r="P62" i="5" s="1"/>
  <c r="Q1136" i="3"/>
  <c r="Q62" i="5" s="1"/>
  <c r="V1137" i="3"/>
  <c r="V1138" i="3"/>
  <c r="H1140" i="3"/>
  <c r="H63" i="5" s="1"/>
  <c r="I1140" i="3"/>
  <c r="I63" i="5" s="1"/>
  <c r="L1140" i="3"/>
  <c r="L63" i="5" s="1"/>
  <c r="M1140" i="3"/>
  <c r="M63" i="5" s="1"/>
  <c r="N1140" i="3"/>
  <c r="N63" i="5" s="1"/>
  <c r="O1140" i="3"/>
  <c r="O63" i="5" s="1"/>
  <c r="P1140" i="3"/>
  <c r="P63" i="5" s="1"/>
  <c r="Q1140" i="3"/>
  <c r="Q63" i="5" s="1"/>
  <c r="V1141" i="3"/>
  <c r="V1142" i="3"/>
  <c r="H1147" i="3"/>
  <c r="I1147" i="3"/>
  <c r="L1147" i="3"/>
  <c r="L64" i="5" s="1"/>
  <c r="M1147" i="3"/>
  <c r="M64" i="5" s="1"/>
  <c r="N1147" i="3"/>
  <c r="O1147" i="3"/>
  <c r="P1147" i="3"/>
  <c r="P64" i="5" s="1"/>
  <c r="Q1147" i="3"/>
  <c r="V1148" i="3"/>
  <c r="V1149" i="3"/>
  <c r="H1154" i="3"/>
  <c r="I1154" i="3"/>
  <c r="L1154" i="3"/>
  <c r="M1154" i="3"/>
  <c r="N1154" i="3"/>
  <c r="O1154" i="3"/>
  <c r="P1154" i="3"/>
  <c r="Q1154" i="3"/>
  <c r="V1155" i="3"/>
  <c r="V1156" i="3"/>
  <c r="H1159" i="3"/>
  <c r="H65" i="5" s="1"/>
  <c r="I1159" i="3"/>
  <c r="I65" i="5" s="1"/>
  <c r="L1159" i="3"/>
  <c r="L65" i="5" s="1"/>
  <c r="M1159" i="3"/>
  <c r="M65" i="5" s="1"/>
  <c r="N1159" i="3"/>
  <c r="N65" i="5" s="1"/>
  <c r="O1159" i="3"/>
  <c r="O65" i="5" s="1"/>
  <c r="P1159" i="3"/>
  <c r="P65" i="5" s="1"/>
  <c r="Q1159" i="3"/>
  <c r="Q65" i="5" s="1"/>
  <c r="V1160" i="3"/>
  <c r="V1161" i="3"/>
  <c r="V1165" i="3"/>
  <c r="V1166" i="3"/>
  <c r="H1168" i="3"/>
  <c r="H67" i="5" s="1"/>
  <c r="I1168" i="3"/>
  <c r="I67" i="5" s="1"/>
  <c r="L1168" i="3"/>
  <c r="L67" i="5" s="1"/>
  <c r="M1168" i="3"/>
  <c r="M67" i="5" s="1"/>
  <c r="N1168" i="3"/>
  <c r="N67" i="5" s="1"/>
  <c r="O1168" i="3"/>
  <c r="O67" i="5" s="1"/>
  <c r="P1168" i="3"/>
  <c r="P67" i="5" s="1"/>
  <c r="Q1168" i="3"/>
  <c r="Q67" i="5" s="1"/>
  <c r="V1169" i="3"/>
  <c r="V1170" i="3"/>
  <c r="H1175" i="3"/>
  <c r="H68" i="5" s="1"/>
  <c r="I1175" i="3"/>
  <c r="I68" i="5" s="1"/>
  <c r="L1175" i="3"/>
  <c r="L68" i="5" s="1"/>
  <c r="M1175" i="3"/>
  <c r="M68" i="5" s="1"/>
  <c r="N1175" i="3"/>
  <c r="N68" i="5" s="1"/>
  <c r="O1175" i="3"/>
  <c r="O68" i="5" s="1"/>
  <c r="P1175" i="3"/>
  <c r="P68" i="5" s="1"/>
  <c r="Q1175" i="3"/>
  <c r="Q68" i="5" s="1"/>
  <c r="V1176" i="3"/>
  <c r="V1177" i="3"/>
  <c r="H1182" i="3"/>
  <c r="I1182" i="3"/>
  <c r="L1182" i="3"/>
  <c r="M1182" i="3"/>
  <c r="N1182" i="3"/>
  <c r="O1182" i="3"/>
  <c r="P1182" i="3"/>
  <c r="P69" i="5" s="1"/>
  <c r="Q1182" i="3"/>
  <c r="V1183" i="3"/>
  <c r="V1184" i="3"/>
  <c r="H1189" i="3"/>
  <c r="I1189" i="3"/>
  <c r="L1189" i="3"/>
  <c r="M1189" i="3"/>
  <c r="N1189" i="3"/>
  <c r="O1189" i="3"/>
  <c r="P1189" i="3"/>
  <c r="Q1189" i="3"/>
  <c r="V1190" i="3"/>
  <c r="V1191" i="3"/>
  <c r="H1193" i="3"/>
  <c r="I1193" i="3"/>
  <c r="L1193" i="3"/>
  <c r="M1193" i="3"/>
  <c r="N1193" i="3"/>
  <c r="O1193" i="3"/>
  <c r="P1193" i="3"/>
  <c r="Q1193" i="3"/>
  <c r="V1194" i="3"/>
  <c r="V1195" i="3"/>
  <c r="I1196" i="3"/>
  <c r="L1196" i="3"/>
  <c r="M1196" i="3"/>
  <c r="N1196" i="3"/>
  <c r="O1196" i="3"/>
  <c r="P1196" i="3"/>
  <c r="Q1196" i="3"/>
  <c r="H1197" i="3"/>
  <c r="I1197" i="3"/>
  <c r="L1197" i="3"/>
  <c r="M1197" i="3"/>
  <c r="N1197" i="3"/>
  <c r="O1197" i="3"/>
  <c r="P1197" i="3"/>
  <c r="Q1197" i="3"/>
  <c r="H1198" i="3"/>
  <c r="I1198" i="3"/>
  <c r="L1198" i="3"/>
  <c r="M1198" i="3"/>
  <c r="N1198" i="3"/>
  <c r="O1198" i="3"/>
  <c r="P1198" i="3"/>
  <c r="Q1198" i="3"/>
  <c r="H1199" i="3"/>
  <c r="I1199" i="3"/>
  <c r="L1199" i="3"/>
  <c r="M1199" i="3"/>
  <c r="N1199" i="3"/>
  <c r="O1199" i="3"/>
  <c r="P1199" i="3"/>
  <c r="Q1199" i="3"/>
  <c r="V1200" i="3"/>
  <c r="V1201" i="3"/>
  <c r="V1203" i="3"/>
  <c r="V1204" i="3"/>
  <c r="V1209" i="3"/>
  <c r="V1210" i="3"/>
  <c r="V1212" i="3"/>
  <c r="V1213" i="3"/>
  <c r="V1214" i="3"/>
  <c r="V1215" i="3"/>
  <c r="V1225" i="3"/>
  <c r="V1227" i="3"/>
  <c r="V1230" i="3"/>
  <c r="V1233" i="3"/>
  <c r="V1234" i="3"/>
  <c r="C12" i="12"/>
  <c r="D12" i="12"/>
  <c r="E12" i="12"/>
  <c r="D24" i="12"/>
  <c r="D73" i="12" s="1"/>
  <c r="E24" i="12"/>
  <c r="E73" i="12" s="1"/>
  <c r="C25" i="12"/>
  <c r="C74" i="12" s="1"/>
  <c r="D25" i="12"/>
  <c r="D74" i="12" s="1"/>
  <c r="E25" i="12"/>
  <c r="E74" i="12" s="1"/>
  <c r="N27" i="12"/>
  <c r="N28" i="12"/>
  <c r="C70" i="12"/>
  <c r="D70" i="12"/>
  <c r="E70" i="12"/>
  <c r="C73" i="12"/>
  <c r="A1" i="6"/>
  <c r="Y11" i="6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R16" i="6"/>
  <c r="U16" i="6"/>
  <c r="E17" i="6"/>
  <c r="J17" i="6"/>
  <c r="Q18" i="6"/>
  <c r="T18" i="6"/>
  <c r="E19" i="6"/>
  <c r="J19" i="6"/>
  <c r="Q20" i="6"/>
  <c r="T20" i="6"/>
  <c r="H21" i="6"/>
  <c r="E22" i="6"/>
  <c r="J22" i="6"/>
  <c r="R23" i="6"/>
  <c r="U23" i="6"/>
  <c r="E24" i="6"/>
  <c r="J24" i="6"/>
  <c r="R25" i="6"/>
  <c r="U25" i="6"/>
  <c r="E26" i="6"/>
  <c r="J26" i="6"/>
  <c r="Q27" i="6"/>
  <c r="T27" i="6"/>
  <c r="E28" i="6"/>
  <c r="J28" i="6"/>
  <c r="Q29" i="6"/>
  <c r="T29" i="6"/>
  <c r="H30" i="6"/>
  <c r="E31" i="6"/>
  <c r="J31" i="6"/>
  <c r="R32" i="6"/>
  <c r="U32" i="6"/>
  <c r="E33" i="6"/>
  <c r="J33" i="6"/>
  <c r="R34" i="6"/>
  <c r="U34" i="6"/>
  <c r="E35" i="6"/>
  <c r="J35" i="6"/>
  <c r="Q36" i="6"/>
  <c r="T36" i="6"/>
  <c r="E37" i="6"/>
  <c r="J37" i="6"/>
  <c r="Q38" i="6"/>
  <c r="T38" i="6"/>
  <c r="H39" i="6"/>
  <c r="E40" i="6"/>
  <c r="J40" i="6"/>
  <c r="R41" i="6"/>
  <c r="U41" i="6"/>
  <c r="E42" i="6"/>
  <c r="J42" i="6"/>
  <c r="R43" i="6"/>
  <c r="U43" i="6"/>
  <c r="E44" i="6"/>
  <c r="J44" i="6"/>
  <c r="Q45" i="6"/>
  <c r="T45" i="6"/>
  <c r="E46" i="6"/>
  <c r="J46" i="6"/>
  <c r="Q47" i="6"/>
  <c r="T47" i="6"/>
  <c r="H48" i="6"/>
  <c r="E49" i="6"/>
  <c r="J49" i="6"/>
  <c r="R50" i="6"/>
  <c r="U50" i="6"/>
  <c r="E51" i="6"/>
  <c r="J51" i="6"/>
  <c r="R52" i="6"/>
  <c r="U52" i="6"/>
  <c r="E53" i="6"/>
  <c r="I53" i="6"/>
  <c r="Q53" i="6"/>
  <c r="T53" i="6"/>
  <c r="Q54" i="6"/>
  <c r="T54" i="6"/>
  <c r="E55" i="6"/>
  <c r="I55" i="6"/>
  <c r="Q55" i="6"/>
  <c r="T55" i="6"/>
  <c r="Q56" i="6"/>
  <c r="T56" i="6"/>
  <c r="H57" i="6"/>
  <c r="E58" i="6"/>
  <c r="J58" i="6"/>
  <c r="R59" i="6"/>
  <c r="U59" i="6"/>
  <c r="E60" i="6"/>
  <c r="J60" i="6"/>
  <c r="R61" i="6"/>
  <c r="U61" i="6"/>
  <c r="F62" i="6"/>
  <c r="J62" i="6"/>
  <c r="Q63" i="6"/>
  <c r="T63" i="6"/>
  <c r="F64" i="6"/>
  <c r="J64" i="6"/>
  <c r="Q65" i="6"/>
  <c r="T65" i="6"/>
  <c r="H66" i="6"/>
  <c r="E67" i="6"/>
  <c r="J67" i="6"/>
  <c r="R68" i="6"/>
  <c r="U68" i="6"/>
  <c r="E69" i="6"/>
  <c r="J69" i="6"/>
  <c r="R70" i="6"/>
  <c r="U70" i="6"/>
  <c r="E71" i="6"/>
  <c r="J71" i="6"/>
  <c r="Q72" i="6"/>
  <c r="T72" i="6"/>
  <c r="E73" i="6"/>
  <c r="J73" i="6"/>
  <c r="F74" i="6"/>
  <c r="Q74" i="6"/>
  <c r="T74" i="6"/>
  <c r="H75" i="6"/>
  <c r="E76" i="6"/>
  <c r="J76" i="6"/>
  <c r="R77" i="6"/>
  <c r="U77" i="6"/>
  <c r="E78" i="6"/>
  <c r="J78" i="6"/>
  <c r="R79" i="6"/>
  <c r="U79" i="6"/>
  <c r="E80" i="6"/>
  <c r="J80" i="6"/>
  <c r="Q81" i="6"/>
  <c r="T81" i="6"/>
  <c r="E82" i="6"/>
  <c r="J82" i="6"/>
  <c r="Q83" i="6"/>
  <c r="T83" i="6"/>
  <c r="H84" i="6"/>
  <c r="E85" i="6"/>
  <c r="J85" i="6"/>
  <c r="R86" i="6"/>
  <c r="U86" i="6"/>
  <c r="E87" i="6"/>
  <c r="J87" i="6"/>
  <c r="R88" i="6"/>
  <c r="U88" i="6"/>
  <c r="E89" i="6"/>
  <c r="J89" i="6"/>
  <c r="Q90" i="6"/>
  <c r="T90" i="6"/>
  <c r="E91" i="6"/>
  <c r="J91" i="6"/>
  <c r="F92" i="6"/>
  <c r="Q92" i="6"/>
  <c r="T92" i="6"/>
  <c r="H93" i="6"/>
  <c r="E94" i="6"/>
  <c r="J94" i="6"/>
  <c r="R95" i="6"/>
  <c r="U95" i="6"/>
  <c r="E96" i="6"/>
  <c r="J96" i="6"/>
  <c r="F97" i="6"/>
  <c r="R97" i="6"/>
  <c r="U97" i="6"/>
  <c r="E98" i="6"/>
  <c r="J98" i="6"/>
  <c r="Q99" i="6"/>
  <c r="T99" i="6"/>
  <c r="E100" i="6"/>
  <c r="J100" i="6"/>
  <c r="Q101" i="6"/>
  <c r="T101" i="6"/>
  <c r="H102" i="6"/>
  <c r="E103" i="6"/>
  <c r="J103" i="6"/>
  <c r="R104" i="6"/>
  <c r="U104" i="6"/>
  <c r="E105" i="6"/>
  <c r="J105" i="6"/>
  <c r="F106" i="6"/>
  <c r="R106" i="6"/>
  <c r="U106" i="6"/>
  <c r="E107" i="6"/>
  <c r="J107" i="6"/>
  <c r="Q108" i="6"/>
  <c r="T108" i="6"/>
  <c r="E109" i="6"/>
  <c r="J109" i="6"/>
  <c r="F110" i="6"/>
  <c r="Q110" i="6"/>
  <c r="T110" i="6"/>
  <c r="H111" i="6"/>
  <c r="E112" i="6"/>
  <c r="J112" i="6"/>
  <c r="R113" i="6"/>
  <c r="U113" i="6"/>
  <c r="E114" i="6"/>
  <c r="J114" i="6"/>
  <c r="R115" i="6"/>
  <c r="U115" i="6"/>
  <c r="E116" i="6"/>
  <c r="J116" i="6"/>
  <c r="Q117" i="6"/>
  <c r="T117" i="6"/>
  <c r="E118" i="6"/>
  <c r="J118" i="6"/>
  <c r="Q119" i="6"/>
  <c r="T119" i="6"/>
  <c r="H120" i="6"/>
  <c r="E121" i="6"/>
  <c r="J121" i="6"/>
  <c r="R122" i="6"/>
  <c r="U122" i="6"/>
  <c r="E123" i="6"/>
  <c r="J123" i="6"/>
  <c r="F124" i="6"/>
  <c r="R124" i="6"/>
  <c r="U124" i="6"/>
  <c r="E125" i="6"/>
  <c r="J125" i="6"/>
  <c r="Q126" i="6"/>
  <c r="T126" i="6"/>
  <c r="E127" i="6"/>
  <c r="J127" i="6"/>
  <c r="F128" i="6"/>
  <c r="Q128" i="6"/>
  <c r="T128" i="6"/>
  <c r="H129" i="6"/>
  <c r="E130" i="6"/>
  <c r="J130" i="6"/>
  <c r="R131" i="6"/>
  <c r="U131" i="6"/>
  <c r="E132" i="6"/>
  <c r="J132" i="6"/>
  <c r="F133" i="6"/>
  <c r="R133" i="6"/>
  <c r="U133" i="6"/>
  <c r="E134" i="6"/>
  <c r="J134" i="6"/>
  <c r="Q135" i="6"/>
  <c r="T135" i="6"/>
  <c r="E136" i="6"/>
  <c r="J136" i="6"/>
  <c r="Q137" i="6"/>
  <c r="T137" i="6"/>
  <c r="H138" i="6"/>
  <c r="E139" i="6"/>
  <c r="J139" i="6"/>
  <c r="R140" i="6"/>
  <c r="U140" i="6"/>
  <c r="E141" i="6"/>
  <c r="J141" i="6"/>
  <c r="R142" i="6"/>
  <c r="U142" i="6"/>
  <c r="E143" i="6"/>
  <c r="J143" i="6"/>
  <c r="Q144" i="6"/>
  <c r="T144" i="6"/>
  <c r="E145" i="6"/>
  <c r="J145" i="6"/>
  <c r="F146" i="6"/>
  <c r="Q146" i="6"/>
  <c r="T146" i="6"/>
  <c r="H147" i="6"/>
  <c r="E148" i="6"/>
  <c r="J148" i="6"/>
  <c r="R149" i="6"/>
  <c r="U149" i="6"/>
  <c r="E150" i="6"/>
  <c r="J150" i="6"/>
  <c r="F151" i="6"/>
  <c r="R151" i="6"/>
  <c r="U151" i="6"/>
  <c r="E152" i="6"/>
  <c r="J152" i="6"/>
  <c r="Q153" i="6"/>
  <c r="T153" i="6"/>
  <c r="E154" i="6"/>
  <c r="J154" i="6"/>
  <c r="Q155" i="6"/>
  <c r="T155" i="6"/>
  <c r="H156" i="6"/>
  <c r="E157" i="6"/>
  <c r="J157" i="6"/>
  <c r="R158" i="6"/>
  <c r="U158" i="6"/>
  <c r="E159" i="6"/>
  <c r="J159" i="6"/>
  <c r="F160" i="6"/>
  <c r="R160" i="6"/>
  <c r="U160" i="6"/>
  <c r="E161" i="6"/>
  <c r="J161" i="6"/>
  <c r="Q162" i="6"/>
  <c r="T162" i="6"/>
  <c r="E163" i="6"/>
  <c r="J163" i="6"/>
  <c r="Q164" i="6"/>
  <c r="T164" i="6"/>
  <c r="H165" i="6"/>
  <c r="E166" i="6"/>
  <c r="J166" i="6"/>
  <c r="R167" i="6"/>
  <c r="U167" i="6"/>
  <c r="E168" i="6"/>
  <c r="J168" i="6"/>
  <c r="F169" i="6"/>
  <c r="R169" i="6"/>
  <c r="U169" i="6"/>
  <c r="E170" i="6"/>
  <c r="J170" i="6"/>
  <c r="Q171" i="6"/>
  <c r="T171" i="6"/>
  <c r="E172" i="6"/>
  <c r="J172" i="6"/>
  <c r="Q173" i="6"/>
  <c r="T173" i="6"/>
  <c r="H174" i="6"/>
  <c r="E175" i="6"/>
  <c r="J175" i="6"/>
  <c r="R176" i="6"/>
  <c r="U176" i="6"/>
  <c r="E177" i="6"/>
  <c r="J177" i="6"/>
  <c r="R178" i="6"/>
  <c r="U178" i="6"/>
  <c r="E179" i="6"/>
  <c r="J179" i="6"/>
  <c r="Q180" i="6"/>
  <c r="T180" i="6"/>
  <c r="E181" i="6"/>
  <c r="J181" i="6"/>
  <c r="Q182" i="6"/>
  <c r="T182" i="6"/>
  <c r="H183" i="6"/>
  <c r="E184" i="6"/>
  <c r="J184" i="6"/>
  <c r="R185" i="6"/>
  <c r="U185" i="6"/>
  <c r="E186" i="6"/>
  <c r="J186" i="6"/>
  <c r="R187" i="6"/>
  <c r="U187" i="6"/>
  <c r="E188" i="6"/>
  <c r="J188" i="6"/>
  <c r="F189" i="6"/>
  <c r="Q189" i="6"/>
  <c r="T189" i="6"/>
  <c r="E190" i="6"/>
  <c r="J190" i="6"/>
  <c r="Q191" i="6"/>
  <c r="T191" i="6"/>
  <c r="H192" i="6"/>
  <c r="E193" i="6"/>
  <c r="J193" i="6"/>
  <c r="R194" i="6"/>
  <c r="U194" i="6"/>
  <c r="E195" i="6"/>
  <c r="J195" i="6"/>
  <c r="R196" i="6"/>
  <c r="U196" i="6"/>
  <c r="R197" i="6"/>
  <c r="U197" i="6"/>
  <c r="E198" i="6"/>
  <c r="J198" i="6"/>
  <c r="E199" i="6"/>
  <c r="J199" i="6"/>
  <c r="H200" i="6"/>
  <c r="H201" i="6"/>
  <c r="H202" i="6"/>
  <c r="E204" i="6"/>
  <c r="J204" i="6"/>
  <c r="H205" i="6"/>
  <c r="H206" i="6"/>
  <c r="H207" i="6"/>
  <c r="E208" i="6"/>
  <c r="J208" i="6"/>
  <c r="E209" i="6"/>
  <c r="J209" i="6"/>
  <c r="R210" i="6"/>
  <c r="U210" i="6"/>
  <c r="E211" i="6"/>
  <c r="J211" i="6"/>
  <c r="Q212" i="6"/>
  <c r="T212" i="6"/>
  <c r="E213" i="6"/>
  <c r="J213" i="6"/>
  <c r="Q214" i="6"/>
  <c r="T214" i="6"/>
  <c r="H215" i="6"/>
  <c r="E216" i="6"/>
  <c r="J216" i="6"/>
  <c r="R217" i="6"/>
  <c r="U217" i="6"/>
  <c r="E218" i="6"/>
  <c r="J218" i="6"/>
  <c r="R219" i="6"/>
  <c r="U219" i="6"/>
  <c r="E220" i="6"/>
  <c r="J220" i="6"/>
  <c r="Q221" i="6"/>
  <c r="T221" i="6"/>
  <c r="E222" i="6"/>
  <c r="J222" i="6"/>
  <c r="Q223" i="6"/>
  <c r="T223" i="6"/>
  <c r="H224" i="6"/>
  <c r="E225" i="6"/>
  <c r="J225" i="6"/>
  <c r="R226" i="6"/>
  <c r="U226" i="6"/>
  <c r="E227" i="6"/>
  <c r="J227" i="6"/>
  <c r="E228" i="6"/>
  <c r="J228" i="6"/>
  <c r="H229" i="6"/>
  <c r="H230" i="6"/>
  <c r="H231" i="6"/>
  <c r="E233" i="6"/>
  <c r="J233" i="6"/>
  <c r="H234" i="6"/>
  <c r="E235" i="6"/>
  <c r="J235" i="6"/>
  <c r="H236" i="6"/>
  <c r="E237" i="6"/>
  <c r="J237" i="6"/>
  <c r="E238" i="6"/>
  <c r="J238" i="6"/>
  <c r="R239" i="6"/>
  <c r="U239" i="6"/>
  <c r="E240" i="6"/>
  <c r="J240" i="6"/>
  <c r="E242" i="6"/>
  <c r="J242" i="6"/>
  <c r="F243" i="6"/>
  <c r="Q243" i="6"/>
  <c r="T243" i="6"/>
  <c r="H244" i="6"/>
  <c r="E245" i="6"/>
  <c r="J245" i="6"/>
  <c r="F246" i="6"/>
  <c r="R246" i="6"/>
  <c r="U246" i="6"/>
  <c r="E247" i="6"/>
  <c r="J247" i="6"/>
  <c r="R248" i="6"/>
  <c r="U248" i="6"/>
  <c r="E249" i="6"/>
  <c r="J249" i="6"/>
  <c r="E251" i="6"/>
  <c r="J251" i="6"/>
  <c r="Q252" i="6"/>
  <c r="T252" i="6"/>
  <c r="H253" i="6"/>
  <c r="E254" i="6"/>
  <c r="J254" i="6"/>
  <c r="R255" i="6"/>
  <c r="U255" i="6"/>
  <c r="E256" i="6"/>
  <c r="J256" i="6"/>
  <c r="R257" i="6"/>
  <c r="U257" i="6"/>
  <c r="E258" i="6"/>
  <c r="J258" i="6"/>
  <c r="E260" i="6"/>
  <c r="J260" i="6"/>
  <c r="Q261" i="6"/>
  <c r="T261" i="6"/>
  <c r="H262" i="6"/>
  <c r="E263" i="6"/>
  <c r="J263" i="6"/>
  <c r="R264" i="6"/>
  <c r="U264" i="6"/>
  <c r="E265" i="6"/>
  <c r="J265" i="6"/>
  <c r="F266" i="6"/>
  <c r="R266" i="6"/>
  <c r="U266" i="6"/>
  <c r="E267" i="6"/>
  <c r="J267" i="6"/>
  <c r="E269" i="6"/>
  <c r="J269" i="6"/>
  <c r="Q270" i="6"/>
  <c r="T270" i="6"/>
  <c r="H271" i="6"/>
  <c r="E272" i="6"/>
  <c r="J272" i="6"/>
  <c r="R273" i="6"/>
  <c r="U273" i="6"/>
  <c r="E274" i="6"/>
  <c r="J274" i="6"/>
  <c r="F275" i="6"/>
  <c r="R275" i="6"/>
  <c r="T275" i="6"/>
  <c r="E276" i="6"/>
  <c r="J276" i="6"/>
  <c r="E278" i="6"/>
  <c r="J278" i="6"/>
  <c r="Q279" i="6"/>
  <c r="T279" i="6"/>
  <c r="H280" i="6"/>
  <c r="E281" i="6"/>
  <c r="J281" i="6"/>
  <c r="R282" i="6"/>
  <c r="T282" i="6"/>
  <c r="E283" i="6"/>
  <c r="J283" i="6"/>
  <c r="R284" i="6"/>
  <c r="T284" i="6"/>
  <c r="E285" i="6"/>
  <c r="J285" i="6"/>
  <c r="T286" i="6"/>
  <c r="T324" i="6" s="1"/>
  <c r="E287" i="6"/>
  <c r="J287" i="6"/>
  <c r="Q288" i="6"/>
  <c r="T288" i="6"/>
  <c r="H289" i="6"/>
  <c r="E290" i="6"/>
  <c r="J290" i="6"/>
  <c r="R291" i="6"/>
  <c r="T291" i="6"/>
  <c r="E292" i="6"/>
  <c r="J292" i="6"/>
  <c r="R293" i="6"/>
  <c r="T293" i="6"/>
  <c r="E294" i="6"/>
  <c r="J294" i="6"/>
  <c r="E296" i="6"/>
  <c r="J296" i="6"/>
  <c r="Q297" i="6"/>
  <c r="T297" i="6"/>
  <c r="H298" i="6"/>
  <c r="E299" i="6"/>
  <c r="J299" i="6"/>
  <c r="F300" i="6"/>
  <c r="R300" i="6"/>
  <c r="T300" i="6"/>
  <c r="E301" i="6"/>
  <c r="J301" i="6"/>
  <c r="F302" i="6"/>
  <c r="R302" i="6"/>
  <c r="T302" i="6"/>
  <c r="E303" i="6"/>
  <c r="J303" i="6"/>
  <c r="E305" i="6"/>
  <c r="J305" i="6"/>
  <c r="Q306" i="6"/>
  <c r="T306" i="6"/>
  <c r="H307" i="6"/>
  <c r="E308" i="6"/>
  <c r="J308" i="6"/>
  <c r="R309" i="6"/>
  <c r="T309" i="6"/>
  <c r="E310" i="6"/>
  <c r="J310" i="6"/>
  <c r="R311" i="6"/>
  <c r="T311" i="6"/>
  <c r="E312" i="6"/>
  <c r="J312" i="6"/>
  <c r="E314" i="6"/>
  <c r="J314" i="6"/>
  <c r="Q315" i="6"/>
  <c r="T315" i="6"/>
  <c r="H316" i="6"/>
  <c r="E317" i="6"/>
  <c r="J317" i="6"/>
  <c r="R318" i="6"/>
  <c r="T318" i="6"/>
  <c r="E322" i="6"/>
  <c r="J322" i="6"/>
  <c r="H324" i="6"/>
  <c r="Q324" i="6"/>
  <c r="R324" i="6"/>
  <c r="H325" i="6"/>
  <c r="H365" i="6" s="1"/>
  <c r="H326" i="6"/>
  <c r="E328" i="6"/>
  <c r="J328" i="6"/>
  <c r="H329" i="6"/>
  <c r="H330" i="6"/>
  <c r="H331" i="6"/>
  <c r="E332" i="6"/>
  <c r="J332" i="6"/>
  <c r="E333" i="6"/>
  <c r="J333" i="6"/>
  <c r="R334" i="6"/>
  <c r="U334" i="6"/>
  <c r="E335" i="6"/>
  <c r="J335" i="6"/>
  <c r="E337" i="6"/>
  <c r="J337" i="6"/>
  <c r="Q338" i="6"/>
  <c r="T338" i="6"/>
  <c r="H339" i="6"/>
  <c r="E340" i="6"/>
  <c r="J340" i="6"/>
  <c r="R341" i="6"/>
  <c r="R357" i="6" s="1"/>
  <c r="U341" i="6"/>
  <c r="U357" i="6" s="1"/>
  <c r="E342" i="6"/>
  <c r="J342" i="6"/>
  <c r="F343" i="6"/>
  <c r="R343" i="6"/>
  <c r="U343" i="6"/>
  <c r="E344" i="6"/>
  <c r="J344" i="6"/>
  <c r="E346" i="6"/>
  <c r="J346" i="6"/>
  <c r="Q347" i="6"/>
  <c r="T347" i="6"/>
  <c r="H348" i="6"/>
  <c r="E349" i="6"/>
  <c r="J349" i="6"/>
  <c r="R350" i="6"/>
  <c r="R358" i="6" s="1"/>
  <c r="U350" i="6"/>
  <c r="U358" i="6" s="1"/>
  <c r="E351" i="6"/>
  <c r="J351" i="6"/>
  <c r="E352" i="6"/>
  <c r="J352" i="6"/>
  <c r="H353" i="6"/>
  <c r="F354" i="6"/>
  <c r="G354" i="6"/>
  <c r="H354" i="6"/>
  <c r="I354" i="6"/>
  <c r="J354" i="6" s="1"/>
  <c r="M354" i="6"/>
  <c r="N354" i="6"/>
  <c r="Q354" i="6"/>
  <c r="R354" i="6"/>
  <c r="T354" i="6"/>
  <c r="U354" i="6"/>
  <c r="E356" i="6"/>
  <c r="J356" i="6"/>
  <c r="H357" i="6"/>
  <c r="H358" i="6"/>
  <c r="H359" i="6"/>
  <c r="J360" i="6"/>
  <c r="J362" i="6"/>
  <c r="E367" i="6"/>
  <c r="J367" i="6"/>
  <c r="E369" i="6"/>
  <c r="J369" i="6"/>
  <c r="J373" i="6"/>
  <c r="J374" i="6"/>
  <c r="J375" i="6"/>
  <c r="J376" i="6"/>
  <c r="J377" i="6"/>
  <c r="J378" i="6"/>
  <c r="J379" i="6"/>
  <c r="Q380" i="6"/>
  <c r="T380" i="6"/>
  <c r="F381" i="6"/>
  <c r="Q381" i="6"/>
  <c r="T381" i="6"/>
  <c r="H382" i="6"/>
  <c r="J383" i="6"/>
  <c r="J384" i="6"/>
  <c r="F385" i="6"/>
  <c r="R385" i="6"/>
  <c r="U385" i="6"/>
  <c r="R386" i="6"/>
  <c r="U386" i="6"/>
  <c r="H387" i="6"/>
  <c r="J388" i="6"/>
  <c r="J389" i="6"/>
  <c r="F390" i="6"/>
  <c r="R390" i="6"/>
  <c r="U390" i="6"/>
  <c r="F391" i="6"/>
  <c r="R391" i="6"/>
  <c r="U391" i="6"/>
  <c r="H392" i="6"/>
  <c r="J393" i="6"/>
  <c r="J394" i="6"/>
  <c r="F395" i="6"/>
  <c r="R395" i="6"/>
  <c r="U395" i="6"/>
  <c r="F396" i="6"/>
  <c r="R396" i="6"/>
  <c r="U396" i="6"/>
  <c r="H397" i="6"/>
  <c r="J398" i="6"/>
  <c r="J399" i="6"/>
  <c r="F400" i="6"/>
  <c r="R400" i="6"/>
  <c r="U400" i="6"/>
  <c r="F401" i="6"/>
  <c r="R401" i="6"/>
  <c r="U401" i="6"/>
  <c r="H402" i="6"/>
  <c r="J403" i="6"/>
  <c r="J404" i="6"/>
  <c r="F405" i="6"/>
  <c r="R405" i="6"/>
  <c r="U405" i="6"/>
  <c r="F406" i="6"/>
  <c r="R406" i="6"/>
  <c r="U406" i="6"/>
  <c r="H407" i="6"/>
  <c r="J408" i="6"/>
  <c r="J409" i="6"/>
  <c r="F410" i="6"/>
  <c r="R410" i="6"/>
  <c r="U410" i="6"/>
  <c r="F411" i="6"/>
  <c r="R411" i="6"/>
  <c r="U411" i="6"/>
  <c r="H412" i="6"/>
  <c r="J413" i="6"/>
  <c r="J414" i="6"/>
  <c r="F415" i="6"/>
  <c r="R415" i="6"/>
  <c r="U415" i="6"/>
  <c r="F416" i="6"/>
  <c r="R416" i="6"/>
  <c r="U416" i="6"/>
  <c r="H417" i="6"/>
  <c r="J418" i="6"/>
  <c r="J419" i="6"/>
  <c r="R420" i="6"/>
  <c r="U420" i="6"/>
  <c r="F421" i="6"/>
  <c r="R421" i="6"/>
  <c r="U421" i="6"/>
  <c r="H422" i="6"/>
  <c r="J423" i="6"/>
  <c r="J424" i="6"/>
  <c r="F425" i="6"/>
  <c r="R425" i="6"/>
  <c r="U425" i="6"/>
  <c r="R426" i="6"/>
  <c r="U426" i="6"/>
  <c r="H427" i="6"/>
  <c r="J428" i="6"/>
  <c r="J429" i="6"/>
  <c r="R430" i="6"/>
  <c r="U430" i="6"/>
  <c r="F431" i="6"/>
  <c r="R431" i="6"/>
  <c r="U431" i="6"/>
  <c r="H432" i="6"/>
  <c r="J433" i="6"/>
  <c r="J434" i="6"/>
  <c r="F435" i="6"/>
  <c r="R435" i="6"/>
  <c r="U435" i="6"/>
  <c r="R436" i="6"/>
  <c r="U436" i="6"/>
  <c r="H437" i="6"/>
  <c r="J438" i="6"/>
  <c r="J439" i="6"/>
  <c r="R440" i="6"/>
  <c r="U440" i="6"/>
  <c r="F441" i="6"/>
  <c r="R441" i="6"/>
  <c r="U441" i="6"/>
  <c r="H442" i="6"/>
  <c r="J443" i="6"/>
  <c r="J444" i="6"/>
  <c r="F445" i="6"/>
  <c r="R445" i="6"/>
  <c r="U445" i="6"/>
  <c r="R446" i="6"/>
  <c r="U446" i="6"/>
  <c r="H447" i="6"/>
  <c r="J448" i="6"/>
  <c r="J449" i="6"/>
  <c r="F450" i="6"/>
  <c r="R450" i="6"/>
  <c r="U450" i="6"/>
  <c r="F451" i="6"/>
  <c r="R451" i="6"/>
  <c r="U451" i="6"/>
  <c r="H452" i="6"/>
  <c r="J453" i="6"/>
  <c r="J454" i="6"/>
  <c r="F455" i="6"/>
  <c r="R455" i="6"/>
  <c r="U455" i="6"/>
  <c r="R456" i="6"/>
  <c r="U456" i="6"/>
  <c r="H457" i="6"/>
  <c r="J458" i="6"/>
  <c r="J459" i="6"/>
  <c r="Q460" i="6"/>
  <c r="T460" i="6"/>
  <c r="F461" i="6"/>
  <c r="Q461" i="6"/>
  <c r="T461" i="6"/>
  <c r="H462" i="6"/>
  <c r="J463" i="6"/>
  <c r="J464" i="6"/>
  <c r="F465" i="6"/>
  <c r="Q465" i="6"/>
  <c r="T465" i="6"/>
  <c r="R466" i="6"/>
  <c r="U466" i="6"/>
  <c r="H467" i="6"/>
  <c r="J468" i="6"/>
  <c r="J469" i="6"/>
  <c r="Q470" i="6"/>
  <c r="T470" i="6"/>
  <c r="F471" i="6"/>
  <c r="Q471" i="6"/>
  <c r="T471" i="6"/>
  <c r="H472" i="6"/>
  <c r="J473" i="6"/>
  <c r="J474" i="6"/>
  <c r="F475" i="6"/>
  <c r="Q475" i="6"/>
  <c r="T475" i="6"/>
  <c r="R476" i="6"/>
  <c r="U476" i="6"/>
  <c r="H477" i="6"/>
  <c r="J478" i="6"/>
  <c r="J479" i="6"/>
  <c r="F480" i="6"/>
  <c r="Q480" i="6"/>
  <c r="T480" i="6"/>
  <c r="F481" i="6"/>
  <c r="R481" i="6"/>
  <c r="U481" i="6"/>
  <c r="H482" i="6"/>
  <c r="J483" i="6"/>
  <c r="J484" i="6"/>
  <c r="F485" i="6"/>
  <c r="Q485" i="6"/>
  <c r="T485" i="6"/>
  <c r="F486" i="6"/>
  <c r="Q486" i="6"/>
  <c r="T486" i="6"/>
  <c r="H487" i="6"/>
  <c r="J488" i="6"/>
  <c r="J489" i="6"/>
  <c r="F490" i="6"/>
  <c r="Q490" i="6"/>
  <c r="T490" i="6"/>
  <c r="F491" i="6"/>
  <c r="Q491" i="6"/>
  <c r="T491" i="6"/>
  <c r="H492" i="6"/>
  <c r="J493" i="6"/>
  <c r="J494" i="6"/>
  <c r="F495" i="6"/>
  <c r="R495" i="6"/>
  <c r="U495" i="6"/>
  <c r="R496" i="6"/>
  <c r="U496" i="6"/>
  <c r="H497" i="6"/>
  <c r="J498" i="6"/>
  <c r="J499" i="6"/>
  <c r="J500" i="6"/>
  <c r="H501" i="6"/>
  <c r="H502" i="6"/>
  <c r="H503" i="6"/>
  <c r="J504" i="6"/>
  <c r="H505" i="6"/>
  <c r="H506" i="6"/>
  <c r="H507" i="6"/>
  <c r="J508" i="6"/>
  <c r="J510" i="6"/>
  <c r="J511" i="6"/>
  <c r="J513" i="6"/>
  <c r="J514" i="6"/>
  <c r="J515" i="6"/>
  <c r="J516" i="6"/>
  <c r="J517" i="6"/>
  <c r="J518" i="6"/>
  <c r="J519" i="6"/>
  <c r="J520" i="6"/>
  <c r="J521" i="6"/>
  <c r="F522" i="6"/>
  <c r="Q522" i="6"/>
  <c r="T522" i="6"/>
  <c r="Q523" i="6"/>
  <c r="T523" i="6"/>
  <c r="H524" i="6"/>
  <c r="J525" i="6"/>
  <c r="J526" i="6"/>
  <c r="F527" i="6"/>
  <c r="Q527" i="6"/>
  <c r="T527" i="6"/>
  <c r="F528" i="6"/>
  <c r="Q528" i="6"/>
  <c r="T528" i="6"/>
  <c r="H529" i="6"/>
  <c r="J530" i="6"/>
  <c r="J531" i="6"/>
  <c r="F532" i="6"/>
  <c r="Q532" i="6"/>
  <c r="T532" i="6"/>
  <c r="F533" i="6"/>
  <c r="Q533" i="6"/>
  <c r="T533" i="6"/>
  <c r="H534" i="6"/>
  <c r="J535" i="6"/>
  <c r="J536" i="6"/>
  <c r="F537" i="6"/>
  <c r="R537" i="6"/>
  <c r="U537" i="6"/>
  <c r="F538" i="6"/>
  <c r="R538" i="6"/>
  <c r="T538" i="6"/>
  <c r="H539" i="6"/>
  <c r="J540" i="6"/>
  <c r="J541" i="6"/>
  <c r="F542" i="6"/>
  <c r="Q542" i="6"/>
  <c r="T542" i="6"/>
  <c r="F543" i="6"/>
  <c r="Q543" i="6"/>
  <c r="T543" i="6"/>
  <c r="H544" i="6"/>
  <c r="J545" i="6"/>
  <c r="J546" i="6"/>
  <c r="F547" i="6"/>
  <c r="Q547" i="6"/>
  <c r="T547" i="6"/>
  <c r="F548" i="6"/>
  <c r="Q548" i="6"/>
  <c r="T548" i="6"/>
  <c r="H549" i="6"/>
  <c r="J550" i="6"/>
  <c r="J551" i="6"/>
  <c r="F552" i="6"/>
  <c r="Q552" i="6"/>
  <c r="T552" i="6"/>
  <c r="F553" i="6"/>
  <c r="Q553" i="6"/>
  <c r="T553" i="6"/>
  <c r="H554" i="6"/>
  <c r="J555" i="6"/>
  <c r="J556" i="6"/>
  <c r="F557" i="6"/>
  <c r="Q557" i="6"/>
  <c r="T557" i="6"/>
  <c r="F558" i="6"/>
  <c r="Q558" i="6"/>
  <c r="T558" i="6"/>
  <c r="H559" i="6"/>
  <c r="J560" i="6"/>
  <c r="J561" i="6"/>
  <c r="F562" i="6"/>
  <c r="Q562" i="6"/>
  <c r="T562" i="6"/>
  <c r="F563" i="6"/>
  <c r="Q563" i="6"/>
  <c r="T563" i="6"/>
  <c r="H564" i="6"/>
  <c r="J565" i="6"/>
  <c r="J566" i="6"/>
  <c r="F567" i="6"/>
  <c r="Q567" i="6"/>
  <c r="T567" i="6"/>
  <c r="F568" i="6"/>
  <c r="Q568" i="6"/>
  <c r="T568" i="6"/>
  <c r="H569" i="6"/>
  <c r="J570" i="6"/>
  <c r="J571" i="6"/>
  <c r="F572" i="6"/>
  <c r="Q572" i="6"/>
  <c r="T572" i="6"/>
  <c r="F573" i="6"/>
  <c r="Q573" i="6"/>
  <c r="T573" i="6"/>
  <c r="H574" i="6"/>
  <c r="J575" i="6"/>
  <c r="J576" i="6"/>
  <c r="F577" i="6"/>
  <c r="Q577" i="6"/>
  <c r="T577" i="6"/>
  <c r="F578" i="6"/>
  <c r="Q578" i="6"/>
  <c r="T578" i="6"/>
  <c r="H579" i="6"/>
  <c r="J580" i="6"/>
  <c r="J581" i="6"/>
  <c r="F582" i="6"/>
  <c r="Q582" i="6"/>
  <c r="T582" i="6"/>
  <c r="F583" i="6"/>
  <c r="Q583" i="6"/>
  <c r="T583" i="6"/>
  <c r="H584" i="6"/>
  <c r="J585" i="6"/>
  <c r="J586" i="6"/>
  <c r="F587" i="6"/>
  <c r="Q587" i="6"/>
  <c r="T587" i="6"/>
  <c r="F588" i="6"/>
  <c r="Q588" i="6"/>
  <c r="T588" i="6"/>
  <c r="H589" i="6"/>
  <c r="J590" i="6"/>
  <c r="J591" i="6"/>
  <c r="F592" i="6"/>
  <c r="Q592" i="6"/>
  <c r="T592" i="6"/>
  <c r="F593" i="6"/>
  <c r="Q593" i="6"/>
  <c r="T593" i="6"/>
  <c r="H594" i="6"/>
  <c r="J595" i="6"/>
  <c r="J596" i="6"/>
  <c r="F597" i="6"/>
  <c r="Q597" i="6"/>
  <c r="T597" i="6"/>
  <c r="F598" i="6"/>
  <c r="Q598" i="6"/>
  <c r="T598" i="6"/>
  <c r="H599" i="6"/>
  <c r="J600" i="6"/>
  <c r="J601" i="6"/>
  <c r="F602" i="6"/>
  <c r="Q602" i="6"/>
  <c r="T602" i="6"/>
  <c r="F603" i="6"/>
  <c r="Q603" i="6"/>
  <c r="T603" i="6"/>
  <c r="H604" i="6"/>
  <c r="J605" i="6"/>
  <c r="J606" i="6"/>
  <c r="F607" i="6"/>
  <c r="Q607" i="6"/>
  <c r="T607" i="6"/>
  <c r="F608" i="6"/>
  <c r="Q608" i="6"/>
  <c r="T608" i="6"/>
  <c r="H609" i="6"/>
  <c r="J610" i="6"/>
  <c r="J611" i="6"/>
  <c r="F612" i="6"/>
  <c r="Q612" i="6"/>
  <c r="T612" i="6"/>
  <c r="F613" i="6"/>
  <c r="Q613" i="6"/>
  <c r="T613" i="6"/>
  <c r="H614" i="6"/>
  <c r="J615" i="6"/>
  <c r="J616" i="6"/>
  <c r="F617" i="6"/>
  <c r="Q617" i="6"/>
  <c r="T617" i="6"/>
  <c r="F618" i="6"/>
  <c r="Q618" i="6"/>
  <c r="T618" i="6"/>
  <c r="H619" i="6"/>
  <c r="J620" i="6"/>
  <c r="J621" i="6"/>
  <c r="F622" i="6"/>
  <c r="Q622" i="6"/>
  <c r="T622" i="6"/>
  <c r="F623" i="6"/>
  <c r="Q623" i="6"/>
  <c r="T623" i="6"/>
  <c r="H624" i="6"/>
  <c r="J625" i="6"/>
  <c r="J626" i="6"/>
  <c r="R627" i="6"/>
  <c r="U627" i="6"/>
  <c r="R628" i="6"/>
  <c r="U628" i="6"/>
  <c r="F629" i="6"/>
  <c r="H629" i="6"/>
  <c r="H632" i="6" s="1"/>
  <c r="J630" i="6"/>
  <c r="J631" i="6"/>
  <c r="H633" i="6"/>
  <c r="J634" i="6"/>
  <c r="H635" i="6"/>
  <c r="J638" i="6"/>
  <c r="J639" i="6"/>
  <c r="J641" i="6"/>
  <c r="J642" i="6"/>
  <c r="J643" i="6"/>
  <c r="J644" i="6"/>
  <c r="J645" i="6"/>
  <c r="J646" i="6"/>
  <c r="F647" i="6"/>
  <c r="R647" i="6"/>
  <c r="U647" i="6"/>
  <c r="F648" i="6"/>
  <c r="R648" i="6"/>
  <c r="U648" i="6"/>
  <c r="J649" i="6"/>
  <c r="H650" i="6"/>
  <c r="E651" i="6"/>
  <c r="J651" i="6"/>
  <c r="E652" i="6"/>
  <c r="J652" i="6"/>
  <c r="E653" i="6"/>
  <c r="J653" i="6"/>
  <c r="E654" i="6"/>
  <c r="J654" i="6"/>
  <c r="F655" i="6"/>
  <c r="R655" i="6"/>
  <c r="U655" i="6"/>
  <c r="F656" i="6"/>
  <c r="R656" i="6"/>
  <c r="U656" i="6"/>
  <c r="H657" i="6"/>
  <c r="E658" i="6"/>
  <c r="J658" i="6"/>
  <c r="E659" i="6"/>
  <c r="J659" i="6"/>
  <c r="F660" i="6"/>
  <c r="R660" i="6"/>
  <c r="U660" i="6"/>
  <c r="F661" i="6"/>
  <c r="R661" i="6"/>
  <c r="U661" i="6"/>
  <c r="H662" i="6"/>
  <c r="E663" i="6"/>
  <c r="J663" i="6"/>
  <c r="E664" i="6"/>
  <c r="J664" i="6"/>
  <c r="F665" i="6"/>
  <c r="R665" i="6"/>
  <c r="U665" i="6"/>
  <c r="F666" i="6"/>
  <c r="R666" i="6"/>
  <c r="U666" i="6"/>
  <c r="H667" i="6"/>
  <c r="E668" i="6"/>
  <c r="J668" i="6"/>
  <c r="E669" i="6"/>
  <c r="J669" i="6"/>
  <c r="F670" i="6"/>
  <c r="R670" i="6"/>
  <c r="U670" i="6"/>
  <c r="F671" i="6"/>
  <c r="R671" i="6"/>
  <c r="U671" i="6"/>
  <c r="H672" i="6"/>
  <c r="E673" i="6"/>
  <c r="J673" i="6"/>
  <c r="E674" i="6"/>
  <c r="J674" i="6"/>
  <c r="F675" i="6"/>
  <c r="R675" i="6"/>
  <c r="U675" i="6"/>
  <c r="F676" i="6"/>
  <c r="R676" i="6"/>
  <c r="U676" i="6"/>
  <c r="H677" i="6"/>
  <c r="E678" i="6"/>
  <c r="J678" i="6"/>
  <c r="E679" i="6"/>
  <c r="J679" i="6"/>
  <c r="F680" i="6"/>
  <c r="R680" i="6"/>
  <c r="U680" i="6"/>
  <c r="F681" i="6"/>
  <c r="R681" i="6"/>
  <c r="U681" i="6"/>
  <c r="H682" i="6"/>
  <c r="E683" i="6"/>
  <c r="J683" i="6"/>
  <c r="E684" i="6"/>
  <c r="J684" i="6"/>
  <c r="F685" i="6"/>
  <c r="R685" i="6"/>
  <c r="U685" i="6"/>
  <c r="F686" i="6"/>
  <c r="R686" i="6"/>
  <c r="U686" i="6"/>
  <c r="H687" i="6"/>
  <c r="E688" i="6"/>
  <c r="J688" i="6"/>
  <c r="E689" i="6"/>
  <c r="J689" i="6"/>
  <c r="F690" i="6"/>
  <c r="R690" i="6"/>
  <c r="U690" i="6"/>
  <c r="F691" i="6"/>
  <c r="R691" i="6"/>
  <c r="U691" i="6"/>
  <c r="H692" i="6"/>
  <c r="E693" i="6"/>
  <c r="J693" i="6"/>
  <c r="E694" i="6"/>
  <c r="J694" i="6"/>
  <c r="F695" i="6"/>
  <c r="R695" i="6"/>
  <c r="U695" i="6"/>
  <c r="F696" i="6"/>
  <c r="R696" i="6"/>
  <c r="U696" i="6"/>
  <c r="H697" i="6"/>
  <c r="E698" i="6"/>
  <c r="J698" i="6"/>
  <c r="E699" i="6"/>
  <c r="J699" i="6"/>
  <c r="F700" i="6"/>
  <c r="R700" i="6"/>
  <c r="U700" i="6"/>
  <c r="F701" i="6"/>
  <c r="R701" i="6"/>
  <c r="U701" i="6"/>
  <c r="H702" i="6"/>
  <c r="E703" i="6"/>
  <c r="J703" i="6"/>
  <c r="E704" i="6"/>
  <c r="J704" i="6"/>
  <c r="F705" i="6"/>
  <c r="R705" i="6"/>
  <c r="U705" i="6"/>
  <c r="F706" i="6"/>
  <c r="R706" i="6"/>
  <c r="U706" i="6"/>
  <c r="H707" i="6"/>
  <c r="E708" i="6"/>
  <c r="J708" i="6"/>
  <c r="E709" i="6"/>
  <c r="J709" i="6"/>
  <c r="F710" i="6"/>
  <c r="R710" i="6"/>
  <c r="U710" i="6"/>
  <c r="F711" i="6"/>
  <c r="R711" i="6"/>
  <c r="U711" i="6"/>
  <c r="H712" i="6"/>
  <c r="E713" i="6"/>
  <c r="J713" i="6"/>
  <c r="E714" i="6"/>
  <c r="J714" i="6"/>
  <c r="F715" i="6"/>
  <c r="R715" i="6"/>
  <c r="U715" i="6"/>
  <c r="F716" i="6"/>
  <c r="R716" i="6"/>
  <c r="U716" i="6"/>
  <c r="H717" i="6"/>
  <c r="E718" i="6"/>
  <c r="J718" i="6"/>
  <c r="E719" i="6"/>
  <c r="J719" i="6"/>
  <c r="F720" i="6"/>
  <c r="R720" i="6"/>
  <c r="U720" i="6"/>
  <c r="F721" i="6"/>
  <c r="R721" i="6"/>
  <c r="U721" i="6"/>
  <c r="H722" i="6"/>
  <c r="E723" i="6"/>
  <c r="J723" i="6"/>
  <c r="E724" i="6"/>
  <c r="J724" i="6"/>
  <c r="F725" i="6"/>
  <c r="R725" i="6"/>
  <c r="U725" i="6"/>
  <c r="F726" i="6"/>
  <c r="R726" i="6"/>
  <c r="U726" i="6"/>
  <c r="H727" i="6"/>
  <c r="E728" i="6"/>
  <c r="J728" i="6"/>
  <c r="E729" i="6"/>
  <c r="J729" i="6"/>
  <c r="F730" i="6"/>
  <c r="R730" i="6"/>
  <c r="U730" i="6"/>
  <c r="F731" i="6"/>
  <c r="R731" i="6"/>
  <c r="U731" i="6"/>
  <c r="H732" i="6"/>
  <c r="E733" i="6"/>
  <c r="J733" i="6"/>
  <c r="E734" i="6"/>
  <c r="J734" i="6"/>
  <c r="F735" i="6"/>
  <c r="R735" i="6"/>
  <c r="U735" i="6"/>
  <c r="F736" i="6"/>
  <c r="R736" i="6"/>
  <c r="U736" i="6"/>
  <c r="H737" i="6"/>
  <c r="E738" i="6"/>
  <c r="J738" i="6"/>
  <c r="E739" i="6"/>
  <c r="J739" i="6"/>
  <c r="F740" i="6"/>
  <c r="R740" i="6"/>
  <c r="U740" i="6"/>
  <c r="F741" i="6"/>
  <c r="R741" i="6"/>
  <c r="U741" i="6"/>
  <c r="H742" i="6"/>
  <c r="E743" i="6"/>
  <c r="J743" i="6"/>
  <c r="E744" i="6"/>
  <c r="J744" i="6"/>
  <c r="F745" i="6"/>
  <c r="R745" i="6"/>
  <c r="U745" i="6"/>
  <c r="F746" i="6"/>
  <c r="R746" i="6"/>
  <c r="U746" i="6"/>
  <c r="H747" i="6"/>
  <c r="E748" i="6"/>
  <c r="J748" i="6"/>
  <c r="J749" i="6"/>
  <c r="H750" i="6"/>
  <c r="H751" i="6"/>
  <c r="J752" i="6"/>
  <c r="E754" i="6"/>
  <c r="J754" i="6"/>
  <c r="E755" i="6"/>
  <c r="J755" i="6"/>
  <c r="E756" i="6"/>
  <c r="J756" i="6"/>
  <c r="E757" i="6"/>
  <c r="J757" i="6"/>
  <c r="F758" i="6"/>
  <c r="R758" i="6"/>
  <c r="U758" i="6"/>
  <c r="F759" i="6"/>
  <c r="R759" i="6"/>
  <c r="U759" i="6"/>
  <c r="H760" i="6"/>
  <c r="E761" i="6"/>
  <c r="J761" i="6"/>
  <c r="E762" i="6"/>
  <c r="J762" i="6"/>
  <c r="F763" i="6"/>
  <c r="R763" i="6"/>
  <c r="U763" i="6"/>
  <c r="F764" i="6"/>
  <c r="R764" i="6"/>
  <c r="U764" i="6"/>
  <c r="H765" i="6"/>
  <c r="E766" i="6"/>
  <c r="J766" i="6"/>
  <c r="E767" i="6"/>
  <c r="J767" i="6"/>
  <c r="F768" i="6"/>
  <c r="R768" i="6"/>
  <c r="U768" i="6"/>
  <c r="F769" i="6"/>
  <c r="R769" i="6"/>
  <c r="U769" i="6"/>
  <c r="H770" i="6"/>
  <c r="E771" i="6"/>
  <c r="J771" i="6"/>
  <c r="E772" i="6"/>
  <c r="J772" i="6"/>
  <c r="F773" i="6"/>
  <c r="R773" i="6"/>
  <c r="U773" i="6"/>
  <c r="F774" i="6"/>
  <c r="R774" i="6"/>
  <c r="U774" i="6"/>
  <c r="H775" i="6"/>
  <c r="E776" i="6"/>
  <c r="J776" i="6"/>
  <c r="E777" i="6"/>
  <c r="J777" i="6"/>
  <c r="F778" i="6"/>
  <c r="R778" i="6"/>
  <c r="U778" i="6"/>
  <c r="F779" i="6"/>
  <c r="R779" i="6"/>
  <c r="U779" i="6"/>
  <c r="H780" i="6"/>
  <c r="E781" i="6"/>
  <c r="J781" i="6"/>
  <c r="E782" i="6"/>
  <c r="J782" i="6"/>
  <c r="F783" i="6"/>
  <c r="R783" i="6"/>
  <c r="U783" i="6"/>
  <c r="F784" i="6"/>
  <c r="R784" i="6"/>
  <c r="U784" i="6"/>
  <c r="H785" i="6"/>
  <c r="E786" i="6"/>
  <c r="J786" i="6"/>
  <c r="E787" i="6"/>
  <c r="J787" i="6"/>
  <c r="F788" i="6"/>
  <c r="Q788" i="6"/>
  <c r="T788" i="6"/>
  <c r="F789" i="6"/>
  <c r="Q789" i="6"/>
  <c r="T789" i="6"/>
  <c r="H790" i="6"/>
  <c r="E791" i="6"/>
  <c r="J791" i="6"/>
  <c r="E792" i="6"/>
  <c r="J792" i="6"/>
  <c r="F793" i="6"/>
  <c r="Q793" i="6"/>
  <c r="T793" i="6"/>
  <c r="F794" i="6"/>
  <c r="Q794" i="6"/>
  <c r="T794" i="6"/>
  <c r="H795" i="6"/>
  <c r="E796" i="6"/>
  <c r="J796" i="6"/>
  <c r="E797" i="6"/>
  <c r="J797" i="6"/>
  <c r="F798" i="6"/>
  <c r="R798" i="6"/>
  <c r="U798" i="6"/>
  <c r="F799" i="6"/>
  <c r="R799" i="6"/>
  <c r="U799" i="6"/>
  <c r="H800" i="6"/>
  <c r="E801" i="6"/>
  <c r="J801" i="6"/>
  <c r="J802" i="6"/>
  <c r="H803" i="6"/>
  <c r="H804" i="6"/>
  <c r="J805" i="6"/>
  <c r="E807" i="6"/>
  <c r="J807" i="6"/>
  <c r="E808" i="6"/>
  <c r="J808" i="6"/>
  <c r="E809" i="6"/>
  <c r="J809" i="6"/>
  <c r="E810" i="6"/>
  <c r="J810" i="6"/>
  <c r="F811" i="6"/>
  <c r="R811" i="6"/>
  <c r="U811" i="6"/>
  <c r="F812" i="6"/>
  <c r="R812" i="6"/>
  <c r="U812" i="6"/>
  <c r="H813" i="6"/>
  <c r="E814" i="6"/>
  <c r="J814" i="6"/>
  <c r="J815" i="6"/>
  <c r="F816" i="6"/>
  <c r="R816" i="6"/>
  <c r="U816" i="6"/>
  <c r="F817" i="6"/>
  <c r="R817" i="6"/>
  <c r="U817" i="6"/>
  <c r="H818" i="6"/>
  <c r="E819" i="6"/>
  <c r="J819" i="6"/>
  <c r="E820" i="6"/>
  <c r="J820" i="6"/>
  <c r="F821" i="6"/>
  <c r="R821" i="6"/>
  <c r="U821" i="6"/>
  <c r="F822" i="6"/>
  <c r="R822" i="6"/>
  <c r="U822" i="6"/>
  <c r="H823" i="6"/>
  <c r="E824" i="6"/>
  <c r="J824" i="6"/>
  <c r="E825" i="6"/>
  <c r="J825" i="6"/>
  <c r="F826" i="6"/>
  <c r="R826" i="6"/>
  <c r="U826" i="6"/>
  <c r="F827" i="6"/>
  <c r="R827" i="6"/>
  <c r="U827" i="6"/>
  <c r="H828" i="6"/>
  <c r="E829" i="6"/>
  <c r="J829" i="6"/>
  <c r="J830" i="6"/>
  <c r="H831" i="6"/>
  <c r="H832" i="6"/>
  <c r="J833" i="6"/>
  <c r="E835" i="6"/>
  <c r="J835" i="6"/>
  <c r="E836" i="6"/>
  <c r="J836" i="6"/>
  <c r="E837" i="6"/>
  <c r="J837" i="6"/>
  <c r="E838" i="6"/>
  <c r="J838" i="6"/>
  <c r="F839" i="6"/>
  <c r="R839" i="6"/>
  <c r="U839" i="6"/>
  <c r="F840" i="6"/>
  <c r="R840" i="6"/>
  <c r="U840" i="6"/>
  <c r="E842" i="6"/>
  <c r="J842" i="6"/>
  <c r="E843" i="6"/>
  <c r="J843" i="6"/>
  <c r="F844" i="6"/>
  <c r="R844" i="6"/>
  <c r="U844" i="6"/>
  <c r="F845" i="6"/>
  <c r="R845" i="6"/>
  <c r="U845" i="6"/>
  <c r="E847" i="6"/>
  <c r="J847" i="6"/>
  <c r="J848" i="6"/>
  <c r="F849" i="6"/>
  <c r="R849" i="6"/>
  <c r="U849" i="6"/>
  <c r="F850" i="6"/>
  <c r="R850" i="6"/>
  <c r="U850" i="6"/>
  <c r="J852" i="6"/>
  <c r="E853" i="6"/>
  <c r="J853" i="6"/>
  <c r="F854" i="6"/>
  <c r="R854" i="6"/>
  <c r="U854" i="6"/>
  <c r="F855" i="6"/>
  <c r="R855" i="6"/>
  <c r="U855" i="6"/>
  <c r="E857" i="6"/>
  <c r="J857" i="6"/>
  <c r="E858" i="6"/>
  <c r="J858" i="6"/>
  <c r="F859" i="6"/>
  <c r="R859" i="6"/>
  <c r="U859" i="6"/>
  <c r="F860" i="6"/>
  <c r="R860" i="6"/>
  <c r="U860" i="6"/>
  <c r="E862" i="6"/>
  <c r="J862" i="6"/>
  <c r="E863" i="6"/>
  <c r="J863" i="6"/>
  <c r="F864" i="6"/>
  <c r="R864" i="6"/>
  <c r="U864" i="6"/>
  <c r="F865" i="6"/>
  <c r="R865" i="6"/>
  <c r="U865" i="6"/>
  <c r="E867" i="6"/>
  <c r="J867" i="6"/>
  <c r="J868" i="6"/>
  <c r="F869" i="6"/>
  <c r="R869" i="6"/>
  <c r="U869" i="6"/>
  <c r="F870" i="6"/>
  <c r="R870" i="6"/>
  <c r="U870" i="6"/>
  <c r="J872" i="6"/>
  <c r="E873" i="6"/>
  <c r="J873" i="6"/>
  <c r="F874" i="6"/>
  <c r="R874" i="6"/>
  <c r="U874" i="6"/>
  <c r="F875" i="6"/>
  <c r="R875" i="6"/>
  <c r="U875" i="6"/>
  <c r="E877" i="6"/>
  <c r="J877" i="6"/>
  <c r="E878" i="6"/>
  <c r="J878" i="6"/>
  <c r="F879" i="6"/>
  <c r="R879" i="6"/>
  <c r="U879" i="6"/>
  <c r="F880" i="6"/>
  <c r="R880" i="6"/>
  <c r="U880" i="6"/>
  <c r="E882" i="6"/>
  <c r="J882" i="6"/>
  <c r="E883" i="6"/>
  <c r="J883" i="6"/>
  <c r="F884" i="6"/>
  <c r="R884" i="6"/>
  <c r="U884" i="6"/>
  <c r="F885" i="6"/>
  <c r="R885" i="6"/>
  <c r="U885" i="6"/>
  <c r="J887" i="6"/>
  <c r="E888" i="6"/>
  <c r="J888" i="6"/>
  <c r="F889" i="6"/>
  <c r="R889" i="6"/>
  <c r="U889" i="6"/>
  <c r="F890" i="6"/>
  <c r="R890" i="6"/>
  <c r="U890" i="6"/>
  <c r="J892" i="6"/>
  <c r="E893" i="6"/>
  <c r="J893" i="6"/>
  <c r="F894" i="6"/>
  <c r="R894" i="6"/>
  <c r="U894" i="6"/>
  <c r="F895" i="6"/>
  <c r="R895" i="6"/>
  <c r="U895" i="6"/>
  <c r="E897" i="6"/>
  <c r="J897" i="6"/>
  <c r="E898" i="6"/>
  <c r="J898" i="6"/>
  <c r="H899" i="6"/>
  <c r="H900" i="6"/>
  <c r="E901" i="6"/>
  <c r="J901" i="6"/>
  <c r="H902" i="6"/>
  <c r="L902" i="6"/>
  <c r="E903" i="6"/>
  <c r="J903" i="6"/>
  <c r="J904" i="6"/>
  <c r="E906" i="6"/>
  <c r="J906" i="6"/>
  <c r="E907" i="6"/>
  <c r="J907" i="6"/>
  <c r="E908" i="6"/>
  <c r="J908" i="6"/>
  <c r="E909" i="6"/>
  <c r="J909" i="6"/>
  <c r="E910" i="6"/>
  <c r="J910" i="6"/>
  <c r="E911" i="6"/>
  <c r="J911" i="6"/>
  <c r="E912" i="6"/>
  <c r="J912" i="6"/>
  <c r="F913" i="6"/>
  <c r="R913" i="6"/>
  <c r="T913" i="6"/>
  <c r="F914" i="6"/>
  <c r="R914" i="6"/>
  <c r="U914" i="6"/>
  <c r="F915" i="6"/>
  <c r="R915" i="6"/>
  <c r="U915" i="6"/>
  <c r="F916" i="6"/>
  <c r="R916" i="6"/>
  <c r="U916" i="6"/>
  <c r="H917" i="6"/>
  <c r="E918" i="6"/>
  <c r="J918" i="6"/>
  <c r="E919" i="6"/>
  <c r="J919" i="6"/>
  <c r="F920" i="6"/>
  <c r="R920" i="6"/>
  <c r="T920" i="6"/>
  <c r="F921" i="6"/>
  <c r="R921" i="6"/>
  <c r="U921" i="6"/>
  <c r="F922" i="6"/>
  <c r="R922" i="6"/>
  <c r="U922" i="6"/>
  <c r="F923" i="6"/>
  <c r="R923" i="6"/>
  <c r="U923" i="6"/>
  <c r="H924" i="6"/>
  <c r="E925" i="6"/>
  <c r="J925" i="6"/>
  <c r="F927" i="6"/>
  <c r="G927" i="6"/>
  <c r="V914" i="3" s="1"/>
  <c r="H927" i="6"/>
  <c r="I927" i="6"/>
  <c r="J927" i="6" s="1"/>
  <c r="E928" i="6"/>
  <c r="J928" i="6"/>
  <c r="E929" i="6"/>
  <c r="J929" i="6"/>
  <c r="Q929" i="6"/>
  <c r="R929" i="6"/>
  <c r="T929" i="6"/>
  <c r="U929" i="6"/>
  <c r="R930" i="6"/>
  <c r="U930" i="6"/>
  <c r="R931" i="6"/>
  <c r="U931" i="6"/>
  <c r="R932" i="6"/>
  <c r="U932" i="6"/>
  <c r="R933" i="6"/>
  <c r="U933" i="6"/>
  <c r="H934" i="6"/>
  <c r="E935" i="6"/>
  <c r="J935" i="6"/>
  <c r="F936" i="6"/>
  <c r="E937" i="6"/>
  <c r="J937" i="6"/>
  <c r="F938" i="6"/>
  <c r="Q938" i="6"/>
  <c r="R938" i="6"/>
  <c r="T938" i="6"/>
  <c r="U938" i="6"/>
  <c r="J939" i="6"/>
  <c r="F940" i="6"/>
  <c r="Q940" i="6"/>
  <c r="R940" i="6"/>
  <c r="T940" i="6"/>
  <c r="U940" i="6"/>
  <c r="E941" i="6"/>
  <c r="J941" i="6"/>
  <c r="F942" i="6"/>
  <c r="Q942" i="6"/>
  <c r="R942" i="6"/>
  <c r="T942" i="6"/>
  <c r="U942" i="6"/>
  <c r="E943" i="6"/>
  <c r="J943" i="6"/>
  <c r="F944" i="6"/>
  <c r="Q944" i="6"/>
  <c r="R944" i="6"/>
  <c r="T944" i="6"/>
  <c r="U944" i="6"/>
  <c r="E945" i="6"/>
  <c r="J945" i="6"/>
  <c r="E946" i="6"/>
  <c r="J946" i="6"/>
  <c r="E947" i="6"/>
  <c r="J947" i="6"/>
  <c r="E948" i="6"/>
  <c r="J948" i="6"/>
  <c r="E949" i="6"/>
  <c r="J949" i="6"/>
  <c r="E951" i="6"/>
  <c r="J951" i="6"/>
  <c r="E952" i="6"/>
  <c r="J952" i="6"/>
  <c r="E954" i="6"/>
  <c r="J954" i="6"/>
  <c r="E955" i="6"/>
  <c r="J955" i="6"/>
  <c r="E957" i="6"/>
  <c r="J957" i="6"/>
  <c r="E958" i="6"/>
  <c r="J958" i="6"/>
  <c r="E959" i="6"/>
  <c r="J959" i="6"/>
  <c r="E960" i="6"/>
  <c r="J960" i="6"/>
  <c r="E961" i="6"/>
  <c r="J961" i="6"/>
  <c r="E962" i="6"/>
  <c r="J962" i="6"/>
  <c r="E963" i="6"/>
  <c r="J963" i="6"/>
  <c r="E964" i="6"/>
  <c r="J964" i="6"/>
  <c r="E965" i="6"/>
  <c r="J965" i="6"/>
  <c r="F966" i="6"/>
  <c r="R966" i="6"/>
  <c r="U966" i="6"/>
  <c r="F967" i="6"/>
  <c r="R967" i="6"/>
  <c r="U967" i="6"/>
  <c r="E968" i="6"/>
  <c r="J968" i="6"/>
  <c r="E970" i="6"/>
  <c r="J970" i="6"/>
  <c r="E971" i="6"/>
  <c r="J971" i="6"/>
  <c r="F972" i="6"/>
  <c r="R972" i="6"/>
  <c r="T972" i="6"/>
  <c r="F973" i="6"/>
  <c r="R973" i="6"/>
  <c r="T973" i="6"/>
  <c r="F974" i="6"/>
  <c r="R974" i="6"/>
  <c r="T974" i="6"/>
  <c r="F975" i="6"/>
  <c r="R975" i="6"/>
  <c r="T975" i="6"/>
  <c r="F976" i="6"/>
  <c r="R976" i="6"/>
  <c r="T976" i="6"/>
  <c r="F977" i="6"/>
  <c r="R977" i="6"/>
  <c r="T977" i="6"/>
  <c r="F978" i="6"/>
  <c r="R978" i="6"/>
  <c r="T978" i="6"/>
  <c r="E979" i="6"/>
  <c r="J979" i="6"/>
  <c r="E981" i="6"/>
  <c r="J981" i="6"/>
  <c r="E982" i="6"/>
  <c r="J982" i="6"/>
  <c r="E983" i="6"/>
  <c r="J983" i="6"/>
  <c r="F984" i="6"/>
  <c r="R984" i="6"/>
  <c r="U984" i="6"/>
  <c r="F985" i="6"/>
  <c r="R985" i="6"/>
  <c r="U985" i="6"/>
  <c r="E987" i="6"/>
  <c r="J987" i="6"/>
  <c r="E988" i="6"/>
  <c r="J988" i="6"/>
  <c r="F989" i="6"/>
  <c r="R989" i="6"/>
  <c r="U989" i="6"/>
  <c r="F990" i="6"/>
  <c r="R990" i="6"/>
  <c r="U990" i="6"/>
  <c r="E992" i="6"/>
  <c r="J992" i="6"/>
  <c r="E993" i="6"/>
  <c r="J993" i="6"/>
  <c r="E994" i="6"/>
  <c r="J994" i="6"/>
  <c r="E995" i="6"/>
  <c r="J995" i="6"/>
  <c r="E996" i="6"/>
  <c r="J996" i="6"/>
  <c r="F997" i="6"/>
  <c r="R997" i="6"/>
  <c r="U997" i="6"/>
  <c r="E998" i="6"/>
  <c r="J998" i="6"/>
  <c r="E999" i="6"/>
  <c r="J999" i="6"/>
  <c r="E1000" i="6"/>
  <c r="J1000" i="6"/>
  <c r="F1001" i="6"/>
  <c r="R1001" i="6"/>
  <c r="U1001" i="6"/>
  <c r="H1002" i="6"/>
  <c r="H1034" i="6" s="1"/>
  <c r="E1003" i="6"/>
  <c r="J1003" i="6"/>
  <c r="E1004" i="6"/>
  <c r="J1004" i="6"/>
  <c r="F1005" i="6"/>
  <c r="R1005" i="6"/>
  <c r="U1005" i="6"/>
  <c r="F1006" i="6"/>
  <c r="R1006" i="6"/>
  <c r="U1006" i="6"/>
  <c r="E1008" i="6"/>
  <c r="J1008" i="6"/>
  <c r="E1009" i="6"/>
  <c r="J1009" i="6"/>
  <c r="F1010" i="6"/>
  <c r="R1010" i="6"/>
  <c r="U1010" i="6"/>
  <c r="F1011" i="6"/>
  <c r="R1011" i="6"/>
  <c r="U1011" i="6"/>
  <c r="E1013" i="6"/>
  <c r="J1013" i="6"/>
  <c r="E1014" i="6"/>
  <c r="J1014" i="6"/>
  <c r="F1015" i="6"/>
  <c r="R1015" i="6"/>
  <c r="U1015" i="6"/>
  <c r="F1016" i="6"/>
  <c r="R1016" i="6"/>
  <c r="U1016" i="6"/>
  <c r="E1018" i="6"/>
  <c r="J1018" i="6"/>
  <c r="E1019" i="6"/>
  <c r="J1019" i="6"/>
  <c r="F1020" i="6"/>
  <c r="R1020" i="6"/>
  <c r="U1020" i="6"/>
  <c r="F1021" i="6"/>
  <c r="R1021" i="6"/>
  <c r="U1021" i="6"/>
  <c r="E1023" i="6"/>
  <c r="J1023" i="6"/>
  <c r="E1024" i="6"/>
  <c r="J1024" i="6"/>
  <c r="F1025" i="6"/>
  <c r="R1025" i="6"/>
  <c r="U1025" i="6"/>
  <c r="F1026" i="6"/>
  <c r="R1026" i="6"/>
  <c r="U1026" i="6"/>
  <c r="E1028" i="6"/>
  <c r="J1028" i="6"/>
  <c r="E1029" i="6"/>
  <c r="J1029" i="6"/>
  <c r="F1030" i="6"/>
  <c r="R1030" i="6"/>
  <c r="U1030" i="6"/>
  <c r="F1031" i="6"/>
  <c r="R1031" i="6"/>
  <c r="U1031" i="6"/>
  <c r="E1033" i="6"/>
  <c r="J1033" i="6"/>
  <c r="E1035" i="6"/>
  <c r="J1035" i="6"/>
  <c r="E1036" i="6"/>
  <c r="J1036" i="6"/>
  <c r="E1037" i="6"/>
  <c r="J1037" i="6"/>
  <c r="F1038" i="6"/>
  <c r="U1038" i="6"/>
  <c r="F1039" i="6"/>
  <c r="U1039" i="6"/>
  <c r="U1040" i="6"/>
  <c r="E1041" i="6"/>
  <c r="J1041" i="6"/>
  <c r="E1042" i="6"/>
  <c r="J1042" i="6"/>
  <c r="F1043" i="6"/>
  <c r="R1043" i="6"/>
  <c r="U1043" i="6"/>
  <c r="F1044" i="6"/>
  <c r="R1044" i="6"/>
  <c r="U1044" i="6"/>
  <c r="F1045" i="6"/>
  <c r="R1045" i="6"/>
  <c r="U1045" i="6"/>
  <c r="R1046" i="6"/>
  <c r="U1046" i="6"/>
  <c r="E1047" i="6"/>
  <c r="J1047" i="6"/>
  <c r="E1048" i="6"/>
  <c r="J1048" i="6"/>
  <c r="F1049" i="6"/>
  <c r="R1049" i="6"/>
  <c r="U1049" i="6"/>
  <c r="F1050" i="6"/>
  <c r="R1050" i="6"/>
  <c r="U1050" i="6"/>
  <c r="F1051" i="6"/>
  <c r="R1051" i="6"/>
  <c r="U1051" i="6"/>
  <c r="R1052" i="6"/>
  <c r="U1052" i="6"/>
  <c r="E1053" i="6"/>
  <c r="J1053" i="6"/>
  <c r="G1054" i="6"/>
  <c r="V1035" i="3" s="1"/>
  <c r="F1055" i="6"/>
  <c r="R1055" i="6"/>
  <c r="U1055" i="6"/>
  <c r="F1056" i="6"/>
  <c r="R1056" i="6"/>
  <c r="U1056" i="6"/>
  <c r="F1057" i="6"/>
  <c r="R1057" i="6"/>
  <c r="U1057" i="6"/>
  <c r="R1058" i="6"/>
  <c r="U1058" i="6"/>
  <c r="E1059" i="6"/>
  <c r="J1059" i="6"/>
  <c r="E1060" i="6"/>
  <c r="J1060" i="6"/>
  <c r="F1061" i="6"/>
  <c r="R1061" i="6"/>
  <c r="U1061" i="6"/>
  <c r="F1062" i="6"/>
  <c r="R1062" i="6"/>
  <c r="U1062" i="6"/>
  <c r="R1063" i="6"/>
  <c r="U1063" i="6"/>
  <c r="E1064" i="6"/>
  <c r="J1064" i="6"/>
  <c r="E1065" i="6"/>
  <c r="J1065" i="6"/>
  <c r="F1066" i="6"/>
  <c r="R1066" i="6"/>
  <c r="U1066" i="6"/>
  <c r="F1067" i="6"/>
  <c r="R1067" i="6"/>
  <c r="U1067" i="6"/>
  <c r="F1068" i="6"/>
  <c r="R1068" i="6"/>
  <c r="U1068" i="6"/>
  <c r="R1069" i="6"/>
  <c r="U1069" i="6"/>
  <c r="E1070" i="6"/>
  <c r="J1070" i="6"/>
  <c r="E1071" i="6"/>
  <c r="J1071" i="6"/>
  <c r="F1072" i="6"/>
  <c r="R1072" i="6"/>
  <c r="U1072" i="6"/>
  <c r="F1073" i="6"/>
  <c r="R1073" i="6"/>
  <c r="U1073" i="6"/>
  <c r="F1074" i="6"/>
  <c r="R1074" i="6"/>
  <c r="U1074" i="6"/>
  <c r="R1075" i="6"/>
  <c r="U1075" i="6"/>
  <c r="E1076" i="6"/>
  <c r="J1076" i="6"/>
  <c r="E1077" i="6"/>
  <c r="J1077" i="6"/>
  <c r="F1078" i="6"/>
  <c r="R1078" i="6"/>
  <c r="U1078" i="6"/>
  <c r="R1079" i="6"/>
  <c r="U1079" i="6"/>
  <c r="F1080" i="6"/>
  <c r="R1080" i="6"/>
  <c r="U1080" i="6"/>
  <c r="R1081" i="6"/>
  <c r="U1081" i="6"/>
  <c r="E1082" i="6"/>
  <c r="J1082" i="6"/>
  <c r="J1083" i="6"/>
  <c r="F1084" i="6"/>
  <c r="R1084" i="6"/>
  <c r="U1084" i="6"/>
  <c r="F1085" i="6"/>
  <c r="R1085" i="6"/>
  <c r="U1085" i="6"/>
  <c r="R1086" i="6"/>
  <c r="U1086" i="6"/>
  <c r="J1087" i="6"/>
  <c r="J1088" i="6"/>
  <c r="F1089" i="6"/>
  <c r="R1089" i="6"/>
  <c r="U1089" i="6"/>
  <c r="F1090" i="6"/>
  <c r="R1090" i="6"/>
  <c r="U1090" i="6"/>
  <c r="F1091" i="6"/>
  <c r="R1091" i="6"/>
  <c r="U1091" i="6"/>
  <c r="R1092" i="6"/>
  <c r="U1092" i="6"/>
  <c r="E1093" i="6"/>
  <c r="J1093" i="6"/>
  <c r="H1094" i="6"/>
  <c r="H1101" i="6" s="1"/>
  <c r="H1141" i="6" s="1"/>
  <c r="E1095" i="6"/>
  <c r="J1095" i="6"/>
  <c r="E1096" i="6"/>
  <c r="J1096" i="6"/>
  <c r="E1097" i="6"/>
  <c r="J1097" i="6"/>
  <c r="H1098" i="6"/>
  <c r="H1138" i="6" s="1"/>
  <c r="H1139" i="6"/>
  <c r="H1140" i="6"/>
  <c r="E1103" i="6"/>
  <c r="J1103" i="6"/>
  <c r="E1104" i="6"/>
  <c r="J1104" i="6"/>
  <c r="F1105" i="6"/>
  <c r="F1106" i="6" s="1"/>
  <c r="R1105" i="6"/>
  <c r="R1106" i="6" s="1"/>
  <c r="U1105" i="6"/>
  <c r="U1106" i="6" s="1"/>
  <c r="H1106" i="6"/>
  <c r="E1107" i="6"/>
  <c r="J1107" i="6"/>
  <c r="E1108" i="6"/>
  <c r="J1108" i="6"/>
  <c r="F1109" i="6"/>
  <c r="R1109" i="6"/>
  <c r="U1109" i="6"/>
  <c r="F1110" i="6"/>
  <c r="R1110" i="6"/>
  <c r="U1110" i="6"/>
  <c r="F1111" i="6"/>
  <c r="R1111" i="6"/>
  <c r="U1111" i="6"/>
  <c r="F1112" i="6"/>
  <c r="R1112" i="6"/>
  <c r="U1112" i="6"/>
  <c r="H1113" i="6"/>
  <c r="J1114" i="6"/>
  <c r="J1115" i="6"/>
  <c r="F1116" i="6"/>
  <c r="R1116" i="6"/>
  <c r="T1116" i="6"/>
  <c r="F1117" i="6"/>
  <c r="R1117" i="6"/>
  <c r="U1117" i="6"/>
  <c r="F1118" i="6"/>
  <c r="R1118" i="6"/>
  <c r="U1118" i="6"/>
  <c r="F1119" i="6"/>
  <c r="R1119" i="6"/>
  <c r="U1119" i="6"/>
  <c r="H1120" i="6"/>
  <c r="E1121" i="6"/>
  <c r="J1121" i="6"/>
  <c r="E1122" i="6"/>
  <c r="J1122" i="6"/>
  <c r="F1123" i="6"/>
  <c r="R1123" i="6"/>
  <c r="T1123" i="6"/>
  <c r="F1124" i="6"/>
  <c r="R1124" i="6"/>
  <c r="U1124" i="6"/>
  <c r="F1125" i="6"/>
  <c r="R1125" i="6"/>
  <c r="U1125" i="6"/>
  <c r="F1126" i="6"/>
  <c r="R1126" i="6"/>
  <c r="U1126" i="6"/>
  <c r="H1127" i="6"/>
  <c r="E1128" i="6"/>
  <c r="J1128" i="6"/>
  <c r="E1136" i="6"/>
  <c r="J1136" i="6"/>
  <c r="E1137" i="6"/>
  <c r="J1137" i="6"/>
  <c r="J1142" i="6"/>
  <c r="E1143" i="6"/>
  <c r="J1143" i="6"/>
  <c r="E1145" i="6"/>
  <c r="J1145" i="6"/>
  <c r="E1146" i="6"/>
  <c r="J1146" i="6"/>
  <c r="E1147" i="6"/>
  <c r="J1147" i="6"/>
  <c r="E1148" i="6"/>
  <c r="J1148" i="6"/>
  <c r="J1149" i="6"/>
  <c r="R1150" i="6"/>
  <c r="U1150" i="6"/>
  <c r="R1151" i="6"/>
  <c r="U1151" i="6"/>
  <c r="H1152" i="6"/>
  <c r="E1153" i="6"/>
  <c r="J1153" i="6"/>
  <c r="E1154" i="6"/>
  <c r="J1154" i="6"/>
  <c r="F1155" i="6"/>
  <c r="G1155" i="6" s="1"/>
  <c r="G1156" i="6" s="1"/>
  <c r="R1155" i="6"/>
  <c r="R1156" i="6" s="1"/>
  <c r="U1155" i="6"/>
  <c r="U1156" i="6" s="1"/>
  <c r="H1156" i="6"/>
  <c r="E1157" i="6"/>
  <c r="J1157" i="6"/>
  <c r="E1158" i="6"/>
  <c r="J1158" i="6"/>
  <c r="F1159" i="6"/>
  <c r="F1160" i="6" s="1"/>
  <c r="R1159" i="6"/>
  <c r="R1160" i="6" s="1"/>
  <c r="U1159" i="6"/>
  <c r="U1160" i="6" s="1"/>
  <c r="H1160" i="6"/>
  <c r="J1161" i="6"/>
  <c r="E1162" i="6"/>
  <c r="J1162" i="6"/>
  <c r="F1163" i="6"/>
  <c r="R1163" i="6"/>
  <c r="T1163" i="6"/>
  <c r="F1164" i="6"/>
  <c r="R1164" i="6"/>
  <c r="U1164" i="6"/>
  <c r="F1165" i="6"/>
  <c r="R1165" i="6"/>
  <c r="U1165" i="6"/>
  <c r="F1166" i="6"/>
  <c r="R1166" i="6"/>
  <c r="U1166" i="6"/>
  <c r="H1167" i="6"/>
  <c r="E1168" i="6"/>
  <c r="J1168" i="6"/>
  <c r="E1169" i="6"/>
  <c r="J1169" i="6"/>
  <c r="F1170" i="6"/>
  <c r="R1170" i="6"/>
  <c r="T1170" i="6"/>
  <c r="F1171" i="6"/>
  <c r="R1171" i="6"/>
  <c r="U1171" i="6"/>
  <c r="F1172" i="6"/>
  <c r="R1172" i="6"/>
  <c r="U1172" i="6"/>
  <c r="F1173" i="6"/>
  <c r="R1173" i="6"/>
  <c r="U1173" i="6"/>
  <c r="H1174" i="6"/>
  <c r="E1175" i="6"/>
  <c r="J1175" i="6"/>
  <c r="E1176" i="6"/>
  <c r="J1176" i="6"/>
  <c r="F1177" i="6"/>
  <c r="R1177" i="6"/>
  <c r="U1177" i="6"/>
  <c r="F1178" i="6"/>
  <c r="R1178" i="6"/>
  <c r="U1178" i="6"/>
  <c r="H1179" i="6"/>
  <c r="E1180" i="6"/>
  <c r="J1180" i="6"/>
  <c r="E1181" i="6"/>
  <c r="J1181" i="6"/>
  <c r="F1182" i="6"/>
  <c r="R1182" i="6"/>
  <c r="U1182" i="6"/>
  <c r="F1183" i="6"/>
  <c r="R1183" i="6"/>
  <c r="U1183" i="6"/>
  <c r="U1184" i="6" s="1"/>
  <c r="H1184" i="6"/>
  <c r="E1185" i="6"/>
  <c r="J1185" i="6"/>
  <c r="E1186" i="6"/>
  <c r="J1186" i="6"/>
  <c r="R1187" i="6"/>
  <c r="R1188" i="6" s="1"/>
  <c r="U1187" i="6"/>
  <c r="U1188" i="6" s="1"/>
  <c r="H1188" i="6"/>
  <c r="E1189" i="6"/>
  <c r="J1189" i="6"/>
  <c r="E1190" i="6"/>
  <c r="J1190" i="6"/>
  <c r="F1191" i="6"/>
  <c r="R1191" i="6"/>
  <c r="T1191" i="6"/>
  <c r="F1192" i="6"/>
  <c r="R1192" i="6"/>
  <c r="U1192" i="6"/>
  <c r="F1193" i="6"/>
  <c r="R1193" i="6"/>
  <c r="U1193" i="6"/>
  <c r="F1194" i="6"/>
  <c r="R1194" i="6"/>
  <c r="U1194" i="6"/>
  <c r="H1195" i="6"/>
  <c r="E1196" i="6"/>
  <c r="J1196" i="6"/>
  <c r="E1197" i="6"/>
  <c r="J1197" i="6"/>
  <c r="F1198" i="6"/>
  <c r="R1198" i="6"/>
  <c r="T1198" i="6"/>
  <c r="F1199" i="6"/>
  <c r="R1199" i="6"/>
  <c r="U1199" i="6"/>
  <c r="F1200" i="6"/>
  <c r="R1200" i="6"/>
  <c r="U1200" i="6"/>
  <c r="F1201" i="6"/>
  <c r="R1201" i="6"/>
  <c r="U1201" i="6"/>
  <c r="H1202" i="6"/>
  <c r="E1203" i="6"/>
  <c r="J1203" i="6"/>
  <c r="J1204" i="6"/>
  <c r="F1205" i="6"/>
  <c r="R1205" i="6"/>
  <c r="T1205" i="6"/>
  <c r="F1206" i="6"/>
  <c r="R1206" i="6"/>
  <c r="U1206" i="6"/>
  <c r="F1207" i="6"/>
  <c r="R1207" i="6"/>
  <c r="U1207" i="6"/>
  <c r="F1208" i="6"/>
  <c r="R1208" i="6"/>
  <c r="U1208" i="6"/>
  <c r="H1209" i="6"/>
  <c r="J1210" i="6"/>
  <c r="E1211" i="6"/>
  <c r="J1211" i="6"/>
  <c r="F1212" i="6"/>
  <c r="F1213" i="6" s="1"/>
  <c r="R1212" i="6"/>
  <c r="R1213" i="6" s="1"/>
  <c r="U1212" i="6"/>
  <c r="U1213" i="6" s="1"/>
  <c r="H1213" i="6"/>
  <c r="E1214" i="6"/>
  <c r="J1214" i="6"/>
  <c r="E1215" i="6"/>
  <c r="J1215" i="6"/>
  <c r="H1216" i="6"/>
  <c r="H1217" i="6"/>
  <c r="H1218" i="6"/>
  <c r="H1219" i="6"/>
  <c r="E1220" i="6"/>
  <c r="J1220" i="6"/>
  <c r="J1221" i="6"/>
  <c r="E1223" i="6"/>
  <c r="J1223" i="6"/>
  <c r="E1224" i="6"/>
  <c r="J1224" i="6"/>
  <c r="E1229" i="6"/>
  <c r="J1229" i="6"/>
  <c r="J1230" i="6"/>
  <c r="E1232" i="6"/>
  <c r="J1232" i="6"/>
  <c r="J1233" i="6"/>
  <c r="E1234" i="6"/>
  <c r="J1234" i="6"/>
  <c r="E1235" i="6"/>
  <c r="J1235" i="6"/>
  <c r="J1238" i="6"/>
  <c r="N1238" i="6"/>
  <c r="E1241" i="6"/>
  <c r="J1241" i="6"/>
  <c r="N1241" i="6"/>
  <c r="E1242" i="6"/>
  <c r="J1242" i="6"/>
  <c r="N1242" i="6"/>
  <c r="F1243" i="6"/>
  <c r="G1243" i="6"/>
  <c r="H1243" i="6"/>
  <c r="I1243" i="6"/>
  <c r="J1243" i="6" s="1"/>
  <c r="M1243" i="6"/>
  <c r="F1244" i="6"/>
  <c r="G1244" i="6"/>
  <c r="E1244" i="6" s="1"/>
  <c r="H1244" i="6"/>
  <c r="I1244" i="6"/>
  <c r="J1244" i="6" s="1"/>
  <c r="M1244" i="6"/>
  <c r="E1245" i="6"/>
  <c r="J1245" i="6"/>
  <c r="E1247" i="6"/>
  <c r="J1247" i="6"/>
  <c r="E1249" i="6"/>
  <c r="J1249" i="6"/>
  <c r="E1251" i="6"/>
  <c r="J1251" i="6"/>
  <c r="E1252" i="6"/>
  <c r="J1252" i="6"/>
  <c r="R1253" i="6"/>
  <c r="U1253" i="6"/>
  <c r="J1254" i="6"/>
  <c r="E1255" i="6"/>
  <c r="J1255" i="6"/>
  <c r="E1256" i="6"/>
  <c r="J1256" i="6"/>
  <c r="E1261" i="6"/>
  <c r="J1261" i="6"/>
  <c r="E1262" i="6"/>
  <c r="J1262" i="6"/>
  <c r="A1" i="2"/>
  <c r="F6" i="2"/>
  <c r="H6" i="2"/>
  <c r="I6" i="2"/>
  <c r="H7" i="2"/>
  <c r="I7" i="2"/>
  <c r="H8" i="2"/>
  <c r="I8" i="2"/>
  <c r="A12" i="2"/>
  <c r="A13" i="2" s="1"/>
  <c r="A14" i="2" s="1"/>
  <c r="A15" i="2" s="1"/>
  <c r="A16" i="2" s="1"/>
  <c r="A17" i="2" s="1"/>
  <c r="A18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1" i="2" s="1"/>
  <c r="A44" i="2" s="1"/>
  <c r="A47" i="2" s="1"/>
  <c r="A49" i="2" s="1"/>
  <c r="A50" i="2" s="1"/>
  <c r="A51" i="2" s="1"/>
  <c r="A52" i="2" s="1"/>
  <c r="A53" i="2" s="1"/>
  <c r="A54" i="2" s="1"/>
  <c r="L14" i="2"/>
  <c r="L15" i="2"/>
  <c r="L16" i="2"/>
  <c r="L22" i="2"/>
  <c r="L23" i="2"/>
  <c r="J24" i="2"/>
  <c r="K24" i="2"/>
  <c r="E25" i="2"/>
  <c r="K70" i="2"/>
  <c r="A1" i="5"/>
  <c r="F4" i="5"/>
  <c r="A10" i="5"/>
  <c r="A11" i="5" s="1"/>
  <c r="A12" i="5" s="1"/>
  <c r="A13" i="5" s="1"/>
  <c r="A14" i="5" s="1"/>
  <c r="A15" i="5" s="1"/>
  <c r="A16" i="5" s="1"/>
  <c r="A18" i="5" s="1"/>
  <c r="A19" i="5" s="1"/>
  <c r="A20" i="5" s="1"/>
  <c r="A21" i="5" s="1"/>
  <c r="A22" i="5" s="1"/>
  <c r="A24" i="5" s="1"/>
  <c r="A25" i="5" s="1"/>
  <c r="A26" i="5" s="1"/>
  <c r="A28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3" i="5" s="1"/>
  <c r="A46" i="5" s="1"/>
  <c r="A49" i="5" s="1"/>
  <c r="A51" i="5" s="1"/>
  <c r="A52" i="5" s="1"/>
  <c r="A53" i="5" s="1"/>
  <c r="A54" i="5" s="1"/>
  <c r="A55" i="5" s="1"/>
  <c r="A56" i="5" s="1"/>
  <c r="E10" i="1"/>
  <c r="I10" i="1"/>
  <c r="K10" i="1"/>
  <c r="H16" i="1"/>
  <c r="J16" i="1"/>
  <c r="F329" i="15"/>
  <c r="F309" i="6"/>
  <c r="F270" i="6"/>
  <c r="F323" i="15"/>
  <c r="F338" i="15"/>
  <c r="F328" i="15"/>
  <c r="AL256" i="4"/>
  <c r="AO256" i="4" s="1"/>
  <c r="V256" i="4"/>
  <c r="AL254" i="4"/>
  <c r="AO254" i="4" s="1"/>
  <c r="V254" i="4"/>
  <c r="AL248" i="4"/>
  <c r="AO248" i="4" s="1"/>
  <c r="AL246" i="4"/>
  <c r="AO246" i="4" s="1"/>
  <c r="V246" i="4"/>
  <c r="AA246" i="4" s="1"/>
  <c r="AL242" i="4"/>
  <c r="AO242" i="4" s="1"/>
  <c r="V242" i="4"/>
  <c r="AL240" i="4"/>
  <c r="AO240" i="4" s="1"/>
  <c r="AL230" i="4"/>
  <c r="AO230" i="4" s="1"/>
  <c r="AL225" i="4"/>
  <c r="AO225" i="4" s="1"/>
  <c r="AL221" i="4"/>
  <c r="AO221" i="4" s="1"/>
  <c r="V221" i="4"/>
  <c r="AL219" i="4"/>
  <c r="AO219" i="4" s="1"/>
  <c r="V219" i="4"/>
  <c r="AL213" i="4"/>
  <c r="AO213" i="4" s="1"/>
  <c r="AL211" i="4"/>
  <c r="AO211" i="4" s="1"/>
  <c r="V211" i="4"/>
  <c r="AL207" i="4"/>
  <c r="AL203" i="4"/>
  <c r="AL174" i="4"/>
  <c r="AL172" i="4"/>
  <c r="AO172" i="4" s="1"/>
  <c r="AL166" i="4"/>
  <c r="AO166" i="4" s="1"/>
  <c r="AL164" i="4"/>
  <c r="AO164" i="4" s="1"/>
  <c r="AL160" i="4"/>
  <c r="AO160" i="4" s="1"/>
  <c r="AL158" i="4"/>
  <c r="AO158" i="4" s="1"/>
  <c r="AL79" i="4"/>
  <c r="AO79" i="4" s="1"/>
  <c r="V8" i="4"/>
  <c r="AL139" i="4"/>
  <c r="AO139" i="4" s="1"/>
  <c r="AL134" i="4"/>
  <c r="AO134" i="4" s="1"/>
  <c r="AL129" i="4"/>
  <c r="AO129" i="4" s="1"/>
  <c r="AL127" i="4"/>
  <c r="AO127" i="4" s="1"/>
  <c r="AL121" i="4"/>
  <c r="AO121" i="4" s="1"/>
  <c r="AL116" i="4"/>
  <c r="AO116" i="4" s="1"/>
  <c r="AL111" i="4"/>
  <c r="AO111" i="4" s="1"/>
  <c r="AL106" i="4"/>
  <c r="AO106" i="4" s="1"/>
  <c r="AL104" i="4"/>
  <c r="AO104" i="4" s="1"/>
  <c r="AL99" i="4"/>
  <c r="AO99" i="4" s="1"/>
  <c r="AL93" i="4"/>
  <c r="AO93" i="4" s="1"/>
  <c r="AL88" i="4"/>
  <c r="AO88" i="4" s="1"/>
  <c r="AL65" i="4"/>
  <c r="AO65" i="4" s="1"/>
  <c r="AL60" i="4"/>
  <c r="AO60" i="4" s="1"/>
  <c r="AL55" i="4"/>
  <c r="AO55" i="4" s="1"/>
  <c r="AL26" i="4"/>
  <c r="AO26" i="4" s="1"/>
  <c r="Y230" i="4"/>
  <c r="AL226" i="4"/>
  <c r="AO226" i="4" s="1"/>
  <c r="Y220" i="4"/>
  <c r="Y212" i="4"/>
  <c r="AL70" i="4"/>
  <c r="AO70" i="4" s="1"/>
  <c r="Y70" i="4"/>
  <c r="AL64" i="4"/>
  <c r="AO64" i="4" s="1"/>
  <c r="AL59" i="4"/>
  <c r="AO59" i="4" s="1"/>
  <c r="Y55" i="4"/>
  <c r="AL25" i="4"/>
  <c r="AO25" i="4" s="1"/>
  <c r="AL23" i="4"/>
  <c r="AO23" i="4" s="1"/>
  <c r="Y241" i="4"/>
  <c r="AL173" i="4"/>
  <c r="AO173" i="4" s="1"/>
  <c r="Y172" i="4"/>
  <c r="AL140" i="4"/>
  <c r="AO140" i="4" s="1"/>
  <c r="AL138" i="4"/>
  <c r="AO138" i="4" s="1"/>
  <c r="AL133" i="4"/>
  <c r="AO133" i="4" s="1"/>
  <c r="Y129" i="4"/>
  <c r="Y123" i="4"/>
  <c r="AL105" i="4"/>
  <c r="AO105" i="4" s="1"/>
  <c r="Y104" i="4"/>
  <c r="AL241" i="4"/>
  <c r="AO241" i="4" s="1"/>
  <c r="V214" i="4"/>
  <c r="Y173" i="4"/>
  <c r="AL167" i="4"/>
  <c r="AO167" i="4" s="1"/>
  <c r="AL165" i="4"/>
  <c r="AO165" i="4" s="1"/>
  <c r="AL159" i="4"/>
  <c r="AO159" i="4" s="1"/>
  <c r="AL157" i="4"/>
  <c r="AO157" i="4" s="1"/>
  <c r="Y138" i="4"/>
  <c r="Y133" i="4"/>
  <c r="AL122" i="4"/>
  <c r="AO122" i="4" s="1"/>
  <c r="AL110" i="4"/>
  <c r="AO110" i="4" s="1"/>
  <c r="Y106" i="4"/>
  <c r="AL80" i="4"/>
  <c r="AO80" i="4" s="1"/>
  <c r="AL75" i="4"/>
  <c r="AO75" i="4" s="1"/>
  <c r="Y64" i="4"/>
  <c r="AL34" i="4"/>
  <c r="AO34" i="4" s="1"/>
  <c r="Y34" i="4"/>
  <c r="AL24" i="4"/>
  <c r="AO24" i="4" s="1"/>
  <c r="Y24" i="4"/>
  <c r="Y23" i="4"/>
  <c r="AL92" i="4"/>
  <c r="AO92" i="4" s="1"/>
  <c r="AL87" i="4"/>
  <c r="AO87" i="4" s="1"/>
  <c r="Y80" i="4"/>
  <c r="AL50" i="4"/>
  <c r="AO50" i="4" s="1"/>
  <c r="AL46" i="4"/>
  <c r="AO46" i="4" s="1"/>
  <c r="AL39" i="4"/>
  <c r="AO39" i="4" s="1"/>
  <c r="AL27" i="4"/>
  <c r="AO27" i="4" s="1"/>
  <c r="Y26" i="4"/>
  <c r="Y25" i="4"/>
  <c r="Y255" i="4"/>
  <c r="Y247" i="4"/>
  <c r="AL231" i="4"/>
  <c r="AO231" i="4" s="1"/>
  <c r="Y231" i="4"/>
  <c r="AL220" i="4"/>
  <c r="AO220" i="4" s="1"/>
  <c r="Y165" i="4"/>
  <c r="Y159" i="4"/>
  <c r="Y157" i="4"/>
  <c r="AL117" i="4"/>
  <c r="AO117" i="4" s="1"/>
  <c r="AL115" i="4"/>
  <c r="AO115" i="4" s="1"/>
  <c r="Y110" i="4"/>
  <c r="Y105" i="4"/>
  <c r="V253" i="4"/>
  <c r="V249" i="4"/>
  <c r="AA249" i="4" s="1"/>
  <c r="AL247" i="4"/>
  <c r="AO247" i="4" s="1"/>
  <c r="AL212" i="4"/>
  <c r="AO212" i="4" s="1"/>
  <c r="AL171" i="4"/>
  <c r="AO171" i="4" s="1"/>
  <c r="Y167" i="4"/>
  <c r="Y140" i="4"/>
  <c r="Y115" i="4"/>
  <c r="Y92" i="4"/>
  <c r="Y87" i="4"/>
  <c r="Y75" i="4"/>
  <c r="Y59" i="4"/>
  <c r="AL21" i="4"/>
  <c r="V255" i="4"/>
  <c r="AL255" i="4"/>
  <c r="AO255" i="4" s="1"/>
  <c r="Y171" i="4"/>
  <c r="Y164" i="4"/>
  <c r="Y122" i="4"/>
  <c r="Y117" i="4"/>
  <c r="AL100" i="4"/>
  <c r="AO100" i="4" s="1"/>
  <c r="Y50" i="4"/>
  <c r="AL235" i="4"/>
  <c r="AL218" i="4"/>
  <c r="AO218" i="4" s="1"/>
  <c r="Y218" i="4"/>
  <c r="Y160" i="4"/>
  <c r="Y100" i="4"/>
  <c r="Y94" i="4"/>
  <c r="Y239" i="4"/>
  <c r="AL98" i="4"/>
  <c r="AO98" i="4" s="1"/>
  <c r="Y39" i="4"/>
  <c r="Y27" i="4"/>
  <c r="Y116" i="4"/>
  <c r="AL15" i="4"/>
  <c r="AO15" i="4" s="1"/>
  <c r="AL253" i="4"/>
  <c r="AO253" i="4" s="1"/>
  <c r="AL214" i="4"/>
  <c r="AO214" i="4" s="1"/>
  <c r="Y139" i="4"/>
  <c r="Y98" i="4"/>
  <c r="AL153" i="4"/>
  <c r="Y16" i="4"/>
  <c r="Y211" i="4"/>
  <c r="Y153" i="4"/>
  <c r="AL69" i="4"/>
  <c r="AO69" i="4" s="1"/>
  <c r="Y69" i="4"/>
  <c r="AL33" i="4"/>
  <c r="AL16" i="4"/>
  <c r="AO16" i="4" s="1"/>
  <c r="F347" i="15"/>
  <c r="Y207" i="4"/>
  <c r="Y99" i="4"/>
  <c r="Y127" i="4"/>
  <c r="Y111" i="4"/>
  <c r="Y79" i="4"/>
  <c r="AL38" i="4"/>
  <c r="Y38" i="4"/>
  <c r="V239" i="4"/>
  <c r="AL239" i="4"/>
  <c r="AO239" i="4" s="1"/>
  <c r="V235" i="4"/>
  <c r="Y240" i="4"/>
  <c r="V218" i="4"/>
  <c r="AA218" i="4" s="1"/>
  <c r="Y214" i="4"/>
  <c r="V138" i="4"/>
  <c r="V167" i="4"/>
  <c r="V79" i="4"/>
  <c r="V38" i="4"/>
  <c r="AL249" i="4"/>
  <c r="AO249" i="4" s="1"/>
  <c r="Y249" i="4"/>
  <c r="Y242" i="4"/>
  <c r="V226" i="4"/>
  <c r="AA226" i="4" s="1"/>
  <c r="V225" i="4"/>
  <c r="Y221" i="4"/>
  <c r="Y174" i="4"/>
  <c r="Y166" i="4"/>
  <c r="Y158" i="4"/>
  <c r="Y121" i="4"/>
  <c r="V74" i="4"/>
  <c r="V70" i="4"/>
  <c r="V59" i="4"/>
  <c r="V54" i="4"/>
  <c r="V50" i="4"/>
  <c r="Y46" i="4"/>
  <c r="V204" i="4"/>
  <c r="Y203" i="4"/>
  <c r="Y204" i="4" s="1"/>
  <c r="D18" i="16"/>
  <c r="V207" i="4"/>
  <c r="AA207" i="4" s="1"/>
  <c r="Y93" i="4"/>
  <c r="Y88" i="4"/>
  <c r="AL22" i="4"/>
  <c r="AO22" i="4" s="1"/>
  <c r="Y22" i="4"/>
  <c r="F523" i="6"/>
  <c r="I136" i="14"/>
  <c r="S40" i="4"/>
  <c r="I51" i="4"/>
  <c r="K51" i="4"/>
  <c r="O51" i="4"/>
  <c r="S51" i="4"/>
  <c r="I56" i="4"/>
  <c r="K56" i="4"/>
  <c r="M56" i="4"/>
  <c r="O56" i="4"/>
  <c r="Q56" i="4"/>
  <c r="S56" i="4"/>
  <c r="K61" i="4"/>
  <c r="M61" i="4"/>
  <c r="O61" i="4"/>
  <c r="Q61" i="4"/>
  <c r="S61" i="4"/>
  <c r="I66" i="4"/>
  <c r="K66" i="4"/>
  <c r="M66" i="4"/>
  <c r="O66" i="4"/>
  <c r="Q66" i="4"/>
  <c r="S66" i="4"/>
  <c r="I71" i="4"/>
  <c r="K71" i="4"/>
  <c r="M71" i="4"/>
  <c r="O71" i="4"/>
  <c r="S71" i="4"/>
  <c r="I76" i="4"/>
  <c r="K76" i="4"/>
  <c r="M76" i="4"/>
  <c r="O76" i="4"/>
  <c r="Q76" i="4"/>
  <c r="S76" i="4"/>
  <c r="I81" i="4"/>
  <c r="K81" i="4"/>
  <c r="M81" i="4"/>
  <c r="O81" i="4"/>
  <c r="Q81" i="4"/>
  <c r="S81" i="4"/>
  <c r="I89" i="4"/>
  <c r="M89" i="4"/>
  <c r="O89" i="4"/>
  <c r="Q89" i="4"/>
  <c r="S89" i="4"/>
  <c r="K95" i="4"/>
  <c r="M95" i="4"/>
  <c r="O95" i="4"/>
  <c r="Q95" i="4"/>
  <c r="S95" i="4"/>
  <c r="L101" i="4"/>
  <c r="N101" i="4"/>
  <c r="P101" i="4"/>
  <c r="T101" i="4"/>
  <c r="AL101" i="4" s="1"/>
  <c r="AO101" i="4" s="1"/>
  <c r="I107" i="4"/>
  <c r="K107" i="4"/>
  <c r="O107" i="4"/>
  <c r="Q107" i="4"/>
  <c r="S107" i="4"/>
  <c r="J112" i="4"/>
  <c r="N112" i="4"/>
  <c r="P112" i="4"/>
  <c r="T112" i="4"/>
  <c r="AL112" i="4" s="1"/>
  <c r="AO112" i="4" s="1"/>
  <c r="J118" i="4"/>
  <c r="L118" i="4"/>
  <c r="P118" i="4"/>
  <c r="R118" i="4"/>
  <c r="T118" i="4"/>
  <c r="I124" i="4"/>
  <c r="M124" i="4"/>
  <c r="O124" i="4"/>
  <c r="F23" i="139"/>
  <c r="F28" i="139"/>
  <c r="F40" i="139"/>
  <c r="F45" i="139"/>
  <c r="F50" i="139"/>
  <c r="F55" i="139"/>
  <c r="F60" i="139"/>
  <c r="F361" i="139"/>
  <c r="Q124" i="4"/>
  <c r="S124" i="4"/>
  <c r="J130" i="4"/>
  <c r="P130" i="4"/>
  <c r="R130" i="4"/>
  <c r="K135" i="4"/>
  <c r="M135" i="4"/>
  <c r="O135" i="4"/>
  <c r="Q135" i="4"/>
  <c r="S135" i="4"/>
  <c r="I141" i="4"/>
  <c r="K141" i="4"/>
  <c r="M141" i="4"/>
  <c r="Q141" i="4"/>
  <c r="S141" i="4"/>
  <c r="K161" i="4"/>
  <c r="M161" i="4"/>
  <c r="F65" i="139"/>
  <c r="F70" i="139"/>
  <c r="F75" i="139"/>
  <c r="F80" i="139"/>
  <c r="F85" i="139"/>
  <c r="F90" i="139"/>
  <c r="F95" i="139"/>
  <c r="F100" i="139"/>
  <c r="F105" i="139"/>
  <c r="F110" i="139"/>
  <c r="F115" i="139"/>
  <c r="F120" i="139"/>
  <c r="F381" i="139"/>
  <c r="F365" i="139"/>
  <c r="F369" i="139"/>
  <c r="F373" i="139"/>
  <c r="F377" i="139"/>
  <c r="F392" i="139"/>
  <c r="F399" i="139"/>
  <c r="F425" i="139"/>
  <c r="F18" i="139"/>
  <c r="F241" i="139"/>
  <c r="F295" i="139"/>
  <c r="F380" i="139"/>
  <c r="F305" i="139"/>
  <c r="K29" i="4"/>
  <c r="K146" i="4" s="1"/>
  <c r="K186" i="4" s="1"/>
  <c r="M29" i="4"/>
  <c r="M146" i="4" s="1"/>
  <c r="M186" i="4" s="1"/>
  <c r="O29" i="4"/>
  <c r="O146" i="4" s="1"/>
  <c r="O186" i="4" s="1"/>
  <c r="S29" i="4"/>
  <c r="S146" i="4" s="1"/>
  <c r="S186" i="4" s="1"/>
  <c r="H35" i="4"/>
  <c r="J35" i="4"/>
  <c r="L35" i="4"/>
  <c r="N35" i="4"/>
  <c r="R35" i="4"/>
  <c r="T35" i="4"/>
  <c r="J40" i="4"/>
  <c r="L40" i="4"/>
  <c r="N40" i="4"/>
  <c r="P40" i="4"/>
  <c r="R40" i="4"/>
  <c r="T40" i="4"/>
  <c r="L51" i="4"/>
  <c r="N51" i="4"/>
  <c r="P51" i="4"/>
  <c r="R51" i="4"/>
  <c r="T51" i="4"/>
  <c r="J56" i="4"/>
  <c r="L56" i="4"/>
  <c r="N56" i="4"/>
  <c r="P56" i="4"/>
  <c r="R56" i="4"/>
  <c r="T56" i="4"/>
  <c r="J61" i="4"/>
  <c r="L61" i="4"/>
  <c r="N61" i="4"/>
  <c r="P61" i="4"/>
  <c r="R61" i="4"/>
  <c r="T61" i="4"/>
  <c r="J66" i="4"/>
  <c r="L66" i="4"/>
  <c r="N66" i="4"/>
  <c r="P66" i="4"/>
  <c r="R66" i="4"/>
  <c r="T66" i="4"/>
  <c r="H71" i="4"/>
  <c r="J71" i="4"/>
  <c r="L71" i="4"/>
  <c r="N71" i="4"/>
  <c r="P71" i="4"/>
  <c r="R71" i="4"/>
  <c r="T71" i="4"/>
  <c r="J76" i="4"/>
  <c r="L76" i="4"/>
  <c r="N76" i="4"/>
  <c r="P76" i="4"/>
  <c r="R76" i="4"/>
  <c r="T76" i="4"/>
  <c r="O161" i="4"/>
  <c r="S161" i="4"/>
  <c r="K168" i="4"/>
  <c r="M168" i="4"/>
  <c r="O168" i="4"/>
  <c r="Q168" i="4"/>
  <c r="K175" i="4"/>
  <c r="M175" i="4"/>
  <c r="O175" i="4"/>
  <c r="S175" i="4"/>
  <c r="J215" i="4"/>
  <c r="N215" i="4"/>
  <c r="P215" i="4"/>
  <c r="T215" i="4"/>
  <c r="H222" i="4"/>
  <c r="J222" i="4"/>
  <c r="L222" i="4"/>
  <c r="N222" i="4"/>
  <c r="P222" i="4"/>
  <c r="R222" i="4"/>
  <c r="T222" i="4"/>
  <c r="AB222" i="4" s="1"/>
  <c r="H227" i="4"/>
  <c r="J227" i="4"/>
  <c r="L227" i="4"/>
  <c r="N227" i="4"/>
  <c r="P227" i="4"/>
  <c r="R227" i="4"/>
  <c r="T227" i="4"/>
  <c r="Y227" i="4" s="1"/>
  <c r="H232" i="4"/>
  <c r="J232" i="4"/>
  <c r="L232" i="4"/>
  <c r="N232" i="4"/>
  <c r="P232" i="4"/>
  <c r="R232" i="4"/>
  <c r="T232" i="4"/>
  <c r="AB232" i="4" s="1"/>
  <c r="H18" i="4"/>
  <c r="J18" i="4"/>
  <c r="L18" i="4"/>
  <c r="N18" i="4"/>
  <c r="P18" i="4"/>
  <c r="R18" i="4"/>
  <c r="T18" i="4"/>
  <c r="K18" i="4"/>
  <c r="M18" i="4"/>
  <c r="O18" i="4"/>
  <c r="S18" i="4"/>
  <c r="I204" i="4"/>
  <c r="K204" i="4"/>
  <c r="M204" i="4"/>
  <c r="O204" i="4"/>
  <c r="Q204" i="4"/>
  <c r="S204" i="4"/>
  <c r="I208" i="4"/>
  <c r="K208" i="4"/>
  <c r="M208" i="4"/>
  <c r="O208" i="4"/>
  <c r="Q208" i="4"/>
  <c r="S208" i="4"/>
  <c r="H204" i="4"/>
  <c r="J204" i="4"/>
  <c r="L204" i="4"/>
  <c r="N204" i="4"/>
  <c r="P204" i="4"/>
  <c r="R204" i="4"/>
  <c r="T204" i="4"/>
  <c r="H208" i="4"/>
  <c r="J208" i="4"/>
  <c r="L208" i="4"/>
  <c r="N208" i="4"/>
  <c r="P208" i="4"/>
  <c r="R208" i="4"/>
  <c r="T208" i="4"/>
  <c r="Y208" i="4" s="1"/>
  <c r="F276" i="139"/>
  <c r="N12" i="33"/>
  <c r="AB104" i="4"/>
  <c r="T107" i="4"/>
  <c r="T95" i="4"/>
  <c r="T135" i="4"/>
  <c r="T250" i="4"/>
  <c r="AB250" i="4" s="1"/>
  <c r="AB38" i="4"/>
  <c r="AB39" i="4"/>
  <c r="AB46" i="4"/>
  <c r="AB50" i="4"/>
  <c r="R95" i="4"/>
  <c r="AB92" i="4"/>
  <c r="AB93" i="4"/>
  <c r="AB94" i="4"/>
  <c r="S101" i="4"/>
  <c r="AB98" i="4"/>
  <c r="AB99" i="4"/>
  <c r="AB100" i="4"/>
  <c r="R135" i="4"/>
  <c r="R141" i="4"/>
  <c r="R161" i="4"/>
  <c r="R168" i="4"/>
  <c r="R175" i="4"/>
  <c r="R264" i="4"/>
  <c r="S264" i="4"/>
  <c r="T267" i="4"/>
  <c r="Y267" i="4" s="1"/>
  <c r="AB211" i="4"/>
  <c r="AB212" i="4"/>
  <c r="AB213" i="4"/>
  <c r="AB214" i="4"/>
  <c r="S222" i="4"/>
  <c r="AB218" i="4"/>
  <c r="AB219" i="4"/>
  <c r="AB220" i="4"/>
  <c r="AB221" i="4"/>
  <c r="S227" i="4"/>
  <c r="S232" i="4"/>
  <c r="AB230" i="4"/>
  <c r="AB231" i="4"/>
  <c r="R236" i="4"/>
  <c r="S236" i="4"/>
  <c r="T236" i="4"/>
  <c r="Y236" i="4" s="1"/>
  <c r="S243" i="4"/>
  <c r="AB239" i="4"/>
  <c r="AB240" i="4"/>
  <c r="AB241" i="4"/>
  <c r="AB242" i="4"/>
  <c r="S250" i="4"/>
  <c r="AB246" i="4"/>
  <c r="AB247" i="4"/>
  <c r="AB248" i="4"/>
  <c r="AB249" i="4"/>
  <c r="R257" i="4"/>
  <c r="S257" i="4"/>
  <c r="AB253" i="4"/>
  <c r="AB254" i="4"/>
  <c r="AB255" i="4"/>
  <c r="AB256" i="4"/>
  <c r="I140" i="14"/>
  <c r="AB16" i="4"/>
  <c r="R29" i="4"/>
  <c r="R146" i="4" s="1"/>
  <c r="R186" i="4" s="1"/>
  <c r="AB21" i="4"/>
  <c r="AB33" i="4"/>
  <c r="AB59" i="4"/>
  <c r="AB64" i="4"/>
  <c r="AB69" i="4"/>
  <c r="AB74" i="4"/>
  <c r="AB121" i="4"/>
  <c r="AB123" i="4"/>
  <c r="V1240" i="3"/>
  <c r="V1239" i="3"/>
  <c r="G345" i="6"/>
  <c r="V345" i="3" s="1"/>
  <c r="G940" i="6"/>
  <c r="E940" i="6" s="1"/>
  <c r="N89" i="4"/>
  <c r="L135" i="4"/>
  <c r="T141" i="4"/>
  <c r="V908" i="3"/>
  <c r="F380" i="6"/>
  <c r="R250" i="4"/>
  <c r="H56" i="4"/>
  <c r="V75" i="4"/>
  <c r="H76" i="4"/>
  <c r="J101" i="4"/>
  <c r="V110" i="4"/>
  <c r="L112" i="4"/>
  <c r="P35" i="4"/>
  <c r="V140" i="4"/>
  <c r="R215" i="4"/>
  <c r="K124" i="4"/>
  <c r="H215" i="4"/>
  <c r="N141" i="4"/>
  <c r="O141" i="4"/>
  <c r="R112" i="4"/>
  <c r="V27" i="4"/>
  <c r="Q161" i="4"/>
  <c r="Q175" i="4"/>
  <c r="R243" i="4"/>
  <c r="S130" i="4"/>
  <c r="V116" i="4"/>
  <c r="N118" i="4"/>
  <c r="R107" i="4"/>
  <c r="H81" i="4"/>
  <c r="V80" i="4"/>
  <c r="V99" i="4"/>
  <c r="R101" i="4"/>
  <c r="N130" i="4"/>
  <c r="H250" i="4"/>
  <c r="L168" i="4"/>
  <c r="H243" i="4"/>
  <c r="V55" i="4"/>
  <c r="V94" i="4"/>
  <c r="J243" i="4"/>
  <c r="J168" i="4"/>
  <c r="L175" i="4"/>
  <c r="M243" i="4"/>
  <c r="V106" i="4"/>
  <c r="M130" i="4"/>
  <c r="Q112" i="4"/>
  <c r="V115" i="4"/>
  <c r="V87" i="4"/>
  <c r="K89" i="4"/>
  <c r="Q29" i="4"/>
  <c r="Q146" i="4" s="1"/>
  <c r="Q186" i="4" s="1"/>
  <c r="S112" i="4"/>
  <c r="T124" i="4"/>
  <c r="AB122" i="4"/>
  <c r="M112" i="4"/>
  <c r="M107" i="4"/>
  <c r="J161" i="4"/>
  <c r="S215" i="4"/>
  <c r="V174" i="4"/>
  <c r="V23" i="4"/>
  <c r="H61" i="4"/>
  <c r="H130" i="4"/>
  <c r="V25" i="4"/>
  <c r="I29" i="4"/>
  <c r="I146" i="4" s="1"/>
  <c r="I186" i="4" s="1"/>
  <c r="I95" i="4"/>
  <c r="V93" i="4"/>
  <c r="I161" i="4"/>
  <c r="V100" i="4"/>
  <c r="I101" i="4"/>
  <c r="V24" i="4"/>
  <c r="V159" i="4"/>
  <c r="H29" i="4"/>
  <c r="H146" i="4" s="1"/>
  <c r="H186" i="4" s="1"/>
  <c r="V166" i="4"/>
  <c r="V157" i="4"/>
  <c r="I135" i="4"/>
  <c r="V134" i="4"/>
  <c r="V34" i="4"/>
  <c r="AA34" i="4" s="1"/>
  <c r="I35" i="4"/>
  <c r="V171" i="4"/>
  <c r="I175" i="4"/>
  <c r="V164" i="4"/>
  <c r="I168" i="4"/>
  <c r="V129" i="4"/>
  <c r="V26" i="4"/>
  <c r="L130" i="4"/>
  <c r="V127" i="4"/>
  <c r="N124" i="4"/>
  <c r="V122" i="4"/>
  <c r="V69" i="4"/>
  <c r="Q71" i="4"/>
  <c r="M51" i="4"/>
  <c r="K35" i="4"/>
  <c r="AB128" i="4"/>
  <c r="Y128" i="4"/>
  <c r="AL128" i="4"/>
  <c r="AO128" i="4" s="1"/>
  <c r="F1079" i="6"/>
  <c r="T130" i="4"/>
  <c r="Q18" i="4"/>
  <c r="J51" i="4"/>
  <c r="H135" i="4"/>
  <c r="V133" i="4"/>
  <c r="V98" i="4"/>
  <c r="H101" i="4"/>
  <c r="Q51" i="4"/>
  <c r="H95" i="4"/>
  <c r="V92" i="4"/>
  <c r="I215" i="4"/>
  <c r="H175" i="4"/>
  <c r="V172" i="4"/>
  <c r="L243" i="4"/>
  <c r="V240" i="4"/>
  <c r="J250" i="4"/>
  <c r="I243" i="4"/>
  <c r="V241" i="4"/>
  <c r="H40" i="4"/>
  <c r="H118" i="4"/>
  <c r="V117" i="4"/>
  <c r="H107" i="4"/>
  <c r="V105" i="4"/>
  <c r="H168" i="4"/>
  <c r="V165" i="4"/>
  <c r="V65" i="4"/>
  <c r="H66" i="4"/>
  <c r="V158" i="4"/>
  <c r="H187" i="4"/>
  <c r="H51" i="4"/>
  <c r="V46" i="4"/>
  <c r="H141" i="4"/>
  <c r="V139" i="4"/>
  <c r="AA139" i="4" s="1"/>
  <c r="H124" i="4"/>
  <c r="V123" i="4"/>
  <c r="I61" i="4"/>
  <c r="V60" i="4"/>
  <c r="AA60" i="4" s="1"/>
  <c r="I130" i="4"/>
  <c r="V128" i="4"/>
  <c r="I40" i="4"/>
  <c r="V39" i="4"/>
  <c r="AA39" i="4" s="1"/>
  <c r="V16" i="4"/>
  <c r="Z16" i="4" s="1"/>
  <c r="I18" i="4"/>
  <c r="V160" i="4"/>
  <c r="V111" i="4"/>
  <c r="AA111" i="4" s="1"/>
  <c r="H112" i="4"/>
  <c r="H89" i="4"/>
  <c r="V88" i="4"/>
  <c r="V22" i="4"/>
  <c r="V247" i="4"/>
  <c r="AA247" i="4" s="1"/>
  <c r="V248" i="4"/>
  <c r="AA248" i="4" s="1"/>
  <c r="V212" i="4"/>
  <c r="V213" i="4"/>
  <c r="V200" i="4"/>
  <c r="I250" i="4"/>
  <c r="L215" i="4"/>
  <c r="F326" i="15"/>
  <c r="F325" i="15"/>
  <c r="F61" i="6"/>
  <c r="F257" i="6"/>
  <c r="H161" i="4"/>
  <c r="AF2" i="594"/>
  <c r="O16" i="594"/>
  <c r="O69" i="5" l="1"/>
  <c r="O26" i="5"/>
  <c r="P15" i="5"/>
  <c r="P14" i="5"/>
  <c r="N69" i="5"/>
  <c r="N26" i="5"/>
  <c r="O15" i="5"/>
  <c r="O14" i="5"/>
  <c r="M69" i="5"/>
  <c r="M26" i="5"/>
  <c r="N15" i="5"/>
  <c r="N14" i="5"/>
  <c r="L69" i="5"/>
  <c r="L26" i="5"/>
  <c r="M15" i="5"/>
  <c r="M14" i="5"/>
  <c r="O64" i="5"/>
  <c r="L15" i="5"/>
  <c r="L14" i="5"/>
  <c r="N64" i="5"/>
  <c r="Q64" i="5"/>
  <c r="Q69" i="5"/>
  <c r="AB215" i="4"/>
  <c r="AO223" i="4"/>
  <c r="I26" i="5"/>
  <c r="I14" i="5"/>
  <c r="S20" i="595"/>
  <c r="T20" i="595" s="1"/>
  <c r="I64" i="5"/>
  <c r="I69" i="5"/>
  <c r="I15" i="5"/>
  <c r="M355" i="3"/>
  <c r="V187" i="4"/>
  <c r="V188" i="4"/>
  <c r="L270" i="4"/>
  <c r="H270" i="4"/>
  <c r="I270" i="4"/>
  <c r="N143" i="4"/>
  <c r="N149" i="4" s="1"/>
  <c r="N189" i="4" s="1"/>
  <c r="AL141" i="4"/>
  <c r="AO141" i="4" s="1"/>
  <c r="T143" i="4"/>
  <c r="M143" i="4"/>
  <c r="M149" i="4" s="1"/>
  <c r="M189" i="4" s="1"/>
  <c r="AB148" i="4"/>
  <c r="R143" i="4"/>
  <c r="R149" i="4" s="1"/>
  <c r="R189" i="4" s="1"/>
  <c r="K143" i="4"/>
  <c r="K149" i="4" s="1"/>
  <c r="K189" i="4" s="1"/>
  <c r="H143" i="4"/>
  <c r="H149" i="4" s="1"/>
  <c r="Y148" i="4"/>
  <c r="Y147" i="4"/>
  <c r="L143" i="4"/>
  <c r="L149" i="4" s="1"/>
  <c r="L189" i="4" s="1"/>
  <c r="I143" i="4"/>
  <c r="I149" i="4" s="1"/>
  <c r="I189" i="4" s="1"/>
  <c r="J143" i="4"/>
  <c r="J149" i="4" s="1"/>
  <c r="J189" i="4" s="1"/>
  <c r="S143" i="4"/>
  <c r="S149" i="4" s="1"/>
  <c r="S189" i="4" s="1"/>
  <c r="P143" i="4"/>
  <c r="P149" i="4" s="1"/>
  <c r="P189" i="4" s="1"/>
  <c r="O143" i="4"/>
  <c r="O149" i="4" s="1"/>
  <c r="O189" i="4" s="1"/>
  <c r="Q143" i="4"/>
  <c r="Q149" i="4" s="1"/>
  <c r="Q189" i="4" s="1"/>
  <c r="AB147" i="4"/>
  <c r="U1094" i="6"/>
  <c r="U1101" i="6" s="1"/>
  <c r="U1141" i="6" s="1"/>
  <c r="R1094" i="6"/>
  <c r="R1101" i="6" s="1"/>
  <c r="R1141" i="6" s="1"/>
  <c r="AE83" i="4"/>
  <c r="AE84" i="4" s="1"/>
  <c r="AE85" i="4" s="1"/>
  <c r="AE86" i="4" s="1"/>
  <c r="AE87" i="4" s="1"/>
  <c r="AE88" i="4" s="1"/>
  <c r="AE89" i="4" s="1"/>
  <c r="AE90" i="4" s="1"/>
  <c r="AE91" i="4" s="1"/>
  <c r="AE92" i="4" s="1"/>
  <c r="AE93" i="4" s="1"/>
  <c r="AE94" i="4" s="1"/>
  <c r="AE95" i="4" s="1"/>
  <c r="AE96" i="4" s="1"/>
  <c r="AE97" i="4" s="1"/>
  <c r="AE98" i="4" s="1"/>
  <c r="AE99" i="4" s="1"/>
  <c r="AE100" i="4" s="1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E114" i="4" s="1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E126" i="4" s="1"/>
  <c r="AE127" i="4" s="1"/>
  <c r="AE128" i="4" s="1"/>
  <c r="AE129" i="4" s="1"/>
  <c r="AE130" i="4" s="1"/>
  <c r="AE131" i="4" s="1"/>
  <c r="AE132" i="4" s="1"/>
  <c r="AE133" i="4" s="1"/>
  <c r="AE134" i="4" s="1"/>
  <c r="AE135" i="4" s="1"/>
  <c r="AE136" i="4" s="1"/>
  <c r="AE137" i="4" s="1"/>
  <c r="AE138" i="4" s="1"/>
  <c r="AE139" i="4" s="1"/>
  <c r="AE140" i="4" s="1"/>
  <c r="AE141" i="4" s="1"/>
  <c r="AE142" i="4" s="1"/>
  <c r="R83" i="4"/>
  <c r="O83" i="4"/>
  <c r="J83" i="4"/>
  <c r="S83" i="4"/>
  <c r="M83" i="4"/>
  <c r="L83" i="4"/>
  <c r="T83" i="4"/>
  <c r="AL83" i="4" s="1"/>
  <c r="AO83" i="4" s="1"/>
  <c r="Q83" i="4"/>
  <c r="H83" i="4"/>
  <c r="K83" i="4"/>
  <c r="N83" i="4"/>
  <c r="I83" i="4"/>
  <c r="P83" i="4"/>
  <c r="U649" i="3"/>
  <c r="U671" i="3"/>
  <c r="U691" i="3"/>
  <c r="U711" i="3"/>
  <c r="U731" i="3"/>
  <c r="U1100" i="6"/>
  <c r="U1140" i="6" s="1"/>
  <c r="S583" i="3"/>
  <c r="S633" i="3"/>
  <c r="T25" i="5" s="1"/>
  <c r="R1100" i="6"/>
  <c r="R1140" i="6" s="1"/>
  <c r="U1099" i="6"/>
  <c r="U1139" i="6" s="1"/>
  <c r="R1099" i="6"/>
  <c r="R1139" i="6" s="1"/>
  <c r="F1099" i="6"/>
  <c r="F1139" i="6" s="1"/>
  <c r="F1100" i="6"/>
  <c r="F1140" i="6" s="1"/>
  <c r="S812" i="3"/>
  <c r="U407" i="3"/>
  <c r="U447" i="3"/>
  <c r="U467" i="3"/>
  <c r="U528" i="3"/>
  <c r="U548" i="3"/>
  <c r="U568" i="3"/>
  <c r="U588" i="3"/>
  <c r="U608" i="3"/>
  <c r="U628" i="3"/>
  <c r="V628" i="3" s="1"/>
  <c r="U774" i="3"/>
  <c r="U827" i="3"/>
  <c r="H366" i="6"/>
  <c r="H15" i="2" s="1"/>
  <c r="S402" i="3"/>
  <c r="F11" i="1"/>
  <c r="O1219" i="3"/>
  <c r="U661" i="3"/>
  <c r="U681" i="3"/>
  <c r="U701" i="3"/>
  <c r="U721" i="3"/>
  <c r="V264" i="4"/>
  <c r="F230" i="6"/>
  <c r="D53" i="49"/>
  <c r="S21" i="595"/>
  <c r="V21" i="595" s="1"/>
  <c r="W21" i="595" s="1"/>
  <c r="S34" i="595"/>
  <c r="F132" i="139"/>
  <c r="K17" i="14"/>
  <c r="L17" i="14" s="1"/>
  <c r="U921" i="3"/>
  <c r="I355" i="3"/>
  <c r="U505" i="3"/>
  <c r="K157" i="139"/>
  <c r="K158" i="139" s="1"/>
  <c r="K159" i="139" s="1"/>
  <c r="K160" i="139" s="1"/>
  <c r="K161" i="139" s="1"/>
  <c r="K162" i="139" s="1"/>
  <c r="K163" i="139" s="1"/>
  <c r="K164" i="139" s="1"/>
  <c r="K165" i="139" s="1"/>
  <c r="K166" i="139" s="1"/>
  <c r="K167" i="139" s="1"/>
  <c r="K168" i="139" s="1"/>
  <c r="K169" i="139" s="1"/>
  <c r="K170" i="139" s="1"/>
  <c r="K171" i="139" s="1"/>
  <c r="K172" i="139" s="1"/>
  <c r="K173" i="139" s="1"/>
  <c r="K174" i="139" s="1"/>
  <c r="K175" i="139" s="1"/>
  <c r="K176" i="139" s="1"/>
  <c r="K177" i="139" s="1"/>
  <c r="K178" i="139" s="1"/>
  <c r="K179" i="139" s="1"/>
  <c r="K180" i="139" s="1"/>
  <c r="K181" i="139" s="1"/>
  <c r="K182" i="139" s="1"/>
  <c r="K183" i="139" s="1"/>
  <c r="K184" i="139" s="1"/>
  <c r="K185" i="139" s="1"/>
  <c r="K186" i="139" s="1"/>
  <c r="K187" i="139" s="1"/>
  <c r="K188" i="139" s="1"/>
  <c r="K189" i="139" s="1"/>
  <c r="K190" i="139" s="1"/>
  <c r="K191" i="139" s="1"/>
  <c r="K192" i="139" s="1"/>
  <c r="K193" i="139" s="1"/>
  <c r="K194" i="139" s="1"/>
  <c r="K195" i="139" s="1"/>
  <c r="K196" i="139" s="1"/>
  <c r="K197" i="139" s="1"/>
  <c r="K198" i="139" s="1"/>
  <c r="K199" i="139" s="1"/>
  <c r="K200" i="139" s="1"/>
  <c r="K201" i="139" s="1"/>
  <c r="K202" i="139" s="1"/>
  <c r="K203" i="139" s="1"/>
  <c r="K204" i="139" s="1"/>
  <c r="K205" i="139" s="1"/>
  <c r="K206" i="139" s="1"/>
  <c r="K207" i="139" s="1"/>
  <c r="K208" i="139" s="1"/>
  <c r="K209" i="139" s="1"/>
  <c r="K210" i="139" s="1"/>
  <c r="K211" i="139" s="1"/>
  <c r="K212" i="139" s="1"/>
  <c r="K213" i="139" s="1"/>
  <c r="K214" i="139" s="1"/>
  <c r="K215" i="139" s="1"/>
  <c r="K216" i="139" s="1"/>
  <c r="K217" i="139" s="1"/>
  <c r="K218" i="139" s="1"/>
  <c r="K219" i="139" s="1"/>
  <c r="K220" i="139" s="1"/>
  <c r="K221" i="139" s="1"/>
  <c r="K222" i="139" s="1"/>
  <c r="K223" i="139" s="1"/>
  <c r="K224" i="139" s="1"/>
  <c r="K225" i="139" s="1"/>
  <c r="K226" i="139" s="1"/>
  <c r="K227" i="139" s="1"/>
  <c r="K228" i="139" s="1"/>
  <c r="K229" i="139" s="1"/>
  <c r="K230" i="139" s="1"/>
  <c r="K231" i="139" s="1"/>
  <c r="K232" i="139" s="1"/>
  <c r="K233" i="139" s="1"/>
  <c r="K234" i="139" s="1"/>
  <c r="K235" i="139" s="1"/>
  <c r="K236" i="139" s="1"/>
  <c r="K237" i="139" s="1"/>
  <c r="K238" i="139" s="1"/>
  <c r="K239" i="139" s="1"/>
  <c r="K240" i="139" s="1"/>
  <c r="K241" i="139" s="1"/>
  <c r="K242" i="139" s="1"/>
  <c r="K243" i="139" s="1"/>
  <c r="K244" i="139" s="1"/>
  <c r="K245" i="139" s="1"/>
  <c r="K246" i="139" s="1"/>
  <c r="K247" i="139" s="1"/>
  <c r="K248" i="139" s="1"/>
  <c r="K249" i="139" s="1"/>
  <c r="K250" i="139" s="1"/>
  <c r="K251" i="139" s="1"/>
  <c r="K252" i="139" s="1"/>
  <c r="K253" i="139" s="1"/>
  <c r="K254" i="139" s="1"/>
  <c r="K255" i="139" s="1"/>
  <c r="K256" i="139" s="1"/>
  <c r="K257" i="139" s="1"/>
  <c r="K258" i="139" s="1"/>
  <c r="K259" i="139" s="1"/>
  <c r="K260" i="139" s="1"/>
  <c r="K261" i="139" s="1"/>
  <c r="K262" i="139" s="1"/>
  <c r="K263" i="139" s="1"/>
  <c r="K264" i="139" s="1"/>
  <c r="K265" i="139" s="1"/>
  <c r="K266" i="139" s="1"/>
  <c r="K267" i="139" s="1"/>
  <c r="K268" i="139" s="1"/>
  <c r="K269" i="139" s="1"/>
  <c r="K270" i="139" s="1"/>
  <c r="K271" i="139" s="1"/>
  <c r="K272" i="139" s="1"/>
  <c r="K273" i="139" s="1"/>
  <c r="K274" i="139" s="1"/>
  <c r="K275" i="139" s="1"/>
  <c r="K276" i="139" s="1"/>
  <c r="K277" i="139" s="1"/>
  <c r="K278" i="139" s="1"/>
  <c r="K279" i="139" s="1"/>
  <c r="K280" i="139" s="1"/>
  <c r="K281" i="139" s="1"/>
  <c r="K282" i="139" s="1"/>
  <c r="K283" i="139" s="1"/>
  <c r="K284" i="139" s="1"/>
  <c r="K285" i="139" s="1"/>
  <c r="K286" i="139" s="1"/>
  <c r="K287" i="139" s="1"/>
  <c r="K288" i="139" s="1"/>
  <c r="K289" i="139" s="1"/>
  <c r="K290" i="139" s="1"/>
  <c r="K291" i="139" s="1"/>
  <c r="K292" i="139" s="1"/>
  <c r="K293" i="139" s="1"/>
  <c r="K294" i="139" s="1"/>
  <c r="K295" i="139" s="1"/>
  <c r="K296" i="139" s="1"/>
  <c r="K297" i="139" s="1"/>
  <c r="K298" i="139" s="1"/>
  <c r="K299" i="139" s="1"/>
  <c r="K300" i="139" s="1"/>
  <c r="K301" i="139" s="1"/>
  <c r="K302" i="139" s="1"/>
  <c r="K303" i="139" s="1"/>
  <c r="K304" i="139" s="1"/>
  <c r="K305" i="139" s="1"/>
  <c r="K306" i="139" s="1"/>
  <c r="K307" i="139" s="1"/>
  <c r="K308" i="139" s="1"/>
  <c r="K309" i="139" s="1"/>
  <c r="K310" i="139" s="1"/>
  <c r="K311" i="139" s="1"/>
  <c r="K312" i="139" s="1"/>
  <c r="K313" i="139" s="1"/>
  <c r="K314" i="139" s="1"/>
  <c r="K315" i="139" s="1"/>
  <c r="K316" i="139" s="1"/>
  <c r="K317" i="139" s="1"/>
  <c r="K318" i="139" s="1"/>
  <c r="K319" i="139" s="1"/>
  <c r="K320" i="139" s="1"/>
  <c r="K321" i="139" s="1"/>
  <c r="K322" i="139" s="1"/>
  <c r="K323" i="139" s="1"/>
  <c r="K324" i="139" s="1"/>
  <c r="K325" i="139" s="1"/>
  <c r="K326" i="139" s="1"/>
  <c r="K327" i="139" s="1"/>
  <c r="K328" i="139" s="1"/>
  <c r="K329" i="139" s="1"/>
  <c r="K330" i="139" s="1"/>
  <c r="K331" i="139" s="1"/>
  <c r="K332" i="139" s="1"/>
  <c r="K333" i="139" s="1"/>
  <c r="K334" i="139" s="1"/>
  <c r="K335" i="139" s="1"/>
  <c r="K336" i="139" s="1"/>
  <c r="K337" i="139" s="1"/>
  <c r="K338" i="139" s="1"/>
  <c r="K339" i="139" s="1"/>
  <c r="K340" i="139" s="1"/>
  <c r="K341" i="139" s="1"/>
  <c r="K342" i="139" s="1"/>
  <c r="K343" i="139" s="1"/>
  <c r="K344" i="139" s="1"/>
  <c r="K345" i="139" s="1"/>
  <c r="K346" i="139" s="1"/>
  <c r="K347" i="139" s="1"/>
  <c r="K348" i="139" s="1"/>
  <c r="K349" i="139" s="1"/>
  <c r="K350" i="139" s="1"/>
  <c r="K351" i="139" s="1"/>
  <c r="K352" i="139" s="1"/>
  <c r="K353" i="139" s="1"/>
  <c r="K354" i="139" s="1"/>
  <c r="K355" i="139" s="1"/>
  <c r="K356" i="139" s="1"/>
  <c r="K357" i="139" s="1"/>
  <c r="K358" i="139" s="1"/>
  <c r="K359" i="139" s="1"/>
  <c r="K360" i="139" s="1"/>
  <c r="K361" i="139" s="1"/>
  <c r="K362" i="139" s="1"/>
  <c r="K363" i="139" s="1"/>
  <c r="K364" i="139" s="1"/>
  <c r="K365" i="139" s="1"/>
  <c r="K366" i="139" s="1"/>
  <c r="K367" i="139" s="1"/>
  <c r="K368" i="139" s="1"/>
  <c r="K369" i="139" s="1"/>
  <c r="K370" i="139" s="1"/>
  <c r="K371" i="139" s="1"/>
  <c r="K372" i="139" s="1"/>
  <c r="K373" i="139" s="1"/>
  <c r="K374" i="139" s="1"/>
  <c r="K375" i="139" s="1"/>
  <c r="K376" i="139" s="1"/>
  <c r="K377" i="139" s="1"/>
  <c r="K378" i="139" s="1"/>
  <c r="K379" i="139" s="1"/>
  <c r="K380" i="139" s="1"/>
  <c r="K381" i="139" s="1"/>
  <c r="K382" i="139" s="1"/>
  <c r="K383" i="139" s="1"/>
  <c r="K384" i="139" s="1"/>
  <c r="K385" i="139" s="1"/>
  <c r="K386" i="139" s="1"/>
  <c r="K387" i="139" s="1"/>
  <c r="K388" i="139" s="1"/>
  <c r="K389" i="139" s="1"/>
  <c r="K390" i="139" s="1"/>
  <c r="K391" i="139" s="1"/>
  <c r="K392" i="139" s="1"/>
  <c r="K393" i="139" s="1"/>
  <c r="K394" i="139" s="1"/>
  <c r="K395" i="139" s="1"/>
  <c r="K396" i="139" s="1"/>
  <c r="K397" i="139" s="1"/>
  <c r="K398" i="139" s="1"/>
  <c r="K399" i="139" s="1"/>
  <c r="K400" i="139" s="1"/>
  <c r="K401" i="139" s="1"/>
  <c r="K402" i="139" s="1"/>
  <c r="K403" i="139" s="1"/>
  <c r="K404" i="139" s="1"/>
  <c r="K405" i="139" s="1"/>
  <c r="K406" i="139" s="1"/>
  <c r="K407" i="139" s="1"/>
  <c r="K408" i="139" s="1"/>
  <c r="K409" i="139" s="1"/>
  <c r="K410" i="139" s="1"/>
  <c r="K411" i="139" s="1"/>
  <c r="K412" i="139" s="1"/>
  <c r="K413" i="139" s="1"/>
  <c r="K414" i="139" s="1"/>
  <c r="K415" i="139" s="1"/>
  <c r="K416" i="139" s="1"/>
  <c r="K417" i="139" s="1"/>
  <c r="K418" i="139" s="1"/>
  <c r="K419" i="139" s="1"/>
  <c r="K420" i="139" s="1"/>
  <c r="K421" i="139" s="1"/>
  <c r="K422" i="139" s="1"/>
  <c r="K423" i="139" s="1"/>
  <c r="K424" i="139" s="1"/>
  <c r="K425" i="139" s="1"/>
  <c r="K426" i="139" s="1"/>
  <c r="K427" i="139" s="1"/>
  <c r="K428" i="139" s="1"/>
  <c r="K429" i="139" s="1"/>
  <c r="K430" i="139" s="1"/>
  <c r="K431" i="139" s="1"/>
  <c r="K432" i="139" s="1"/>
  <c r="K433" i="139" s="1"/>
  <c r="K434" i="139" s="1"/>
  <c r="K435" i="139" s="1"/>
  <c r="K436" i="139" s="1"/>
  <c r="K437" i="139" s="1"/>
  <c r="K438" i="139" s="1"/>
  <c r="K439" i="139" s="1"/>
  <c r="K440" i="139" s="1"/>
  <c r="K441" i="139" s="1"/>
  <c r="K442" i="139" s="1"/>
  <c r="K443" i="139" s="1"/>
  <c r="K444" i="139" s="1"/>
  <c r="K445" i="139" s="1"/>
  <c r="K446" i="139" s="1"/>
  <c r="K447" i="139" s="1"/>
  <c r="K448" i="139" s="1"/>
  <c r="K449" i="139" s="1"/>
  <c r="K450" i="139" s="1"/>
  <c r="U397" i="3"/>
  <c r="U417" i="3"/>
  <c r="U437" i="3"/>
  <c r="U457" i="3"/>
  <c r="U477" i="3"/>
  <c r="U497" i="3"/>
  <c r="U538" i="3"/>
  <c r="U558" i="3"/>
  <c r="U578" i="3"/>
  <c r="U598" i="3"/>
  <c r="U618" i="3"/>
  <c r="V618" i="3" s="1"/>
  <c r="U764" i="3"/>
  <c r="K15" i="14"/>
  <c r="L15" i="14" s="1"/>
  <c r="K16" i="14"/>
  <c r="L16" i="14" s="1"/>
  <c r="A55" i="2"/>
  <c r="A56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3" i="2" s="1"/>
  <c r="A76" i="2" s="1"/>
  <c r="A78" i="2" s="1"/>
  <c r="H26" i="5"/>
  <c r="P355" i="3"/>
  <c r="I232" i="3"/>
  <c r="U741" i="3"/>
  <c r="S769" i="3"/>
  <c r="S721" i="3"/>
  <c r="G740" i="6"/>
  <c r="V739" i="3" s="1"/>
  <c r="S661" i="3"/>
  <c r="S701" i="3"/>
  <c r="S452" i="3"/>
  <c r="S382" i="3"/>
  <c r="S442" i="3"/>
  <c r="S462" i="3"/>
  <c r="S523" i="3"/>
  <c r="G720" i="6"/>
  <c r="E720" i="6" s="1"/>
  <c r="S741" i="3"/>
  <c r="S681" i="3"/>
  <c r="G660" i="6"/>
  <c r="I660" i="6" s="1"/>
  <c r="J660" i="6" s="1"/>
  <c r="G700" i="6"/>
  <c r="G702" i="6" s="1"/>
  <c r="E702" i="6" s="1"/>
  <c r="S799" i="3"/>
  <c r="V596" i="3"/>
  <c r="G435" i="6"/>
  <c r="V435" i="3" s="1"/>
  <c r="S457" i="3"/>
  <c r="S497" i="3"/>
  <c r="S623" i="3"/>
  <c r="S482" i="3"/>
  <c r="S543" i="3"/>
  <c r="S422" i="3"/>
  <c r="U911" i="3"/>
  <c r="H69" i="5"/>
  <c r="H64" i="5"/>
  <c r="H14" i="5"/>
  <c r="G26" i="5"/>
  <c r="H15" i="5"/>
  <c r="H355" i="3"/>
  <c r="O355" i="3"/>
  <c r="Q232" i="3"/>
  <c r="O232" i="3"/>
  <c r="N232" i="3"/>
  <c r="L232" i="3"/>
  <c r="F324" i="6"/>
  <c r="S691" i="3"/>
  <c r="H833" i="3"/>
  <c r="H32" i="5" s="1"/>
  <c r="N1219" i="3"/>
  <c r="O889" i="3"/>
  <c r="O33" i="5" s="1"/>
  <c r="N913" i="3"/>
  <c r="N37" i="5" s="1"/>
  <c r="L889" i="3"/>
  <c r="L33" i="5" s="1"/>
  <c r="U427" i="3"/>
  <c r="I913" i="3"/>
  <c r="I37" i="5" s="1"/>
  <c r="S427" i="3"/>
  <c r="I752" i="3"/>
  <c r="I30" i="5" s="1"/>
  <c r="P509" i="3"/>
  <c r="N509" i="3"/>
  <c r="S711" i="3"/>
  <c r="G710" i="6"/>
  <c r="G712" i="6" s="1"/>
  <c r="E712" i="6" s="1"/>
  <c r="F15" i="5"/>
  <c r="S779" i="3"/>
  <c r="S407" i="3"/>
  <c r="S477" i="3"/>
  <c r="M913" i="3"/>
  <c r="M37" i="5" s="1"/>
  <c r="I889" i="3"/>
  <c r="I33" i="5" s="1"/>
  <c r="O509" i="3"/>
  <c r="M1202" i="3"/>
  <c r="S750" i="3"/>
  <c r="I1202" i="3"/>
  <c r="L833" i="3"/>
  <c r="L32" i="5" s="1"/>
  <c r="G647" i="6"/>
  <c r="E647" i="6" s="1"/>
  <c r="Q752" i="3"/>
  <c r="Q30" i="5" s="1"/>
  <c r="S432" i="3"/>
  <c r="S598" i="3"/>
  <c r="L913" i="3"/>
  <c r="L37" i="5" s="1"/>
  <c r="H889" i="3"/>
  <c r="H33" i="5" s="1"/>
  <c r="Q833" i="3"/>
  <c r="Q32" i="5" s="1"/>
  <c r="S686" i="3"/>
  <c r="F33" i="5"/>
  <c r="M833" i="3"/>
  <c r="M32" i="5" s="1"/>
  <c r="P752" i="3"/>
  <c r="P30" i="5" s="1"/>
  <c r="I509" i="3"/>
  <c r="H913" i="3"/>
  <c r="H37" i="5" s="1"/>
  <c r="L509" i="3"/>
  <c r="S716" i="3"/>
  <c r="S671" i="3"/>
  <c r="S764" i="3"/>
  <c r="G415" i="6"/>
  <c r="G417" i="6" s="1"/>
  <c r="G475" i="6"/>
  <c r="I475" i="6" s="1"/>
  <c r="M1219" i="3"/>
  <c r="S492" i="3"/>
  <c r="E1054" i="6"/>
  <c r="I295" i="6"/>
  <c r="N295" i="6" s="1"/>
  <c r="V295" i="3"/>
  <c r="E295" i="6"/>
  <c r="V566" i="3"/>
  <c r="S467" i="3"/>
  <c r="S666" i="3"/>
  <c r="G826" i="6"/>
  <c r="I826" i="6" s="1"/>
  <c r="J826" i="6" s="1"/>
  <c r="S726" i="3"/>
  <c r="S613" i="3"/>
  <c r="S573" i="3"/>
  <c r="S634" i="3"/>
  <c r="G930" i="6"/>
  <c r="I930" i="6" s="1"/>
  <c r="J930" i="6" s="1"/>
  <c r="S731" i="3"/>
  <c r="S921" i="3"/>
  <c r="T38" i="5" s="1"/>
  <c r="S759" i="3"/>
  <c r="S736" i="3"/>
  <c r="G425" i="6"/>
  <c r="G427" i="6" s="1"/>
  <c r="G465" i="6"/>
  <c r="I465" i="6" s="1"/>
  <c r="J465" i="6" s="1"/>
  <c r="S506" i="3"/>
  <c r="S578" i="3"/>
  <c r="S502" i="3"/>
  <c r="P1219" i="3"/>
  <c r="S618" i="3"/>
  <c r="U633" i="3"/>
  <c r="S774" i="3"/>
  <c r="G773" i="6"/>
  <c r="G775" i="6" s="1"/>
  <c r="E775" i="6" s="1"/>
  <c r="G486" i="6"/>
  <c r="G487" i="6" s="1"/>
  <c r="S487" i="3"/>
  <c r="S608" i="3"/>
  <c r="S505" i="3"/>
  <c r="S588" i="3"/>
  <c r="S593" i="3"/>
  <c r="N1202" i="3"/>
  <c r="U749" i="3"/>
  <c r="S706" i="3"/>
  <c r="S746" i="3"/>
  <c r="G730" i="6"/>
  <c r="V729" i="3" s="1"/>
  <c r="S696" i="3"/>
  <c r="S911" i="3"/>
  <c r="S749" i="3"/>
  <c r="S507" i="3"/>
  <c r="S392" i="3"/>
  <c r="L1219" i="3"/>
  <c r="U503" i="3"/>
  <c r="U632" i="3"/>
  <c r="S503" i="3"/>
  <c r="S632" i="3"/>
  <c r="S568" i="3"/>
  <c r="S827" i="3"/>
  <c r="S387" i="3"/>
  <c r="S553" i="3"/>
  <c r="S501" i="3"/>
  <c r="H1219" i="3"/>
  <c r="S649" i="3"/>
  <c r="T29" i="5" s="1"/>
  <c r="G670" i="6"/>
  <c r="G672" i="6" s="1"/>
  <c r="E672" i="6" s="1"/>
  <c r="G920" i="6"/>
  <c r="V907" i="3" s="1"/>
  <c r="S656" i="3"/>
  <c r="S676" i="3"/>
  <c r="G395" i="6"/>
  <c r="V395" i="3" s="1"/>
  <c r="G527" i="6"/>
  <c r="I527" i="6" s="1"/>
  <c r="J527" i="6" s="1"/>
  <c r="L1202" i="3"/>
  <c r="S447" i="3"/>
  <c r="S538" i="3"/>
  <c r="S472" i="3"/>
  <c r="D24" i="16"/>
  <c r="D27" i="16" s="1"/>
  <c r="C30" i="49"/>
  <c r="V261" i="4"/>
  <c r="AA261" i="4" s="1"/>
  <c r="Z260" i="4"/>
  <c r="Z213" i="4"/>
  <c r="AA213" i="4"/>
  <c r="Z22" i="4"/>
  <c r="AA22" i="4"/>
  <c r="AA16" i="4"/>
  <c r="Z65" i="4"/>
  <c r="AA65" i="4"/>
  <c r="Z172" i="4"/>
  <c r="AA172" i="4"/>
  <c r="Z122" i="4"/>
  <c r="AA122" i="4"/>
  <c r="Z127" i="4"/>
  <c r="AA127" i="4"/>
  <c r="Z157" i="4"/>
  <c r="AA157" i="4"/>
  <c r="Z159" i="4"/>
  <c r="AA159" i="4"/>
  <c r="AB200" i="4"/>
  <c r="AA200" i="4"/>
  <c r="Z212" i="4"/>
  <c r="AA212" i="4"/>
  <c r="Z88" i="4"/>
  <c r="AA88" i="4"/>
  <c r="Z160" i="4"/>
  <c r="AA160" i="4"/>
  <c r="Z128" i="4"/>
  <c r="AA128" i="4"/>
  <c r="Z123" i="4"/>
  <c r="AA123" i="4"/>
  <c r="Z46" i="4"/>
  <c r="AA46" i="4"/>
  <c r="Z165" i="4"/>
  <c r="AA165" i="4"/>
  <c r="Z105" i="4"/>
  <c r="AA105" i="4"/>
  <c r="Z117" i="4"/>
  <c r="AA117" i="4"/>
  <c r="Z241" i="4"/>
  <c r="AA241" i="4"/>
  <c r="Z92" i="4"/>
  <c r="AA92" i="4"/>
  <c r="Z133" i="4"/>
  <c r="AA133" i="4"/>
  <c r="Z69" i="4"/>
  <c r="AA69" i="4"/>
  <c r="Z129" i="4"/>
  <c r="AA129" i="4"/>
  <c r="Z164" i="4"/>
  <c r="AA164" i="4"/>
  <c r="Z171" i="4"/>
  <c r="AA171" i="4"/>
  <c r="Z166" i="4"/>
  <c r="AA166" i="4"/>
  <c r="Z24" i="4"/>
  <c r="AA24" i="4"/>
  <c r="Z100" i="4"/>
  <c r="AA100" i="4"/>
  <c r="Z93" i="4"/>
  <c r="AA93" i="4"/>
  <c r="Z23" i="4"/>
  <c r="AA23" i="4"/>
  <c r="Z87" i="4"/>
  <c r="AA87" i="4"/>
  <c r="Z115" i="4"/>
  <c r="AA115" i="4"/>
  <c r="Z106" i="4"/>
  <c r="AA106" i="4"/>
  <c r="Z55" i="4"/>
  <c r="AA55" i="4"/>
  <c r="Z99" i="4"/>
  <c r="AA99" i="4"/>
  <c r="Z27" i="4"/>
  <c r="AA27" i="4"/>
  <c r="Z75" i="4"/>
  <c r="AA75" i="4"/>
  <c r="Z70" i="4"/>
  <c r="AA70" i="4"/>
  <c r="AB225" i="4"/>
  <c r="AA225" i="4"/>
  <c r="Z79" i="4"/>
  <c r="AA79" i="4"/>
  <c r="Z138" i="4"/>
  <c r="AA138" i="4"/>
  <c r="Z255" i="4"/>
  <c r="AA255" i="4"/>
  <c r="Z214" i="4"/>
  <c r="AA214" i="4"/>
  <c r="Z219" i="4"/>
  <c r="AA219" i="4"/>
  <c r="Z221" i="4"/>
  <c r="AA221" i="4"/>
  <c r="Z254" i="4"/>
  <c r="AA254" i="4"/>
  <c r="Z256" i="4"/>
  <c r="AA256" i="4"/>
  <c r="Z230" i="4"/>
  <c r="AA230" i="4"/>
  <c r="Z153" i="4"/>
  <c r="AA153" i="4"/>
  <c r="Z104" i="4"/>
  <c r="AA104" i="4"/>
  <c r="Z64" i="4"/>
  <c r="AA64" i="4"/>
  <c r="Z33" i="4"/>
  <c r="AA33" i="4"/>
  <c r="Z158" i="4"/>
  <c r="AA158" i="4"/>
  <c r="Z240" i="4"/>
  <c r="AA240" i="4"/>
  <c r="Z98" i="4"/>
  <c r="AA98" i="4"/>
  <c r="Z26" i="4"/>
  <c r="AA26" i="4"/>
  <c r="Z134" i="4"/>
  <c r="AA134" i="4"/>
  <c r="Z25" i="4"/>
  <c r="AA25" i="4"/>
  <c r="Z174" i="4"/>
  <c r="AA174" i="4"/>
  <c r="Z94" i="4"/>
  <c r="AA94" i="4"/>
  <c r="Z80" i="4"/>
  <c r="AA80" i="4"/>
  <c r="Z116" i="4"/>
  <c r="AA116" i="4"/>
  <c r="Z140" i="4"/>
  <c r="AA140" i="4"/>
  <c r="Z110" i="4"/>
  <c r="AA110" i="4"/>
  <c r="Z50" i="4"/>
  <c r="AA50" i="4"/>
  <c r="Z59" i="4"/>
  <c r="AA59" i="4"/>
  <c r="Z74" i="4"/>
  <c r="AA74" i="4"/>
  <c r="Z38" i="4"/>
  <c r="AA38" i="4"/>
  <c r="Z167" i="4"/>
  <c r="AA167" i="4"/>
  <c r="V236" i="4"/>
  <c r="AB236" i="4" s="1"/>
  <c r="AA235" i="4"/>
  <c r="Z239" i="4"/>
  <c r="AA239" i="4"/>
  <c r="Z253" i="4"/>
  <c r="AA253" i="4"/>
  <c r="Z211" i="4"/>
  <c r="AA211" i="4"/>
  <c r="Z242" i="4"/>
  <c r="AA242" i="4"/>
  <c r="Z231" i="4"/>
  <c r="AA231" i="4"/>
  <c r="Z220" i="4"/>
  <c r="AA220" i="4"/>
  <c r="Z173" i="4"/>
  <c r="AA173" i="4"/>
  <c r="Z121" i="4"/>
  <c r="AA121" i="4"/>
  <c r="Z15" i="4"/>
  <c r="AA15" i="4"/>
  <c r="A57" i="5"/>
  <c r="A58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4" i="5" s="1"/>
  <c r="Y261" i="4"/>
  <c r="C53" i="49"/>
  <c r="AO174" i="4"/>
  <c r="H1228" i="6"/>
  <c r="U382" i="3"/>
  <c r="U506" i="3"/>
  <c r="U507" i="3"/>
  <c r="U392" i="3"/>
  <c r="U402" i="3"/>
  <c r="U412" i="3"/>
  <c r="U422" i="3"/>
  <c r="U432" i="3"/>
  <c r="U442" i="3"/>
  <c r="U452" i="3"/>
  <c r="U462" i="3"/>
  <c r="U472" i="3"/>
  <c r="U482" i="3"/>
  <c r="U492" i="3"/>
  <c r="U523" i="3"/>
  <c r="U634" i="3"/>
  <c r="V634" i="3" s="1"/>
  <c r="U533" i="3"/>
  <c r="U543" i="3"/>
  <c r="U553" i="3"/>
  <c r="U563" i="3"/>
  <c r="U573" i="3"/>
  <c r="U583" i="3"/>
  <c r="U593" i="3"/>
  <c r="U603" i="3"/>
  <c r="U613" i="3"/>
  <c r="U623" i="3"/>
  <c r="U656" i="3"/>
  <c r="U750" i="3"/>
  <c r="U666" i="3"/>
  <c r="U676" i="3"/>
  <c r="U686" i="3"/>
  <c r="U696" i="3"/>
  <c r="U706" i="3"/>
  <c r="U716" i="3"/>
  <c r="U726" i="3"/>
  <c r="U736" i="3"/>
  <c r="U746" i="3"/>
  <c r="U759" i="3"/>
  <c r="U769" i="3"/>
  <c r="U779" i="3"/>
  <c r="U799" i="3"/>
  <c r="U812" i="3"/>
  <c r="U387" i="3"/>
  <c r="U502" i="3"/>
  <c r="U501" i="3"/>
  <c r="U487" i="3"/>
  <c r="E12" i="17"/>
  <c r="E19" i="17" s="1"/>
  <c r="N273" i="4"/>
  <c r="L273" i="4"/>
  <c r="P273" i="4"/>
  <c r="F234" i="6"/>
  <c r="F156" i="6"/>
  <c r="AL81" i="4"/>
  <c r="AO81" i="4" s="1"/>
  <c r="AF184" i="4"/>
  <c r="AF185" i="4" s="1"/>
  <c r="AF186" i="4" s="1"/>
  <c r="AF187" i="4" s="1"/>
  <c r="AF188" i="4" s="1"/>
  <c r="AF189" i="4" s="1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F203" i="4" s="1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AF227" i="4" s="1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AF242" i="4" s="1"/>
  <c r="AF243" i="4" s="1"/>
  <c r="AF244" i="4" s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F260" i="4" s="1"/>
  <c r="AF261" i="4" s="1"/>
  <c r="AF262" i="4" s="1"/>
  <c r="AF263" i="4" s="1"/>
  <c r="AF264" i="4" s="1"/>
  <c r="AF265" i="4" s="1"/>
  <c r="AF266" i="4" s="1"/>
  <c r="AF267" i="4" s="1"/>
  <c r="AF268" i="4" s="1"/>
  <c r="AF269" i="4" s="1"/>
  <c r="AF270" i="4" s="1"/>
  <c r="AF271" i="4" s="1"/>
  <c r="AF272" i="4" s="1"/>
  <c r="AF273" i="4" s="1"/>
  <c r="AF274" i="4" s="1"/>
  <c r="AF275" i="4" s="1"/>
  <c r="AF276" i="4" s="1"/>
  <c r="AF277" i="4" s="1"/>
  <c r="AF278" i="4" s="1"/>
  <c r="AF279" i="4" s="1"/>
  <c r="AF177" i="4"/>
  <c r="AF178" i="4" s="1"/>
  <c r="AF179" i="4" s="1"/>
  <c r="AF180" i="4" s="1"/>
  <c r="AF181" i="4" s="1"/>
  <c r="AF182" i="4" s="1"/>
  <c r="AF183" i="4" s="1"/>
  <c r="A184" i="4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177" i="4"/>
  <c r="A178" i="4" s="1"/>
  <c r="A179" i="4" s="1"/>
  <c r="A180" i="4" s="1"/>
  <c r="A181" i="4" s="1"/>
  <c r="A182" i="4" s="1"/>
  <c r="A183" i="4" s="1"/>
  <c r="Q41" i="20"/>
  <c r="Q40" i="20"/>
  <c r="AK20" i="33"/>
  <c r="AK21" i="33" s="1"/>
  <c r="AK22" i="33" s="1"/>
  <c r="AJ19" i="33"/>
  <c r="N16" i="33" s="1"/>
  <c r="F447" i="6"/>
  <c r="F437" i="6"/>
  <c r="F427" i="6"/>
  <c r="H67" i="2"/>
  <c r="AL261" i="4"/>
  <c r="AO261" i="4" s="1"/>
  <c r="AO260" i="4"/>
  <c r="AO38" i="4"/>
  <c r="AL40" i="4"/>
  <c r="AO40" i="4" s="1"/>
  <c r="AO33" i="4"/>
  <c r="AL35" i="4"/>
  <c r="AO35" i="4" s="1"/>
  <c r="AO21" i="4"/>
  <c r="AL29" i="4"/>
  <c r="AO29" i="4" s="1"/>
  <c r="U20" i="595"/>
  <c r="O20" i="594"/>
  <c r="AB66" i="4"/>
  <c r="AL66" i="4"/>
  <c r="AO66" i="4" s="1"/>
  <c r="AB61" i="4"/>
  <c r="AL61" i="4"/>
  <c r="AO61" i="4" s="1"/>
  <c r="AB56" i="4"/>
  <c r="AL56" i="4"/>
  <c r="AO56" i="4" s="1"/>
  <c r="AB51" i="4"/>
  <c r="AL51" i="4"/>
  <c r="AO51" i="4" s="1"/>
  <c r="AL154" i="4"/>
  <c r="AO154" i="4" s="1"/>
  <c r="AO153" i="4"/>
  <c r="AL204" i="4"/>
  <c r="AO204" i="4" s="1"/>
  <c r="AO203" i="4"/>
  <c r="AL264" i="4"/>
  <c r="AB124" i="4"/>
  <c r="AL124" i="4"/>
  <c r="AO124" i="4" s="1"/>
  <c r="Y18" i="4"/>
  <c r="AL18" i="4"/>
  <c r="AO18" i="4" s="1"/>
  <c r="AB76" i="4"/>
  <c r="AL76" i="4"/>
  <c r="AO76" i="4" s="1"/>
  <c r="AB71" i="4"/>
  <c r="AL71" i="4"/>
  <c r="AO71" i="4" s="1"/>
  <c r="AB40" i="4"/>
  <c r="AB35" i="4"/>
  <c r="AL236" i="4"/>
  <c r="AO236" i="4" s="1"/>
  <c r="AO235" i="4"/>
  <c r="AL208" i="4"/>
  <c r="AO208" i="4" s="1"/>
  <c r="AL267" i="4"/>
  <c r="AO267" i="4" s="1"/>
  <c r="AO207" i="4"/>
  <c r="AB89" i="4"/>
  <c r="AL89" i="4"/>
  <c r="AO89" i="4" s="1"/>
  <c r="F244" i="139"/>
  <c r="F387" i="6"/>
  <c r="D63" i="49"/>
  <c r="D24" i="49" s="1"/>
  <c r="F497" i="6"/>
  <c r="Y257" i="4"/>
  <c r="F432" i="6"/>
  <c r="F422" i="6"/>
  <c r="C63" i="49"/>
  <c r="C26" i="49" s="1"/>
  <c r="Q273" i="4"/>
  <c r="M273" i="4"/>
  <c r="F12" i="1"/>
  <c r="F501" i="6"/>
  <c r="AB130" i="4"/>
  <c r="AL130" i="4"/>
  <c r="AO130" i="4" s="1"/>
  <c r="AB135" i="4"/>
  <c r="AL135" i="4"/>
  <c r="AO135" i="4" s="1"/>
  <c r="F1054" i="6"/>
  <c r="I1054" i="6" s="1"/>
  <c r="J1054" i="6" s="1"/>
  <c r="AL107" i="4"/>
  <c r="AO107" i="4" s="1"/>
  <c r="F1046" i="6"/>
  <c r="AL95" i="4"/>
  <c r="AO95" i="4" s="1"/>
  <c r="AB118" i="4"/>
  <c r="AL118" i="4"/>
  <c r="AO118" i="4" s="1"/>
  <c r="E241" i="6"/>
  <c r="J55" i="6"/>
  <c r="N55" i="6"/>
  <c r="M55" i="6"/>
  <c r="R55" i="6" s="1"/>
  <c r="J53" i="6"/>
  <c r="N53" i="6"/>
  <c r="M53" i="6"/>
  <c r="R53" i="6" s="1"/>
  <c r="F1156" i="6"/>
  <c r="F60" i="2" s="1"/>
  <c r="F633" i="6"/>
  <c r="Z247" i="4"/>
  <c r="Z249" i="4"/>
  <c r="Z246" i="4"/>
  <c r="Z248" i="4"/>
  <c r="N259" i="6"/>
  <c r="M259" i="6"/>
  <c r="N628" i="6"/>
  <c r="M628" i="6"/>
  <c r="Q628" i="6" s="1"/>
  <c r="N250" i="6"/>
  <c r="M250" i="6"/>
  <c r="N241" i="6"/>
  <c r="M241" i="6"/>
  <c r="F569" i="6"/>
  <c r="F102" i="6"/>
  <c r="Z226" i="4"/>
  <c r="AB226" i="4"/>
  <c r="F229" i="6"/>
  <c r="F120" i="6"/>
  <c r="F37" i="2"/>
  <c r="I608" i="6"/>
  <c r="J608" i="6" s="1"/>
  <c r="F61" i="2"/>
  <c r="F51" i="2"/>
  <c r="I701" i="6"/>
  <c r="J701" i="6" s="1"/>
  <c r="G450" i="6"/>
  <c r="I450" i="6" s="1"/>
  <c r="F354" i="15"/>
  <c r="F128" i="139" s="1"/>
  <c r="F1022" i="6"/>
  <c r="F876" i="6"/>
  <c r="F828" i="6"/>
  <c r="F790" i="6"/>
  <c r="F732" i="6"/>
  <c r="F657" i="6"/>
  <c r="F348" i="6"/>
  <c r="O913" i="3"/>
  <c r="O37" i="5" s="1"/>
  <c r="F37" i="5"/>
  <c r="P913" i="3"/>
  <c r="P37" i="5" s="1"/>
  <c r="I833" i="3"/>
  <c r="I32" i="5" s="1"/>
  <c r="F32" i="5"/>
  <c r="P833" i="3"/>
  <c r="P32" i="5" s="1"/>
  <c r="N833" i="3"/>
  <c r="N32" i="5" s="1"/>
  <c r="O752" i="3"/>
  <c r="O30" i="5" s="1"/>
  <c r="L752" i="3"/>
  <c r="L30" i="5" s="1"/>
  <c r="F30" i="5"/>
  <c r="N752" i="3"/>
  <c r="N30" i="5" s="1"/>
  <c r="M752" i="3"/>
  <c r="M30" i="5" s="1"/>
  <c r="H752" i="3"/>
  <c r="H30" i="5" s="1"/>
  <c r="F26" i="5"/>
  <c r="M509" i="3"/>
  <c r="H509" i="3"/>
  <c r="Q509" i="3"/>
  <c r="L355" i="3"/>
  <c r="M232" i="3"/>
  <c r="F253" i="6"/>
  <c r="F244" i="6"/>
  <c r="F183" i="6"/>
  <c r="F206" i="6"/>
  <c r="F93" i="6"/>
  <c r="F75" i="6"/>
  <c r="V396" i="3"/>
  <c r="F1174" i="6"/>
  <c r="F63" i="2" s="1"/>
  <c r="I603" i="6"/>
  <c r="J603" i="6" s="1"/>
  <c r="L24" i="2"/>
  <c r="F16" i="1"/>
  <c r="I706" i="6"/>
  <c r="J706" i="6" s="1"/>
  <c r="V521" i="3"/>
  <c r="I416" i="6"/>
  <c r="J416" i="6" s="1"/>
  <c r="I553" i="6"/>
  <c r="J553" i="6" s="1"/>
  <c r="I583" i="6"/>
  <c r="J583" i="6" s="1"/>
  <c r="I533" i="6"/>
  <c r="J533" i="6" s="1"/>
  <c r="I1219" i="3"/>
  <c r="Q1202" i="3"/>
  <c r="P1202" i="3"/>
  <c r="F38" i="5"/>
  <c r="O1202" i="3"/>
  <c r="Q1219" i="3"/>
  <c r="E927" i="6"/>
  <c r="F165" i="6"/>
  <c r="F147" i="6"/>
  <c r="F138" i="6"/>
  <c r="K275" i="15"/>
  <c r="K276" i="15" s="1"/>
  <c r="K277" i="15" s="1"/>
  <c r="K278" i="15" s="1"/>
  <c r="K279" i="15" s="1"/>
  <c r="K280" i="15" s="1"/>
  <c r="K281" i="15" s="1"/>
  <c r="K282" i="15" s="1"/>
  <c r="K283" i="15" s="1"/>
  <c r="AB264" i="4"/>
  <c r="V40" i="4"/>
  <c r="V61" i="4"/>
  <c r="V35" i="4"/>
  <c r="H273" i="4"/>
  <c r="I746" i="6"/>
  <c r="I774" i="6"/>
  <c r="J774" i="6" s="1"/>
  <c r="I396" i="6"/>
  <c r="J396" i="6" s="1"/>
  <c r="I573" i="6"/>
  <c r="J573" i="6" s="1"/>
  <c r="I441" i="6"/>
  <c r="J441" i="6" s="1"/>
  <c r="F785" i="6"/>
  <c r="F298" i="139"/>
  <c r="F1040" i="6"/>
  <c r="Y154" i="4"/>
  <c r="Y89" i="4"/>
  <c r="Y243" i="4"/>
  <c r="U353" i="6"/>
  <c r="F280" i="6"/>
  <c r="H203" i="3"/>
  <c r="V927" i="3"/>
  <c r="V313" i="3"/>
  <c r="P203" i="3"/>
  <c r="N203" i="3"/>
  <c r="M203" i="3"/>
  <c r="I203" i="3"/>
  <c r="Q203" i="3"/>
  <c r="O203" i="3"/>
  <c r="L203" i="3"/>
  <c r="F866" i="6"/>
  <c r="F832" i="6"/>
  <c r="F831" i="6"/>
  <c r="H327" i="6"/>
  <c r="Y320" i="6"/>
  <c r="Y321" i="6" s="1"/>
  <c r="Y322" i="6" s="1"/>
  <c r="Y323" i="6" s="1"/>
  <c r="Y324" i="6" s="1"/>
  <c r="I942" i="6"/>
  <c r="J942" i="6" s="1"/>
  <c r="T307" i="6"/>
  <c r="F1075" i="6"/>
  <c r="F492" i="6"/>
  <c r="F382" i="6"/>
  <c r="I410" i="6"/>
  <c r="J410" i="6" s="1"/>
  <c r="I431" i="6"/>
  <c r="F472" i="6"/>
  <c r="F462" i="6"/>
  <c r="F298" i="6"/>
  <c r="V526" i="3"/>
  <c r="V542" i="3"/>
  <c r="H17" i="2"/>
  <c r="R457" i="6"/>
  <c r="U447" i="6"/>
  <c r="U437" i="6"/>
  <c r="U387" i="6"/>
  <c r="R765" i="6"/>
  <c r="U1152" i="6"/>
  <c r="U457" i="6"/>
  <c r="R427" i="6"/>
  <c r="R353" i="6"/>
  <c r="R323" i="6"/>
  <c r="R236" i="6"/>
  <c r="T231" i="6"/>
  <c r="Y71" i="4"/>
  <c r="Y76" i="4"/>
  <c r="Y135" i="4"/>
  <c r="M270" i="4"/>
  <c r="V304" i="3"/>
  <c r="F1187" i="6"/>
  <c r="F1219" i="6" s="1"/>
  <c r="N1243" i="6"/>
  <c r="F271" i="6"/>
  <c r="H64" i="2"/>
  <c r="H27" i="2"/>
  <c r="F192" i="6"/>
  <c r="AI26" i="33"/>
  <c r="S563" i="3"/>
  <c r="R206" i="6"/>
  <c r="U934" i="6"/>
  <c r="Q569" i="6"/>
  <c r="Q462" i="6"/>
  <c r="F215" i="6"/>
  <c r="F231" i="6"/>
  <c r="Y66" i="4"/>
  <c r="V798" i="3"/>
  <c r="V700" i="3"/>
  <c r="G597" i="6"/>
  <c r="G599" i="6" s="1"/>
  <c r="V599" i="3" s="1"/>
  <c r="G524" i="6"/>
  <c r="V524" i="3" s="1"/>
  <c r="H60" i="2"/>
  <c r="H51" i="2"/>
  <c r="N1244" i="6"/>
  <c r="H65" i="2"/>
  <c r="H63" i="2"/>
  <c r="H53" i="2"/>
  <c r="H52" i="2"/>
  <c r="F316" i="6"/>
  <c r="H59" i="2"/>
  <c r="S397" i="3"/>
  <c r="S528" i="3"/>
  <c r="S548" i="3"/>
  <c r="S558" i="3"/>
  <c r="T589" i="6"/>
  <c r="T564" i="6"/>
  <c r="U497" i="6"/>
  <c r="R851" i="6"/>
  <c r="T795" i="6"/>
  <c r="U770" i="6"/>
  <c r="R712" i="6"/>
  <c r="U672" i="6"/>
  <c r="T492" i="6"/>
  <c r="Q230" i="6"/>
  <c r="U206" i="6"/>
  <c r="T980" i="6"/>
  <c r="T1098" i="6" s="1"/>
  <c r="T633" i="6"/>
  <c r="R437" i="6"/>
  <c r="P270" i="4"/>
  <c r="E865" i="6"/>
  <c r="I865" i="6"/>
  <c r="I889" i="6"/>
  <c r="V735" i="3"/>
  <c r="I736" i="6"/>
  <c r="J736" i="6" s="1"/>
  <c r="G764" i="6"/>
  <c r="I764" i="6" s="1"/>
  <c r="Y51" i="4"/>
  <c r="F1086" i="6"/>
  <c r="Y61" i="4"/>
  <c r="V867" i="3"/>
  <c r="I381" i="6"/>
  <c r="G567" i="6"/>
  <c r="I567" i="6" s="1"/>
  <c r="V541" i="3"/>
  <c r="H806" i="6"/>
  <c r="Q913" i="3"/>
  <c r="Q37" i="5" s="1"/>
  <c r="H232" i="3"/>
  <c r="R1012" i="6"/>
  <c r="R876" i="6"/>
  <c r="U866" i="6"/>
  <c r="U861" i="6"/>
  <c r="U846" i="6"/>
  <c r="R846" i="6"/>
  <c r="T790" i="6"/>
  <c r="R775" i="6"/>
  <c r="U727" i="6"/>
  <c r="R687" i="6"/>
  <c r="T614" i="6"/>
  <c r="Q549" i="6"/>
  <c r="T462" i="6"/>
  <c r="U432" i="6"/>
  <c r="R392" i="6"/>
  <c r="Q382" i="6"/>
  <c r="R751" i="6"/>
  <c r="Q524" i="6"/>
  <c r="Q501" i="6"/>
  <c r="R329" i="6"/>
  <c r="T201" i="6"/>
  <c r="R1195" i="6"/>
  <c r="R1120" i="6"/>
  <c r="U1012" i="6"/>
  <c r="U969" i="6"/>
  <c r="R917" i="6"/>
  <c r="U871" i="6"/>
  <c r="R861" i="6"/>
  <c r="R828" i="6"/>
  <c r="R832" i="6"/>
  <c r="U818" i="6"/>
  <c r="R780" i="6"/>
  <c r="U775" i="6"/>
  <c r="R742" i="6"/>
  <c r="R732" i="6"/>
  <c r="U732" i="6"/>
  <c r="U722" i="6"/>
  <c r="U697" i="6"/>
  <c r="U687" i="6"/>
  <c r="U657" i="6"/>
  <c r="R657" i="6"/>
  <c r="R629" i="6"/>
  <c r="R632" i="6" s="1"/>
  <c r="T624" i="6"/>
  <c r="Q614" i="6"/>
  <c r="Q604" i="6"/>
  <c r="T549" i="6"/>
  <c r="Q534" i="6"/>
  <c r="T524" i="6"/>
  <c r="Q487" i="6"/>
  <c r="T472" i="6"/>
  <c r="T501" i="6"/>
  <c r="R432" i="6"/>
  <c r="U427" i="6"/>
  <c r="R412" i="6"/>
  <c r="U412" i="6"/>
  <c r="U402" i="6"/>
  <c r="T325" i="6"/>
  <c r="R331" i="6"/>
  <c r="R234" i="6"/>
  <c r="T230" i="6"/>
  <c r="U229" i="6"/>
  <c r="U236" i="6"/>
  <c r="U200" i="6"/>
  <c r="R207" i="6"/>
  <c r="T289" i="6"/>
  <c r="R1216" i="6"/>
  <c r="U359" i="6"/>
  <c r="R1127" i="6"/>
  <c r="Y215" i="4"/>
  <c r="Y56" i="4"/>
  <c r="Y118" i="4"/>
  <c r="E768" i="6"/>
  <c r="I768" i="6"/>
  <c r="J768" i="6" s="1"/>
  <c r="I938" i="6"/>
  <c r="J938" i="6" s="1"/>
  <c r="V937" i="3"/>
  <c r="E931" i="6"/>
  <c r="J250" i="6"/>
  <c r="G923" i="6"/>
  <c r="I923" i="6" s="1"/>
  <c r="J923" i="6" s="1"/>
  <c r="V591" i="3"/>
  <c r="V581" i="3"/>
  <c r="F382" i="139"/>
  <c r="H1226" i="6"/>
  <c r="H1258" i="6" s="1"/>
  <c r="F632" i="6"/>
  <c r="V740" i="3"/>
  <c r="V385" i="3"/>
  <c r="F1179" i="6"/>
  <c r="F1127" i="6"/>
  <c r="H1102" i="6"/>
  <c r="H1144" i="6" s="1"/>
  <c r="F1032" i="6"/>
  <c r="F986" i="6"/>
  <c r="F980" i="6"/>
  <c r="F1098" i="6" s="1"/>
  <c r="F1138" i="6" s="1"/>
  <c r="I931" i="6"/>
  <c r="H926" i="6"/>
  <c r="H35" i="2" s="1"/>
  <c r="F891" i="6"/>
  <c r="F881" i="6"/>
  <c r="F846" i="6"/>
  <c r="F841" i="6"/>
  <c r="F818" i="6"/>
  <c r="F804" i="6"/>
  <c r="F803" i="6"/>
  <c r="F775" i="6"/>
  <c r="I769" i="6"/>
  <c r="J769" i="6" s="1"/>
  <c r="F760" i="6"/>
  <c r="I741" i="6"/>
  <c r="F722" i="6"/>
  <c r="F717" i="6"/>
  <c r="F707" i="6"/>
  <c r="F692" i="6"/>
  <c r="F687" i="6"/>
  <c r="F750" i="6"/>
  <c r="I618" i="6"/>
  <c r="J618" i="6" s="1"/>
  <c r="F549" i="6"/>
  <c r="I538" i="6"/>
  <c r="J538" i="6" s="1"/>
  <c r="F534" i="6"/>
  <c r="H16" i="2"/>
  <c r="F487" i="6"/>
  <c r="F407" i="6"/>
  <c r="H364" i="6"/>
  <c r="H14" i="2" s="1"/>
  <c r="H372" i="6"/>
  <c r="P232" i="3"/>
  <c r="F48" i="6"/>
  <c r="F39" i="6"/>
  <c r="F205" i="15"/>
  <c r="F370" i="15" s="1"/>
  <c r="S417" i="3"/>
  <c r="S437" i="3"/>
  <c r="S628" i="3"/>
  <c r="S631" i="3" s="1"/>
  <c r="T24" i="5" s="1"/>
  <c r="Q355" i="3"/>
  <c r="F307" i="6"/>
  <c r="W25" i="594"/>
  <c r="R1184" i="6"/>
  <c r="R1179" i="6"/>
  <c r="U1179" i="6"/>
  <c r="R1032" i="6"/>
  <c r="R1027" i="6"/>
  <c r="U1027" i="6"/>
  <c r="R1022" i="6"/>
  <c r="U1022" i="6"/>
  <c r="U1017" i="6"/>
  <c r="R1007" i="6"/>
  <c r="U1007" i="6"/>
  <c r="U1002" i="6"/>
  <c r="U991" i="6"/>
  <c r="R991" i="6"/>
  <c r="U986" i="6"/>
  <c r="R986" i="6"/>
  <c r="R969" i="6"/>
  <c r="U899" i="6"/>
  <c r="R891" i="6"/>
  <c r="R886" i="6"/>
  <c r="U886" i="6"/>
  <c r="R881" i="6"/>
  <c r="U881" i="6"/>
  <c r="U876" i="6"/>
  <c r="R871" i="6"/>
  <c r="R866" i="6"/>
  <c r="U851" i="6"/>
  <c r="U828" i="6"/>
  <c r="R823" i="6"/>
  <c r="R818" i="6"/>
  <c r="U813" i="6"/>
  <c r="U800" i="6"/>
  <c r="R800" i="6"/>
  <c r="Q795" i="6"/>
  <c r="Q790" i="6"/>
  <c r="R785" i="6"/>
  <c r="U785" i="6"/>
  <c r="U780" i="6"/>
  <c r="R770" i="6"/>
  <c r="U765" i="6"/>
  <c r="R747" i="6"/>
  <c r="U742" i="6"/>
  <c r="R737" i="6"/>
  <c r="U737" i="6"/>
  <c r="R727" i="6"/>
  <c r="R722" i="6"/>
  <c r="R717" i="6"/>
  <c r="U712" i="6"/>
  <c r="R707" i="6"/>
  <c r="U707" i="6"/>
  <c r="U702" i="6"/>
  <c r="R702" i="6"/>
  <c r="R697" i="6"/>
  <c r="U692" i="6"/>
  <c r="R692" i="6"/>
  <c r="U682" i="6"/>
  <c r="R682" i="6"/>
  <c r="R677" i="6"/>
  <c r="U677" i="6"/>
  <c r="R672" i="6"/>
  <c r="R667" i="6"/>
  <c r="U667" i="6"/>
  <c r="R650" i="6"/>
  <c r="U650" i="6"/>
  <c r="Q624" i="6"/>
  <c r="T619" i="6"/>
  <c r="Q619" i="6"/>
  <c r="Q609" i="6"/>
  <c r="T599" i="6"/>
  <c r="Q599" i="6"/>
  <c r="Q594" i="6"/>
  <c r="T594" i="6"/>
  <c r="Q589" i="6"/>
  <c r="Q584" i="6"/>
  <c r="T584" i="6"/>
  <c r="T579" i="6"/>
  <c r="Q579" i="6"/>
  <c r="Q574" i="6"/>
  <c r="T574" i="6"/>
  <c r="T569" i="6"/>
  <c r="Q564" i="6"/>
  <c r="T559" i="6"/>
  <c r="Q559" i="6"/>
  <c r="Q554" i="6"/>
  <c r="T554" i="6"/>
  <c r="Q544" i="6"/>
  <c r="T544" i="6"/>
  <c r="R539" i="6"/>
  <c r="T534" i="6"/>
  <c r="Q529" i="6"/>
  <c r="R506" i="6"/>
  <c r="Q492" i="6"/>
  <c r="T487" i="6"/>
  <c r="U506" i="6"/>
  <c r="Q472" i="6"/>
  <c r="U502" i="6"/>
  <c r="R452" i="6"/>
  <c r="R442" i="6"/>
  <c r="U442" i="6"/>
  <c r="R422" i="6"/>
  <c r="R417" i="6"/>
  <c r="U417" i="6"/>
  <c r="R407" i="6"/>
  <c r="U407" i="6"/>
  <c r="R402" i="6"/>
  <c r="R397" i="6"/>
  <c r="U397" i="6"/>
  <c r="U392" i="6"/>
  <c r="T382" i="6"/>
  <c r="R330" i="6"/>
  <c r="T330" i="6"/>
  <c r="T298" i="6"/>
  <c r="R841" i="6"/>
  <c r="U841" i="6"/>
  <c r="U900" i="6"/>
  <c r="R856" i="6"/>
  <c r="U856" i="6"/>
  <c r="R1174" i="6"/>
  <c r="R1167" i="6"/>
  <c r="R980" i="6"/>
  <c r="R1098" i="6" s="1"/>
  <c r="R1138" i="6" s="1"/>
  <c r="R924" i="6"/>
  <c r="U629" i="6"/>
  <c r="U632" i="6" s="1"/>
  <c r="R497" i="6"/>
  <c r="R447" i="6"/>
  <c r="R387" i="6"/>
  <c r="U207" i="6"/>
  <c r="Q202" i="6"/>
  <c r="U234" i="6"/>
  <c r="E942" i="6"/>
  <c r="V929" i="3"/>
  <c r="U1032" i="6"/>
  <c r="R896" i="6"/>
  <c r="R900" i="6"/>
  <c r="R750" i="6"/>
  <c r="R662" i="6"/>
  <c r="R1202" i="6"/>
  <c r="R1217" i="6"/>
  <c r="U1113" i="6"/>
  <c r="R1113" i="6"/>
  <c r="R934" i="6"/>
  <c r="F924" i="6"/>
  <c r="U750" i="6"/>
  <c r="T635" i="6"/>
  <c r="T316" i="6"/>
  <c r="F30" i="6"/>
  <c r="F206" i="15"/>
  <c r="F21" i="6"/>
  <c r="V665" i="3"/>
  <c r="I666" i="6"/>
  <c r="J666" i="6" s="1"/>
  <c r="V481" i="3"/>
  <c r="I481" i="6"/>
  <c r="J628" i="6"/>
  <c r="E944" i="6"/>
  <c r="V931" i="3"/>
  <c r="U831" i="6"/>
  <c r="U823" i="6"/>
  <c r="I656" i="6"/>
  <c r="V655" i="3"/>
  <c r="F341" i="6"/>
  <c r="F357" i="6" s="1"/>
  <c r="F358" i="15"/>
  <c r="F356" i="15"/>
  <c r="F334" i="6"/>
  <c r="F352" i="15"/>
  <c r="F284" i="6"/>
  <c r="F325" i="6" s="1"/>
  <c r="F365" i="6" s="1"/>
  <c r="F412" i="15"/>
  <c r="F273" i="6"/>
  <c r="F331" i="6" s="1"/>
  <c r="F330" i="15"/>
  <c r="F197" i="6"/>
  <c r="F200" i="6" s="1"/>
  <c r="Q34" i="20" s="1"/>
  <c r="R1209" i="6"/>
  <c r="U1219" i="6"/>
  <c r="R1218" i="6"/>
  <c r="F1113" i="6"/>
  <c r="F917" i="6"/>
  <c r="R831" i="6"/>
  <c r="R804" i="6"/>
  <c r="U804" i="6"/>
  <c r="U751" i="6"/>
  <c r="Q633" i="6"/>
  <c r="U832" i="6"/>
  <c r="T326" i="6"/>
  <c r="U1217" i="6"/>
  <c r="U891" i="6"/>
  <c r="F199" i="15"/>
  <c r="F201" i="15"/>
  <c r="F365" i="15" s="1"/>
  <c r="F200" i="15"/>
  <c r="F417" i="15" s="1"/>
  <c r="F202" i="15"/>
  <c r="R1002" i="6"/>
  <c r="R359" i="6"/>
  <c r="R502" i="6"/>
  <c r="U760" i="6"/>
  <c r="R899" i="6"/>
  <c r="R1152" i="6"/>
  <c r="T529" i="6"/>
  <c r="U662" i="6"/>
  <c r="Q505" i="6"/>
  <c r="V522" i="3"/>
  <c r="V745" i="3"/>
  <c r="E874" i="6"/>
  <c r="I895" i="6"/>
  <c r="J895" i="6" s="1"/>
  <c r="F635" i="6"/>
  <c r="F204" i="15"/>
  <c r="R325" i="6"/>
  <c r="R365" i="6" s="1"/>
  <c r="T280" i="6"/>
  <c r="Q326" i="6"/>
  <c r="R229" i="6"/>
  <c r="Q201" i="6"/>
  <c r="R200" i="6"/>
  <c r="R205" i="6"/>
  <c r="F32" i="6"/>
  <c r="U205" i="6"/>
  <c r="F23" i="6"/>
  <c r="T202" i="6"/>
  <c r="F330" i="6"/>
  <c r="F224" i="6"/>
  <c r="F236" i="6"/>
  <c r="V768" i="3"/>
  <c r="V1223" i="3"/>
  <c r="R27" i="20"/>
  <c r="R24" i="20"/>
  <c r="AB235" i="4"/>
  <c r="F1195" i="6"/>
  <c r="F1184" i="6"/>
  <c r="F1027" i="6"/>
  <c r="F1017" i="6"/>
  <c r="F1012" i="6"/>
  <c r="F1007" i="6"/>
  <c r="F969" i="6"/>
  <c r="F900" i="6"/>
  <c r="F861" i="6"/>
  <c r="F856" i="6"/>
  <c r="F800" i="6"/>
  <c r="F770" i="6"/>
  <c r="F765" i="6"/>
  <c r="F742" i="6"/>
  <c r="F737" i="6"/>
  <c r="F727" i="6"/>
  <c r="F712" i="6"/>
  <c r="F702" i="6"/>
  <c r="F697" i="6"/>
  <c r="F682" i="6"/>
  <c r="F677" i="6"/>
  <c r="F672" i="6"/>
  <c r="F667" i="6"/>
  <c r="F650" i="6"/>
  <c r="F609" i="6"/>
  <c r="F599" i="6"/>
  <c r="F589" i="6"/>
  <c r="F584" i="6"/>
  <c r="F539" i="6"/>
  <c r="F529" i="6"/>
  <c r="F505" i="6"/>
  <c r="F392" i="6"/>
  <c r="J273" i="4"/>
  <c r="V154" i="4"/>
  <c r="U1218" i="6"/>
  <c r="R1219" i="6"/>
  <c r="R1017" i="6"/>
  <c r="R813" i="6"/>
  <c r="U747" i="6"/>
  <c r="T609" i="6"/>
  <c r="T604" i="6"/>
  <c r="F1209" i="6"/>
  <c r="F1202" i="6"/>
  <c r="F1167" i="6"/>
  <c r="F1120" i="6"/>
  <c r="F1240" i="6"/>
  <c r="F934" i="6"/>
  <c r="F896" i="6"/>
  <c r="F899" i="6"/>
  <c r="F823" i="6"/>
  <c r="F751" i="6"/>
  <c r="F662" i="6"/>
  <c r="I451" i="6"/>
  <c r="J451" i="6" s="1"/>
  <c r="F452" i="6"/>
  <c r="Q231" i="6"/>
  <c r="F1216" i="6"/>
  <c r="F1002" i="6"/>
  <c r="S273" i="4"/>
  <c r="K273" i="4"/>
  <c r="N270" i="4"/>
  <c r="O270" i="4"/>
  <c r="Q270" i="4"/>
  <c r="D30" i="49"/>
  <c r="F503" i="6"/>
  <c r="F442" i="6"/>
  <c r="F457" i="6"/>
  <c r="F467" i="6"/>
  <c r="I146" i="14"/>
  <c r="I705" i="6"/>
  <c r="I894" i="6"/>
  <c r="J894" i="6" s="1"/>
  <c r="I864" i="6"/>
  <c r="I799" i="6"/>
  <c r="I471" i="6"/>
  <c r="J471" i="6" s="1"/>
  <c r="I558" i="6"/>
  <c r="J558" i="6" s="1"/>
  <c r="I598" i="6"/>
  <c r="AL215" i="4"/>
  <c r="AO215" i="4" s="1"/>
  <c r="AL227" i="4"/>
  <c r="AO227" i="4" s="1"/>
  <c r="F624" i="6"/>
  <c r="F619" i="6"/>
  <c r="F614" i="6"/>
  <c r="F579" i="6"/>
  <c r="F574" i="6"/>
  <c r="F564" i="6"/>
  <c r="F559" i="6"/>
  <c r="F412" i="6"/>
  <c r="F402" i="6"/>
  <c r="E30" i="17"/>
  <c r="AL148" i="4"/>
  <c r="AL188" i="4" s="1"/>
  <c r="AB29" i="4"/>
  <c r="AB146" i="4" s="1"/>
  <c r="T146" i="4"/>
  <c r="T186" i="4" s="1"/>
  <c r="AB81" i="4"/>
  <c r="Y81" i="4"/>
  <c r="AB175" i="4"/>
  <c r="Y175" i="4"/>
  <c r="I273" i="4"/>
  <c r="Y222" i="4"/>
  <c r="Y40" i="4"/>
  <c r="Y35" i="4"/>
  <c r="F507" i="6"/>
  <c r="I420" i="6"/>
  <c r="Y29" i="4"/>
  <c r="Y146" i="4" s="1"/>
  <c r="AB101" i="4"/>
  <c r="F1052" i="6"/>
  <c r="AL222" i="4"/>
  <c r="AO222" i="4" s="1"/>
  <c r="Y161" i="4"/>
  <c r="F506" i="6"/>
  <c r="K270" i="4"/>
  <c r="O273" i="4"/>
  <c r="Y95" i="4"/>
  <c r="F477" i="6"/>
  <c r="Z39" i="4"/>
  <c r="V107" i="4"/>
  <c r="R273" i="4"/>
  <c r="AL161" i="4"/>
  <c r="AO161" i="4" s="1"/>
  <c r="AL175" i="4"/>
  <c r="AO175" i="4" s="1"/>
  <c r="F397" i="6"/>
  <c r="F174" i="6"/>
  <c r="F57" i="6"/>
  <c r="F63" i="6"/>
  <c r="F201" i="6" s="1"/>
  <c r="F65" i="6"/>
  <c r="F202" i="6" s="1"/>
  <c r="F261" i="6"/>
  <c r="F326" i="6" s="1"/>
  <c r="F1081" i="6"/>
  <c r="V141" i="4"/>
  <c r="Z34" i="4"/>
  <c r="J270" i="4"/>
  <c r="F1058" i="6"/>
  <c r="V243" i="4"/>
  <c r="Y130" i="4"/>
  <c r="V112" i="4"/>
  <c r="AB107" i="4"/>
  <c r="V208" i="4"/>
  <c r="AA208" i="4" s="1"/>
  <c r="V227" i="4"/>
  <c r="V215" i="4"/>
  <c r="V130" i="4"/>
  <c r="V124" i="4"/>
  <c r="V81" i="4"/>
  <c r="V76" i="4"/>
  <c r="S270" i="4"/>
  <c r="AB95" i="4"/>
  <c r="V257" i="4"/>
  <c r="AL243" i="4"/>
  <c r="AO243" i="4" s="1"/>
  <c r="F851" i="6"/>
  <c r="F813" i="6"/>
  <c r="F780" i="6"/>
  <c r="F326" i="139"/>
  <c r="I716" i="6"/>
  <c r="G717" i="6"/>
  <c r="E717" i="6" s="1"/>
  <c r="I779" i="6"/>
  <c r="V778" i="3"/>
  <c r="V685" i="3"/>
  <c r="I686" i="6"/>
  <c r="I860" i="6"/>
  <c r="V855" i="3"/>
  <c r="V29" i="4"/>
  <c r="AA29" i="4" s="1"/>
  <c r="AA146" i="4" s="1"/>
  <c r="V250" i="4"/>
  <c r="M17" i="1"/>
  <c r="M18" i="1" s="1"/>
  <c r="M19" i="1" s="1"/>
  <c r="V66" i="4"/>
  <c r="Z60" i="4"/>
  <c r="Z111" i="4"/>
  <c r="Z139" i="4"/>
  <c r="V18" i="4"/>
  <c r="T270" i="4"/>
  <c r="V56" i="4"/>
  <c r="E715" i="6"/>
  <c r="I715" i="6"/>
  <c r="G770" i="6"/>
  <c r="E770" i="6" s="1"/>
  <c r="V241" i="3"/>
  <c r="G921" i="6"/>
  <c r="I921" i="6" s="1"/>
  <c r="V767" i="3"/>
  <c r="V715" i="3"/>
  <c r="I940" i="6"/>
  <c r="J940" i="6" s="1"/>
  <c r="I313" i="6"/>
  <c r="J313" i="6" s="1"/>
  <c r="V471" i="3"/>
  <c r="G725" i="6"/>
  <c r="E725" i="6" s="1"/>
  <c r="V777" i="3"/>
  <c r="G879" i="6"/>
  <c r="E879" i="6" s="1"/>
  <c r="I827" i="6"/>
  <c r="V858" i="3"/>
  <c r="V705" i="3"/>
  <c r="V431" i="3"/>
  <c r="G432" i="6"/>
  <c r="I430" i="6"/>
  <c r="G577" i="6"/>
  <c r="I577" i="6" s="1"/>
  <c r="G470" i="6"/>
  <c r="V470" i="3" s="1"/>
  <c r="G445" i="6"/>
  <c r="I445" i="6" s="1"/>
  <c r="G622" i="6"/>
  <c r="I622" i="6" s="1"/>
  <c r="V621" i="3"/>
  <c r="G562" i="6"/>
  <c r="I562" i="6" s="1"/>
  <c r="V561" i="3"/>
  <c r="E304" i="6"/>
  <c r="I304" i="6"/>
  <c r="Z225" i="4"/>
  <c r="AB112" i="4"/>
  <c r="F1063" i="6"/>
  <c r="Y112" i="4"/>
  <c r="G552" i="6"/>
  <c r="G495" i="6"/>
  <c r="V495" i="3" s="1"/>
  <c r="G391" i="6"/>
  <c r="G392" i="6" s="1"/>
  <c r="G461" i="6"/>
  <c r="G462" i="6" s="1"/>
  <c r="AB207" i="4"/>
  <c r="Z207" i="4"/>
  <c r="Z218" i="4"/>
  <c r="V222" i="4"/>
  <c r="G584" i="6"/>
  <c r="V584" i="3" s="1"/>
  <c r="AL168" i="4"/>
  <c r="AO168" i="4" s="1"/>
  <c r="AL232" i="4"/>
  <c r="AO232" i="4" s="1"/>
  <c r="H1227" i="6"/>
  <c r="H1259" i="6" s="1"/>
  <c r="H1225" i="6"/>
  <c r="H1257" i="6" s="1"/>
  <c r="H834" i="6"/>
  <c r="H753" i="6"/>
  <c r="H636" i="6"/>
  <c r="F544" i="6"/>
  <c r="F502" i="6"/>
  <c r="H509" i="6"/>
  <c r="H370" i="6"/>
  <c r="H637" i="6"/>
  <c r="H232" i="6"/>
  <c r="H363" i="6"/>
  <c r="N355" i="3"/>
  <c r="AL250" i="4"/>
  <c r="AO250" i="4" s="1"/>
  <c r="H1222" i="6"/>
  <c r="H355" i="6"/>
  <c r="H371" i="6"/>
  <c r="H203" i="6"/>
  <c r="S412" i="3"/>
  <c r="S533" i="3"/>
  <c r="S603" i="3"/>
  <c r="AB187" i="4"/>
  <c r="Y187" i="4"/>
  <c r="V161" i="4"/>
  <c r="V89" i="4"/>
  <c r="V71" i="4"/>
  <c r="V175" i="4"/>
  <c r="AL147" i="4"/>
  <c r="AL187" i="4" s="1"/>
  <c r="R270" i="4"/>
  <c r="I1155" i="6"/>
  <c r="I1156" i="6" s="1"/>
  <c r="Y250" i="4"/>
  <c r="Y107" i="4"/>
  <c r="V267" i="4"/>
  <c r="Z267" i="4" s="1"/>
  <c r="AB18" i="4"/>
  <c r="F1069" i="6"/>
  <c r="Z203" i="4"/>
  <c r="Y232" i="4"/>
  <c r="F401" i="139"/>
  <c r="AL257" i="4"/>
  <c r="AO257" i="4" s="1"/>
  <c r="F886" i="6"/>
  <c r="F795" i="6"/>
  <c r="F747" i="6"/>
  <c r="F594" i="6"/>
  <c r="F554" i="6"/>
  <c r="F417" i="6"/>
  <c r="T505" i="6"/>
  <c r="U452" i="6"/>
  <c r="U896" i="6"/>
  <c r="R760" i="6"/>
  <c r="U717" i="6"/>
  <c r="V846" i="3"/>
  <c r="E849" i="6"/>
  <c r="E336" i="6"/>
  <c r="I336" i="6"/>
  <c r="G60" i="2"/>
  <c r="G800" i="6"/>
  <c r="E798" i="6"/>
  <c r="E680" i="6"/>
  <c r="I680" i="6"/>
  <c r="G682" i="6"/>
  <c r="V684" i="3"/>
  <c r="I685" i="6"/>
  <c r="G687" i="6"/>
  <c r="E705" i="6"/>
  <c r="G707" i="6"/>
  <c r="E707" i="6" s="1"/>
  <c r="G745" i="6"/>
  <c r="V744" i="3" s="1"/>
  <c r="I778" i="6"/>
  <c r="G780" i="6"/>
  <c r="E778" i="6"/>
  <c r="G667" i="6"/>
  <c r="E667" i="6" s="1"/>
  <c r="I665" i="6"/>
  <c r="I859" i="6"/>
  <c r="V854" i="3"/>
  <c r="G812" i="6"/>
  <c r="V690" i="3"/>
  <c r="I691" i="6"/>
  <c r="V909" i="3"/>
  <c r="G922" i="6"/>
  <c r="I932" i="6"/>
  <c r="E932" i="6"/>
  <c r="V919" i="3"/>
  <c r="G676" i="6"/>
  <c r="V675" i="3" s="1"/>
  <c r="Y141" i="4"/>
  <c r="F1092" i="6"/>
  <c r="V400" i="3"/>
  <c r="I400" i="6"/>
  <c r="I592" i="6"/>
  <c r="G405" i="6"/>
  <c r="V405" i="3" s="1"/>
  <c r="G547" i="6"/>
  <c r="V547" i="3" s="1"/>
  <c r="V546" i="3"/>
  <c r="V616" i="3"/>
  <c r="G617" i="6"/>
  <c r="G537" i="6"/>
  <c r="G539" i="6" s="1"/>
  <c r="V539" i="3" s="1"/>
  <c r="G440" i="6"/>
  <c r="G380" i="6"/>
  <c r="V380" i="3" s="1"/>
  <c r="G480" i="6"/>
  <c r="V480" i="3" s="1"/>
  <c r="V436" i="3"/>
  <c r="I436" i="6"/>
  <c r="G557" i="6"/>
  <c r="V556" i="3"/>
  <c r="G607" i="6"/>
  <c r="I607" i="6" s="1"/>
  <c r="G456" i="6"/>
  <c r="I456" i="6" s="1"/>
  <c r="G578" i="6"/>
  <c r="G588" i="6"/>
  <c r="I588" i="6" s="1"/>
  <c r="G543" i="6"/>
  <c r="I543" i="6" s="1"/>
  <c r="G593" i="6"/>
  <c r="I593" i="6" s="1"/>
  <c r="V592" i="3"/>
  <c r="G476" i="6"/>
  <c r="I476" i="6" s="1"/>
  <c r="G568" i="6"/>
  <c r="G386" i="6"/>
  <c r="G387" i="6" s="1"/>
  <c r="I496" i="6"/>
  <c r="E345" i="6"/>
  <c r="I345" i="6"/>
  <c r="AB168" i="4"/>
  <c r="Y168" i="4"/>
  <c r="V51" i="4"/>
  <c r="V118" i="4"/>
  <c r="V95" i="4"/>
  <c r="V101" i="4"/>
  <c r="V168" i="4"/>
  <c r="V135" i="4"/>
  <c r="Y124" i="4"/>
  <c r="E1155" i="6"/>
  <c r="I944" i="6"/>
  <c r="J944" i="6" s="1"/>
  <c r="V679" i="3"/>
  <c r="I390" i="6"/>
  <c r="V704" i="3"/>
  <c r="I726" i="6"/>
  <c r="V664" i="3"/>
  <c r="V496" i="3"/>
  <c r="AB141" i="4"/>
  <c r="V336" i="3"/>
  <c r="I798" i="6"/>
  <c r="I874" i="6"/>
  <c r="I675" i="6"/>
  <c r="E675" i="6"/>
  <c r="I671" i="6"/>
  <c r="V866" i="3"/>
  <c r="G695" i="6"/>
  <c r="G758" i="6"/>
  <c r="V757" i="3" s="1"/>
  <c r="G690" i="6"/>
  <c r="V689" i="3" s="1"/>
  <c r="G759" i="6"/>
  <c r="V758" i="3" s="1"/>
  <c r="G655" i="6"/>
  <c r="G657" i="6" s="1"/>
  <c r="G811" i="6"/>
  <c r="G763" i="6"/>
  <c r="V797" i="3"/>
  <c r="I721" i="6"/>
  <c r="E894" i="6"/>
  <c r="V882" i="3"/>
  <c r="V680" i="3"/>
  <c r="I681" i="6"/>
  <c r="G933" i="6"/>
  <c r="V920" i="3" s="1"/>
  <c r="V871" i="3"/>
  <c r="G880" i="6"/>
  <c r="V883" i="3"/>
  <c r="E875" i="6"/>
  <c r="I875" i="6"/>
  <c r="V773" i="3"/>
  <c r="V859" i="3"/>
  <c r="V720" i="3"/>
  <c r="V441" i="3"/>
  <c r="V466" i="3"/>
  <c r="V416" i="3"/>
  <c r="V606" i="3"/>
  <c r="V536" i="3"/>
  <c r="I385" i="6"/>
  <c r="G572" i="6"/>
  <c r="G455" i="6"/>
  <c r="I426" i="6"/>
  <c r="V426" i="3"/>
  <c r="G490" i="6"/>
  <c r="V420" i="3"/>
  <c r="G411" i="6"/>
  <c r="I411" i="6" s="1"/>
  <c r="I460" i="6"/>
  <c r="V460" i="3"/>
  <c r="G612" i="6"/>
  <c r="V612" i="3" s="1"/>
  <c r="V611" i="3"/>
  <c r="I542" i="6"/>
  <c r="G627" i="6"/>
  <c r="V627" i="3" s="1"/>
  <c r="V626" i="3"/>
  <c r="G602" i="6"/>
  <c r="I466" i="6"/>
  <c r="G532" i="6"/>
  <c r="I522" i="6"/>
  <c r="V410" i="3"/>
  <c r="V586" i="3"/>
  <c r="G587" i="6"/>
  <c r="G401" i="6"/>
  <c r="I401" i="6" s="1"/>
  <c r="G491" i="6"/>
  <c r="V925" i="3"/>
  <c r="E938" i="6"/>
  <c r="G613" i="6"/>
  <c r="I613" i="6" s="1"/>
  <c r="G563" i="6"/>
  <c r="G528" i="6"/>
  <c r="G548" i="6"/>
  <c r="I548" i="6" s="1"/>
  <c r="G623" i="6"/>
  <c r="V250" i="3"/>
  <c r="E250" i="6"/>
  <c r="G268" i="6"/>
  <c r="V268" i="3" s="1"/>
  <c r="I523" i="6"/>
  <c r="V232" i="4"/>
  <c r="AA232" i="4" s="1"/>
  <c r="F524" i="6"/>
  <c r="Z235" i="4"/>
  <c r="Y101" i="4"/>
  <c r="H66" i="2"/>
  <c r="H61" i="2"/>
  <c r="H54" i="2"/>
  <c r="H36" i="2"/>
  <c r="H31" i="2"/>
  <c r="H1239" i="6"/>
  <c r="H68" i="2"/>
  <c r="H62" i="2"/>
  <c r="F991" i="6"/>
  <c r="F871" i="6"/>
  <c r="F604" i="6"/>
  <c r="F111" i="6"/>
  <c r="F129" i="6"/>
  <c r="K18" i="14"/>
  <c r="L18" i="14" s="1"/>
  <c r="M18" i="14"/>
  <c r="W23" i="42"/>
  <c r="W24" i="42" s="1"/>
  <c r="J9" i="42" s="1"/>
  <c r="V710" i="3"/>
  <c r="I711" i="6"/>
  <c r="V847" i="3"/>
  <c r="I850" i="6"/>
  <c r="E850" i="6"/>
  <c r="J259" i="6"/>
  <c r="V259" i="3"/>
  <c r="E259" i="6"/>
  <c r="V485" i="3"/>
  <c r="I485" i="6"/>
  <c r="E665" i="6"/>
  <c r="I735" i="6"/>
  <c r="G737" i="6"/>
  <c r="V734" i="3"/>
  <c r="I849" i="6"/>
  <c r="J241" i="6"/>
  <c r="V730" i="3"/>
  <c r="I731" i="6"/>
  <c r="V879" i="3"/>
  <c r="I890" i="6"/>
  <c r="V660" i="3"/>
  <c r="I661" i="6"/>
  <c r="I696" i="6"/>
  <c r="V695" i="3"/>
  <c r="I648" i="6"/>
  <c r="E648" i="6"/>
  <c r="I582" i="6"/>
  <c r="V582" i="3"/>
  <c r="I421" i="6"/>
  <c r="V421" i="3"/>
  <c r="G422" i="6"/>
  <c r="I446" i="6"/>
  <c r="I406" i="6"/>
  <c r="V406" i="3"/>
  <c r="F84" i="6"/>
  <c r="F482" i="6"/>
  <c r="U422" i="6"/>
  <c r="F350" i="6"/>
  <c r="AE143" i="4" l="1"/>
  <c r="AE144" i="4" s="1"/>
  <c r="AE145" i="4" s="1"/>
  <c r="AE146" i="4" s="1"/>
  <c r="AE147" i="4" s="1"/>
  <c r="AE148" i="4" s="1"/>
  <c r="AE149" i="4" s="1"/>
  <c r="AE150" i="4" s="1"/>
  <c r="AE151" i="4" s="1"/>
  <c r="AE152" i="4" s="1"/>
  <c r="AE153" i="4" s="1"/>
  <c r="AE154" i="4" s="1"/>
  <c r="AE155" i="4" s="1"/>
  <c r="AE156" i="4" s="1"/>
  <c r="AE157" i="4" s="1"/>
  <c r="AE158" i="4" s="1"/>
  <c r="AE159" i="4" s="1"/>
  <c r="AE160" i="4" s="1"/>
  <c r="AE161" i="4" s="1"/>
  <c r="AE162" i="4" s="1"/>
  <c r="AE163" i="4" s="1"/>
  <c r="AE164" i="4" s="1"/>
  <c r="AE165" i="4" s="1"/>
  <c r="AE166" i="4" s="1"/>
  <c r="AE167" i="4" s="1"/>
  <c r="AE168" i="4" s="1"/>
  <c r="AE169" i="4" s="1"/>
  <c r="AE170" i="4" s="1"/>
  <c r="AE171" i="4" s="1"/>
  <c r="AE172" i="4" s="1"/>
  <c r="AE173" i="4" s="1"/>
  <c r="AE174" i="4" s="1"/>
  <c r="AE175" i="4" s="1"/>
  <c r="AE176" i="4" s="1"/>
  <c r="AE177" i="4" s="1"/>
  <c r="AE178" i="4" s="1"/>
  <c r="AE179" i="4" s="1"/>
  <c r="AE180" i="4" s="1"/>
  <c r="AE181" i="4" s="1"/>
  <c r="AE182" i="4" s="1"/>
  <c r="AE183" i="4" s="1"/>
  <c r="AE184" i="4" s="1"/>
  <c r="AE185" i="4" s="1"/>
  <c r="AE186" i="4" s="1"/>
  <c r="AE187" i="4" s="1"/>
  <c r="AE188" i="4" s="1"/>
  <c r="AE189" i="4" s="1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E227" i="4" s="1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E238" i="4" s="1"/>
  <c r="AE239" i="4" s="1"/>
  <c r="AE240" i="4" s="1"/>
  <c r="AE241" i="4" s="1"/>
  <c r="AE242" i="4" s="1"/>
  <c r="AE243" i="4" s="1"/>
  <c r="AE244" i="4" s="1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E260" i="4" s="1"/>
  <c r="AE261" i="4" s="1"/>
  <c r="AE262" i="4" s="1"/>
  <c r="AE263" i="4" s="1"/>
  <c r="AE264" i="4" s="1"/>
  <c r="AE265" i="4" s="1"/>
  <c r="AE266" i="4" s="1"/>
  <c r="AE267" i="4" s="1"/>
  <c r="AE268" i="4" s="1"/>
  <c r="AE269" i="4" s="1"/>
  <c r="AE270" i="4" s="1"/>
  <c r="AE271" i="4" s="1"/>
  <c r="AE272" i="4" s="1"/>
  <c r="AE273" i="4" s="1"/>
  <c r="AE274" i="4" s="1"/>
  <c r="AE275" i="4" s="1"/>
  <c r="AE276" i="4" s="1"/>
  <c r="AE277" i="4" s="1"/>
  <c r="AE278" i="4" s="1"/>
  <c r="AE279" i="4" s="1"/>
  <c r="V20" i="595"/>
  <c r="M20" i="1"/>
  <c r="M21" i="1" s="1"/>
  <c r="F21" i="1" s="1"/>
  <c r="K1228" i="3" s="1"/>
  <c r="F19" i="1"/>
  <c r="F383" i="139"/>
  <c r="Z148" i="4"/>
  <c r="AB143" i="4"/>
  <c r="AB149" i="4" s="1"/>
  <c r="AA147" i="4"/>
  <c r="Z147" i="4"/>
  <c r="Y143" i="4"/>
  <c r="Y149" i="4" s="1"/>
  <c r="Y150" i="4" s="1"/>
  <c r="V143" i="4"/>
  <c r="AA148" i="4"/>
  <c r="U631" i="3"/>
  <c r="V631" i="3" s="1"/>
  <c r="F1094" i="6"/>
  <c r="F1101" i="6" s="1"/>
  <c r="F1141" i="6" s="1"/>
  <c r="V83" i="4"/>
  <c r="M295" i="6"/>
  <c r="V659" i="3"/>
  <c r="T26" i="5"/>
  <c r="I425" i="6"/>
  <c r="N425" i="6" s="1"/>
  <c r="E660" i="6"/>
  <c r="V425" i="3"/>
  <c r="F1034" i="6"/>
  <c r="R1034" i="6"/>
  <c r="U1034" i="6"/>
  <c r="I435" i="6"/>
  <c r="J435" i="6" s="1"/>
  <c r="R29" i="20"/>
  <c r="R31" i="20" s="1"/>
  <c r="V719" i="3"/>
  <c r="V475" i="3"/>
  <c r="I740" i="6"/>
  <c r="M740" i="6" s="1"/>
  <c r="Q740" i="6" s="1"/>
  <c r="G452" i="6"/>
  <c r="G437" i="6"/>
  <c r="G722" i="6"/>
  <c r="E722" i="6" s="1"/>
  <c r="V486" i="3"/>
  <c r="E740" i="6"/>
  <c r="G742" i="6"/>
  <c r="E742" i="6" s="1"/>
  <c r="I720" i="6"/>
  <c r="J720" i="6" s="1"/>
  <c r="G397" i="6"/>
  <c r="I395" i="6"/>
  <c r="N395" i="6" s="1"/>
  <c r="G467" i="6"/>
  <c r="V646" i="3"/>
  <c r="Q35" i="595"/>
  <c r="R35" i="595"/>
  <c r="F9" i="12"/>
  <c r="F74" i="12" s="1"/>
  <c r="B2" i="1"/>
  <c r="F364" i="6"/>
  <c r="F14" i="2" s="1"/>
  <c r="G662" i="6"/>
  <c r="E662" i="6" s="1"/>
  <c r="V415" i="3"/>
  <c r="I647" i="6"/>
  <c r="J647" i="6" s="1"/>
  <c r="E773" i="6"/>
  <c r="G650" i="6"/>
  <c r="G27" i="2" s="1"/>
  <c r="V465" i="3"/>
  <c r="E700" i="6"/>
  <c r="J295" i="6"/>
  <c r="I700" i="6"/>
  <c r="N700" i="6" s="1"/>
  <c r="V772" i="3"/>
  <c r="V699" i="3"/>
  <c r="I773" i="6"/>
  <c r="N773" i="6" s="1"/>
  <c r="Z261" i="4"/>
  <c r="E8" i="548"/>
  <c r="K21" i="548" s="1"/>
  <c r="K20" i="548" s="1"/>
  <c r="K19" i="548" s="1"/>
  <c r="K18" i="548" s="1"/>
  <c r="K17" i="548" s="1"/>
  <c r="K16" i="548" s="1"/>
  <c r="K15" i="548" s="1"/>
  <c r="K14" i="548" s="1"/>
  <c r="K13" i="548" s="1"/>
  <c r="K12" i="548" s="1"/>
  <c r="K11" i="548" s="1"/>
  <c r="K10" i="548" s="1"/>
  <c r="J3" i="582"/>
  <c r="AL9" i="4"/>
  <c r="Z95" i="4"/>
  <c r="V709" i="3"/>
  <c r="E710" i="6"/>
  <c r="G732" i="6"/>
  <c r="E732" i="6" s="1"/>
  <c r="I710" i="6"/>
  <c r="J710" i="6" s="1"/>
  <c r="E730" i="6"/>
  <c r="T14" i="5"/>
  <c r="E930" i="6"/>
  <c r="V669" i="3"/>
  <c r="V527" i="3"/>
  <c r="S752" i="3"/>
  <c r="T30" i="5" s="1"/>
  <c r="V917" i="3"/>
  <c r="I670" i="6"/>
  <c r="I672" i="6" s="1"/>
  <c r="J672" i="6" s="1"/>
  <c r="T15" i="5"/>
  <c r="I415" i="6"/>
  <c r="N415" i="6" s="1"/>
  <c r="E826" i="6"/>
  <c r="I486" i="6"/>
  <c r="M486" i="6" s="1"/>
  <c r="E670" i="6"/>
  <c r="V825" i="3"/>
  <c r="I730" i="6"/>
  <c r="I732" i="6" s="1"/>
  <c r="J732" i="6" s="1"/>
  <c r="V567" i="3"/>
  <c r="G828" i="6"/>
  <c r="E828" i="6" s="1"/>
  <c r="V450" i="3"/>
  <c r="I920" i="6"/>
  <c r="J920" i="6" s="1"/>
  <c r="E920" i="6"/>
  <c r="D25" i="16"/>
  <c r="AA267" i="4"/>
  <c r="Z135" i="4"/>
  <c r="AA135" i="4"/>
  <c r="Z175" i="4"/>
  <c r="AA175" i="4"/>
  <c r="Z56" i="4"/>
  <c r="AA56" i="4"/>
  <c r="AM18" i="4"/>
  <c r="AN18" i="4" s="1"/>
  <c r="AA18" i="4"/>
  <c r="Z66" i="4"/>
  <c r="AA66" i="4"/>
  <c r="Z250" i="4"/>
  <c r="AA250" i="4"/>
  <c r="Z257" i="4"/>
  <c r="AA257" i="4"/>
  <c r="Z76" i="4"/>
  <c r="AA76" i="4"/>
  <c r="Z81" i="4"/>
  <c r="AA81" i="4"/>
  <c r="Z130" i="4"/>
  <c r="AA130" i="4"/>
  <c r="Z215" i="4"/>
  <c r="AA215" i="4"/>
  <c r="Z112" i="4"/>
  <c r="AA112" i="4"/>
  <c r="Z243" i="4"/>
  <c r="AA243" i="4"/>
  <c r="Z141" i="4"/>
  <c r="AA141" i="4"/>
  <c r="Z154" i="4"/>
  <c r="AA154" i="4"/>
  <c r="Z40" i="4"/>
  <c r="AA40" i="4"/>
  <c r="Z236" i="4"/>
  <c r="AA236" i="4"/>
  <c r="AA95" i="4"/>
  <c r="Z101" i="4"/>
  <c r="AA101" i="4"/>
  <c r="Z89" i="4"/>
  <c r="AA89" i="4"/>
  <c r="Z168" i="4"/>
  <c r="AA168" i="4"/>
  <c r="Z118" i="4"/>
  <c r="AA118" i="4"/>
  <c r="Z51" i="4"/>
  <c r="AA51" i="4"/>
  <c r="Z264" i="4"/>
  <c r="AA264" i="4"/>
  <c r="Z71" i="4"/>
  <c r="AA71" i="4"/>
  <c r="Z161" i="4"/>
  <c r="AA161" i="4"/>
  <c r="Z222" i="4"/>
  <c r="AA222" i="4"/>
  <c r="Z124" i="4"/>
  <c r="AA124" i="4"/>
  <c r="Z227" i="4"/>
  <c r="AA227" i="4"/>
  <c r="Z107" i="4"/>
  <c r="AA107" i="4"/>
  <c r="Z35" i="4"/>
  <c r="AA35" i="4"/>
  <c r="Z61" i="4"/>
  <c r="AA61" i="4"/>
  <c r="F232" i="6"/>
  <c r="D26" i="49"/>
  <c r="D27" i="49" s="1"/>
  <c r="AB267" i="4"/>
  <c r="I470" i="6"/>
  <c r="M470" i="6" s="1"/>
  <c r="F1225" i="6"/>
  <c r="F1257" i="6" s="1"/>
  <c r="F363" i="15"/>
  <c r="F415" i="15" s="1"/>
  <c r="F418" i="15" s="1"/>
  <c r="F419" i="15" s="1"/>
  <c r="U752" i="3"/>
  <c r="U509" i="3"/>
  <c r="G727" i="6"/>
  <c r="E727" i="6" s="1"/>
  <c r="R150" i="4"/>
  <c r="R276" i="4"/>
  <c r="AL146" i="4"/>
  <c r="Y186" i="4"/>
  <c r="Y273" i="4" s="1"/>
  <c r="I276" i="4"/>
  <c r="H189" i="4"/>
  <c r="J192" i="4"/>
  <c r="J279" i="4" s="1"/>
  <c r="Q42" i="20"/>
  <c r="U53" i="6"/>
  <c r="U55" i="6"/>
  <c r="T365" i="6"/>
  <c r="H1231" i="6"/>
  <c r="H905" i="6"/>
  <c r="H1237" i="6" s="1"/>
  <c r="T149" i="4"/>
  <c r="T189" i="4" s="1"/>
  <c r="AL143" i="4"/>
  <c r="AO143" i="4" s="1"/>
  <c r="AO187" i="4"/>
  <c r="AO147" i="4"/>
  <c r="Z18" i="4"/>
  <c r="Z29" i="4"/>
  <c r="Z146" i="4" s="1"/>
  <c r="AO188" i="4"/>
  <c r="AO148" i="4"/>
  <c r="AO264" i="4"/>
  <c r="S35" i="595"/>
  <c r="G609" i="6"/>
  <c r="V609" i="3" s="1"/>
  <c r="I391" i="6"/>
  <c r="J391" i="6" s="1"/>
  <c r="V622" i="3"/>
  <c r="I770" i="6"/>
  <c r="J770" i="6" s="1"/>
  <c r="C24" i="49"/>
  <c r="C27" i="49" s="1"/>
  <c r="F67" i="2"/>
  <c r="I866" i="6"/>
  <c r="J866" i="6" s="1"/>
  <c r="I707" i="6"/>
  <c r="J707" i="6" s="1"/>
  <c r="F9" i="6"/>
  <c r="F8" i="2" s="1"/>
  <c r="B3" i="1"/>
  <c r="F65" i="2"/>
  <c r="F1239" i="6"/>
  <c r="J864" i="6"/>
  <c r="F950" i="6"/>
  <c r="F834" i="6"/>
  <c r="V445" i="3"/>
  <c r="I896" i="6"/>
  <c r="J896" i="6" s="1"/>
  <c r="AJ18" i="33"/>
  <c r="N15" i="33" s="1"/>
  <c r="AI32" i="33"/>
  <c r="AI34" i="33" s="1"/>
  <c r="H30" i="2"/>
  <c r="F636" i="6"/>
  <c r="I725" i="6"/>
  <c r="M725" i="6" s="1"/>
  <c r="H28" i="2"/>
  <c r="V146" i="4"/>
  <c r="V186" i="4" s="1"/>
  <c r="N345" i="6"/>
  <c r="M345" i="6"/>
  <c r="N304" i="6"/>
  <c r="M304" i="6"/>
  <c r="N313" i="6"/>
  <c r="M313" i="6"/>
  <c r="N336" i="6"/>
  <c r="M336" i="6"/>
  <c r="N406" i="6"/>
  <c r="M406" i="6"/>
  <c r="N582" i="6"/>
  <c r="M582" i="6"/>
  <c r="N661" i="6"/>
  <c r="M661" i="6"/>
  <c r="N890" i="6"/>
  <c r="M890" i="6"/>
  <c r="N731" i="6"/>
  <c r="M731" i="6"/>
  <c r="N485" i="6"/>
  <c r="M485" i="6"/>
  <c r="N850" i="6"/>
  <c r="M850" i="6"/>
  <c r="Q850" i="6" s="1"/>
  <c r="N711" i="6"/>
  <c r="M711" i="6"/>
  <c r="N446" i="6"/>
  <c r="M446" i="6"/>
  <c r="N696" i="6"/>
  <c r="M696" i="6"/>
  <c r="N849" i="6"/>
  <c r="M849" i="6"/>
  <c r="N735" i="6"/>
  <c r="M735" i="6"/>
  <c r="N523" i="6"/>
  <c r="M523" i="6"/>
  <c r="N548" i="6"/>
  <c r="M548" i="6"/>
  <c r="R548" i="6" s="1"/>
  <c r="N401" i="6"/>
  <c r="M401" i="6"/>
  <c r="J522" i="6"/>
  <c r="N522" i="6"/>
  <c r="M522" i="6"/>
  <c r="N460" i="6"/>
  <c r="M460" i="6"/>
  <c r="N426" i="6"/>
  <c r="M426" i="6"/>
  <c r="Q426" i="6" s="1"/>
  <c r="N875" i="6"/>
  <c r="M875" i="6"/>
  <c r="Q875" i="6" s="1"/>
  <c r="N681" i="6"/>
  <c r="M681" i="6"/>
  <c r="Q681" i="6" s="1"/>
  <c r="N675" i="6"/>
  <c r="M675" i="6"/>
  <c r="N588" i="6"/>
  <c r="M588" i="6"/>
  <c r="R588" i="6" s="1"/>
  <c r="N456" i="6"/>
  <c r="M456" i="6"/>
  <c r="Q456" i="6" s="1"/>
  <c r="N607" i="6"/>
  <c r="M607" i="6"/>
  <c r="R607" i="6" s="1"/>
  <c r="N592" i="6"/>
  <c r="M592" i="6"/>
  <c r="N400" i="6"/>
  <c r="M400" i="6"/>
  <c r="Q400" i="6" s="1"/>
  <c r="N691" i="6"/>
  <c r="M691" i="6"/>
  <c r="Q691" i="6" s="1"/>
  <c r="I861" i="6"/>
  <c r="J861" i="6" s="1"/>
  <c r="N859" i="6"/>
  <c r="M859" i="6"/>
  <c r="N778" i="6"/>
  <c r="M778" i="6"/>
  <c r="N685" i="6"/>
  <c r="M685" i="6"/>
  <c r="J622" i="6"/>
  <c r="N622" i="6"/>
  <c r="M622" i="6"/>
  <c r="R622" i="6" s="1"/>
  <c r="J577" i="6"/>
  <c r="N577" i="6"/>
  <c r="M577" i="6"/>
  <c r="R577" i="6" s="1"/>
  <c r="I828" i="6"/>
  <c r="J828" i="6" s="1"/>
  <c r="N827" i="6"/>
  <c r="M827" i="6"/>
  <c r="J921" i="6"/>
  <c r="N921" i="6"/>
  <c r="M921" i="6"/>
  <c r="Q921" i="6" s="1"/>
  <c r="N686" i="6"/>
  <c r="M686" i="6"/>
  <c r="Q686" i="6" s="1"/>
  <c r="J716" i="6"/>
  <c r="N716" i="6"/>
  <c r="M716" i="6"/>
  <c r="Q716" i="6" s="1"/>
  <c r="J420" i="6"/>
  <c r="N420" i="6"/>
  <c r="M420" i="6"/>
  <c r="Q420" i="6" s="1"/>
  <c r="N558" i="6"/>
  <c r="M558" i="6"/>
  <c r="R558" i="6" s="1"/>
  <c r="J799" i="6"/>
  <c r="N799" i="6"/>
  <c r="M799" i="6"/>
  <c r="Q799" i="6" s="1"/>
  <c r="N894" i="6"/>
  <c r="M894" i="6"/>
  <c r="Q894" i="6" s="1"/>
  <c r="N451" i="6"/>
  <c r="M451" i="6"/>
  <c r="Q451" i="6" s="1"/>
  <c r="N481" i="6"/>
  <c r="M481" i="6"/>
  <c r="Q481" i="6" s="1"/>
  <c r="Q482" i="6" s="1"/>
  <c r="N666" i="6"/>
  <c r="M666" i="6"/>
  <c r="Q666" i="6" s="1"/>
  <c r="N465" i="6"/>
  <c r="M465" i="6"/>
  <c r="R465" i="6" s="1"/>
  <c r="R467" i="6" s="1"/>
  <c r="N538" i="6"/>
  <c r="M538" i="6"/>
  <c r="Q538" i="6" s="1"/>
  <c r="Q635" i="6" s="1"/>
  <c r="N618" i="6"/>
  <c r="M618" i="6"/>
  <c r="R618" i="6" s="1"/>
  <c r="N768" i="6"/>
  <c r="M768" i="6"/>
  <c r="Q768" i="6" s="1"/>
  <c r="N736" i="6"/>
  <c r="M736" i="6"/>
  <c r="Q736" i="6" s="1"/>
  <c r="N889" i="6"/>
  <c r="M889" i="6"/>
  <c r="Q889" i="6" s="1"/>
  <c r="J865" i="6"/>
  <c r="N865" i="6"/>
  <c r="M865" i="6"/>
  <c r="Q865" i="6" s="1"/>
  <c r="J431" i="6"/>
  <c r="N431" i="6"/>
  <c r="M431" i="6"/>
  <c r="Q431" i="6" s="1"/>
  <c r="N441" i="6"/>
  <c r="M441" i="6"/>
  <c r="Q441" i="6" s="1"/>
  <c r="N396" i="6"/>
  <c r="M396" i="6"/>
  <c r="Q396" i="6" s="1"/>
  <c r="N774" i="6"/>
  <c r="M774" i="6"/>
  <c r="Q774" i="6" s="1"/>
  <c r="N533" i="6"/>
  <c r="M533" i="6"/>
  <c r="R533" i="6" s="1"/>
  <c r="N553" i="6"/>
  <c r="M553" i="6"/>
  <c r="R553" i="6" s="1"/>
  <c r="N603" i="6"/>
  <c r="M603" i="6"/>
  <c r="R603" i="6" s="1"/>
  <c r="N701" i="6"/>
  <c r="M701" i="6"/>
  <c r="Q701" i="6" s="1"/>
  <c r="N608" i="6"/>
  <c r="M608" i="6"/>
  <c r="R608" i="6" s="1"/>
  <c r="N421" i="6"/>
  <c r="M421" i="6"/>
  <c r="Q421" i="6" s="1"/>
  <c r="N613" i="6"/>
  <c r="M613" i="6"/>
  <c r="R613" i="6" s="1"/>
  <c r="N466" i="6"/>
  <c r="M466" i="6"/>
  <c r="N542" i="6"/>
  <c r="M542" i="6"/>
  <c r="I412" i="6"/>
  <c r="J412" i="6" s="1"/>
  <c r="N411" i="6"/>
  <c r="M411" i="6"/>
  <c r="Q411" i="6" s="1"/>
  <c r="N385" i="6"/>
  <c r="M385" i="6"/>
  <c r="Q385" i="6" s="1"/>
  <c r="N567" i="6"/>
  <c r="M567" i="6"/>
  <c r="R567" i="6" s="1"/>
  <c r="N721" i="6"/>
  <c r="M721" i="6"/>
  <c r="N671" i="6"/>
  <c r="M671" i="6"/>
  <c r="N874" i="6"/>
  <c r="M874" i="6"/>
  <c r="Q874" i="6" s="1"/>
  <c r="N798" i="6"/>
  <c r="M798" i="6"/>
  <c r="N726" i="6"/>
  <c r="M726" i="6"/>
  <c r="Q726" i="6" s="1"/>
  <c r="N390" i="6"/>
  <c r="M390" i="6"/>
  <c r="Q390" i="6" s="1"/>
  <c r="N496" i="6"/>
  <c r="M496" i="6"/>
  <c r="Q496" i="6" s="1"/>
  <c r="N476" i="6"/>
  <c r="M476" i="6"/>
  <c r="Q476" i="6" s="1"/>
  <c r="N593" i="6"/>
  <c r="M593" i="6"/>
  <c r="R593" i="6" s="1"/>
  <c r="N543" i="6"/>
  <c r="M543" i="6"/>
  <c r="R543" i="6" s="1"/>
  <c r="N436" i="6"/>
  <c r="M436" i="6"/>
  <c r="Q436" i="6" s="1"/>
  <c r="N932" i="6"/>
  <c r="M932" i="6"/>
  <c r="Q932" i="6" s="1"/>
  <c r="N665" i="6"/>
  <c r="M665" i="6"/>
  <c r="N680" i="6"/>
  <c r="M680" i="6"/>
  <c r="N562" i="6"/>
  <c r="M562" i="6"/>
  <c r="R562" i="6" s="1"/>
  <c r="N445" i="6"/>
  <c r="M445" i="6"/>
  <c r="Q445" i="6" s="1"/>
  <c r="J430" i="6"/>
  <c r="N430" i="6"/>
  <c r="M430" i="6"/>
  <c r="Q430" i="6" s="1"/>
  <c r="J715" i="6"/>
  <c r="N715" i="6"/>
  <c r="M715" i="6"/>
  <c r="Q715" i="6" s="1"/>
  <c r="J860" i="6"/>
  <c r="N860" i="6"/>
  <c r="M860" i="6"/>
  <c r="Q860" i="6" s="1"/>
  <c r="J779" i="6"/>
  <c r="N779" i="6"/>
  <c r="M779" i="6"/>
  <c r="Q779" i="6" s="1"/>
  <c r="N598" i="6"/>
  <c r="M598" i="6"/>
  <c r="R598" i="6" s="1"/>
  <c r="N471" i="6"/>
  <c r="M471" i="6"/>
  <c r="R471" i="6" s="1"/>
  <c r="N475" i="6"/>
  <c r="M475" i="6"/>
  <c r="R475" i="6" s="1"/>
  <c r="R477" i="6" s="1"/>
  <c r="N864" i="6"/>
  <c r="M864" i="6"/>
  <c r="Q864" i="6" s="1"/>
  <c r="J705" i="6"/>
  <c r="N705" i="6"/>
  <c r="M705" i="6"/>
  <c r="N895" i="6"/>
  <c r="M895" i="6"/>
  <c r="N656" i="6"/>
  <c r="M656" i="6"/>
  <c r="Q656" i="6" s="1"/>
  <c r="N660" i="6"/>
  <c r="M660" i="6"/>
  <c r="Q660" i="6" s="1"/>
  <c r="J741" i="6"/>
  <c r="N741" i="6"/>
  <c r="M741" i="6"/>
  <c r="N769" i="6"/>
  <c r="M769" i="6"/>
  <c r="N931" i="6"/>
  <c r="M931" i="6"/>
  <c r="Q931" i="6" s="1"/>
  <c r="N381" i="6"/>
  <c r="M381" i="6"/>
  <c r="R381" i="6" s="1"/>
  <c r="N764" i="6"/>
  <c r="M764" i="6"/>
  <c r="Q764" i="6" s="1"/>
  <c r="N410" i="6"/>
  <c r="M410" i="6"/>
  <c r="Q410" i="6" s="1"/>
  <c r="N573" i="6"/>
  <c r="M573" i="6"/>
  <c r="R573" i="6" s="1"/>
  <c r="N527" i="6"/>
  <c r="M527" i="6"/>
  <c r="R527" i="6" s="1"/>
  <c r="J746" i="6"/>
  <c r="N746" i="6"/>
  <c r="M746" i="6"/>
  <c r="Q746" i="6" s="1"/>
  <c r="J450" i="6"/>
  <c r="N450" i="6"/>
  <c r="M450" i="6"/>
  <c r="Q450" i="6" s="1"/>
  <c r="N583" i="6"/>
  <c r="M583" i="6"/>
  <c r="R583" i="6" s="1"/>
  <c r="N416" i="6"/>
  <c r="M416" i="6"/>
  <c r="Q416" i="6" s="1"/>
  <c r="N706" i="6"/>
  <c r="M706" i="6"/>
  <c r="Q706" i="6" s="1"/>
  <c r="N826" i="6"/>
  <c r="M826" i="6"/>
  <c r="Q826" i="6" s="1"/>
  <c r="F68" i="2"/>
  <c r="F54" i="2"/>
  <c r="F1188" i="6"/>
  <c r="F66" i="2" s="1"/>
  <c r="F127" i="139"/>
  <c r="F131" i="139" s="1"/>
  <c r="J889" i="6"/>
  <c r="V724" i="3"/>
  <c r="H13" i="2"/>
  <c r="H18" i="2" s="1"/>
  <c r="W9" i="6"/>
  <c r="H23" i="2"/>
  <c r="V537" i="3"/>
  <c r="I879" i="6"/>
  <c r="G447" i="6"/>
  <c r="V391" i="3"/>
  <c r="I60" i="2"/>
  <c r="E60" i="2" s="1"/>
  <c r="V562" i="3"/>
  <c r="G472" i="6"/>
  <c r="J1155" i="6"/>
  <c r="G924" i="6"/>
  <c r="V911" i="3" s="1"/>
  <c r="J150" i="4"/>
  <c r="H368" i="6"/>
  <c r="H512" i="6" s="1"/>
  <c r="W22" i="595"/>
  <c r="U22" i="595"/>
  <c r="R371" i="6"/>
  <c r="T366" i="6"/>
  <c r="F509" i="6"/>
  <c r="I537" i="6"/>
  <c r="I539" i="6" s="1"/>
  <c r="J539" i="6" s="1"/>
  <c r="J304" i="6"/>
  <c r="H22" i="2"/>
  <c r="G502" i="6"/>
  <c r="V577" i="3"/>
  <c r="F366" i="6"/>
  <c r="F753" i="6"/>
  <c r="K284" i="15"/>
  <c r="K285" i="15" s="1"/>
  <c r="K286" i="15" s="1"/>
  <c r="K287" i="15" s="1"/>
  <c r="K288" i="15" s="1"/>
  <c r="K289" i="15" s="1"/>
  <c r="K290" i="15" s="1"/>
  <c r="K291" i="15" s="1"/>
  <c r="K292" i="15" s="1"/>
  <c r="U834" i="6"/>
  <c r="U753" i="6"/>
  <c r="U902" i="6"/>
  <c r="R372" i="6"/>
  <c r="F27" i="2"/>
  <c r="I432" i="6"/>
  <c r="J432" i="6" s="1"/>
  <c r="F902" i="6"/>
  <c r="J381" i="6"/>
  <c r="J656" i="6"/>
  <c r="J827" i="6"/>
  <c r="H150" i="4"/>
  <c r="F806" i="6"/>
  <c r="I452" i="6"/>
  <c r="J452" i="6" s="1"/>
  <c r="K150" i="4"/>
  <c r="F52" i="2"/>
  <c r="F66" i="6"/>
  <c r="F203" i="6" s="1"/>
  <c r="I150" i="4"/>
  <c r="T364" i="6"/>
  <c r="R1102" i="6"/>
  <c r="R1144" i="6" s="1"/>
  <c r="H361" i="6"/>
  <c r="F320" i="6"/>
  <c r="F323" i="6" s="1"/>
  <c r="Q35" i="20" s="1"/>
  <c r="V763" i="3"/>
  <c r="J681" i="6"/>
  <c r="R1226" i="6"/>
  <c r="R1258" i="6" s="1"/>
  <c r="I812" i="6"/>
  <c r="J812" i="6" s="1"/>
  <c r="Y325" i="6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F637" i="6"/>
  <c r="R363" i="6"/>
  <c r="R902" i="6"/>
  <c r="U1228" i="6"/>
  <c r="U1260" i="6" s="1"/>
  <c r="R370" i="6"/>
  <c r="F205" i="6"/>
  <c r="F207" i="6"/>
  <c r="J481" i="6"/>
  <c r="J931" i="6"/>
  <c r="V607" i="3"/>
  <c r="J567" i="6"/>
  <c r="G544" i="6"/>
  <c r="V544" i="3" s="1"/>
  <c r="AB227" i="4"/>
  <c r="R1228" i="6"/>
  <c r="R1260" i="6" s="1"/>
  <c r="S509" i="3"/>
  <c r="AI27" i="33"/>
  <c r="AI28" i="33" s="1"/>
  <c r="T636" i="6"/>
  <c r="Q364" i="6"/>
  <c r="Q636" i="6"/>
  <c r="R834" i="6"/>
  <c r="F329" i="6"/>
  <c r="H50" i="2"/>
  <c r="H56" i="2" s="1"/>
  <c r="H29" i="2"/>
  <c r="I597" i="6"/>
  <c r="V597" i="3"/>
  <c r="J1156" i="6"/>
  <c r="F36" i="2"/>
  <c r="F53" i="2"/>
  <c r="F62" i="2"/>
  <c r="R753" i="6"/>
  <c r="R926" i="6"/>
  <c r="AB188" i="4"/>
  <c r="Y188" i="4"/>
  <c r="J598" i="6"/>
  <c r="J475" i="6"/>
  <c r="J764" i="6"/>
  <c r="R1222" i="6"/>
  <c r="U1226" i="6"/>
  <c r="U1258" i="6" s="1"/>
  <c r="R1225" i="6"/>
  <c r="R1257" i="6" s="1"/>
  <c r="F64" i="2"/>
  <c r="F926" i="6"/>
  <c r="Q366" i="6"/>
  <c r="U1227" i="6"/>
  <c r="U1259" i="6" s="1"/>
  <c r="R1227" i="6"/>
  <c r="R1259" i="6" s="1"/>
  <c r="F289" i="6"/>
  <c r="F339" i="6"/>
  <c r="F355" i="6" s="1"/>
  <c r="F353" i="6"/>
  <c r="G477" i="6"/>
  <c r="V811" i="3"/>
  <c r="F369" i="15"/>
  <c r="F371" i="15"/>
  <c r="Q150" i="4"/>
  <c r="F16" i="2"/>
  <c r="AB83" i="4"/>
  <c r="Y83" i="4"/>
  <c r="T637" i="6"/>
  <c r="F362" i="15"/>
  <c r="F262" i="6"/>
  <c r="Z208" i="4"/>
  <c r="AB208" i="4"/>
  <c r="L150" i="4"/>
  <c r="F641" i="6"/>
  <c r="G412" i="6"/>
  <c r="F17" i="2"/>
  <c r="D510" i="6"/>
  <c r="H640" i="6"/>
  <c r="H1236" i="6" s="1"/>
  <c r="V461" i="3"/>
  <c r="I461" i="6"/>
  <c r="I495" i="6"/>
  <c r="G497" i="6"/>
  <c r="V552" i="3"/>
  <c r="I552" i="6"/>
  <c r="G554" i="6"/>
  <c r="V554" i="3" s="1"/>
  <c r="J562" i="6"/>
  <c r="J445" i="6"/>
  <c r="I717" i="6"/>
  <c r="J717" i="6" s="1"/>
  <c r="M150" i="4"/>
  <c r="N150" i="4"/>
  <c r="J686" i="6"/>
  <c r="K276" i="4"/>
  <c r="K192" i="4"/>
  <c r="K279" i="4" s="1"/>
  <c r="O150" i="4"/>
  <c r="F428" i="139"/>
  <c r="F430" i="139"/>
  <c r="Z204" i="4"/>
  <c r="P150" i="4"/>
  <c r="S150" i="4"/>
  <c r="I623" i="6"/>
  <c r="G624" i="6"/>
  <c r="V624" i="3" s="1"/>
  <c r="J548" i="6"/>
  <c r="G505" i="6"/>
  <c r="I491" i="6"/>
  <c r="J401" i="6"/>
  <c r="I524" i="6"/>
  <c r="J524" i="6" s="1"/>
  <c r="J466" i="6"/>
  <c r="I467" i="6"/>
  <c r="J467" i="6" s="1"/>
  <c r="V490" i="3"/>
  <c r="G492" i="6"/>
  <c r="I490" i="6"/>
  <c r="I455" i="6"/>
  <c r="G457" i="6"/>
  <c r="I572" i="6"/>
  <c r="G574" i="6"/>
  <c r="V574" i="3" s="1"/>
  <c r="J385" i="6"/>
  <c r="I880" i="6"/>
  <c r="V873" i="3"/>
  <c r="E763" i="6"/>
  <c r="I763" i="6"/>
  <c r="G765" i="6"/>
  <c r="I811" i="6"/>
  <c r="G813" i="6"/>
  <c r="E811" i="6"/>
  <c r="E655" i="6"/>
  <c r="I655" i="6"/>
  <c r="G750" i="6"/>
  <c r="V654" i="3"/>
  <c r="E758" i="6"/>
  <c r="G760" i="6"/>
  <c r="E760" i="6" s="1"/>
  <c r="I758" i="6"/>
  <c r="E695" i="6"/>
  <c r="G697" i="6"/>
  <c r="I695" i="6"/>
  <c r="I697" i="6" s="1"/>
  <c r="J697" i="6" s="1"/>
  <c r="I876" i="6"/>
  <c r="J876" i="6" s="1"/>
  <c r="J874" i="6"/>
  <c r="G402" i="6"/>
  <c r="V572" i="3"/>
  <c r="AJ22" i="33"/>
  <c r="AK23" i="33"/>
  <c r="J496" i="6"/>
  <c r="V411" i="3"/>
  <c r="J476" i="6"/>
  <c r="I477" i="6"/>
  <c r="J477" i="6" s="1"/>
  <c r="I594" i="6"/>
  <c r="J594" i="6" s="1"/>
  <c r="J593" i="6"/>
  <c r="J543" i="6"/>
  <c r="J588" i="6"/>
  <c r="I578" i="6"/>
  <c r="G579" i="6"/>
  <c r="V579" i="3" s="1"/>
  <c r="J456" i="6"/>
  <c r="J607" i="6"/>
  <c r="I609" i="6"/>
  <c r="J609" i="6" s="1"/>
  <c r="V617" i="3"/>
  <c r="I617" i="6"/>
  <c r="G619" i="6"/>
  <c r="V619" i="3" s="1"/>
  <c r="G549" i="6"/>
  <c r="V549" i="3" s="1"/>
  <c r="I547" i="6"/>
  <c r="G594" i="6"/>
  <c r="V594" i="3" s="1"/>
  <c r="J400" i="6"/>
  <c r="I402" i="6"/>
  <c r="J402" i="6" s="1"/>
  <c r="I676" i="6"/>
  <c r="G677" i="6"/>
  <c r="J691" i="6"/>
  <c r="J859" i="6"/>
  <c r="E780" i="6"/>
  <c r="E687" i="6"/>
  <c r="I682" i="6"/>
  <c r="J682" i="6" s="1"/>
  <c r="J680" i="6"/>
  <c r="E800" i="6"/>
  <c r="M19" i="14"/>
  <c r="K19" i="14"/>
  <c r="L19" i="14" s="1"/>
  <c r="Z232" i="4"/>
  <c r="V270" i="4"/>
  <c r="J523" i="6"/>
  <c r="AJ16" i="33"/>
  <c r="I268" i="6"/>
  <c r="E268" i="6"/>
  <c r="V623" i="3"/>
  <c r="G529" i="6"/>
  <c r="V529" i="3" s="1"/>
  <c r="I528" i="6"/>
  <c r="G635" i="6"/>
  <c r="I563" i="6"/>
  <c r="J613" i="6"/>
  <c r="V491" i="3"/>
  <c r="V401" i="3"/>
  <c r="I587" i="6"/>
  <c r="G589" i="6"/>
  <c r="V589" i="3" s="1"/>
  <c r="G633" i="6"/>
  <c r="V633" i="3" s="1"/>
  <c r="V532" i="3"/>
  <c r="I532" i="6"/>
  <c r="G534" i="6"/>
  <c r="V534" i="3" s="1"/>
  <c r="G604" i="6"/>
  <c r="V604" i="3" s="1"/>
  <c r="I602" i="6"/>
  <c r="V602" i="3"/>
  <c r="I627" i="6"/>
  <c r="G629" i="6"/>
  <c r="V629" i="3" s="1"/>
  <c r="J542" i="6"/>
  <c r="I544" i="6"/>
  <c r="J544" i="6" s="1"/>
  <c r="G614" i="6"/>
  <c r="V614" i="3" s="1"/>
  <c r="I612" i="6"/>
  <c r="J460" i="6"/>
  <c r="J411" i="6"/>
  <c r="J426" i="6"/>
  <c r="V455" i="3"/>
  <c r="J875" i="6"/>
  <c r="I933" i="6"/>
  <c r="J933" i="6" s="1"/>
  <c r="G934" i="6"/>
  <c r="J721" i="6"/>
  <c r="V762" i="3"/>
  <c r="V810" i="3"/>
  <c r="I759" i="6"/>
  <c r="G692" i="6"/>
  <c r="E692" i="6" s="1"/>
  <c r="I690" i="6"/>
  <c r="E690" i="6"/>
  <c r="V694" i="3"/>
  <c r="J671" i="6"/>
  <c r="J675" i="6"/>
  <c r="I800" i="6"/>
  <c r="J800" i="6" s="1"/>
  <c r="J798" i="6"/>
  <c r="G503" i="6"/>
  <c r="J726" i="6"/>
  <c r="J390" i="6"/>
  <c r="J345" i="6"/>
  <c r="G506" i="6"/>
  <c r="V386" i="3"/>
  <c r="I386" i="6"/>
  <c r="G507" i="6"/>
  <c r="I568" i="6"/>
  <c r="G569" i="6"/>
  <c r="V569" i="3" s="1"/>
  <c r="V476" i="3"/>
  <c r="V587" i="3"/>
  <c r="V456" i="3"/>
  <c r="I557" i="6"/>
  <c r="G559" i="6"/>
  <c r="V559" i="3" s="1"/>
  <c r="V557" i="3"/>
  <c r="J436" i="6"/>
  <c r="G482" i="6"/>
  <c r="I480" i="6"/>
  <c r="G382" i="6"/>
  <c r="G501" i="6"/>
  <c r="I380" i="6"/>
  <c r="V440" i="3"/>
  <c r="G442" i="6"/>
  <c r="I440" i="6"/>
  <c r="G407" i="6"/>
  <c r="I405" i="6"/>
  <c r="J592" i="6"/>
  <c r="J932" i="6"/>
  <c r="I922" i="6"/>
  <c r="E922" i="6"/>
  <c r="G751" i="6"/>
  <c r="J665" i="6"/>
  <c r="I667" i="6"/>
  <c r="J667" i="6" s="1"/>
  <c r="J778" i="6"/>
  <c r="I780" i="6"/>
  <c r="J780" i="6" s="1"/>
  <c r="I745" i="6"/>
  <c r="E745" i="6"/>
  <c r="G747" i="6"/>
  <c r="E747" i="6" s="1"/>
  <c r="I687" i="6"/>
  <c r="J687" i="6" s="1"/>
  <c r="J685" i="6"/>
  <c r="E682" i="6"/>
  <c r="N60" i="2"/>
  <c r="Z2" i="594"/>
  <c r="T2" i="594" s="1"/>
  <c r="J336" i="6"/>
  <c r="G564" i="6"/>
  <c r="V564" i="3" s="1"/>
  <c r="J421" i="6"/>
  <c r="I662" i="6"/>
  <c r="J662" i="6" s="1"/>
  <c r="J661" i="6"/>
  <c r="J890" i="6"/>
  <c r="I891" i="6"/>
  <c r="J891" i="6" s="1"/>
  <c r="J731" i="6"/>
  <c r="J849" i="6"/>
  <c r="I851" i="6"/>
  <c r="J851" i="6" s="1"/>
  <c r="E737" i="6"/>
  <c r="E657" i="6"/>
  <c r="J485" i="6"/>
  <c r="J850" i="6"/>
  <c r="J711" i="6"/>
  <c r="I422" i="6"/>
  <c r="J422" i="6" s="1"/>
  <c r="F358" i="6"/>
  <c r="F371" i="6" s="1"/>
  <c r="F359" i="6"/>
  <c r="J406" i="6"/>
  <c r="I447" i="6"/>
  <c r="J447" i="6" s="1"/>
  <c r="J446" i="6"/>
  <c r="I584" i="6"/>
  <c r="J584" i="6" s="1"/>
  <c r="J582" i="6"/>
  <c r="J648" i="6"/>
  <c r="J696" i="6"/>
  <c r="I737" i="6"/>
  <c r="J737" i="6" s="1"/>
  <c r="J735" i="6"/>
  <c r="T628" i="6"/>
  <c r="A3" i="650" l="1"/>
  <c r="A3" i="582"/>
  <c r="A4" i="650"/>
  <c r="A4" i="582"/>
  <c r="M22" i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F11" i="139"/>
  <c r="F12" i="139" s="1"/>
  <c r="F12" i="650"/>
  <c r="F23" i="650" s="1"/>
  <c r="H276" i="4"/>
  <c r="H192" i="4"/>
  <c r="H279" i="4" s="1"/>
  <c r="M435" i="6"/>
  <c r="M437" i="6" s="1"/>
  <c r="I427" i="6"/>
  <c r="J427" i="6" s="1"/>
  <c r="I437" i="6"/>
  <c r="J437" i="6" s="1"/>
  <c r="N435" i="6"/>
  <c r="T435" i="6" s="1"/>
  <c r="AA143" i="4"/>
  <c r="AA149" i="4" s="1"/>
  <c r="AA150" i="4" s="1"/>
  <c r="Z143" i="4"/>
  <c r="Z149" i="4" s="1"/>
  <c r="Z150" i="4" s="1"/>
  <c r="N720" i="6"/>
  <c r="T720" i="6" s="1"/>
  <c r="J425" i="6"/>
  <c r="I722" i="6"/>
  <c r="J722" i="6" s="1"/>
  <c r="M425" i="6"/>
  <c r="M427" i="6" s="1"/>
  <c r="E924" i="6"/>
  <c r="D17" i="20"/>
  <c r="Q36" i="20"/>
  <c r="AO146" i="4"/>
  <c r="AL186" i="4"/>
  <c r="AL273" i="4" s="1"/>
  <c r="I742" i="6"/>
  <c r="J742" i="6" s="1"/>
  <c r="N740" i="6"/>
  <c r="T740" i="6" s="1"/>
  <c r="J740" i="6"/>
  <c r="E650" i="6"/>
  <c r="M720" i="6"/>
  <c r="Q720" i="6" s="1"/>
  <c r="J395" i="6"/>
  <c r="I397" i="6"/>
  <c r="J397" i="6" s="1"/>
  <c r="M395" i="6"/>
  <c r="Q395" i="6" s="1"/>
  <c r="Q397" i="6" s="1"/>
  <c r="F12" i="12"/>
  <c r="I702" i="6"/>
  <c r="J702" i="6" s="1"/>
  <c r="F25" i="12"/>
  <c r="F70" i="12"/>
  <c r="F24" i="12"/>
  <c r="F73" i="12"/>
  <c r="J700" i="6"/>
  <c r="M700" i="6"/>
  <c r="Q700" i="6" s="1"/>
  <c r="Q702" i="6" s="1"/>
  <c r="I650" i="6"/>
  <c r="J650" i="6" s="1"/>
  <c r="M773" i="6"/>
  <c r="Q773" i="6" s="1"/>
  <c r="I775" i="6"/>
  <c r="J775" i="6" s="1"/>
  <c r="J773" i="6"/>
  <c r="F367" i="15"/>
  <c r="F11" i="15"/>
  <c r="M730" i="6"/>
  <c r="Q730" i="6" s="1"/>
  <c r="N730" i="6"/>
  <c r="T730" i="6" s="1"/>
  <c r="J730" i="6"/>
  <c r="I487" i="6"/>
  <c r="J487" i="6" s="1"/>
  <c r="N710" i="6"/>
  <c r="T710" i="6" s="1"/>
  <c r="J486" i="6"/>
  <c r="N486" i="6"/>
  <c r="N487" i="6" s="1"/>
  <c r="I712" i="6"/>
  <c r="J712" i="6" s="1"/>
  <c r="M710" i="6"/>
  <c r="Q710" i="6" s="1"/>
  <c r="J415" i="6"/>
  <c r="M670" i="6"/>
  <c r="Q670" i="6" s="1"/>
  <c r="N670" i="6"/>
  <c r="N672" i="6" s="1"/>
  <c r="J670" i="6"/>
  <c r="I417" i="6"/>
  <c r="J417" i="6" s="1"/>
  <c r="M415" i="6"/>
  <c r="M417" i="6" s="1"/>
  <c r="N470" i="6"/>
  <c r="U470" i="6" s="1"/>
  <c r="F363" i="6"/>
  <c r="I472" i="6"/>
  <c r="J472" i="6" s="1"/>
  <c r="C21" i="582"/>
  <c r="AA270" i="4"/>
  <c r="Z83" i="4"/>
  <c r="AA83" i="4"/>
  <c r="Z188" i="4"/>
  <c r="AA188" i="4"/>
  <c r="Z187" i="4"/>
  <c r="AA187" i="4"/>
  <c r="V149" i="4"/>
  <c r="J276" i="4"/>
  <c r="J470" i="6"/>
  <c r="I192" i="4"/>
  <c r="I279" i="4" s="1"/>
  <c r="AB270" i="4"/>
  <c r="H24" i="2"/>
  <c r="R1228" i="3"/>
  <c r="U1228" i="3"/>
  <c r="T150" i="4"/>
  <c r="V150" i="4" s="1"/>
  <c r="T192" i="4"/>
  <c r="AL149" i="4"/>
  <c r="AL189" i="4" s="1"/>
  <c r="M6" i="20"/>
  <c r="R10" i="42"/>
  <c r="W12" i="42" s="1"/>
  <c r="T746" i="6"/>
  <c r="T660" i="6"/>
  <c r="T656" i="6"/>
  <c r="T895" i="6"/>
  <c r="T705" i="6"/>
  <c r="T860" i="6"/>
  <c r="T430" i="6"/>
  <c r="U613" i="6"/>
  <c r="T421" i="6"/>
  <c r="U608" i="6"/>
  <c r="T701" i="6"/>
  <c r="U603" i="6"/>
  <c r="U553" i="6"/>
  <c r="U533" i="6"/>
  <c r="T700" i="6"/>
  <c r="T774" i="6"/>
  <c r="T396" i="6"/>
  <c r="T441" i="6"/>
  <c r="T431" i="6"/>
  <c r="T889" i="6"/>
  <c r="T736" i="6"/>
  <c r="T768" i="6"/>
  <c r="U618" i="6"/>
  <c r="U538" i="6"/>
  <c r="U465" i="6"/>
  <c r="U467" i="6" s="1"/>
  <c r="T666" i="6"/>
  <c r="T481" i="6"/>
  <c r="T482" i="6" s="1"/>
  <c r="T451" i="6"/>
  <c r="T894" i="6"/>
  <c r="T799" i="6"/>
  <c r="U558" i="6"/>
  <c r="T420" i="6"/>
  <c r="T686" i="6"/>
  <c r="T921" i="6"/>
  <c r="U577" i="6"/>
  <c r="T401" i="6"/>
  <c r="U548" i="6"/>
  <c r="U523" i="6"/>
  <c r="T850" i="6"/>
  <c r="T826" i="6"/>
  <c r="N417" i="6"/>
  <c r="T706" i="6"/>
  <c r="T416" i="6"/>
  <c r="U583" i="6"/>
  <c r="T450" i="6"/>
  <c r="U527" i="6"/>
  <c r="U573" i="6"/>
  <c r="T410" i="6"/>
  <c r="T764" i="6"/>
  <c r="U381" i="6"/>
  <c r="T931" i="6"/>
  <c r="T741" i="6"/>
  <c r="U475" i="6"/>
  <c r="U477" i="6" s="1"/>
  <c r="U471" i="6"/>
  <c r="T779" i="6"/>
  <c r="T715" i="6"/>
  <c r="T445" i="6"/>
  <c r="U562" i="6"/>
  <c r="T680" i="6"/>
  <c r="T932" i="6"/>
  <c r="T436" i="6"/>
  <c r="U543" i="6"/>
  <c r="U593" i="6"/>
  <c r="T476" i="6"/>
  <c r="T496" i="6"/>
  <c r="T390" i="6"/>
  <c r="T726" i="6"/>
  <c r="T721" i="6"/>
  <c r="T411" i="6"/>
  <c r="T865" i="6"/>
  <c r="T716" i="6"/>
  <c r="U622" i="6"/>
  <c r="T691" i="6"/>
  <c r="T456" i="6"/>
  <c r="U588" i="6"/>
  <c r="T681" i="6"/>
  <c r="T875" i="6"/>
  <c r="T426" i="6"/>
  <c r="B4" i="647"/>
  <c r="A3" i="137"/>
  <c r="A4" i="137"/>
  <c r="AI20" i="33"/>
  <c r="M391" i="6"/>
  <c r="M392" i="6" s="1"/>
  <c r="I392" i="6"/>
  <c r="J392" i="6" s="1"/>
  <c r="N391" i="6"/>
  <c r="T391" i="6" s="1"/>
  <c r="I727" i="6"/>
  <c r="J727" i="6" s="1"/>
  <c r="F22" i="2"/>
  <c r="N725" i="6"/>
  <c r="N727" i="6" s="1"/>
  <c r="AB150" i="4"/>
  <c r="AB4" i="33"/>
  <c r="B5" i="647"/>
  <c r="B10" i="647" s="1"/>
  <c r="Q866" i="6"/>
  <c r="J1228" i="3"/>
  <c r="B4" i="594"/>
  <c r="G17" i="2"/>
  <c r="N17" i="2" s="1"/>
  <c r="F30" i="2"/>
  <c r="B4" i="49"/>
  <c r="B18" i="49" s="1"/>
  <c r="C4" i="42"/>
  <c r="A4" i="16"/>
  <c r="A3" i="3"/>
  <c r="A4" i="17"/>
  <c r="B4" i="139"/>
  <c r="K4" i="52"/>
  <c r="B4" i="4"/>
  <c r="A3" i="5"/>
  <c r="J3" i="20"/>
  <c r="J4" i="595"/>
  <c r="B4" i="14"/>
  <c r="B4" i="595"/>
  <c r="P4" i="595" s="1"/>
  <c r="O4" i="42"/>
  <c r="K4" i="594"/>
  <c r="A3" i="6"/>
  <c r="A4" i="548"/>
  <c r="F3" i="2"/>
  <c r="B2" i="12"/>
  <c r="A3" i="20"/>
  <c r="A4" i="50"/>
  <c r="F29" i="2"/>
  <c r="S4" i="33"/>
  <c r="A3" i="2"/>
  <c r="A4" i="15"/>
  <c r="U4" i="42"/>
  <c r="AH5" i="4"/>
  <c r="K4" i="33"/>
  <c r="A4" i="33"/>
  <c r="AB3" i="33"/>
  <c r="M896" i="6"/>
  <c r="F28" i="2"/>
  <c r="J725" i="6"/>
  <c r="C32" i="49"/>
  <c r="E32" i="49"/>
  <c r="AB186" i="4"/>
  <c r="AB273" i="4" s="1"/>
  <c r="R192" i="4"/>
  <c r="R279" i="4" s="1"/>
  <c r="S3" i="33"/>
  <c r="A3" i="33"/>
  <c r="K3" i="33"/>
  <c r="F31" i="2"/>
  <c r="M609" i="6"/>
  <c r="M452" i="6"/>
  <c r="T415" i="6"/>
  <c r="Q452" i="6"/>
  <c r="AJ14" i="33"/>
  <c r="AI35" i="33"/>
  <c r="Q895" i="6"/>
  <c r="Q896" i="6" s="1"/>
  <c r="T273" i="4"/>
  <c r="N452" i="6"/>
  <c r="N702" i="6"/>
  <c r="N627" i="6"/>
  <c r="M627" i="6"/>
  <c r="N27" i="2"/>
  <c r="N268" i="6"/>
  <c r="M268" i="6"/>
  <c r="M742" i="6"/>
  <c r="W243" i="6"/>
  <c r="A2" i="20"/>
  <c r="N707" i="6"/>
  <c r="M828" i="6"/>
  <c r="W214" i="6"/>
  <c r="W101" i="6"/>
  <c r="N828" i="6"/>
  <c r="N745" i="6"/>
  <c r="M745" i="6"/>
  <c r="R609" i="6"/>
  <c r="I924" i="6"/>
  <c r="J924" i="6" s="1"/>
  <c r="N922" i="6"/>
  <c r="M922" i="6"/>
  <c r="Q922" i="6" s="1"/>
  <c r="I407" i="6"/>
  <c r="J407" i="6" s="1"/>
  <c r="N405" i="6"/>
  <c r="M405" i="6"/>
  <c r="Q405" i="6" s="1"/>
  <c r="N380" i="6"/>
  <c r="M380" i="6"/>
  <c r="N557" i="6"/>
  <c r="M557" i="6"/>
  <c r="N568" i="6"/>
  <c r="M568" i="6"/>
  <c r="I506" i="6"/>
  <c r="J506" i="6" s="1"/>
  <c r="N386" i="6"/>
  <c r="M386" i="6"/>
  <c r="N690" i="6"/>
  <c r="M690" i="6"/>
  <c r="N759" i="6"/>
  <c r="M759" i="6"/>
  <c r="Q759" i="6" s="1"/>
  <c r="N602" i="6"/>
  <c r="M602" i="6"/>
  <c r="N563" i="6"/>
  <c r="M563" i="6"/>
  <c r="N528" i="6"/>
  <c r="M528" i="6"/>
  <c r="N617" i="6"/>
  <c r="M617" i="6"/>
  <c r="N578" i="6"/>
  <c r="M578" i="6"/>
  <c r="N758" i="6"/>
  <c r="M758" i="6"/>
  <c r="N880" i="6"/>
  <c r="M880" i="6"/>
  <c r="Q880" i="6" s="1"/>
  <c r="N490" i="6"/>
  <c r="M490" i="6"/>
  <c r="N491" i="6"/>
  <c r="M491" i="6"/>
  <c r="R491" i="6" s="1"/>
  <c r="N623" i="6"/>
  <c r="M623" i="6"/>
  <c r="I497" i="6"/>
  <c r="J497" i="6" s="1"/>
  <c r="N495" i="6"/>
  <c r="M495" i="6"/>
  <c r="N812" i="6"/>
  <c r="M812" i="6"/>
  <c r="Q812" i="6" s="1"/>
  <c r="J537" i="6"/>
  <c r="N537" i="6"/>
  <c r="M537" i="6"/>
  <c r="M539" i="6" s="1"/>
  <c r="J879" i="6"/>
  <c r="N879" i="6"/>
  <c r="M879" i="6"/>
  <c r="Q879" i="6" s="1"/>
  <c r="N440" i="6"/>
  <c r="M440" i="6"/>
  <c r="N480" i="6"/>
  <c r="M480" i="6"/>
  <c r="N612" i="6"/>
  <c r="M612" i="6"/>
  <c r="N532" i="6"/>
  <c r="M532" i="6"/>
  <c r="N587" i="6"/>
  <c r="M587" i="6"/>
  <c r="I677" i="6"/>
  <c r="J677" i="6" s="1"/>
  <c r="N676" i="6"/>
  <c r="M676" i="6"/>
  <c r="Q676" i="6" s="1"/>
  <c r="N547" i="6"/>
  <c r="M547" i="6"/>
  <c r="N695" i="6"/>
  <c r="M695" i="6"/>
  <c r="Q695" i="6" s="1"/>
  <c r="N655" i="6"/>
  <c r="M655" i="6"/>
  <c r="N811" i="6"/>
  <c r="M811" i="6"/>
  <c r="N763" i="6"/>
  <c r="M763" i="6"/>
  <c r="N572" i="6"/>
  <c r="M572" i="6"/>
  <c r="N455" i="6"/>
  <c r="M455" i="6"/>
  <c r="N552" i="6"/>
  <c r="M552" i="6"/>
  <c r="I462" i="6"/>
  <c r="J462" i="6" s="1"/>
  <c r="N461" i="6"/>
  <c r="M461" i="6"/>
  <c r="R461" i="6" s="1"/>
  <c r="I599" i="6"/>
  <c r="J599" i="6" s="1"/>
  <c r="N597" i="6"/>
  <c r="M597" i="6"/>
  <c r="W279" i="6"/>
  <c r="W83" i="6"/>
  <c r="W27" i="6"/>
  <c r="F372" i="6"/>
  <c r="F15" i="2"/>
  <c r="F640" i="6"/>
  <c r="F1236" i="6" s="1"/>
  <c r="F905" i="6"/>
  <c r="F1237" i="6" s="1"/>
  <c r="M60" i="2"/>
  <c r="I881" i="6"/>
  <c r="J881" i="6" s="1"/>
  <c r="E9" i="49"/>
  <c r="N432" i="6"/>
  <c r="R1231" i="6"/>
  <c r="R1263" i="6" s="1"/>
  <c r="U3" i="42"/>
  <c r="T827" i="6"/>
  <c r="Q741" i="6"/>
  <c r="Q742" i="6" s="1"/>
  <c r="W20" i="6"/>
  <c r="W288" i="6"/>
  <c r="W223" i="6"/>
  <c r="W90" i="6"/>
  <c r="W60" i="6"/>
  <c r="Q827" i="6"/>
  <c r="Q828" i="6" s="1"/>
  <c r="Q717" i="6"/>
  <c r="W201" i="6"/>
  <c r="W56" i="6"/>
  <c r="W45" i="6"/>
  <c r="W162" i="6"/>
  <c r="W189" i="6"/>
  <c r="W306" i="6"/>
  <c r="W117" i="6"/>
  <c r="A3" i="17"/>
  <c r="W221" i="6"/>
  <c r="W252" i="6"/>
  <c r="W212" i="6"/>
  <c r="W297" i="6"/>
  <c r="W74" i="6"/>
  <c r="W108" i="6"/>
  <c r="W286" i="6"/>
  <c r="J6" i="2"/>
  <c r="L6" i="2" s="1"/>
  <c r="W81" i="6"/>
  <c r="W164" i="6"/>
  <c r="W110" i="6"/>
  <c r="W191" i="6"/>
  <c r="W261" i="6"/>
  <c r="W119" i="6"/>
  <c r="D32" i="49"/>
  <c r="N896" i="6"/>
  <c r="F370" i="6"/>
  <c r="G1228" i="3"/>
  <c r="I1228" i="3"/>
  <c r="L1228" i="3"/>
  <c r="O1228" i="3"/>
  <c r="Q1228" i="3"/>
  <c r="H1228" i="3"/>
  <c r="M1228" i="3"/>
  <c r="N1228" i="3"/>
  <c r="P1228" i="3"/>
  <c r="AJ15" i="33"/>
  <c r="G509" i="6"/>
  <c r="M432" i="6"/>
  <c r="N717" i="6"/>
  <c r="O3" i="42"/>
  <c r="W202" i="6"/>
  <c r="W230" i="6"/>
  <c r="W324" i="6"/>
  <c r="W38" i="6"/>
  <c r="W235" i="6"/>
  <c r="W173" i="6"/>
  <c r="W29" i="6"/>
  <c r="W270" i="6"/>
  <c r="W18" i="6"/>
  <c r="W47" i="6"/>
  <c r="W99" i="6"/>
  <c r="W62" i="6"/>
  <c r="W171" i="6"/>
  <c r="W135" i="6"/>
  <c r="W63" i="6"/>
  <c r="W182" i="6"/>
  <c r="W92" i="6"/>
  <c r="W231" i="6"/>
  <c r="W144" i="6"/>
  <c r="W64" i="6"/>
  <c r="W153" i="6"/>
  <c r="W126" i="6"/>
  <c r="W128" i="6"/>
  <c r="W315" i="6"/>
  <c r="W180" i="6"/>
  <c r="W54" i="6"/>
  <c r="W146" i="6"/>
  <c r="W53" i="6"/>
  <c r="W155" i="6"/>
  <c r="G753" i="6"/>
  <c r="E753" i="6" s="1"/>
  <c r="W65" i="6"/>
  <c r="W36" i="6"/>
  <c r="W72" i="6"/>
  <c r="W55" i="6"/>
  <c r="W137" i="6"/>
  <c r="W338" i="6"/>
  <c r="G632" i="6"/>
  <c r="V632" i="3" s="1"/>
  <c r="W326" i="6"/>
  <c r="B3" i="594"/>
  <c r="B3" i="4"/>
  <c r="B3" i="49"/>
  <c r="B17" i="49" s="1"/>
  <c r="M866" i="6"/>
  <c r="K3" i="594"/>
  <c r="Z3" i="594" s="1"/>
  <c r="T3" i="594" s="1"/>
  <c r="J2" i="20"/>
  <c r="C3" i="42"/>
  <c r="AH4" i="4"/>
  <c r="K3" i="52"/>
  <c r="A2" i="2"/>
  <c r="J3" i="595"/>
  <c r="AF1" i="594"/>
  <c r="B1" i="12"/>
  <c r="A2" i="5"/>
  <c r="A2" i="3"/>
  <c r="A3" i="548"/>
  <c r="B3" i="14"/>
  <c r="A3" i="50"/>
  <c r="A3" i="15"/>
  <c r="B3" i="595"/>
  <c r="A2" i="6"/>
  <c r="K293" i="15"/>
  <c r="K294" i="15" s="1"/>
  <c r="K295" i="15" s="1"/>
  <c r="K296" i="15" s="1"/>
  <c r="K297" i="15" s="1"/>
  <c r="K298" i="15" s="1"/>
  <c r="K299" i="15" s="1"/>
  <c r="K300" i="15" s="1"/>
  <c r="K301" i="15" s="1"/>
  <c r="I633" i="6"/>
  <c r="I750" i="6"/>
  <c r="J750" i="6" s="1"/>
  <c r="T21" i="595"/>
  <c r="U21" i="595" s="1"/>
  <c r="I751" i="6"/>
  <c r="J751" i="6" s="1"/>
  <c r="F35" i="2"/>
  <c r="F38" i="2" s="1"/>
  <c r="T864" i="6"/>
  <c r="N866" i="6"/>
  <c r="M707" i="6"/>
  <c r="Q705" i="6"/>
  <c r="Q707" i="6" s="1"/>
  <c r="A3" i="16"/>
  <c r="B3" i="139"/>
  <c r="N477" i="6"/>
  <c r="I502" i="6"/>
  <c r="F327" i="6"/>
  <c r="F368" i="6" s="1"/>
  <c r="F512" i="6" s="1"/>
  <c r="Y348" i="6"/>
  <c r="Y349" i="6" s="1"/>
  <c r="Y350" i="6" s="1"/>
  <c r="Y351" i="6" s="1"/>
  <c r="Y352" i="6" s="1"/>
  <c r="Y353" i="6" s="1"/>
  <c r="Y354" i="6" s="1"/>
  <c r="W347" i="6"/>
  <c r="I505" i="6"/>
  <c r="J505" i="6" s="1"/>
  <c r="I507" i="6"/>
  <c r="J507" i="6" s="1"/>
  <c r="F23" i="2"/>
  <c r="F411" i="15"/>
  <c r="F413" i="15" s="1"/>
  <c r="I501" i="6"/>
  <c r="M717" i="6"/>
  <c r="I934" i="6"/>
  <c r="M876" i="6"/>
  <c r="M477" i="6"/>
  <c r="F1228" i="6"/>
  <c r="F1102" i="6"/>
  <c r="F1144" i="6" s="1"/>
  <c r="J597" i="6"/>
  <c r="H32" i="2"/>
  <c r="T395" i="6"/>
  <c r="N397" i="6"/>
  <c r="F953" i="6"/>
  <c r="Q769" i="6"/>
  <c r="Q770" i="6" s="1"/>
  <c r="M770" i="6"/>
  <c r="U598" i="6"/>
  <c r="T769" i="6"/>
  <c r="N770" i="6"/>
  <c r="N682" i="6"/>
  <c r="I503" i="6"/>
  <c r="J503" i="6" s="1"/>
  <c r="Q276" i="4"/>
  <c r="Q192" i="4"/>
  <c r="Q279" i="4" s="1"/>
  <c r="L276" i="4"/>
  <c r="L192" i="4"/>
  <c r="L279" i="4" s="1"/>
  <c r="O192" i="4"/>
  <c r="O279" i="4" s="1"/>
  <c r="O276" i="4"/>
  <c r="J552" i="6"/>
  <c r="I554" i="6"/>
  <c r="J554" i="6" s="1"/>
  <c r="J461" i="6"/>
  <c r="N276" i="4"/>
  <c r="N192" i="4"/>
  <c r="N279" i="4" s="1"/>
  <c r="M276" i="4"/>
  <c r="M192" i="4"/>
  <c r="M279" i="4" s="1"/>
  <c r="J495" i="6"/>
  <c r="S276" i="4"/>
  <c r="S192" i="4"/>
  <c r="S279" i="4" s="1"/>
  <c r="P276" i="4"/>
  <c r="P192" i="4"/>
  <c r="P279" i="4" s="1"/>
  <c r="N422" i="6"/>
  <c r="M422" i="6"/>
  <c r="N412" i="6"/>
  <c r="F27" i="1"/>
  <c r="B27" i="1" s="1"/>
  <c r="E27" i="1"/>
  <c r="Q685" i="6"/>
  <c r="M687" i="6"/>
  <c r="T778" i="6"/>
  <c r="N780" i="6"/>
  <c r="M667" i="6"/>
  <c r="Q665" i="6"/>
  <c r="U592" i="6"/>
  <c r="N594" i="6"/>
  <c r="J405" i="6"/>
  <c r="I382" i="6"/>
  <c r="J382" i="6" s="1"/>
  <c r="J380" i="6"/>
  <c r="J557" i="6"/>
  <c r="I559" i="6"/>
  <c r="J559" i="6" s="1"/>
  <c r="J568" i="6"/>
  <c r="J386" i="6"/>
  <c r="M800" i="6"/>
  <c r="Q798" i="6"/>
  <c r="T675" i="6"/>
  <c r="Q675" i="6"/>
  <c r="Q671" i="6"/>
  <c r="J759" i="6"/>
  <c r="Q721" i="6"/>
  <c r="T425" i="6"/>
  <c r="N427" i="6"/>
  <c r="U567" i="6"/>
  <c r="U460" i="6"/>
  <c r="R542" i="6"/>
  <c r="R544" i="6" s="1"/>
  <c r="M544" i="6"/>
  <c r="U542" i="6"/>
  <c r="N544" i="6"/>
  <c r="I629" i="6"/>
  <c r="J627" i="6"/>
  <c r="J602" i="6"/>
  <c r="I604" i="6"/>
  <c r="J604" i="6" s="1"/>
  <c r="J587" i="6"/>
  <c r="I589" i="6"/>
  <c r="J589" i="6" s="1"/>
  <c r="J268" i="6"/>
  <c r="Q637" i="6"/>
  <c r="Q725" i="6"/>
  <c r="M727" i="6"/>
  <c r="Q859" i="6"/>
  <c r="M861" i="6"/>
  <c r="N861" i="6"/>
  <c r="T859" i="6"/>
  <c r="J676" i="6"/>
  <c r="Q412" i="6"/>
  <c r="T400" i="6"/>
  <c r="N402" i="6"/>
  <c r="I619" i="6"/>
  <c r="J619" i="6" s="1"/>
  <c r="J617" i="6"/>
  <c r="J578" i="6"/>
  <c r="I579" i="6"/>
  <c r="J579" i="6" s="1"/>
  <c r="T773" i="6"/>
  <c r="N775" i="6"/>
  <c r="T874" i="6"/>
  <c r="N876" i="6"/>
  <c r="E697" i="6"/>
  <c r="I760" i="6"/>
  <c r="J760" i="6" s="1"/>
  <c r="J758" i="6"/>
  <c r="J655" i="6"/>
  <c r="I657" i="6"/>
  <c r="J657" i="6" s="1"/>
  <c r="J811" i="6"/>
  <c r="I813" i="6"/>
  <c r="J813" i="6" s="1"/>
  <c r="I765" i="6"/>
  <c r="J765" i="6" s="1"/>
  <c r="J763" i="6"/>
  <c r="J880" i="6"/>
  <c r="I387" i="6"/>
  <c r="J387" i="6" s="1"/>
  <c r="J572" i="6"/>
  <c r="I574" i="6"/>
  <c r="J574" i="6" s="1"/>
  <c r="J455" i="6"/>
  <c r="I457" i="6"/>
  <c r="J457" i="6" s="1"/>
  <c r="T466" i="6"/>
  <c r="T467" i="6" s="1"/>
  <c r="N467" i="6"/>
  <c r="N524" i="6"/>
  <c r="U522" i="6"/>
  <c r="M524" i="6"/>
  <c r="R522" i="6"/>
  <c r="M402" i="6"/>
  <c r="Q401" i="6"/>
  <c r="J491" i="6"/>
  <c r="H1250" i="6"/>
  <c r="M1250" i="6"/>
  <c r="G1250" i="6"/>
  <c r="C16" i="12"/>
  <c r="N1250" i="6"/>
  <c r="F1250" i="6"/>
  <c r="V1228" i="3"/>
  <c r="E16" i="12"/>
  <c r="S1228" i="3"/>
  <c r="I1250" i="6"/>
  <c r="J1250" i="6" s="1"/>
  <c r="F1228" i="3"/>
  <c r="D16" i="12"/>
  <c r="T685" i="6"/>
  <c r="N687" i="6"/>
  <c r="J745" i="6"/>
  <c r="I747" i="6"/>
  <c r="J747" i="6" s="1"/>
  <c r="Q778" i="6"/>
  <c r="M780" i="6"/>
  <c r="N667" i="6"/>
  <c r="T665" i="6"/>
  <c r="E751" i="6"/>
  <c r="J922" i="6"/>
  <c r="R592" i="6"/>
  <c r="R594" i="6" s="1"/>
  <c r="M594" i="6"/>
  <c r="I442" i="6"/>
  <c r="J442" i="6" s="1"/>
  <c r="J440" i="6"/>
  <c r="G16" i="2"/>
  <c r="J480" i="6"/>
  <c r="I482" i="6"/>
  <c r="J482" i="6" s="1"/>
  <c r="Y189" i="4"/>
  <c r="Y276" i="4" s="1"/>
  <c r="N800" i="6"/>
  <c r="T798" i="6"/>
  <c r="T671" i="6"/>
  <c r="J690" i="6"/>
  <c r="I692" i="6"/>
  <c r="J692" i="6" s="1"/>
  <c r="G36" i="2"/>
  <c r="G1239" i="6"/>
  <c r="E934" i="6"/>
  <c r="I569" i="6"/>
  <c r="J569" i="6" s="1"/>
  <c r="R460" i="6"/>
  <c r="I614" i="6"/>
  <c r="J614" i="6" s="1"/>
  <c r="J612" i="6"/>
  <c r="I534" i="6"/>
  <c r="J534" i="6" s="1"/>
  <c r="J532" i="6"/>
  <c r="I564" i="6"/>
  <c r="J564" i="6" s="1"/>
  <c r="J563" i="6"/>
  <c r="J528" i="6"/>
  <c r="I529" i="6"/>
  <c r="J529" i="6" s="1"/>
  <c r="I635" i="6"/>
  <c r="R523" i="6"/>
  <c r="K20" i="14"/>
  <c r="L20" i="14" s="1"/>
  <c r="M20" i="14"/>
  <c r="M682" i="6"/>
  <c r="Q680" i="6"/>
  <c r="E677" i="6"/>
  <c r="M412" i="6"/>
  <c r="I549" i="6"/>
  <c r="J549" i="6" s="1"/>
  <c r="J547" i="6"/>
  <c r="U607" i="6"/>
  <c r="N609" i="6"/>
  <c r="Q477" i="6"/>
  <c r="AK24" i="33"/>
  <c r="AJ23" i="33"/>
  <c r="J695" i="6"/>
  <c r="E813" i="6"/>
  <c r="E765" i="6"/>
  <c r="T385" i="6"/>
  <c r="J490" i="6"/>
  <c r="I492" i="6"/>
  <c r="J492" i="6" s="1"/>
  <c r="R470" i="6"/>
  <c r="R472" i="6" s="1"/>
  <c r="M472" i="6"/>
  <c r="Q466" i="6"/>
  <c r="M467" i="6"/>
  <c r="J623" i="6"/>
  <c r="I624" i="6"/>
  <c r="J624" i="6" s="1"/>
  <c r="E13" i="12"/>
  <c r="C66" i="12"/>
  <c r="D13" i="12"/>
  <c r="D66" i="12"/>
  <c r="C13" i="12"/>
  <c r="E66" i="12"/>
  <c r="Q432" i="6"/>
  <c r="R486" i="6"/>
  <c r="Q735" i="6"/>
  <c r="M737" i="6"/>
  <c r="Q696" i="6"/>
  <c r="Q446" i="6"/>
  <c r="M447" i="6"/>
  <c r="T406" i="6"/>
  <c r="F431" i="139"/>
  <c r="T711" i="6"/>
  <c r="R485" i="6"/>
  <c r="M487" i="6"/>
  <c r="Q876" i="6"/>
  <c r="Q731" i="6"/>
  <c r="M891" i="6"/>
  <c r="Q890" i="6"/>
  <c r="T661" i="6"/>
  <c r="N662" i="6"/>
  <c r="Q422" i="6"/>
  <c r="T735" i="6"/>
  <c r="N737" i="6"/>
  <c r="T696" i="6"/>
  <c r="U582" i="6"/>
  <c r="N584" i="6"/>
  <c r="R582" i="6"/>
  <c r="M584" i="6"/>
  <c r="T446" i="6"/>
  <c r="N447" i="6"/>
  <c r="Q406" i="6"/>
  <c r="Q711" i="6"/>
  <c r="U485" i="6"/>
  <c r="T849" i="6"/>
  <c r="N851" i="6"/>
  <c r="Q849" i="6"/>
  <c r="M851" i="6"/>
  <c r="T731" i="6"/>
  <c r="N891" i="6"/>
  <c r="T890" i="6"/>
  <c r="Q661" i="6"/>
  <c r="M662" i="6"/>
  <c r="F13" i="650" l="1"/>
  <c r="F24" i="650" s="1"/>
  <c r="E34" i="1"/>
  <c r="E31" i="1"/>
  <c r="F31" i="1"/>
  <c r="B31" i="1" s="1"/>
  <c r="Q435" i="6"/>
  <c r="Q437" i="6" s="1"/>
  <c r="V189" i="4"/>
  <c r="V192" i="4" s="1"/>
  <c r="C16" i="582"/>
  <c r="L48" i="582" s="1"/>
  <c r="K48" i="582"/>
  <c r="N437" i="6"/>
  <c r="N722" i="6"/>
  <c r="Q425" i="6"/>
  <c r="Q427" i="6" s="1"/>
  <c r="M397" i="6"/>
  <c r="AI36" i="33"/>
  <c r="M722" i="6"/>
  <c r="N742" i="6"/>
  <c r="I27" i="2"/>
  <c r="M27" i="2" s="1"/>
  <c r="M702" i="6"/>
  <c r="M775" i="6"/>
  <c r="F13" i="12"/>
  <c r="N732" i="6"/>
  <c r="M732" i="6"/>
  <c r="N712" i="6"/>
  <c r="M712" i="6"/>
  <c r="AO186" i="4"/>
  <c r="U486" i="6"/>
  <c r="U487" i="6" s="1"/>
  <c r="M672" i="6"/>
  <c r="AO273" i="4"/>
  <c r="T670" i="6"/>
  <c r="T672" i="6" s="1"/>
  <c r="Q415" i="6"/>
  <c r="Q417" i="6" s="1"/>
  <c r="N472" i="6"/>
  <c r="G28" i="2"/>
  <c r="N28" i="2" s="1"/>
  <c r="C22" i="582"/>
  <c r="V273" i="4"/>
  <c r="AA186" i="4"/>
  <c r="AA273" i="4" s="1"/>
  <c r="AO149" i="4"/>
  <c r="AL192" i="4"/>
  <c r="AO192" i="4" s="1"/>
  <c r="Z186" i="4"/>
  <c r="Z273" i="4" s="1"/>
  <c r="AB189" i="4"/>
  <c r="AB276" i="4" s="1"/>
  <c r="T276" i="4"/>
  <c r="E1230" i="6"/>
  <c r="AL150" i="4"/>
  <c r="AO150" i="4" s="1"/>
  <c r="U472" i="6"/>
  <c r="T800" i="6"/>
  <c r="T667" i="6"/>
  <c r="U524" i="6"/>
  <c r="U544" i="6"/>
  <c r="T896" i="6"/>
  <c r="T732" i="6"/>
  <c r="U584" i="6"/>
  <c r="T477" i="6"/>
  <c r="T866" i="6"/>
  <c r="T861" i="6"/>
  <c r="T427" i="6"/>
  <c r="U594" i="6"/>
  <c r="T780" i="6"/>
  <c r="T851" i="6"/>
  <c r="T447" i="6"/>
  <c r="T437" i="6"/>
  <c r="T702" i="6"/>
  <c r="T417" i="6"/>
  <c r="T737" i="6"/>
  <c r="U609" i="6"/>
  <c r="T687" i="6"/>
  <c r="T876" i="6"/>
  <c r="T722" i="6"/>
  <c r="T452" i="6"/>
  <c r="T432" i="6"/>
  <c r="T707" i="6"/>
  <c r="T891" i="6"/>
  <c r="T717" i="6"/>
  <c r="U539" i="6"/>
  <c r="T422" i="6"/>
  <c r="T712" i="6"/>
  <c r="T775" i="6"/>
  <c r="T402" i="6"/>
  <c r="T412" i="6"/>
  <c r="T742" i="6"/>
  <c r="T682" i="6"/>
  <c r="T828" i="6"/>
  <c r="U597" i="6"/>
  <c r="T695" i="6"/>
  <c r="T676" i="6"/>
  <c r="T537" i="6"/>
  <c r="T539" i="6" s="1"/>
  <c r="T640" i="6" s="1"/>
  <c r="U491" i="6"/>
  <c r="T880" i="6"/>
  <c r="T759" i="6"/>
  <c r="T386" i="6"/>
  <c r="T922" i="6"/>
  <c r="N392" i="6"/>
  <c r="U461" i="6"/>
  <c r="T879" i="6"/>
  <c r="T812" i="6"/>
  <c r="U568" i="6"/>
  <c r="T405" i="6"/>
  <c r="T725" i="6"/>
  <c r="T727" i="6" s="1"/>
  <c r="F24" i="2"/>
  <c r="J633" i="6"/>
  <c r="Q391" i="6"/>
  <c r="Q392" i="6" s="1"/>
  <c r="C21" i="12"/>
  <c r="C57" i="12" s="1"/>
  <c r="J501" i="6"/>
  <c r="F32" i="2"/>
  <c r="J502" i="6"/>
  <c r="AJ20" i="33"/>
  <c r="N539" i="6"/>
  <c r="I36" i="2"/>
  <c r="E36" i="2" s="1"/>
  <c r="J934" i="6"/>
  <c r="F8" i="3"/>
  <c r="F1" i="3" s="1"/>
  <c r="AC8" i="4"/>
  <c r="Q537" i="6"/>
  <c r="Q539" i="6" s="1"/>
  <c r="C22" i="12"/>
  <c r="C58" i="12" s="1"/>
  <c r="I1239" i="6"/>
  <c r="J1239" i="6" s="1"/>
  <c r="I16" i="2"/>
  <c r="E16" i="2" s="1"/>
  <c r="F1246" i="6"/>
  <c r="F1248" i="6" s="1"/>
  <c r="F1253" i="6" s="1"/>
  <c r="I17" i="2"/>
  <c r="M17" i="2" s="1"/>
  <c r="F956" i="6"/>
  <c r="L78" i="2"/>
  <c r="F16" i="12"/>
  <c r="F361" i="6"/>
  <c r="E1250" i="6"/>
  <c r="F13" i="2"/>
  <c r="W20" i="595"/>
  <c r="K302" i="15"/>
  <c r="K303" i="15" s="1"/>
  <c r="K304" i="15" s="1"/>
  <c r="K305" i="15" s="1"/>
  <c r="K306" i="15" s="1"/>
  <c r="K307" i="15" s="1"/>
  <c r="K308" i="15" s="1"/>
  <c r="K309" i="15" s="1"/>
  <c r="K310" i="15" s="1"/>
  <c r="N599" i="6"/>
  <c r="Y355" i="6"/>
  <c r="Y356" i="6" s="1"/>
  <c r="Y357" i="6" s="1"/>
  <c r="Y358" i="6" s="1"/>
  <c r="Y359" i="6" s="1"/>
  <c r="Y360" i="6" s="1"/>
  <c r="W354" i="6"/>
  <c r="T397" i="6"/>
  <c r="M407" i="6"/>
  <c r="F50" i="2"/>
  <c r="F56" i="2" s="1"/>
  <c r="N387" i="6"/>
  <c r="Q402" i="6"/>
  <c r="M599" i="6"/>
  <c r="R597" i="6"/>
  <c r="R599" i="6" s="1"/>
  <c r="J635" i="6"/>
  <c r="M751" i="6"/>
  <c r="M507" i="6"/>
  <c r="T770" i="6"/>
  <c r="I509" i="6"/>
  <c r="J509" i="6" s="1"/>
  <c r="N505" i="6"/>
  <c r="M506" i="6"/>
  <c r="M462" i="6"/>
  <c r="N462" i="6"/>
  <c r="M502" i="6"/>
  <c r="I753" i="6"/>
  <c r="N501" i="6"/>
  <c r="R462" i="6"/>
  <c r="N502" i="6"/>
  <c r="N506" i="6"/>
  <c r="N507" i="6"/>
  <c r="M505" i="6"/>
  <c r="M501" i="6"/>
  <c r="F66" i="12"/>
  <c r="T495" i="6"/>
  <c r="N497" i="6"/>
  <c r="U552" i="6"/>
  <c r="U554" i="6" s="1"/>
  <c r="N554" i="6"/>
  <c r="Q495" i="6"/>
  <c r="Q497" i="6" s="1"/>
  <c r="M497" i="6"/>
  <c r="R552" i="6"/>
  <c r="R554" i="6" s="1"/>
  <c r="M554" i="6"/>
  <c r="N881" i="6"/>
  <c r="M881" i="6"/>
  <c r="M750" i="6"/>
  <c r="M633" i="6"/>
  <c r="N751" i="6"/>
  <c r="N407" i="6"/>
  <c r="M697" i="6"/>
  <c r="N697" i="6"/>
  <c r="M635" i="6"/>
  <c r="N569" i="6"/>
  <c r="N503" i="6"/>
  <c r="L28" i="12"/>
  <c r="L27" i="12"/>
  <c r="E50" i="12" s="1"/>
  <c r="N25" i="52"/>
  <c r="U623" i="6"/>
  <c r="U624" i="6" s="1"/>
  <c r="N624" i="6"/>
  <c r="U490" i="6"/>
  <c r="N492" i="6"/>
  <c r="Q775" i="6"/>
  <c r="R547" i="6"/>
  <c r="R549" i="6" s="1"/>
  <c r="M549" i="6"/>
  <c r="N549" i="6"/>
  <c r="U547" i="6"/>
  <c r="U549" i="6" s="1"/>
  <c r="Q682" i="6"/>
  <c r="M21" i="14"/>
  <c r="K21" i="14"/>
  <c r="L21" i="14" s="1"/>
  <c r="M529" i="6"/>
  <c r="R528" i="6"/>
  <c r="R529" i="6" s="1"/>
  <c r="R563" i="6"/>
  <c r="R564" i="6" s="1"/>
  <c r="M564" i="6"/>
  <c r="R532" i="6"/>
  <c r="R534" i="6" s="1"/>
  <c r="M534" i="6"/>
  <c r="M692" i="6"/>
  <c r="Q690" i="6"/>
  <c r="Y192" i="4"/>
  <c r="AB192" i="4"/>
  <c r="AB279" i="4" s="1"/>
  <c r="T279" i="4"/>
  <c r="N16" i="2"/>
  <c r="T440" i="6"/>
  <c r="T442" i="6" s="1"/>
  <c r="N442" i="6"/>
  <c r="Q881" i="6"/>
  <c r="Q780" i="6"/>
  <c r="Q745" i="6"/>
  <c r="M747" i="6"/>
  <c r="R524" i="6"/>
  <c r="R572" i="6"/>
  <c r="R574" i="6" s="1"/>
  <c r="M574" i="6"/>
  <c r="Q763" i="6"/>
  <c r="M765" i="6"/>
  <c r="N813" i="6"/>
  <c r="T811" i="6"/>
  <c r="N657" i="6"/>
  <c r="T655" i="6"/>
  <c r="T657" i="6" s="1"/>
  <c r="Q758" i="6"/>
  <c r="M760" i="6"/>
  <c r="N760" i="6"/>
  <c r="T758" i="6"/>
  <c r="R578" i="6"/>
  <c r="R579" i="6" s="1"/>
  <c r="M579" i="6"/>
  <c r="R617" i="6"/>
  <c r="R619" i="6" s="1"/>
  <c r="M619" i="6"/>
  <c r="U587" i="6"/>
  <c r="U589" i="6" s="1"/>
  <c r="N589" i="6"/>
  <c r="R587" i="6"/>
  <c r="R589" i="6" s="1"/>
  <c r="M589" i="6"/>
  <c r="N604" i="6"/>
  <c r="U602" i="6"/>
  <c r="U604" i="6" s="1"/>
  <c r="J629" i="6"/>
  <c r="I632" i="6"/>
  <c r="J632" i="6" s="1"/>
  <c r="T627" i="6"/>
  <c r="T629" i="6" s="1"/>
  <c r="N629" i="6"/>
  <c r="Q722" i="6"/>
  <c r="M677" i="6"/>
  <c r="N677" i="6"/>
  <c r="Q800" i="6"/>
  <c r="M382" i="6"/>
  <c r="R380" i="6"/>
  <c r="R382" i="6" s="1"/>
  <c r="M503" i="6"/>
  <c r="Q687" i="6"/>
  <c r="R623" i="6"/>
  <c r="R624" i="6" s="1"/>
  <c r="M624" i="6"/>
  <c r="Q467" i="6"/>
  <c r="M492" i="6"/>
  <c r="R490" i="6"/>
  <c r="R492" i="6" s="1"/>
  <c r="AJ24" i="33"/>
  <c r="AK25" i="33"/>
  <c r="AK26" i="33" s="1"/>
  <c r="N17" i="33"/>
  <c r="U528" i="6"/>
  <c r="N635" i="6"/>
  <c r="N529" i="6"/>
  <c r="N564" i="6"/>
  <c r="U563" i="6"/>
  <c r="U564" i="6" s="1"/>
  <c r="U532" i="6"/>
  <c r="U534" i="6" s="1"/>
  <c r="N534" i="6"/>
  <c r="N633" i="6"/>
  <c r="R612" i="6"/>
  <c r="R614" i="6" s="1"/>
  <c r="M614" i="6"/>
  <c r="U612" i="6"/>
  <c r="U614" i="6" s="1"/>
  <c r="N614" i="6"/>
  <c r="N36" i="2"/>
  <c r="T690" i="6"/>
  <c r="T692" i="6" s="1"/>
  <c r="N692" i="6"/>
  <c r="R480" i="6"/>
  <c r="R482" i="6" s="1"/>
  <c r="M482" i="6"/>
  <c r="U480" i="6"/>
  <c r="U482" i="6" s="1"/>
  <c r="N482" i="6"/>
  <c r="Q440" i="6"/>
  <c r="M442" i="6"/>
  <c r="N747" i="6"/>
  <c r="T745" i="6"/>
  <c r="T747" i="6" s="1"/>
  <c r="N457" i="6"/>
  <c r="T455" i="6"/>
  <c r="T457" i="6" s="1"/>
  <c r="M457" i="6"/>
  <c r="Q455" i="6"/>
  <c r="U572" i="6"/>
  <c r="U574" i="6" s="1"/>
  <c r="N574" i="6"/>
  <c r="N765" i="6"/>
  <c r="T763" i="6"/>
  <c r="T765" i="6" s="1"/>
  <c r="Q811" i="6"/>
  <c r="M813" i="6"/>
  <c r="M657" i="6"/>
  <c r="Q655" i="6"/>
  <c r="U578" i="6"/>
  <c r="U579" i="6" s="1"/>
  <c r="N579" i="6"/>
  <c r="U617" i="6"/>
  <c r="U619" i="6" s="1"/>
  <c r="N619" i="6"/>
  <c r="Q861" i="6"/>
  <c r="Q727" i="6"/>
  <c r="R602" i="6"/>
  <c r="R604" i="6" s="1"/>
  <c r="M604" i="6"/>
  <c r="Q627" i="6"/>
  <c r="M629" i="6"/>
  <c r="M632" i="6" s="1"/>
  <c r="Q672" i="6"/>
  <c r="Q677" i="6"/>
  <c r="M387" i="6"/>
  <c r="Q386" i="6"/>
  <c r="R568" i="6"/>
  <c r="R569" i="6" s="1"/>
  <c r="M569" i="6"/>
  <c r="M559" i="6"/>
  <c r="R557" i="6"/>
  <c r="R559" i="6" s="1"/>
  <c r="U557" i="6"/>
  <c r="U559" i="6" s="1"/>
  <c r="N559" i="6"/>
  <c r="U380" i="6"/>
  <c r="U382" i="6" s="1"/>
  <c r="N382" i="6"/>
  <c r="Q667" i="6"/>
  <c r="F28" i="1"/>
  <c r="B28" i="1" s="1"/>
  <c r="E28" i="1"/>
  <c r="G8" i="3" s="1"/>
  <c r="AM9" i="4"/>
  <c r="N750" i="6"/>
  <c r="T392" i="6"/>
  <c r="Q891" i="6"/>
  <c r="R487" i="6"/>
  <c r="Q447" i="6"/>
  <c r="Q737" i="6"/>
  <c r="Q662" i="6"/>
  <c r="Q751" i="6"/>
  <c r="Q851" i="6"/>
  <c r="Q712" i="6"/>
  <c r="Q407" i="6"/>
  <c r="R584" i="6"/>
  <c r="T662" i="6"/>
  <c r="Q732" i="6"/>
  <c r="Q697" i="6"/>
  <c r="R505" i="6"/>
  <c r="R507" i="6"/>
  <c r="M8" i="3" l="1"/>
  <c r="S862" i="3"/>
  <c r="U862" i="3" s="1"/>
  <c r="G869" i="6" s="1"/>
  <c r="S863" i="3"/>
  <c r="U863" i="3" s="1"/>
  <c r="F34" i="1"/>
  <c r="B34" i="1" s="1"/>
  <c r="E35" i="1"/>
  <c r="N8" i="3" s="1"/>
  <c r="Z189" i="4"/>
  <c r="Z276" i="4" s="1"/>
  <c r="AC276" i="4" s="1"/>
  <c r="AM276" i="4" s="1"/>
  <c r="V276" i="4"/>
  <c r="AA189" i="4"/>
  <c r="AA276" i="4" s="1"/>
  <c r="C17" i="582"/>
  <c r="L49" i="582" s="1"/>
  <c r="K49" i="582"/>
  <c r="O23" i="33"/>
  <c r="O22" i="33" s="1"/>
  <c r="AC181" i="4"/>
  <c r="AC15" i="4"/>
  <c r="E27" i="2"/>
  <c r="O17" i="33"/>
  <c r="G9" i="3"/>
  <c r="G6" i="5" s="1"/>
  <c r="F202" i="3"/>
  <c r="F205" i="3"/>
  <c r="F207" i="3"/>
  <c r="F324" i="3"/>
  <c r="F326" i="3"/>
  <c r="F329" i="3"/>
  <c r="F331" i="3"/>
  <c r="F979" i="3"/>
  <c r="S979" i="3" s="1"/>
  <c r="F982" i="3"/>
  <c r="S982" i="3" s="1"/>
  <c r="F984" i="3"/>
  <c r="S984" i="3" s="1"/>
  <c r="F201" i="3"/>
  <c r="F206" i="3"/>
  <c r="F323" i="3"/>
  <c r="F363" i="3" s="1"/>
  <c r="F325" i="3"/>
  <c r="F365" i="3" s="1"/>
  <c r="F327" i="3"/>
  <c r="F368" i="3" s="1"/>
  <c r="F512" i="3" s="1"/>
  <c r="F330" i="3"/>
  <c r="F978" i="3"/>
  <c r="S978" i="3" s="1"/>
  <c r="F980" i="3"/>
  <c r="S980" i="3" s="1"/>
  <c r="F983" i="3"/>
  <c r="S983" i="3" s="1"/>
  <c r="F989" i="3"/>
  <c r="S989" i="3" s="1"/>
  <c r="Z192" i="4"/>
  <c r="AC192" i="4" s="1"/>
  <c r="AD192" i="4" s="1"/>
  <c r="AA192" i="4"/>
  <c r="AA279" i="4" s="1"/>
  <c r="AL276" i="4"/>
  <c r="AO276" i="4" s="1"/>
  <c r="V279" i="4"/>
  <c r="AO189" i="4"/>
  <c r="AC182" i="4"/>
  <c r="AC180" i="4"/>
  <c r="AC179" i="4"/>
  <c r="AC178" i="4"/>
  <c r="AD178" i="4" s="1"/>
  <c r="F1110" i="3" s="1"/>
  <c r="AC177" i="4"/>
  <c r="AC183" i="4"/>
  <c r="F41" i="2"/>
  <c r="T632" i="6"/>
  <c r="T760" i="6"/>
  <c r="T813" i="6"/>
  <c r="U492" i="6"/>
  <c r="T751" i="6"/>
  <c r="U507" i="6"/>
  <c r="Q506" i="6"/>
  <c r="T506" i="6"/>
  <c r="T697" i="6"/>
  <c r="T507" i="6"/>
  <c r="T387" i="6"/>
  <c r="T407" i="6"/>
  <c r="U462" i="6"/>
  <c r="T881" i="6"/>
  <c r="U569" i="6"/>
  <c r="U505" i="6"/>
  <c r="T677" i="6"/>
  <c r="U599" i="6"/>
  <c r="N632" i="6"/>
  <c r="E17" i="2"/>
  <c r="M16" i="2"/>
  <c r="I28" i="2"/>
  <c r="E28" i="2" s="1"/>
  <c r="J753" i="6"/>
  <c r="M36" i="2"/>
  <c r="F5" i="5"/>
  <c r="F18" i="2"/>
  <c r="K311" i="15"/>
  <c r="K312" i="15" s="1"/>
  <c r="K313" i="15" s="1"/>
  <c r="K314" i="15" s="1"/>
  <c r="K315" i="15" s="1"/>
  <c r="K316" i="15" s="1"/>
  <c r="K317" i="15" s="1"/>
  <c r="K318" i="15" s="1"/>
  <c r="K319" i="15" s="1"/>
  <c r="K320" i="15" s="1"/>
  <c r="K321" i="15" s="1"/>
  <c r="K322" i="15" s="1"/>
  <c r="K323" i="15" s="1"/>
  <c r="K324" i="15" s="1"/>
  <c r="K325" i="15" s="1"/>
  <c r="K326" i="15" s="1"/>
  <c r="K327" i="15" s="1"/>
  <c r="K328" i="15" s="1"/>
  <c r="K329" i="15" s="1"/>
  <c r="K330" i="15" s="1"/>
  <c r="K331" i="15" s="1"/>
  <c r="Y361" i="6"/>
  <c r="Y362" i="6" s="1"/>
  <c r="Y363" i="6" s="1"/>
  <c r="Y364" i="6" s="1"/>
  <c r="F69" i="2"/>
  <c r="N753" i="6"/>
  <c r="F1260" i="6"/>
  <c r="Q507" i="6"/>
  <c r="R633" i="6"/>
  <c r="T750" i="6"/>
  <c r="R503" i="6"/>
  <c r="R501" i="6"/>
  <c r="Q750" i="6"/>
  <c r="T503" i="6"/>
  <c r="R509" i="6"/>
  <c r="U501" i="6"/>
  <c r="M509" i="6"/>
  <c r="M753" i="6"/>
  <c r="T497" i="6"/>
  <c r="N509" i="6"/>
  <c r="T502" i="6"/>
  <c r="U633" i="6"/>
  <c r="U503" i="6"/>
  <c r="G196" i="15"/>
  <c r="Q813" i="6"/>
  <c r="Q442" i="6"/>
  <c r="Q503" i="6"/>
  <c r="K22" i="14"/>
  <c r="M22" i="14"/>
  <c r="AC230" i="4"/>
  <c r="AC59" i="4"/>
  <c r="AC191" i="4"/>
  <c r="AC245" i="4"/>
  <c r="AC168" i="4"/>
  <c r="AC158" i="4"/>
  <c r="AC80" i="4"/>
  <c r="AC87" i="4"/>
  <c r="AC202" i="4"/>
  <c r="AC227" i="4"/>
  <c r="AC233" i="4"/>
  <c r="AC51" i="4"/>
  <c r="AM51" i="4" s="1"/>
  <c r="AN51" i="4" s="1"/>
  <c r="AC152" i="4"/>
  <c r="AC228" i="4"/>
  <c r="AC40" i="4"/>
  <c r="AC224" i="4"/>
  <c r="AC173" i="4"/>
  <c r="AC94" i="4"/>
  <c r="AC30" i="4"/>
  <c r="AC18" i="4"/>
  <c r="AC106" i="4"/>
  <c r="AC69" i="4"/>
  <c r="AC160" i="4"/>
  <c r="AC196" i="4"/>
  <c r="AC71" i="4"/>
  <c r="AM71" i="4" s="1"/>
  <c r="AN71" i="4" s="1"/>
  <c r="AC99" i="4"/>
  <c r="AC60" i="4"/>
  <c r="AC54" i="4"/>
  <c r="AM54" i="4" s="1"/>
  <c r="AN54" i="4" s="1"/>
  <c r="AC73" i="4"/>
  <c r="AC187" i="4"/>
  <c r="AM187" i="4" s="1"/>
  <c r="AC26" i="4"/>
  <c r="AC50" i="4"/>
  <c r="AC164" i="4"/>
  <c r="AC264" i="4"/>
  <c r="AM264" i="4" s="1"/>
  <c r="AN264" i="4" s="1"/>
  <c r="AC263" i="4"/>
  <c r="AC72" i="4"/>
  <c r="AC248" i="4"/>
  <c r="AC45" i="4"/>
  <c r="AC165" i="4"/>
  <c r="AC133" i="4"/>
  <c r="AC194" i="4"/>
  <c r="AC25" i="4"/>
  <c r="AC212" i="4"/>
  <c r="AC242" i="4"/>
  <c r="AC47" i="4"/>
  <c r="AC151" i="4"/>
  <c r="AC253" i="4"/>
  <c r="AC28" i="4"/>
  <c r="AC184" i="4"/>
  <c r="AC139" i="4"/>
  <c r="AC90" i="4"/>
  <c r="AC91" i="4"/>
  <c r="AC107" i="4"/>
  <c r="AC234" i="4"/>
  <c r="AC188" i="4"/>
  <c r="AM188" i="4" s="1"/>
  <c r="AC136" i="4"/>
  <c r="AC247" i="4"/>
  <c r="AC208" i="4"/>
  <c r="AC49" i="4"/>
  <c r="AC111" i="4"/>
  <c r="AC31" i="4"/>
  <c r="AC68" i="4"/>
  <c r="AC232" i="4"/>
  <c r="AD232" i="4" s="1"/>
  <c r="AC102" i="4"/>
  <c r="AC124" i="4"/>
  <c r="AM124" i="4" s="1"/>
  <c r="AN124" i="4" s="1"/>
  <c r="AC250" i="4"/>
  <c r="AC95" i="4"/>
  <c r="AC214" i="4"/>
  <c r="AC261" i="4"/>
  <c r="AC167" i="4"/>
  <c r="AC267" i="4"/>
  <c r="AM267" i="4" s="1"/>
  <c r="AN267" i="4" s="1"/>
  <c r="AC23" i="4"/>
  <c r="AC278" i="4"/>
  <c r="AC83" i="4"/>
  <c r="AM83" i="4" s="1"/>
  <c r="AN83" i="4" s="1"/>
  <c r="AC32" i="4"/>
  <c r="AC249" i="4"/>
  <c r="AC171" i="4"/>
  <c r="AC110" i="4"/>
  <c r="AC220" i="4"/>
  <c r="AC236" i="4"/>
  <c r="AC197" i="4"/>
  <c r="AC112" i="4"/>
  <c r="AC256" i="4"/>
  <c r="AC225" i="4"/>
  <c r="AC122" i="4"/>
  <c r="AC22" i="4"/>
  <c r="AC29" i="4"/>
  <c r="AC92" i="4"/>
  <c r="AC126" i="4"/>
  <c r="AC121" i="4"/>
  <c r="AC115" i="4"/>
  <c r="AC190" i="4"/>
  <c r="AC17" i="4"/>
  <c r="AC204" i="4"/>
  <c r="AM204" i="4" s="1"/>
  <c r="AN204" i="4" s="1"/>
  <c r="AC218" i="4"/>
  <c r="AC269" i="4"/>
  <c r="AC195" i="4"/>
  <c r="AC98" i="4"/>
  <c r="AC67" i="4"/>
  <c r="AC172" i="4"/>
  <c r="AC116" i="4"/>
  <c r="AC97" i="4"/>
  <c r="AC16" i="4"/>
  <c r="AC238" i="4"/>
  <c r="AC159" i="4"/>
  <c r="AC103" i="4"/>
  <c r="AC82" i="4"/>
  <c r="AC251" i="4"/>
  <c r="AC239" i="4"/>
  <c r="AC137" i="4"/>
  <c r="AC254" i="4"/>
  <c r="AC215" i="4"/>
  <c r="AC44" i="4"/>
  <c r="AC231" i="4"/>
  <c r="AC222" i="4"/>
  <c r="AC140" i="4"/>
  <c r="AC56" i="4"/>
  <c r="AM56" i="4" s="1"/>
  <c r="AN56" i="4" s="1"/>
  <c r="AC96" i="4"/>
  <c r="AC36" i="4"/>
  <c r="AC217" i="4"/>
  <c r="AC153" i="4"/>
  <c r="AC223" i="4"/>
  <c r="AC39" i="4"/>
  <c r="AC109" i="4"/>
  <c r="AC101" i="4"/>
  <c r="AC58" i="4"/>
  <c r="AC156" i="4"/>
  <c r="AC42" i="4"/>
  <c r="AC48" i="4"/>
  <c r="AC134" i="4"/>
  <c r="AC70" i="4"/>
  <c r="AC62" i="4"/>
  <c r="AC141" i="4"/>
  <c r="AC123" i="4"/>
  <c r="AC89" i="4"/>
  <c r="AC24" i="4"/>
  <c r="AC147" i="4"/>
  <c r="AC132" i="4"/>
  <c r="AC129" i="4"/>
  <c r="AC257" i="4"/>
  <c r="AC120" i="4"/>
  <c r="AC105" i="4"/>
  <c r="AC262" i="4"/>
  <c r="AC46" i="4"/>
  <c r="AC161" i="4"/>
  <c r="AC210" i="4"/>
  <c r="AC41" i="4"/>
  <c r="AC79" i="4"/>
  <c r="AC76" i="4"/>
  <c r="AM76" i="4" s="1"/>
  <c r="AN76" i="4" s="1"/>
  <c r="AC175" i="4"/>
  <c r="AC53" i="4"/>
  <c r="AC226" i="4"/>
  <c r="AC34" i="4"/>
  <c r="AC155" i="4"/>
  <c r="AC104" i="4"/>
  <c r="AC185" i="4"/>
  <c r="AC131" i="4"/>
  <c r="AC268" i="4"/>
  <c r="AC118" i="4"/>
  <c r="AC108" i="4"/>
  <c r="AC38" i="4"/>
  <c r="AC163" i="4"/>
  <c r="AC35" i="4"/>
  <c r="AC213" i="4"/>
  <c r="AC52" i="4"/>
  <c r="AC176" i="4"/>
  <c r="AC258" i="4"/>
  <c r="AC241" i="4"/>
  <c r="AC154" i="4"/>
  <c r="AC235" i="4"/>
  <c r="AC145" i="4"/>
  <c r="AC66" i="4"/>
  <c r="AM66" i="4" s="1"/>
  <c r="AN66" i="4" s="1"/>
  <c r="AC85" i="4"/>
  <c r="AC125" i="4"/>
  <c r="AC64" i="4"/>
  <c r="AC271" i="4"/>
  <c r="AC127" i="4"/>
  <c r="AC189" i="4"/>
  <c r="AM189" i="4" s="1"/>
  <c r="AC128" i="4"/>
  <c r="AC157" i="4"/>
  <c r="AC33" i="4"/>
  <c r="AC219" i="4"/>
  <c r="AC61" i="4"/>
  <c r="AM61" i="4" s="1"/>
  <c r="AN61" i="4" s="1"/>
  <c r="AC100" i="4"/>
  <c r="AC86" i="4"/>
  <c r="AC221" i="4"/>
  <c r="AC201" i="4"/>
  <c r="AC117" i="4"/>
  <c r="AC119" i="4"/>
  <c r="AC144" i="4"/>
  <c r="AC246" i="4"/>
  <c r="AC277" i="4"/>
  <c r="AC135" i="4"/>
  <c r="AC240" i="4"/>
  <c r="AC57" i="4"/>
  <c r="AC88" i="4"/>
  <c r="AC170" i="4"/>
  <c r="AC93" i="4"/>
  <c r="AC174" i="4"/>
  <c r="AC75" i="4"/>
  <c r="AC162" i="4"/>
  <c r="AC43" i="4"/>
  <c r="AC260" i="4"/>
  <c r="AC169" i="4"/>
  <c r="AC193" i="4"/>
  <c r="AC209" i="4"/>
  <c r="AC114" i="4"/>
  <c r="AC211" i="4"/>
  <c r="AC229" i="4"/>
  <c r="AC259" i="4"/>
  <c r="AC216" i="4"/>
  <c r="AC142" i="4"/>
  <c r="AC146" i="4"/>
  <c r="AC186" i="4"/>
  <c r="AM186" i="4" s="1"/>
  <c r="AC77" i="4"/>
  <c r="AC81" i="4"/>
  <c r="AM81" i="4" s="1"/>
  <c r="AN81" i="4" s="1"/>
  <c r="AC203" i="4"/>
  <c r="AC74" i="4"/>
  <c r="AC243" i="4"/>
  <c r="AM243" i="4" s="1"/>
  <c r="AN243" i="4" s="1"/>
  <c r="AC20" i="4"/>
  <c r="AC63" i="4"/>
  <c r="AC37" i="4"/>
  <c r="AC252" i="4"/>
  <c r="AC78" i="4"/>
  <c r="AC138" i="4"/>
  <c r="AC207" i="4"/>
  <c r="AC148" i="4"/>
  <c r="AC21" i="4"/>
  <c r="AC237" i="4"/>
  <c r="AC55" i="4"/>
  <c r="AC113" i="4"/>
  <c r="AC244" i="4"/>
  <c r="AC27" i="4"/>
  <c r="AC65" i="4"/>
  <c r="AC166" i="4"/>
  <c r="AC130" i="4"/>
  <c r="AC255" i="4"/>
  <c r="AC19" i="4"/>
  <c r="AC84" i="4"/>
  <c r="AC143" i="4"/>
  <c r="AC149" i="4"/>
  <c r="F29" i="1"/>
  <c r="B29" i="1" s="1"/>
  <c r="E29" i="1"/>
  <c r="H8" i="3" s="1"/>
  <c r="Q387" i="6"/>
  <c r="Q629" i="6"/>
  <c r="Q657" i="6"/>
  <c r="Q457" i="6"/>
  <c r="Q502" i="6"/>
  <c r="U635" i="6"/>
  <c r="U529" i="6"/>
  <c r="R635" i="6"/>
  <c r="AJ26" i="33"/>
  <c r="AK27" i="33"/>
  <c r="AC150" i="4"/>
  <c r="Q760" i="6"/>
  <c r="Q765" i="6"/>
  <c r="Q747" i="6"/>
  <c r="Q692" i="6"/>
  <c r="D50" i="12"/>
  <c r="F50" i="12" s="1"/>
  <c r="C50" i="12"/>
  <c r="Q640" i="6"/>
  <c r="N1" i="3" l="1"/>
  <c r="N5" i="5"/>
  <c r="M1" i="3"/>
  <c r="M5" i="5"/>
  <c r="F35" i="1"/>
  <c r="B35" i="1" s="1"/>
  <c r="M9" i="3" s="1"/>
  <c r="M6" i="5" s="1"/>
  <c r="S1110" i="3"/>
  <c r="U1110" i="3" s="1"/>
  <c r="G870" i="6"/>
  <c r="V863" i="3"/>
  <c r="V862" i="3"/>
  <c r="I869" i="6"/>
  <c r="E869" i="6"/>
  <c r="E36" i="1"/>
  <c r="O8" i="3" s="1"/>
  <c r="F366" i="3"/>
  <c r="F13" i="5" s="1"/>
  <c r="F371" i="3"/>
  <c r="F364" i="3"/>
  <c r="F12" i="5" s="1"/>
  <c r="F635" i="3"/>
  <c r="F370" i="3"/>
  <c r="F372" i="3"/>
  <c r="F636" i="3"/>
  <c r="H9" i="3"/>
  <c r="H6" i="5" s="1"/>
  <c r="AN276" i="4"/>
  <c r="F44" i="2"/>
  <c r="U509" i="6"/>
  <c r="U983" i="3"/>
  <c r="V983" i="3" s="1"/>
  <c r="U980" i="3"/>
  <c r="V980" i="3" s="1"/>
  <c r="U979" i="3"/>
  <c r="V979" i="3" s="1"/>
  <c r="U984" i="3"/>
  <c r="V984" i="3" s="1"/>
  <c r="U982" i="3"/>
  <c r="V982" i="3" s="1"/>
  <c r="AM178" i="4"/>
  <c r="AN178" i="4" s="1"/>
  <c r="AM180" i="4"/>
  <c r="AN180" i="4" s="1"/>
  <c r="AD180" i="4"/>
  <c r="F1112" i="3" s="1"/>
  <c r="AM182" i="4"/>
  <c r="AN182" i="4" s="1"/>
  <c r="AD182" i="4"/>
  <c r="F1114" i="3" s="1"/>
  <c r="F57" i="5" s="1"/>
  <c r="AM179" i="4"/>
  <c r="AN179" i="4" s="1"/>
  <c r="AD179" i="4"/>
  <c r="F1111" i="3" s="1"/>
  <c r="AM181" i="4"/>
  <c r="AN181" i="4" s="1"/>
  <c r="AD181" i="4"/>
  <c r="F1113" i="3" s="1"/>
  <c r="S1113" i="3" s="1"/>
  <c r="T753" i="6"/>
  <c r="O15" i="33"/>
  <c r="P15" i="33" s="1"/>
  <c r="P17" i="33" s="1"/>
  <c r="O16" i="33"/>
  <c r="AD143" i="4"/>
  <c r="AM143" i="4"/>
  <c r="AN143" i="4" s="1"/>
  <c r="AM89" i="4"/>
  <c r="AN89" i="4" s="1"/>
  <c r="AM101" i="4"/>
  <c r="AN101" i="4" s="1"/>
  <c r="M28" i="2"/>
  <c r="AM130" i="4"/>
  <c r="AN130" i="4" s="1"/>
  <c r="AM135" i="4"/>
  <c r="AN135" i="4" s="1"/>
  <c r="AM118" i="4"/>
  <c r="AN118" i="4" s="1"/>
  <c r="AM95" i="4"/>
  <c r="AN95" i="4" s="1"/>
  <c r="AM94" i="4"/>
  <c r="AN94" i="4" s="1"/>
  <c r="AM141" i="4"/>
  <c r="AN141" i="4" s="1"/>
  <c r="AM112" i="4"/>
  <c r="AN112" i="4" s="1"/>
  <c r="AM107" i="4"/>
  <c r="AN107" i="4" s="1"/>
  <c r="G5" i="5"/>
  <c r="K332" i="15"/>
  <c r="K333" i="15" s="1"/>
  <c r="K334" i="15" s="1"/>
  <c r="K335" i="15" s="1"/>
  <c r="K336" i="15" s="1"/>
  <c r="K337" i="15" s="1"/>
  <c r="K338" i="15" s="1"/>
  <c r="K339" i="15" s="1"/>
  <c r="K340" i="15" s="1"/>
  <c r="K341" i="15" s="1"/>
  <c r="K342" i="15" s="1"/>
  <c r="K343" i="15" s="1"/>
  <c r="K344" i="15" s="1"/>
  <c r="K345" i="15" s="1"/>
  <c r="K346" i="15" s="1"/>
  <c r="K347" i="15" s="1"/>
  <c r="K348" i="15" s="1"/>
  <c r="K349" i="15" s="1"/>
  <c r="K350" i="15" s="1"/>
  <c r="K351" i="15" s="1"/>
  <c r="K352" i="15" s="1"/>
  <c r="K353" i="15" s="1"/>
  <c r="K354" i="15" s="1"/>
  <c r="K355" i="15" s="1"/>
  <c r="K356" i="15" s="1"/>
  <c r="K357" i="15" s="1"/>
  <c r="K358" i="15" s="1"/>
  <c r="K359" i="15" s="1"/>
  <c r="K360" i="15" s="1"/>
  <c r="K361" i="15" s="1"/>
  <c r="K362" i="15" s="1"/>
  <c r="K363" i="15" s="1"/>
  <c r="K364" i="15" s="1"/>
  <c r="K365" i="15" s="1"/>
  <c r="K366" i="15" s="1"/>
  <c r="K367" i="15" s="1"/>
  <c r="K368" i="15" s="1"/>
  <c r="K369" i="15" s="1"/>
  <c r="K370" i="15" s="1"/>
  <c r="K371" i="15" s="1"/>
  <c r="K372" i="15" s="1"/>
  <c r="K373" i="15" s="1"/>
  <c r="K374" i="15" s="1"/>
  <c r="K375" i="15" s="1"/>
  <c r="K376" i="15" s="1"/>
  <c r="K377" i="15" s="1"/>
  <c r="K378" i="15" s="1"/>
  <c r="K379" i="15" s="1"/>
  <c r="K380" i="15" s="1"/>
  <c r="K381" i="15" s="1"/>
  <c r="K382" i="15" s="1"/>
  <c r="K383" i="15" s="1"/>
  <c r="K384" i="15" s="1"/>
  <c r="K385" i="15" s="1"/>
  <c r="K386" i="15" s="1"/>
  <c r="K387" i="15" s="1"/>
  <c r="K388" i="15" s="1"/>
  <c r="K389" i="15" s="1"/>
  <c r="K390" i="15" s="1"/>
  <c r="K391" i="15" s="1"/>
  <c r="K392" i="15" s="1"/>
  <c r="K393" i="15" s="1"/>
  <c r="K394" i="15" s="1"/>
  <c r="K395" i="15" s="1"/>
  <c r="K396" i="15" s="1"/>
  <c r="K397" i="15" s="1"/>
  <c r="K398" i="15" s="1"/>
  <c r="K399" i="15" s="1"/>
  <c r="K400" i="15" s="1"/>
  <c r="K401" i="15" s="1"/>
  <c r="K402" i="15" s="1"/>
  <c r="K403" i="15" s="1"/>
  <c r="K404" i="15" s="1"/>
  <c r="K405" i="15" s="1"/>
  <c r="K406" i="15" s="1"/>
  <c r="K407" i="15" s="1"/>
  <c r="K408" i="15" s="1"/>
  <c r="K409" i="15" s="1"/>
  <c r="K410" i="15" s="1"/>
  <c r="K411" i="15" s="1"/>
  <c r="K412" i="15" s="1"/>
  <c r="K413" i="15" s="1"/>
  <c r="K414" i="15" s="1"/>
  <c r="K415" i="15" s="1"/>
  <c r="K416" i="15" s="1"/>
  <c r="K417" i="15" s="1"/>
  <c r="K418" i="15" s="1"/>
  <c r="K419" i="15" s="1"/>
  <c r="K420" i="15" s="1"/>
  <c r="K421" i="15" s="1"/>
  <c r="Y365" i="6"/>
  <c r="Y366" i="6" s="1"/>
  <c r="W366" i="6" s="1"/>
  <c r="W364" i="6"/>
  <c r="Q753" i="6"/>
  <c r="Q509" i="6"/>
  <c r="T509" i="6"/>
  <c r="AD150" i="4"/>
  <c r="AM150" i="4"/>
  <c r="AN150" i="4" s="1"/>
  <c r="O21" i="33"/>
  <c r="P21" i="33" s="1"/>
  <c r="P23" i="33" s="1"/>
  <c r="E30" i="1"/>
  <c r="I8" i="3" s="1"/>
  <c r="I5" i="5" s="1"/>
  <c r="F30" i="1"/>
  <c r="B30" i="1" s="1"/>
  <c r="AM149" i="4"/>
  <c r="AN149" i="4" s="1"/>
  <c r="AD149" i="4"/>
  <c r="AM192" i="4"/>
  <c r="AN192" i="4" s="1"/>
  <c r="AD130" i="4"/>
  <c r="AM65" i="4"/>
  <c r="AN65" i="4" s="1"/>
  <c r="AD65" i="4"/>
  <c r="F1000" i="3" s="1"/>
  <c r="S1000" i="3" s="1"/>
  <c r="AD55" i="4"/>
  <c r="F990" i="3" s="1"/>
  <c r="AM55" i="4"/>
  <c r="AN55" i="4" s="1"/>
  <c r="AM21" i="4"/>
  <c r="AD21" i="4"/>
  <c r="F956" i="3" s="1"/>
  <c r="AM207" i="4"/>
  <c r="AN207" i="4" s="1"/>
  <c r="AD207" i="4"/>
  <c r="AD74" i="4"/>
  <c r="F1009" i="3" s="1"/>
  <c r="S1009" i="3" s="1"/>
  <c r="AM74" i="4"/>
  <c r="AN74" i="4" s="1"/>
  <c r="AN186" i="4"/>
  <c r="AD186" i="4"/>
  <c r="AD75" i="4"/>
  <c r="F1010" i="3" s="1"/>
  <c r="S1010" i="3" s="1"/>
  <c r="AM75" i="4"/>
  <c r="AN75" i="4" s="1"/>
  <c r="AM93" i="4"/>
  <c r="AN93" i="4" s="1"/>
  <c r="AD93" i="4"/>
  <c r="AM88" i="4"/>
  <c r="AN88" i="4" s="1"/>
  <c r="AD88" i="4"/>
  <c r="AD135" i="4"/>
  <c r="AM246" i="4"/>
  <c r="AN246" i="4" s="1"/>
  <c r="AD246" i="4"/>
  <c r="AM33" i="4"/>
  <c r="AD33" i="4"/>
  <c r="F968" i="3" s="1"/>
  <c r="S968" i="3" s="1"/>
  <c r="AM128" i="4"/>
  <c r="AN128" i="4" s="1"/>
  <c r="AD128" i="4"/>
  <c r="AD127" i="4"/>
  <c r="AM127" i="4"/>
  <c r="AN127" i="4" s="1"/>
  <c r="AM64" i="4"/>
  <c r="AN64" i="4" s="1"/>
  <c r="AD64" i="4"/>
  <c r="F999" i="3" s="1"/>
  <c r="S999" i="3" s="1"/>
  <c r="AD154" i="4"/>
  <c r="AM154" i="4"/>
  <c r="AN154" i="4" s="1"/>
  <c r="AM38" i="4"/>
  <c r="AD38" i="4"/>
  <c r="F973" i="3" s="1"/>
  <c r="S973" i="3" s="1"/>
  <c r="AD118" i="4"/>
  <c r="AD104" i="4"/>
  <c r="AM104" i="4"/>
  <c r="AN104" i="4" s="1"/>
  <c r="AD226" i="4"/>
  <c r="AM226" i="4"/>
  <c r="AN226" i="4" s="1"/>
  <c r="AD175" i="4"/>
  <c r="F1107" i="3" s="1"/>
  <c r="AM175" i="4"/>
  <c r="AN175" i="4" s="1"/>
  <c r="AM79" i="4"/>
  <c r="AN79" i="4" s="1"/>
  <c r="AD79" i="4"/>
  <c r="AD46" i="4"/>
  <c r="F981" i="3" s="1"/>
  <c r="S981" i="3" s="1"/>
  <c r="AM46" i="4"/>
  <c r="AN46" i="4" s="1"/>
  <c r="AM105" i="4"/>
  <c r="AN105" i="4" s="1"/>
  <c r="AD105" i="4"/>
  <c r="AD257" i="4"/>
  <c r="AM257" i="4"/>
  <c r="AN257" i="4" s="1"/>
  <c r="AM24" i="4"/>
  <c r="AN24" i="4" s="1"/>
  <c r="AD24" i="4"/>
  <c r="F959" i="3" s="1"/>
  <c r="AM123" i="4"/>
  <c r="AN123" i="4" s="1"/>
  <c r="AD123" i="4"/>
  <c r="AM134" i="4"/>
  <c r="AN134" i="4" s="1"/>
  <c r="AD134" i="4"/>
  <c r="AM39" i="4"/>
  <c r="AN39" i="4" s="1"/>
  <c r="AD39" i="4"/>
  <c r="F974" i="3" s="1"/>
  <c r="S974" i="3" s="1"/>
  <c r="AD153" i="4"/>
  <c r="AM153" i="4"/>
  <c r="AN153" i="4" s="1"/>
  <c r="AM222" i="4"/>
  <c r="AN222" i="4" s="1"/>
  <c r="AD222" i="4"/>
  <c r="AD215" i="4"/>
  <c r="AM215" i="4"/>
  <c r="AN215" i="4" s="1"/>
  <c r="AM172" i="4"/>
  <c r="AN172" i="4" s="1"/>
  <c r="AD172" i="4"/>
  <c r="F1104" i="3" s="1"/>
  <c r="S1104" i="3" s="1"/>
  <c r="AM98" i="4"/>
  <c r="AN98" i="4" s="1"/>
  <c r="AD98" i="4"/>
  <c r="AD115" i="4"/>
  <c r="AM115" i="4"/>
  <c r="AN115" i="4" s="1"/>
  <c r="AM122" i="4"/>
  <c r="AN122" i="4" s="1"/>
  <c r="AD122" i="4"/>
  <c r="AM256" i="4"/>
  <c r="AN256" i="4" s="1"/>
  <c r="AD256" i="4"/>
  <c r="AM220" i="4"/>
  <c r="AN220" i="4" s="1"/>
  <c r="AD220" i="4"/>
  <c r="AM171" i="4"/>
  <c r="AN171" i="4" s="1"/>
  <c r="F23" i="17"/>
  <c r="H23" i="17" s="1"/>
  <c r="AD171" i="4"/>
  <c r="AM261" i="4"/>
  <c r="AN261" i="4" s="1"/>
  <c r="AD261" i="4"/>
  <c r="AD95" i="4"/>
  <c r="AD124" i="4"/>
  <c r="AM111" i="4"/>
  <c r="AN111" i="4" s="1"/>
  <c r="AD111" i="4"/>
  <c r="AD208" i="4"/>
  <c r="AM208" i="4"/>
  <c r="AN208" i="4" s="1"/>
  <c r="AM253" i="4"/>
  <c r="AN253" i="4" s="1"/>
  <c r="AD253" i="4"/>
  <c r="AD212" i="4"/>
  <c r="AM212" i="4"/>
  <c r="AN212" i="4" s="1"/>
  <c r="AM165" i="4"/>
  <c r="AN165" i="4" s="1"/>
  <c r="AD165" i="4"/>
  <c r="AM248" i="4"/>
  <c r="AN248" i="4" s="1"/>
  <c r="AD248" i="4"/>
  <c r="AD164" i="4"/>
  <c r="F22" i="17"/>
  <c r="AM164" i="4"/>
  <c r="AN164" i="4" s="1"/>
  <c r="AM26" i="4"/>
  <c r="AN26" i="4" s="1"/>
  <c r="AD26" i="4"/>
  <c r="F961" i="3" s="1"/>
  <c r="AM60" i="4"/>
  <c r="AN60" i="4" s="1"/>
  <c r="AD60" i="4"/>
  <c r="F995" i="3" s="1"/>
  <c r="S995" i="3" s="1"/>
  <c r="AM160" i="4"/>
  <c r="AN160" i="4" s="1"/>
  <c r="AD160" i="4"/>
  <c r="AM106" i="4"/>
  <c r="AN106" i="4" s="1"/>
  <c r="AD106" i="4"/>
  <c r="AD94" i="4"/>
  <c r="AD227" i="4"/>
  <c r="AM227" i="4"/>
  <c r="AN227" i="4" s="1"/>
  <c r="AM87" i="4"/>
  <c r="AN87" i="4" s="1"/>
  <c r="AD87" i="4"/>
  <c r="AM158" i="4"/>
  <c r="AN158" i="4" s="1"/>
  <c r="AD158" i="4"/>
  <c r="AM230" i="4"/>
  <c r="AD230" i="4"/>
  <c r="M23" i="14"/>
  <c r="K23" i="14"/>
  <c r="L23" i="14" s="1"/>
  <c r="G130" i="15"/>
  <c r="I130" i="15" s="1"/>
  <c r="G65" i="15"/>
  <c r="I65" i="15" s="1"/>
  <c r="G69" i="15"/>
  <c r="I69" i="15" s="1"/>
  <c r="G128" i="15"/>
  <c r="I128" i="15" s="1"/>
  <c r="G251" i="15"/>
  <c r="I251" i="15" s="1"/>
  <c r="G121" i="15"/>
  <c r="I121" i="15" s="1"/>
  <c r="G107" i="15"/>
  <c r="I107" i="15" s="1"/>
  <c r="G225" i="15"/>
  <c r="I225" i="15" s="1"/>
  <c r="G127" i="15"/>
  <c r="I127" i="15" s="1"/>
  <c r="G38" i="15"/>
  <c r="I38" i="15" s="1"/>
  <c r="G260" i="15"/>
  <c r="I260" i="15" s="1"/>
  <c r="G177" i="15"/>
  <c r="I177" i="15" s="1"/>
  <c r="G314" i="15"/>
  <c r="I314" i="15" s="1"/>
  <c r="G234" i="15"/>
  <c r="I234" i="15" s="1"/>
  <c r="G172" i="15"/>
  <c r="I172" i="15" s="1"/>
  <c r="G276" i="15"/>
  <c r="I276" i="15" s="1"/>
  <c r="G98" i="15"/>
  <c r="I98" i="15" s="1"/>
  <c r="G116" i="15"/>
  <c r="I116" i="15" s="1"/>
  <c r="G202" i="15"/>
  <c r="I202" i="15" s="1"/>
  <c r="G279" i="15"/>
  <c r="I279" i="15" s="1"/>
  <c r="G322" i="15"/>
  <c r="I322" i="15" s="1"/>
  <c r="G200" i="15"/>
  <c r="G139" i="15"/>
  <c r="I139" i="15" s="1"/>
  <c r="G132" i="15"/>
  <c r="I132" i="15" s="1"/>
  <c r="G269" i="15"/>
  <c r="I269" i="15" s="1"/>
  <c r="G20" i="15"/>
  <c r="I20" i="15" s="1"/>
  <c r="G205" i="15"/>
  <c r="I205" i="15" s="1"/>
  <c r="G91" i="15"/>
  <c r="I91" i="15" s="1"/>
  <c r="G315" i="15"/>
  <c r="I315" i="15" s="1"/>
  <c r="G67" i="15"/>
  <c r="I67" i="15" s="1"/>
  <c r="G51" i="15"/>
  <c r="I51" i="15" s="1"/>
  <c r="G159" i="15"/>
  <c r="I159" i="15" s="1"/>
  <c r="G40" i="15"/>
  <c r="I40" i="15" s="1"/>
  <c r="G103" i="15"/>
  <c r="I103" i="15" s="1"/>
  <c r="G42" i="15"/>
  <c r="I42" i="15" s="1"/>
  <c r="G283" i="15"/>
  <c r="I283" i="15" s="1"/>
  <c r="G71" i="15"/>
  <c r="I71" i="15" s="1"/>
  <c r="G299" i="15"/>
  <c r="I299" i="15" s="1"/>
  <c r="G292" i="15"/>
  <c r="I292" i="15" s="1"/>
  <c r="G281" i="15"/>
  <c r="I281" i="15" s="1"/>
  <c r="G182" i="15"/>
  <c r="I182" i="15" s="1"/>
  <c r="G229" i="15"/>
  <c r="I229" i="15" s="1"/>
  <c r="G154" i="15"/>
  <c r="I154" i="15" s="1"/>
  <c r="G163" i="15"/>
  <c r="I163" i="15" s="1"/>
  <c r="G89" i="15"/>
  <c r="I89" i="15" s="1"/>
  <c r="G223" i="15"/>
  <c r="I223" i="15" s="1"/>
  <c r="G261" i="15"/>
  <c r="I261" i="15" s="1"/>
  <c r="G199" i="15"/>
  <c r="I199" i="15" s="1"/>
  <c r="G290" i="15"/>
  <c r="I290" i="15" s="1"/>
  <c r="G297" i="15"/>
  <c r="I297" i="15" s="1"/>
  <c r="G274" i="15"/>
  <c r="I274" i="15" s="1"/>
  <c r="G186" i="15"/>
  <c r="I186" i="15" s="1"/>
  <c r="G265" i="15"/>
  <c r="I265" i="15" s="1"/>
  <c r="G44" i="15"/>
  <c r="I44" i="15" s="1"/>
  <c r="G80" i="15"/>
  <c r="I80" i="15" s="1"/>
  <c r="G175" i="15"/>
  <c r="I175" i="15" s="1"/>
  <c r="I196" i="15"/>
  <c r="G125" i="15"/>
  <c r="I125" i="15" s="1"/>
  <c r="G31" i="15"/>
  <c r="I31" i="15" s="1"/>
  <c r="G235" i="15"/>
  <c r="I235" i="15" s="1"/>
  <c r="G181" i="15"/>
  <c r="I181" i="15" s="1"/>
  <c r="G73" i="15"/>
  <c r="I73" i="15" s="1"/>
  <c r="G328" i="15"/>
  <c r="I328" i="15" s="1"/>
  <c r="G209" i="15"/>
  <c r="I209" i="15" s="1"/>
  <c r="G324" i="15"/>
  <c r="I324" i="15" s="1"/>
  <c r="G206" i="15"/>
  <c r="I206" i="15" s="1"/>
  <c r="G301" i="15"/>
  <c r="I301" i="15" s="1"/>
  <c r="G306" i="15"/>
  <c r="I306" i="15" s="1"/>
  <c r="G105" i="15"/>
  <c r="I105" i="15" s="1"/>
  <c r="G56" i="15"/>
  <c r="I56" i="15" s="1"/>
  <c r="G320" i="15"/>
  <c r="I320" i="15" s="1"/>
  <c r="G288" i="15"/>
  <c r="I288" i="15" s="1"/>
  <c r="G19" i="15"/>
  <c r="I19" i="15" s="1"/>
  <c r="G222" i="15"/>
  <c r="I222" i="15" s="1"/>
  <c r="G166" i="15"/>
  <c r="I166" i="15" s="1"/>
  <c r="G22" i="15"/>
  <c r="I22" i="15" s="1"/>
  <c r="G100" i="15"/>
  <c r="I100" i="15" s="1"/>
  <c r="G204" i="15"/>
  <c r="I204" i="15" s="1"/>
  <c r="G201" i="15"/>
  <c r="I201" i="15" s="1"/>
  <c r="G323" i="15"/>
  <c r="I323" i="15" s="1"/>
  <c r="G62" i="15"/>
  <c r="I62" i="15" s="1"/>
  <c r="G319" i="15"/>
  <c r="I319" i="15" s="1"/>
  <c r="G37" i="15"/>
  <c r="I37" i="15" s="1"/>
  <c r="G148" i="15"/>
  <c r="I148" i="15" s="1"/>
  <c r="G252" i="15"/>
  <c r="I252" i="15" s="1"/>
  <c r="G325" i="15"/>
  <c r="I325" i="15" s="1"/>
  <c r="G245" i="15"/>
  <c r="I245" i="15" s="1"/>
  <c r="G101" i="15"/>
  <c r="I101" i="15" s="1"/>
  <c r="G47" i="15"/>
  <c r="I47" i="15" s="1"/>
  <c r="G216" i="15"/>
  <c r="I216" i="15" s="1"/>
  <c r="G141" i="15"/>
  <c r="I141" i="15" s="1"/>
  <c r="G256" i="15"/>
  <c r="I256" i="15" s="1"/>
  <c r="G230" i="15"/>
  <c r="I230" i="15" s="1"/>
  <c r="G64" i="15"/>
  <c r="I64" i="15" s="1"/>
  <c r="G53" i="15"/>
  <c r="I53" i="15" s="1"/>
  <c r="G161" i="15"/>
  <c r="I161" i="15" s="1"/>
  <c r="G285" i="15"/>
  <c r="I285" i="15" s="1"/>
  <c r="G228" i="15"/>
  <c r="I228" i="15" s="1"/>
  <c r="G28" i="15"/>
  <c r="I28" i="15" s="1"/>
  <c r="G326" i="15"/>
  <c r="I326" i="15" s="1"/>
  <c r="G211" i="15"/>
  <c r="I211" i="15" s="1"/>
  <c r="G85" i="15"/>
  <c r="I85" i="15" s="1"/>
  <c r="G35" i="15"/>
  <c r="I35" i="15" s="1"/>
  <c r="G155" i="15"/>
  <c r="I155" i="15" s="1"/>
  <c r="G190" i="15"/>
  <c r="I190" i="15" s="1"/>
  <c r="G82" i="15"/>
  <c r="I82" i="15" s="1"/>
  <c r="G29" i="15"/>
  <c r="I29" i="15" s="1"/>
  <c r="G238" i="15"/>
  <c r="I238" i="15" s="1"/>
  <c r="G76" i="15"/>
  <c r="I76" i="15" s="1"/>
  <c r="G33" i="15"/>
  <c r="I33" i="15" s="1"/>
  <c r="G137" i="15"/>
  <c r="I137" i="15" s="1"/>
  <c r="G123" i="15"/>
  <c r="I123" i="15" s="1"/>
  <c r="G94" i="15"/>
  <c r="I94" i="15" s="1"/>
  <c r="G46" i="15"/>
  <c r="I46" i="15" s="1"/>
  <c r="G242" i="15"/>
  <c r="I242" i="15" s="1"/>
  <c r="G58" i="15"/>
  <c r="I58" i="15" s="1"/>
  <c r="G247" i="15"/>
  <c r="I247" i="15" s="1"/>
  <c r="G195" i="15"/>
  <c r="I195" i="15" s="1"/>
  <c r="G136" i="15"/>
  <c r="I136" i="15" s="1"/>
  <c r="G188" i="15"/>
  <c r="I188" i="15" s="1"/>
  <c r="G110" i="15"/>
  <c r="I110" i="15" s="1"/>
  <c r="G118" i="15"/>
  <c r="I118" i="15" s="1"/>
  <c r="G170" i="15"/>
  <c r="I170" i="15" s="1"/>
  <c r="G254" i="15"/>
  <c r="I254" i="15" s="1"/>
  <c r="G96" i="15"/>
  <c r="I96" i="15" s="1"/>
  <c r="G330" i="15"/>
  <c r="I330" i="15" s="1"/>
  <c r="G114" i="15"/>
  <c r="I114" i="15" s="1"/>
  <c r="G78" i="15"/>
  <c r="I78" i="15" s="1"/>
  <c r="G310" i="15"/>
  <c r="I310" i="15" s="1"/>
  <c r="G231" i="15"/>
  <c r="I231" i="15" s="1"/>
  <c r="G109" i="15"/>
  <c r="I109" i="15" s="1"/>
  <c r="G179" i="15"/>
  <c r="I179" i="15" s="1"/>
  <c r="G60" i="15"/>
  <c r="I60" i="15" s="1"/>
  <c r="G193" i="15"/>
  <c r="I193" i="15" s="1"/>
  <c r="G24" i="15"/>
  <c r="I24" i="15" s="1"/>
  <c r="G146" i="15"/>
  <c r="I146" i="15" s="1"/>
  <c r="G112" i="15"/>
  <c r="I112" i="15" s="1"/>
  <c r="G17" i="15"/>
  <c r="I17" i="15" s="1"/>
  <c r="G287" i="15"/>
  <c r="I287" i="15" s="1"/>
  <c r="G83" i="15"/>
  <c r="I83" i="15" s="1"/>
  <c r="G243" i="15"/>
  <c r="I243" i="15" s="1"/>
  <c r="G233" i="15"/>
  <c r="I233" i="15" s="1"/>
  <c r="G173" i="15"/>
  <c r="I173" i="15" s="1"/>
  <c r="G263" i="15"/>
  <c r="I263" i="15" s="1"/>
  <c r="G49" i="15"/>
  <c r="I49" i="15" s="1"/>
  <c r="G134" i="15"/>
  <c r="I134" i="15" s="1"/>
  <c r="G87" i="15"/>
  <c r="I87" i="15" s="1"/>
  <c r="G168" i="15"/>
  <c r="I168" i="15" s="1"/>
  <c r="G143" i="15"/>
  <c r="I143" i="15" s="1"/>
  <c r="G26" i="15"/>
  <c r="I26" i="15" s="1"/>
  <c r="G278" i="15"/>
  <c r="I278" i="15" s="1"/>
  <c r="G15" i="15"/>
  <c r="I15" i="15" s="1"/>
  <c r="G220" i="15"/>
  <c r="I220" i="15" s="1"/>
  <c r="G270" i="15"/>
  <c r="I270" i="15" s="1"/>
  <c r="G308" i="15"/>
  <c r="I308" i="15" s="1"/>
  <c r="G157" i="15"/>
  <c r="I157" i="15" s="1"/>
  <c r="G11" i="15"/>
  <c r="G92" i="15"/>
  <c r="I92" i="15" s="1"/>
  <c r="G152" i="15"/>
  <c r="I152" i="15" s="1"/>
  <c r="G145" i="15"/>
  <c r="I145" i="15" s="1"/>
  <c r="G272" i="15"/>
  <c r="I272" i="15" s="1"/>
  <c r="G305" i="15"/>
  <c r="I305" i="15" s="1"/>
  <c r="G184" i="15"/>
  <c r="I184" i="15" s="1"/>
  <c r="G119" i="15"/>
  <c r="I119" i="15" s="1"/>
  <c r="G213" i="15"/>
  <c r="I213" i="15" s="1"/>
  <c r="G317" i="15"/>
  <c r="I317" i="15" s="1"/>
  <c r="U318" i="3" s="1"/>
  <c r="G150" i="15"/>
  <c r="I150" i="15" s="1"/>
  <c r="G214" i="15"/>
  <c r="I214" i="15" s="1"/>
  <c r="G329" i="15"/>
  <c r="I329" i="15" s="1"/>
  <c r="G74" i="15"/>
  <c r="I74" i="15" s="1"/>
  <c r="G164" i="15"/>
  <c r="I164" i="15" s="1"/>
  <c r="G218" i="15"/>
  <c r="I218" i="15" s="1"/>
  <c r="G296" i="15"/>
  <c r="I296" i="15" s="1"/>
  <c r="G55" i="15"/>
  <c r="I55" i="15" s="1"/>
  <c r="G191" i="15"/>
  <c r="I191" i="15" s="1"/>
  <c r="F11" i="5"/>
  <c r="U989" i="3"/>
  <c r="AK28" i="33"/>
  <c r="AJ27" i="33"/>
  <c r="Q632" i="6"/>
  <c r="AD255" i="4"/>
  <c r="AM255" i="4"/>
  <c r="AN255" i="4" s="1"/>
  <c r="AM166" i="4"/>
  <c r="AN166" i="4" s="1"/>
  <c r="AD166" i="4"/>
  <c r="AD27" i="4"/>
  <c r="F962" i="3" s="1"/>
  <c r="AM27" i="4"/>
  <c r="AN27" i="4" s="1"/>
  <c r="AM148" i="4"/>
  <c r="AN148" i="4" s="1"/>
  <c r="AD148" i="4"/>
  <c r="AM138" i="4"/>
  <c r="AN138" i="4" s="1"/>
  <c r="AD138" i="4"/>
  <c r="AD203" i="4"/>
  <c r="AM203" i="4"/>
  <c r="AN203" i="4" s="1"/>
  <c r="F12" i="17"/>
  <c r="AM146" i="4"/>
  <c r="AN146" i="4" s="1"/>
  <c r="AD146" i="4"/>
  <c r="AD211" i="4"/>
  <c r="AM211" i="4"/>
  <c r="AN211" i="4" s="1"/>
  <c r="AM260" i="4"/>
  <c r="AN260" i="4" s="1"/>
  <c r="AD260" i="4"/>
  <c r="AM174" i="4"/>
  <c r="AN174" i="4" s="1"/>
  <c r="AD174" i="4"/>
  <c r="F1106" i="3" s="1"/>
  <c r="S1106" i="3" s="1"/>
  <c r="AM240" i="4"/>
  <c r="AN240" i="4" s="1"/>
  <c r="AD240" i="4"/>
  <c r="AM117" i="4"/>
  <c r="AN117" i="4" s="1"/>
  <c r="AD117" i="4"/>
  <c r="AM221" i="4"/>
  <c r="AN221" i="4" s="1"/>
  <c r="AD221" i="4"/>
  <c r="AM100" i="4"/>
  <c r="AN100" i="4" s="1"/>
  <c r="AD100" i="4"/>
  <c r="AM219" i="4"/>
  <c r="AN219" i="4" s="1"/>
  <c r="AD219" i="4"/>
  <c r="AM157" i="4"/>
  <c r="AN157" i="4" s="1"/>
  <c r="AD157" i="4"/>
  <c r="AD189" i="4"/>
  <c r="AN189" i="4"/>
  <c r="AM235" i="4"/>
  <c r="AN235" i="4" s="1"/>
  <c r="AD235" i="4"/>
  <c r="AD241" i="4"/>
  <c r="AM241" i="4"/>
  <c r="AN241" i="4" s="1"/>
  <c r="AD213" i="4"/>
  <c r="AM213" i="4"/>
  <c r="AN213" i="4" s="1"/>
  <c r="AD34" i="4"/>
  <c r="F969" i="3" s="1"/>
  <c r="S969" i="3" s="1"/>
  <c r="AM34" i="4"/>
  <c r="AN34" i="4" s="1"/>
  <c r="AD161" i="4"/>
  <c r="AM161" i="4"/>
  <c r="AN161" i="4" s="1"/>
  <c r="AD129" i="4"/>
  <c r="AM129" i="4"/>
  <c r="AN129" i="4" s="1"/>
  <c r="AM147" i="4"/>
  <c r="AN147" i="4" s="1"/>
  <c r="AD147" i="4"/>
  <c r="AD89" i="4"/>
  <c r="AD141" i="4"/>
  <c r="AM70" i="4"/>
  <c r="AN70" i="4" s="1"/>
  <c r="AD70" i="4"/>
  <c r="F1005" i="3" s="1"/>
  <c r="S1005" i="3" s="1"/>
  <c r="AD101" i="4"/>
  <c r="AD140" i="4"/>
  <c r="AM140" i="4"/>
  <c r="AN140" i="4" s="1"/>
  <c r="AD231" i="4"/>
  <c r="AM231" i="4"/>
  <c r="AN231" i="4" s="1"/>
  <c r="AM254" i="4"/>
  <c r="AN254" i="4" s="1"/>
  <c r="AD254" i="4"/>
  <c r="AM239" i="4"/>
  <c r="AN239" i="4" s="1"/>
  <c r="AD239" i="4"/>
  <c r="AM159" i="4"/>
  <c r="AN159" i="4" s="1"/>
  <c r="AD159" i="4"/>
  <c r="AM16" i="4"/>
  <c r="AN16" i="4" s="1"/>
  <c r="AD16" i="4"/>
  <c r="F951" i="3" s="1"/>
  <c r="S951" i="3" s="1"/>
  <c r="AM116" i="4"/>
  <c r="AN116" i="4" s="1"/>
  <c r="AD116" i="4"/>
  <c r="AM218" i="4"/>
  <c r="AN218" i="4" s="1"/>
  <c r="AD218" i="4"/>
  <c r="AD121" i="4"/>
  <c r="AM121" i="4"/>
  <c r="AN121" i="4" s="1"/>
  <c r="AM92" i="4"/>
  <c r="AN92" i="4" s="1"/>
  <c r="AD92" i="4"/>
  <c r="AM22" i="4"/>
  <c r="AN22" i="4" s="1"/>
  <c r="AD22" i="4"/>
  <c r="F957" i="3" s="1"/>
  <c r="AD225" i="4"/>
  <c r="AM225" i="4"/>
  <c r="AN225" i="4" s="1"/>
  <c r="AD112" i="4"/>
  <c r="AD236" i="4"/>
  <c r="AM236" i="4"/>
  <c r="AN236" i="4" s="1"/>
  <c r="AD110" i="4"/>
  <c r="AM110" i="4"/>
  <c r="AN110" i="4" s="1"/>
  <c r="AM249" i="4"/>
  <c r="AN249" i="4" s="1"/>
  <c r="AD249" i="4"/>
  <c r="AM23" i="4"/>
  <c r="AN23" i="4" s="1"/>
  <c r="AD23" i="4"/>
  <c r="F958" i="3" s="1"/>
  <c r="AM167" i="4"/>
  <c r="AN167" i="4" s="1"/>
  <c r="AD167" i="4"/>
  <c r="AD214" i="4"/>
  <c r="AM214" i="4"/>
  <c r="AN214" i="4" s="1"/>
  <c r="AM250" i="4"/>
  <c r="AN250" i="4" s="1"/>
  <c r="AD250" i="4"/>
  <c r="AM247" i="4"/>
  <c r="AN247" i="4" s="1"/>
  <c r="AD247" i="4"/>
  <c r="AN188" i="4"/>
  <c r="AD188" i="4"/>
  <c r="AD107" i="4"/>
  <c r="AD139" i="4"/>
  <c r="AM139" i="4"/>
  <c r="AN139" i="4" s="1"/>
  <c r="AM242" i="4"/>
  <c r="AN242" i="4" s="1"/>
  <c r="AD242" i="4"/>
  <c r="AM25" i="4"/>
  <c r="AN25" i="4" s="1"/>
  <c r="AD25" i="4"/>
  <c r="F960" i="3" s="1"/>
  <c r="AM133" i="4"/>
  <c r="AN133" i="4" s="1"/>
  <c r="AD133" i="4"/>
  <c r="AD50" i="4"/>
  <c r="F985" i="3" s="1"/>
  <c r="S985" i="3" s="1"/>
  <c r="AM50" i="4"/>
  <c r="AN50" i="4" s="1"/>
  <c r="AN187" i="4"/>
  <c r="AD187" i="4"/>
  <c r="AM99" i="4"/>
  <c r="AN99" i="4" s="1"/>
  <c r="AD99" i="4"/>
  <c r="AM69" i="4"/>
  <c r="AN69" i="4" s="1"/>
  <c r="AD69" i="4"/>
  <c r="F1004" i="3" s="1"/>
  <c r="S1004" i="3" s="1"/>
  <c r="AM173" i="4"/>
  <c r="AN173" i="4" s="1"/>
  <c r="AD173" i="4"/>
  <c r="F1105" i="3" s="1"/>
  <c r="S1105" i="3" s="1"/>
  <c r="AM80" i="4"/>
  <c r="AN80" i="4" s="1"/>
  <c r="AD80" i="4"/>
  <c r="AM168" i="4"/>
  <c r="AN168" i="4" s="1"/>
  <c r="AD168" i="4"/>
  <c r="AD15" i="4"/>
  <c r="F950" i="3" s="1"/>
  <c r="S950" i="3" s="1"/>
  <c r="AM15" i="4"/>
  <c r="AN15" i="4" s="1"/>
  <c r="AD59" i="4"/>
  <c r="F994" i="3" s="1"/>
  <c r="S994" i="3" s="1"/>
  <c r="AM59" i="4"/>
  <c r="AN59" i="4" s="1"/>
  <c r="L22" i="14"/>
  <c r="O1" i="3" l="1"/>
  <c r="O5" i="5"/>
  <c r="F36" i="1"/>
  <c r="B36" i="1" s="1"/>
  <c r="N9" i="3" s="1"/>
  <c r="N6" i="5" s="1"/>
  <c r="G385" i="15"/>
  <c r="I385" i="15" s="1"/>
  <c r="S1112" i="3"/>
  <c r="U1112" i="3" s="1"/>
  <c r="G1132" i="6" s="1"/>
  <c r="V1112" i="3" s="1"/>
  <c r="F991" i="3"/>
  <c r="S991" i="3" s="1"/>
  <c r="S990" i="3"/>
  <c r="S1111" i="3"/>
  <c r="J869" i="6"/>
  <c r="M869" i="6"/>
  <c r="N869" i="6"/>
  <c r="E870" i="6"/>
  <c r="I870" i="6"/>
  <c r="I871" i="6" s="1"/>
  <c r="J871" i="6" s="1"/>
  <c r="G363" i="15"/>
  <c r="G415" i="15" s="1"/>
  <c r="G362" i="15"/>
  <c r="I362" i="15" s="1"/>
  <c r="G347" i="15"/>
  <c r="I347" i="15" s="1"/>
  <c r="G404" i="15"/>
  <c r="I404" i="15" s="1"/>
  <c r="G387" i="15"/>
  <c r="I387" i="15" s="1"/>
  <c r="G365" i="15"/>
  <c r="I365" i="15" s="1"/>
  <c r="G346" i="15"/>
  <c r="I346" i="15" s="1"/>
  <c r="G333" i="15"/>
  <c r="I333" i="15" s="1"/>
  <c r="G377" i="15"/>
  <c r="I377" i="15" s="1"/>
  <c r="G349" i="15"/>
  <c r="I349" i="15" s="1"/>
  <c r="G396" i="15"/>
  <c r="I396" i="15" s="1"/>
  <c r="G367" i="15"/>
  <c r="I367" i="15" s="1"/>
  <c r="G401" i="15"/>
  <c r="I401" i="15" s="1"/>
  <c r="G380" i="15"/>
  <c r="I380" i="15" s="1"/>
  <c r="G338" i="15"/>
  <c r="I338" i="15" s="1"/>
  <c r="G382" i="15"/>
  <c r="I382" i="15" s="1"/>
  <c r="G340" i="15"/>
  <c r="I340" i="15" s="1"/>
  <c r="G398" i="15"/>
  <c r="I398" i="15" s="1"/>
  <c r="G390" i="15"/>
  <c r="I390" i="15" s="1"/>
  <c r="G369" i="15"/>
  <c r="I369" i="15" s="1"/>
  <c r="G376" i="15"/>
  <c r="I376" i="15" s="1"/>
  <c r="G358" i="15"/>
  <c r="I358" i="15" s="1"/>
  <c r="G337" i="15"/>
  <c r="I337" i="15" s="1"/>
  <c r="G357" i="15"/>
  <c r="I357" i="15" s="1"/>
  <c r="G354" i="15"/>
  <c r="I354" i="15" s="1"/>
  <c r="G393" i="15"/>
  <c r="I393" i="15" s="1"/>
  <c r="G386" i="15"/>
  <c r="I386" i="15" s="1"/>
  <c r="G375" i="15"/>
  <c r="I375" i="15" s="1"/>
  <c r="G364" i="15"/>
  <c r="I364" i="15" s="1"/>
  <c r="G403" i="15"/>
  <c r="I403" i="15" s="1"/>
  <c r="G383" i="15"/>
  <c r="I383" i="15" s="1"/>
  <c r="G352" i="15"/>
  <c r="I352" i="15" s="1"/>
  <c r="G389" i="15"/>
  <c r="I389" i="15" s="1"/>
  <c r="G353" i="15"/>
  <c r="I353" i="15" s="1"/>
  <c r="G371" i="15"/>
  <c r="I371" i="15" s="1"/>
  <c r="G391" i="15"/>
  <c r="I391" i="15" s="1"/>
  <c r="G397" i="15"/>
  <c r="I397" i="15" s="1"/>
  <c r="G405" i="15"/>
  <c r="I405" i="15" s="1"/>
  <c r="G342" i="15"/>
  <c r="I342" i="15" s="1"/>
  <c r="G384" i="15"/>
  <c r="I384" i="15" s="1"/>
  <c r="G394" i="15"/>
  <c r="I394" i="15" s="1"/>
  <c r="G392" i="15"/>
  <c r="I392" i="15" s="1"/>
  <c r="G388" i="15"/>
  <c r="I388" i="15" s="1"/>
  <c r="G381" i="15"/>
  <c r="I381" i="15" s="1"/>
  <c r="G379" i="15"/>
  <c r="I379" i="15" s="1"/>
  <c r="G370" i="15"/>
  <c r="I370" i="15" s="1"/>
  <c r="G399" i="15"/>
  <c r="I399" i="15" s="1"/>
  <c r="G373" i="15"/>
  <c r="I373" i="15" s="1"/>
  <c r="G400" i="15"/>
  <c r="I400" i="15" s="1"/>
  <c r="G374" i="15"/>
  <c r="I374" i="15" s="1"/>
  <c r="G395" i="15"/>
  <c r="I395" i="15" s="1"/>
  <c r="G402" i="15"/>
  <c r="I402" i="15" s="1"/>
  <c r="G378" i="15"/>
  <c r="I378" i="15" s="1"/>
  <c r="G356" i="15"/>
  <c r="I356" i="15" s="1"/>
  <c r="F1006" i="3"/>
  <c r="S1006" i="3" s="1"/>
  <c r="F639" i="3"/>
  <c r="F1216" i="3" s="1"/>
  <c r="Y367" i="6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F21" i="5"/>
  <c r="F996" i="3"/>
  <c r="S996" i="3" s="1"/>
  <c r="F953" i="3"/>
  <c r="S953" i="3" s="1"/>
  <c r="F1001" i="3"/>
  <c r="S1001" i="3" s="1"/>
  <c r="I9" i="3"/>
  <c r="I6" i="5" s="1"/>
  <c r="F964" i="3"/>
  <c r="F975" i="3"/>
  <c r="S975" i="3" s="1"/>
  <c r="F970" i="3"/>
  <c r="S970" i="3" s="1"/>
  <c r="F986" i="3"/>
  <c r="S986" i="3" s="1"/>
  <c r="F1011" i="3"/>
  <c r="S1011" i="3" s="1"/>
  <c r="U1113" i="3"/>
  <c r="U978" i="3"/>
  <c r="V978" i="3" s="1"/>
  <c r="F1103" i="3"/>
  <c r="F37" i="1"/>
  <c r="B37" i="1" s="1"/>
  <c r="E37" i="1"/>
  <c r="P8" i="3" s="1"/>
  <c r="AN33" i="4"/>
  <c r="AN35" i="4" s="1"/>
  <c r="AM35" i="4"/>
  <c r="AN38" i="4"/>
  <c r="AN40" i="4" s="1"/>
  <c r="AM40" i="4"/>
  <c r="AN21" i="4"/>
  <c r="AN29" i="4" s="1"/>
  <c r="AM29" i="4"/>
  <c r="G1" i="3"/>
  <c r="G1075" i="3" s="1"/>
  <c r="H5" i="5"/>
  <c r="F1179" i="3"/>
  <c r="S1179" i="3" s="1"/>
  <c r="F1099" i="3"/>
  <c r="S1099" i="3" s="1"/>
  <c r="F1091" i="3"/>
  <c r="S1091" i="3" s="1"/>
  <c r="F1186" i="3"/>
  <c r="S1186" i="3" s="1"/>
  <c r="F1145" i="3"/>
  <c r="S1145" i="3" s="1"/>
  <c r="F1173" i="3"/>
  <c r="S1173" i="3" s="1"/>
  <c r="F1089" i="3"/>
  <c r="F1151" i="3"/>
  <c r="S1151" i="3" s="1"/>
  <c r="F1143" i="3"/>
  <c r="F1098" i="3"/>
  <c r="S1098" i="3" s="1"/>
  <c r="F1162" i="3"/>
  <c r="F1090" i="3"/>
  <c r="S1090" i="3" s="1"/>
  <c r="F1038" i="3"/>
  <c r="S1038" i="3" s="1"/>
  <c r="F1092" i="3"/>
  <c r="S1092" i="3" s="1"/>
  <c r="F1180" i="3"/>
  <c r="S1180" i="3" s="1"/>
  <c r="F1097" i="3"/>
  <c r="S1097" i="3" s="1"/>
  <c r="F1185" i="3"/>
  <c r="F1152" i="3"/>
  <c r="S1152" i="3" s="1"/>
  <c r="F1188" i="3"/>
  <c r="S1188" i="3" s="1"/>
  <c r="F1085" i="3"/>
  <c r="F1178" i="3"/>
  <c r="F1181" i="3"/>
  <c r="S1181" i="3" s="1"/>
  <c r="F1053" i="3"/>
  <c r="S1053" i="3" s="1"/>
  <c r="F1174" i="3"/>
  <c r="S1174" i="3" s="1"/>
  <c r="F1146" i="3"/>
  <c r="S1146" i="3" s="1"/>
  <c r="F1042" i="3"/>
  <c r="S1042" i="3" s="1"/>
  <c r="F1157" i="3"/>
  <c r="F1150" i="3"/>
  <c r="F1163" i="3"/>
  <c r="S1163" i="3" s="1"/>
  <c r="F1072" i="3"/>
  <c r="S1072" i="3" s="1"/>
  <c r="F1061" i="3"/>
  <c r="S1061" i="3" s="1"/>
  <c r="F1167" i="3"/>
  <c r="F1153" i="3"/>
  <c r="S1153" i="3" s="1"/>
  <c r="F1049" i="3"/>
  <c r="S1049" i="3" s="1"/>
  <c r="F1172" i="3"/>
  <c r="S1172" i="3" s="1"/>
  <c r="F1192" i="3"/>
  <c r="F1070" i="3"/>
  <c r="S1070" i="3" s="1"/>
  <c r="F1187" i="3"/>
  <c r="S1187" i="3" s="1"/>
  <c r="F1096" i="3"/>
  <c r="F1144" i="3"/>
  <c r="S1144" i="3" s="1"/>
  <c r="F1055" i="3"/>
  <c r="S1055" i="3" s="1"/>
  <c r="F1158" i="3"/>
  <c r="S1158" i="3" s="1"/>
  <c r="E19" i="548"/>
  <c r="E18" i="548"/>
  <c r="AD61" i="4"/>
  <c r="F1015" i="3"/>
  <c r="F1031" i="3"/>
  <c r="AD51" i="4"/>
  <c r="F1065" i="3"/>
  <c r="S1065" i="3" s="1"/>
  <c r="F1044" i="3"/>
  <c r="F1024" i="3"/>
  <c r="F1033" i="3"/>
  <c r="S1033" i="3" s="1"/>
  <c r="F1073" i="3"/>
  <c r="S1073" i="3" s="1"/>
  <c r="F1032" i="3"/>
  <c r="H12" i="17"/>
  <c r="H19" i="17" s="1"/>
  <c r="F19" i="17"/>
  <c r="AD204" i="4"/>
  <c r="AD264" i="4"/>
  <c r="F1135" i="3"/>
  <c r="F16" i="5"/>
  <c r="G417" i="15"/>
  <c r="I200" i="15"/>
  <c r="K24" i="14"/>
  <c r="L24" i="14" s="1"/>
  <c r="M24" i="14"/>
  <c r="AM232" i="4"/>
  <c r="AN230" i="4"/>
  <c r="AN232" i="4" s="1"/>
  <c r="F1019" i="3"/>
  <c r="H22" i="17"/>
  <c r="F30" i="17"/>
  <c r="F1043" i="3"/>
  <c r="F1054" i="3"/>
  <c r="S1054" i="3" s="1"/>
  <c r="F1066" i="3"/>
  <c r="AD81" i="4"/>
  <c r="F1014" i="3"/>
  <c r="F1036" i="3"/>
  <c r="F1059" i="3"/>
  <c r="AD35" i="4"/>
  <c r="F1067" i="3"/>
  <c r="S1067" i="3" s="1"/>
  <c r="F1025" i="3"/>
  <c r="AD56" i="4"/>
  <c r="AD18" i="4"/>
  <c r="AD71" i="4"/>
  <c r="F1071" i="3"/>
  <c r="F1039" i="3"/>
  <c r="S1039" i="3" s="1"/>
  <c r="F1048" i="3"/>
  <c r="S1048" i="3" s="1"/>
  <c r="AD243" i="4"/>
  <c r="F1171" i="3"/>
  <c r="S1171" i="3" s="1"/>
  <c r="U1005" i="3"/>
  <c r="F1021" i="3"/>
  <c r="S1021" i="3" s="1"/>
  <c r="AJ28" i="33"/>
  <c r="AK29" i="33"/>
  <c r="AK30" i="33" s="1"/>
  <c r="G1005" i="6"/>
  <c r="G318" i="6"/>
  <c r="V318" i="3" s="1"/>
  <c r="F1026" i="3"/>
  <c r="F1056" i="3"/>
  <c r="S1056" i="3" s="1"/>
  <c r="F1027" i="3"/>
  <c r="F1047" i="3"/>
  <c r="F1030" i="3"/>
  <c r="F1037" i="3"/>
  <c r="F1050" i="3"/>
  <c r="AD40" i="4"/>
  <c r="AD66" i="4"/>
  <c r="F1060" i="3"/>
  <c r="F1020" i="3"/>
  <c r="U1010" i="3"/>
  <c r="AD76" i="4"/>
  <c r="AD267" i="4"/>
  <c r="F1139" i="3"/>
  <c r="S1139" i="3" s="1"/>
  <c r="AD29" i="4"/>
  <c r="U1000" i="3"/>
  <c r="F1062" i="3"/>
  <c r="E33" i="1"/>
  <c r="L8" i="3" s="1"/>
  <c r="N23" i="33"/>
  <c r="F20" i="5"/>
  <c r="O9" i="3" l="1"/>
  <c r="O6" i="5" s="1"/>
  <c r="P1" i="3"/>
  <c r="P5" i="5"/>
  <c r="L1" i="3"/>
  <c r="L5" i="5"/>
  <c r="I363" i="15"/>
  <c r="G411" i="15"/>
  <c r="I411" i="15" s="1"/>
  <c r="F32" i="1"/>
  <c r="B32" i="1" s="1"/>
  <c r="K9" i="3" s="1"/>
  <c r="K6" i="5" s="1"/>
  <c r="E32" i="1"/>
  <c r="S1114" i="3"/>
  <c r="T57" i="5" s="1"/>
  <c r="S1020" i="3"/>
  <c r="U1020" i="3" s="1"/>
  <c r="G1039" i="6" s="1"/>
  <c r="S1027" i="3"/>
  <c r="U1027" i="3" s="1"/>
  <c r="G1046" i="6" s="1"/>
  <c r="V1027" i="3" s="1"/>
  <c r="S1059" i="3"/>
  <c r="U1059" i="3" s="1"/>
  <c r="G1078" i="6" s="1"/>
  <c r="F1086" i="3"/>
  <c r="F53" i="5" s="1"/>
  <c r="S1085" i="3"/>
  <c r="U1085" i="3" s="1"/>
  <c r="U1086" i="3" s="1"/>
  <c r="S1062" i="3"/>
  <c r="U1062" i="3" s="1"/>
  <c r="G1081" i="6" s="1"/>
  <c r="S1036" i="3"/>
  <c r="U1036" i="3" s="1"/>
  <c r="G1055" i="6" s="1"/>
  <c r="S1019" i="3"/>
  <c r="U1019" i="3" s="1"/>
  <c r="G1038" i="6" s="1"/>
  <c r="V1019" i="3" s="1"/>
  <c r="S1024" i="3"/>
  <c r="U1024" i="3" s="1"/>
  <c r="G1043" i="6" s="1"/>
  <c r="V1024" i="3" s="1"/>
  <c r="F1079" i="3"/>
  <c r="F1119" i="3" s="1"/>
  <c r="S1014" i="3"/>
  <c r="U1014" i="3" s="1"/>
  <c r="S1044" i="3"/>
  <c r="U1044" i="3" s="1"/>
  <c r="G1063" i="6" s="1"/>
  <c r="V1044" i="3" s="1"/>
  <c r="S1037" i="3"/>
  <c r="U1037" i="3" s="1"/>
  <c r="G1056" i="6" s="1"/>
  <c r="S1025" i="3"/>
  <c r="U1025" i="3" s="1"/>
  <c r="G1044" i="6" s="1"/>
  <c r="S1031" i="3"/>
  <c r="U1031" i="3" s="1"/>
  <c r="G1050" i="6" s="1"/>
  <c r="S1089" i="3"/>
  <c r="S1093" i="3" s="1"/>
  <c r="T54" i="5" s="1"/>
  <c r="S1030" i="3"/>
  <c r="U1030" i="3" s="1"/>
  <c r="G1049" i="6" s="1"/>
  <c r="V1030" i="3" s="1"/>
  <c r="S1043" i="3"/>
  <c r="U1043" i="3" s="1"/>
  <c r="G1062" i="6" s="1"/>
  <c r="S1032" i="3"/>
  <c r="U1032" i="3" s="1"/>
  <c r="G1051" i="6" s="1"/>
  <c r="V1032" i="3" s="1"/>
  <c r="S1015" i="3"/>
  <c r="U1015" i="3" s="1"/>
  <c r="G1031" i="6" s="1"/>
  <c r="S1047" i="3"/>
  <c r="U1047" i="3" s="1"/>
  <c r="G1066" i="6" s="1"/>
  <c r="S1178" i="3"/>
  <c r="S1182" i="3" s="1"/>
  <c r="S1192" i="3"/>
  <c r="S1193" i="3" s="1"/>
  <c r="S1150" i="3"/>
  <c r="U1150" i="3" s="1"/>
  <c r="S1060" i="3"/>
  <c r="U1060" i="3" s="1"/>
  <c r="G1079" i="6" s="1"/>
  <c r="S1071" i="3"/>
  <c r="U1071" i="3" s="1"/>
  <c r="G1090" i="6" s="1"/>
  <c r="S1157" i="3"/>
  <c r="U1157" i="3" s="1"/>
  <c r="S1162" i="3"/>
  <c r="U1162" i="3" s="1"/>
  <c r="U1111" i="3"/>
  <c r="G1131" i="6" s="1"/>
  <c r="I1131" i="6" s="1"/>
  <c r="S1026" i="3"/>
  <c r="U1026" i="3" s="1"/>
  <c r="G1045" i="6" s="1"/>
  <c r="V1026" i="3" s="1"/>
  <c r="S1185" i="3"/>
  <c r="U1185" i="3" s="1"/>
  <c r="S1143" i="3"/>
  <c r="S1147" i="3" s="1"/>
  <c r="S1050" i="3"/>
  <c r="U1050" i="3" s="1"/>
  <c r="G1069" i="6" s="1"/>
  <c r="S1066" i="3"/>
  <c r="U1066" i="3" s="1"/>
  <c r="G1085" i="6" s="1"/>
  <c r="F1168" i="3"/>
  <c r="F67" i="5" s="1"/>
  <c r="S1167" i="3"/>
  <c r="U1167" i="3" s="1"/>
  <c r="U1168" i="3" s="1"/>
  <c r="M870" i="6"/>
  <c r="Q870" i="6" s="1"/>
  <c r="J870" i="6"/>
  <c r="N870" i="6"/>
  <c r="T870" i="6" s="1"/>
  <c r="T869" i="6"/>
  <c r="Q869" i="6"/>
  <c r="F40" i="1"/>
  <c r="F39" i="1"/>
  <c r="G412" i="15"/>
  <c r="I412" i="15" s="1"/>
  <c r="F1075" i="3"/>
  <c r="G321" i="3"/>
  <c r="S321" i="3" s="1"/>
  <c r="G1080" i="3"/>
  <c r="G1079" i="3"/>
  <c r="F1080" i="3"/>
  <c r="AD83" i="4"/>
  <c r="W380" i="6"/>
  <c r="G1133" i="6"/>
  <c r="V1113" i="3" s="1"/>
  <c r="U1056" i="3"/>
  <c r="G1075" i="6" s="1"/>
  <c r="U995" i="3"/>
  <c r="G1011" i="6" s="1"/>
  <c r="U1067" i="3"/>
  <c r="G1086" i="6" s="1"/>
  <c r="U974" i="3"/>
  <c r="G990" i="6" s="1"/>
  <c r="U1054" i="3"/>
  <c r="G1073" i="6" s="1"/>
  <c r="U969" i="3"/>
  <c r="G985" i="6" s="1"/>
  <c r="U1033" i="3"/>
  <c r="G1052" i="6" s="1"/>
  <c r="U1065" i="3"/>
  <c r="G1084" i="6" s="1"/>
  <c r="U985" i="3"/>
  <c r="G1001" i="6" s="1"/>
  <c r="U1158" i="3"/>
  <c r="G1178" i="6" s="1"/>
  <c r="U1055" i="3"/>
  <c r="G1074" i="6" s="1"/>
  <c r="U1144" i="3"/>
  <c r="G1164" i="6" s="1"/>
  <c r="U1049" i="3"/>
  <c r="G1068" i="6" s="1"/>
  <c r="U1163" i="3"/>
  <c r="G1183" i="6" s="1"/>
  <c r="U1146" i="3"/>
  <c r="G1166" i="6" s="1"/>
  <c r="U1053" i="3"/>
  <c r="G1072" i="6" s="1"/>
  <c r="U1152" i="3"/>
  <c r="G1172" i="6" s="1"/>
  <c r="U1097" i="3"/>
  <c r="G1117" i="6" s="1"/>
  <c r="U1092" i="3"/>
  <c r="G1112" i="6" s="1"/>
  <c r="U1090" i="3"/>
  <c r="G1110" i="6" s="1"/>
  <c r="U1098" i="3"/>
  <c r="G1118" i="6" s="1"/>
  <c r="U1151" i="3"/>
  <c r="G1171" i="6" s="1"/>
  <c r="U1173" i="3"/>
  <c r="G1193" i="6" s="1"/>
  <c r="U1186" i="3"/>
  <c r="G1206" i="6" s="1"/>
  <c r="U951" i="3"/>
  <c r="G967" i="6" s="1"/>
  <c r="U1099" i="3"/>
  <c r="G1119" i="6" s="1"/>
  <c r="U1104" i="3"/>
  <c r="G1124" i="6" s="1"/>
  <c r="U1106" i="3"/>
  <c r="U1021" i="3"/>
  <c r="G1040" i="6" s="1"/>
  <c r="U1048" i="3"/>
  <c r="G1067" i="6" s="1"/>
  <c r="U1039" i="3"/>
  <c r="G1058" i="6" s="1"/>
  <c r="U1187" i="3"/>
  <c r="G1207" i="6" s="1"/>
  <c r="U1070" i="3"/>
  <c r="G1089" i="6" s="1"/>
  <c r="I1089" i="6" s="1"/>
  <c r="U1172" i="3"/>
  <c r="G1192" i="6" s="1"/>
  <c r="U1153" i="3"/>
  <c r="G1173" i="6" s="1"/>
  <c r="U1061" i="3"/>
  <c r="G1080" i="6" s="1"/>
  <c r="U1072" i="3"/>
  <c r="G1091" i="6" s="1"/>
  <c r="U1042" i="3"/>
  <c r="G1061" i="6" s="1"/>
  <c r="U1174" i="3"/>
  <c r="G1194" i="6" s="1"/>
  <c r="U1105" i="3"/>
  <c r="G1125" i="6" s="1"/>
  <c r="U1181" i="3"/>
  <c r="G1201" i="6" s="1"/>
  <c r="U1188" i="3"/>
  <c r="G1208" i="6" s="1"/>
  <c r="U1180" i="3"/>
  <c r="G1200" i="6" s="1"/>
  <c r="U1038" i="3"/>
  <c r="G1057" i="6" s="1"/>
  <c r="U1145" i="3"/>
  <c r="G1165" i="6" s="1"/>
  <c r="U1091" i="3"/>
  <c r="U1179" i="3"/>
  <c r="E1132" i="6"/>
  <c r="I1132" i="6"/>
  <c r="G117" i="3"/>
  <c r="S117" i="3" s="1"/>
  <c r="G1114" i="3"/>
  <c r="G57" i="5" s="1"/>
  <c r="G1130" i="6"/>
  <c r="F38" i="1"/>
  <c r="B38" i="1" s="1"/>
  <c r="P9" i="3" s="1"/>
  <c r="P6" i="5" s="1"/>
  <c r="E38" i="1"/>
  <c r="Q8" i="3" s="1"/>
  <c r="G52" i="3"/>
  <c r="S52" i="3" s="1"/>
  <c r="G226" i="3"/>
  <c r="S226" i="3" s="1"/>
  <c r="G164" i="3"/>
  <c r="S164" i="3" s="1"/>
  <c r="G126" i="3"/>
  <c r="S126" i="3" s="1"/>
  <c r="G23" i="3"/>
  <c r="S23" i="3" s="1"/>
  <c r="G149" i="3"/>
  <c r="S149" i="3" s="1"/>
  <c r="G83" i="3"/>
  <c r="S83" i="3" s="1"/>
  <c r="G65" i="3"/>
  <c r="S65" i="3" s="1"/>
  <c r="G180" i="3"/>
  <c r="S180" i="3" s="1"/>
  <c r="G252" i="3"/>
  <c r="S252" i="3" s="1"/>
  <c r="G140" i="3"/>
  <c r="S140" i="3" s="1"/>
  <c r="G72" i="3"/>
  <c r="S72" i="3" s="1"/>
  <c r="G45" i="3"/>
  <c r="S45" i="3" s="1"/>
  <c r="G20" i="3"/>
  <c r="S20" i="3" s="1"/>
  <c r="G63" i="3"/>
  <c r="S63" i="3" s="1"/>
  <c r="G246" i="3"/>
  <c r="S246" i="3" s="1"/>
  <c r="G212" i="3"/>
  <c r="S212" i="3" s="1"/>
  <c r="G47" i="3"/>
  <c r="S47" i="3" s="1"/>
  <c r="G264" i="3"/>
  <c r="S264" i="3" s="1"/>
  <c r="G77" i="3"/>
  <c r="S77" i="3" s="1"/>
  <c r="G255" i="3"/>
  <c r="S255" i="3" s="1"/>
  <c r="G113" i="3"/>
  <c r="S113" i="3" s="1"/>
  <c r="G27" i="3"/>
  <c r="S27" i="3" s="1"/>
  <c r="G221" i="3"/>
  <c r="S221" i="3" s="1"/>
  <c r="G178" i="3"/>
  <c r="S178" i="3" s="1"/>
  <c r="G43" i="3"/>
  <c r="S43" i="3" s="1"/>
  <c r="G275" i="3"/>
  <c r="S275" i="3" s="1"/>
  <c r="G142" i="3"/>
  <c r="S142" i="3" s="1"/>
  <c r="G248" i="3"/>
  <c r="S248" i="3" s="1"/>
  <c r="G169" i="3"/>
  <c r="S169" i="3" s="1"/>
  <c r="G133" i="3"/>
  <c r="S133" i="3" s="1"/>
  <c r="G160" i="3"/>
  <c r="S160" i="3" s="1"/>
  <c r="G284" i="3"/>
  <c r="S284" i="3" s="1"/>
  <c r="G302" i="3"/>
  <c r="S302" i="3" s="1"/>
  <c r="G816" i="3"/>
  <c r="S816" i="3" s="1"/>
  <c r="G320" i="3"/>
  <c r="S320" i="3" s="1"/>
  <c r="G257" i="3"/>
  <c r="S257" i="3" s="1"/>
  <c r="G239" i="3"/>
  <c r="S239" i="3" s="1"/>
  <c r="G124" i="3"/>
  <c r="S124" i="3" s="1"/>
  <c r="G196" i="3"/>
  <c r="S196" i="3" s="1"/>
  <c r="G97" i="3"/>
  <c r="S97" i="3" s="1"/>
  <c r="G311" i="3"/>
  <c r="S311" i="3" s="1"/>
  <c r="G61" i="3"/>
  <c r="S61" i="3" s="1"/>
  <c r="G88" i="3"/>
  <c r="S88" i="3" s="1"/>
  <c r="G16" i="3"/>
  <c r="S16" i="3" s="1"/>
  <c r="G151" i="3"/>
  <c r="S151" i="3" s="1"/>
  <c r="G70" i="3"/>
  <c r="S70" i="3" s="1"/>
  <c r="G108" i="3"/>
  <c r="S108" i="3" s="1"/>
  <c r="G99" i="3"/>
  <c r="S99" i="3" s="1"/>
  <c r="G270" i="3"/>
  <c r="S270" i="3" s="1"/>
  <c r="G41" i="3"/>
  <c r="S41" i="3" s="1"/>
  <c r="G282" i="3"/>
  <c r="S282" i="3" s="1"/>
  <c r="G266" i="3"/>
  <c r="S266" i="3" s="1"/>
  <c r="G176" i="3"/>
  <c r="S176" i="3" s="1"/>
  <c r="G106" i="3"/>
  <c r="S106" i="3" s="1"/>
  <c r="G223" i="3"/>
  <c r="S223" i="3" s="1"/>
  <c r="G338" i="3"/>
  <c r="S338" i="3" s="1"/>
  <c r="G38" i="3"/>
  <c r="S38" i="3" s="1"/>
  <c r="G350" i="3"/>
  <c r="S350" i="3" s="1"/>
  <c r="G217" i="3"/>
  <c r="S217" i="3" s="1"/>
  <c r="G162" i="3"/>
  <c r="S162" i="3" s="1"/>
  <c r="G36" i="3"/>
  <c r="S36" i="3" s="1"/>
  <c r="G334" i="3"/>
  <c r="S334" i="3" s="1"/>
  <c r="G95" i="3"/>
  <c r="S95" i="3" s="1"/>
  <c r="G137" i="3"/>
  <c r="S137" i="3" s="1"/>
  <c r="G347" i="3"/>
  <c r="S347" i="3" s="1"/>
  <c r="G25" i="3"/>
  <c r="S25" i="3" s="1"/>
  <c r="G288" i="3"/>
  <c r="S288" i="3" s="1"/>
  <c r="G135" i="3"/>
  <c r="S135" i="3" s="1"/>
  <c r="G279" i="3"/>
  <c r="S279" i="3" s="1"/>
  <c r="G153" i="3"/>
  <c r="S153" i="3" s="1"/>
  <c r="G219" i="3"/>
  <c r="S219" i="3" s="1"/>
  <c r="G122" i="3"/>
  <c r="S122" i="3" s="1"/>
  <c r="G173" i="3"/>
  <c r="S173" i="3" s="1"/>
  <c r="G68" i="3"/>
  <c r="S68" i="3" s="1"/>
  <c r="G309" i="3"/>
  <c r="S309" i="3" s="1"/>
  <c r="G306" i="3"/>
  <c r="S306" i="3" s="1"/>
  <c r="G56" i="3"/>
  <c r="S56" i="3" s="1"/>
  <c r="G261" i="3"/>
  <c r="S261" i="3" s="1"/>
  <c r="H1" i="3"/>
  <c r="H1075" i="3" s="1"/>
  <c r="G1100" i="3"/>
  <c r="G55" i="5" s="1"/>
  <c r="G666" i="3"/>
  <c r="G711" i="3"/>
  <c r="G701" i="3"/>
  <c r="G387" i="3"/>
  <c r="G497" i="3"/>
  <c r="G417" i="3"/>
  <c r="G1154" i="3"/>
  <c r="G503" i="3"/>
  <c r="G686" i="3"/>
  <c r="G397" i="3"/>
  <c r="G844" i="3"/>
  <c r="G593" i="3"/>
  <c r="G452" i="3"/>
  <c r="G457" i="3"/>
  <c r="G578" i="3"/>
  <c r="G750" i="3"/>
  <c r="G731" i="3"/>
  <c r="G432" i="3"/>
  <c r="G502" i="3"/>
  <c r="G15" i="5" s="1"/>
  <c r="G1193" i="3"/>
  <c r="G1132" i="3"/>
  <c r="G61" i="5" s="1"/>
  <c r="G774" i="3"/>
  <c r="G608" i="3"/>
  <c r="G487" i="3"/>
  <c r="G1136" i="3"/>
  <c r="G62" i="5" s="1"/>
  <c r="G749" i="3"/>
  <c r="G442" i="3"/>
  <c r="G538" i="3"/>
  <c r="G860" i="3"/>
  <c r="G741" i="3"/>
  <c r="G392" i="3"/>
  <c r="G528" i="3"/>
  <c r="G886" i="3"/>
  <c r="G1147" i="3"/>
  <c r="G598" i="3"/>
  <c r="G603" i="3"/>
  <c r="G812" i="3"/>
  <c r="G887" i="3"/>
  <c r="G868" i="3"/>
  <c r="G852" i="3"/>
  <c r="G477" i="3"/>
  <c r="G382" i="3"/>
  <c r="G402" i="3"/>
  <c r="G803" i="3"/>
  <c r="G696" i="3"/>
  <c r="G64" i="3"/>
  <c r="V64" i="3" s="1"/>
  <c r="G1078" i="3"/>
  <c r="G691" i="3"/>
  <c r="G412" i="3"/>
  <c r="G588" i="3"/>
  <c r="G799" i="3"/>
  <c r="G840" i="3"/>
  <c r="G921" i="3"/>
  <c r="G38" i="5" s="1"/>
  <c r="G523" i="3"/>
  <c r="G904" i="3"/>
  <c r="G573" i="3"/>
  <c r="G880" i="3"/>
  <c r="G501" i="3"/>
  <c r="G14" i="5" s="1"/>
  <c r="G1107" i="3"/>
  <c r="G56" i="5" s="1"/>
  <c r="G558" i="3"/>
  <c r="G1182" i="3"/>
  <c r="G407" i="3"/>
  <c r="G848" i="3"/>
  <c r="G62" i="3"/>
  <c r="G784" i="3"/>
  <c r="G746" i="3"/>
  <c r="G716" i="3"/>
  <c r="G472" i="3"/>
  <c r="G533" i="3"/>
  <c r="G1159" i="3"/>
  <c r="G65" i="5" s="1"/>
  <c r="G422" i="3"/>
  <c r="G864" i="3"/>
  <c r="G876" i="3"/>
  <c r="G583" i="3"/>
  <c r="G764" i="3"/>
  <c r="G736" i="3"/>
  <c r="G462" i="3"/>
  <c r="G759" i="3"/>
  <c r="G827" i="3"/>
  <c r="G1175" i="3"/>
  <c r="G68" i="5" s="1"/>
  <c r="G676" i="3"/>
  <c r="G884" i="3"/>
  <c r="G822" i="3"/>
  <c r="G656" i="3"/>
  <c r="G354" i="3"/>
  <c r="G437" i="3"/>
  <c r="G856" i="3"/>
  <c r="G467" i="3"/>
  <c r="G681" i="3"/>
  <c r="G1189" i="3"/>
  <c r="G721" i="3"/>
  <c r="G649" i="3"/>
  <c r="G29" i="5" s="1"/>
  <c r="G661" i="3"/>
  <c r="G726" i="3"/>
  <c r="G568" i="3"/>
  <c r="G706" i="3"/>
  <c r="G507" i="3"/>
  <c r="G543" i="3"/>
  <c r="G613" i="3"/>
  <c r="G769" i="3"/>
  <c r="G427" i="3"/>
  <c r="G553" i="3"/>
  <c r="G548" i="3"/>
  <c r="G563" i="3"/>
  <c r="G482" i="3"/>
  <c r="G1140" i="3"/>
  <c r="G63" i="5" s="1"/>
  <c r="G872" i="3"/>
  <c r="G1168" i="3"/>
  <c r="G67" i="5" s="1"/>
  <c r="G779" i="3"/>
  <c r="G447" i="3"/>
  <c r="G492" i="3"/>
  <c r="G671" i="3"/>
  <c r="G131" i="3"/>
  <c r="S131" i="3" s="1"/>
  <c r="G128" i="3"/>
  <c r="S128" i="3" s="1"/>
  <c r="G315" i="3"/>
  <c r="S315" i="3" s="1"/>
  <c r="G277" i="3"/>
  <c r="S277" i="3" s="1"/>
  <c r="G92" i="3"/>
  <c r="S92" i="3" s="1"/>
  <c r="G104" i="3"/>
  <c r="S104" i="3" s="1"/>
  <c r="G293" i="3"/>
  <c r="S293" i="3" s="1"/>
  <c r="G90" i="3"/>
  <c r="S90" i="3" s="1"/>
  <c r="G187" i="3"/>
  <c r="S187" i="3" s="1"/>
  <c r="G32" i="3"/>
  <c r="S32" i="3" s="1"/>
  <c r="G74" i="3"/>
  <c r="S74" i="3" s="1"/>
  <c r="G341" i="3"/>
  <c r="S341" i="3" s="1"/>
  <c r="G101" i="3"/>
  <c r="S101" i="3" s="1"/>
  <c r="G54" i="3"/>
  <c r="S54" i="3" s="1"/>
  <c r="G29" i="3"/>
  <c r="S29" i="3" s="1"/>
  <c r="G191" i="3"/>
  <c r="S191" i="3" s="1"/>
  <c r="G243" i="3"/>
  <c r="S243" i="3" s="1"/>
  <c r="G189" i="3"/>
  <c r="S189" i="3" s="1"/>
  <c r="G171" i="3"/>
  <c r="S171" i="3" s="1"/>
  <c r="G79" i="3"/>
  <c r="S79" i="3" s="1"/>
  <c r="G194" i="3"/>
  <c r="S194" i="3" s="1"/>
  <c r="G50" i="3"/>
  <c r="S50" i="3" s="1"/>
  <c r="G158" i="3"/>
  <c r="S158" i="3" s="1"/>
  <c r="G273" i="3"/>
  <c r="S273" i="3" s="1"/>
  <c r="G214" i="3"/>
  <c r="S214" i="3" s="1"/>
  <c r="G300" i="3"/>
  <c r="S300" i="3" s="1"/>
  <c r="G155" i="3"/>
  <c r="S155" i="3" s="1"/>
  <c r="G291" i="3"/>
  <c r="S291" i="3" s="1"/>
  <c r="G81" i="3"/>
  <c r="S81" i="3" s="1"/>
  <c r="G182" i="3"/>
  <c r="S182" i="3" s="1"/>
  <c r="G210" i="3"/>
  <c r="S210" i="3" s="1"/>
  <c r="G167" i="3"/>
  <c r="S167" i="3" s="1"/>
  <c r="G343" i="3"/>
  <c r="S343" i="3" s="1"/>
  <c r="G286" i="3"/>
  <c r="S286" i="3" s="1"/>
  <c r="G86" i="3"/>
  <c r="S86" i="3" s="1"/>
  <c r="G34" i="3"/>
  <c r="S34" i="3" s="1"/>
  <c r="G59" i="3"/>
  <c r="S59" i="3" s="1"/>
  <c r="G119" i="3"/>
  <c r="S119" i="3" s="1"/>
  <c r="G115" i="3"/>
  <c r="S115" i="3" s="1"/>
  <c r="G110" i="3"/>
  <c r="S110" i="3" s="1"/>
  <c r="G18" i="3"/>
  <c r="S18" i="3" s="1"/>
  <c r="G144" i="3"/>
  <c r="S144" i="3" s="1"/>
  <c r="G146" i="3"/>
  <c r="S146" i="3" s="1"/>
  <c r="G185" i="3"/>
  <c r="S185" i="3" s="1"/>
  <c r="G297" i="3"/>
  <c r="S297" i="3" s="1"/>
  <c r="F1182" i="3"/>
  <c r="F1164" i="3"/>
  <c r="F66" i="5" s="1"/>
  <c r="F1193" i="3"/>
  <c r="F1154" i="3"/>
  <c r="F1100" i="3"/>
  <c r="F55" i="5" s="1"/>
  <c r="F1159" i="3"/>
  <c r="F65" i="5" s="1"/>
  <c r="F1189" i="3"/>
  <c r="F1147" i="3"/>
  <c r="F56" i="5"/>
  <c r="F1093" i="3"/>
  <c r="F54" i="5" s="1"/>
  <c r="AD276" i="4"/>
  <c r="AD273" i="4"/>
  <c r="E20" i="548"/>
  <c r="E14" i="548"/>
  <c r="Y382" i="6"/>
  <c r="W381" i="6"/>
  <c r="I11" i="15"/>
  <c r="F22" i="5"/>
  <c r="F33" i="1"/>
  <c r="B33" i="1" s="1"/>
  <c r="L9" i="3" s="1"/>
  <c r="L6" i="5" s="1"/>
  <c r="G1026" i="6"/>
  <c r="V1010" i="3" s="1"/>
  <c r="U1001" i="3"/>
  <c r="U999" i="3"/>
  <c r="E1005" i="6"/>
  <c r="I1005" i="6"/>
  <c r="AJ30" i="33"/>
  <c r="AK31" i="33"/>
  <c r="G1021" i="6"/>
  <c r="V1005" i="3" s="1"/>
  <c r="F1175" i="3"/>
  <c r="F68" i="5" s="1"/>
  <c r="U1171" i="3"/>
  <c r="U1006" i="3"/>
  <c r="U1004" i="3"/>
  <c r="U953" i="3"/>
  <c r="U950" i="3"/>
  <c r="U991" i="3"/>
  <c r="U970" i="3"/>
  <c r="E968" i="3"/>
  <c r="E981" i="3"/>
  <c r="U986" i="3"/>
  <c r="H30" i="17"/>
  <c r="H33" i="17" s="1"/>
  <c r="M25" i="14"/>
  <c r="K25" i="14"/>
  <c r="L25" i="14" s="1"/>
  <c r="F1196" i="3"/>
  <c r="F1136" i="3"/>
  <c r="F62" i="5" s="1"/>
  <c r="U1073" i="3"/>
  <c r="U996" i="3"/>
  <c r="U994" i="3"/>
  <c r="G1016" i="6"/>
  <c r="V1000" i="3" s="1"/>
  <c r="F1078" i="3"/>
  <c r="F1140" i="3"/>
  <c r="F63" i="5" s="1"/>
  <c r="U1139" i="3"/>
  <c r="F1199" i="3"/>
  <c r="U1009" i="3"/>
  <c r="U1011" i="3"/>
  <c r="U975" i="3"/>
  <c r="U973" i="3"/>
  <c r="E973" i="3"/>
  <c r="I415" i="15"/>
  <c r="G418" i="15"/>
  <c r="I418" i="15" s="1"/>
  <c r="E318" i="6"/>
  <c r="I318" i="6"/>
  <c r="V989" i="3"/>
  <c r="F1016" i="3"/>
  <c r="I417" i="15"/>
  <c r="Q1" i="3" l="1"/>
  <c r="Q5" i="5"/>
  <c r="K8" i="3"/>
  <c r="S1189" i="3"/>
  <c r="T69" i="5" s="1"/>
  <c r="T871" i="6"/>
  <c r="S1154" i="3"/>
  <c r="T64" i="5" s="1"/>
  <c r="G413" i="15"/>
  <c r="I413" i="15" s="1"/>
  <c r="S1159" i="3"/>
  <c r="T65" i="5" s="1"/>
  <c r="S1164" i="3"/>
  <c r="T66" i="5" s="1"/>
  <c r="U1178" i="3"/>
  <c r="G1198" i="6" s="1"/>
  <c r="V1178" i="3" s="1"/>
  <c r="V1111" i="3"/>
  <c r="U1114" i="3"/>
  <c r="F1118" i="3"/>
  <c r="F1205" i="3" s="1"/>
  <c r="F1235" i="3" s="1"/>
  <c r="U1089" i="3"/>
  <c r="U1093" i="3" s="1"/>
  <c r="F1120" i="3"/>
  <c r="S1016" i="3"/>
  <c r="U1016" i="3" s="1"/>
  <c r="U1143" i="3"/>
  <c r="U1147" i="3" s="1"/>
  <c r="U1192" i="3"/>
  <c r="U1193" i="3" s="1"/>
  <c r="M871" i="6"/>
  <c r="Q871" i="6"/>
  <c r="N871" i="6"/>
  <c r="F5" i="20"/>
  <c r="F8" i="20" s="1"/>
  <c r="H1079" i="3"/>
  <c r="H1080" i="3"/>
  <c r="G64" i="5"/>
  <c r="G69" i="5"/>
  <c r="E1133" i="6"/>
  <c r="I1133" i="6"/>
  <c r="J1133" i="6" s="1"/>
  <c r="U1175" i="3"/>
  <c r="I1130" i="6"/>
  <c r="V1110" i="3"/>
  <c r="G1126" i="6"/>
  <c r="V1106" i="3" s="1"/>
  <c r="V1061" i="3"/>
  <c r="E1080" i="6"/>
  <c r="I1080" i="6"/>
  <c r="J1080" i="6" s="1"/>
  <c r="I1192" i="6"/>
  <c r="N1192" i="6" s="1"/>
  <c r="E1192" i="6"/>
  <c r="I1207" i="6"/>
  <c r="V1187" i="3"/>
  <c r="I1058" i="6"/>
  <c r="J1058" i="6" s="1"/>
  <c r="E1058" i="6"/>
  <c r="I1040" i="6"/>
  <c r="J1040" i="6" s="1"/>
  <c r="V1021" i="3"/>
  <c r="E1040" i="6"/>
  <c r="I1124" i="6"/>
  <c r="N1124" i="6" s="1"/>
  <c r="T1124" i="6" s="1"/>
  <c r="E1124" i="6"/>
  <c r="V1104" i="3"/>
  <c r="I967" i="6"/>
  <c r="N967" i="6" s="1"/>
  <c r="E967" i="6"/>
  <c r="I1193" i="6"/>
  <c r="E1193" i="6"/>
  <c r="V1173" i="3"/>
  <c r="I1091" i="6"/>
  <c r="J1091" i="6" s="1"/>
  <c r="E1091" i="6"/>
  <c r="I1173" i="6"/>
  <c r="J1173" i="6" s="1"/>
  <c r="E1173" i="6"/>
  <c r="V1153" i="3"/>
  <c r="I1067" i="6"/>
  <c r="M1067" i="6" s="1"/>
  <c r="Q1067" i="6" s="1"/>
  <c r="V1048" i="3"/>
  <c r="E1067" i="6"/>
  <c r="I1119" i="6"/>
  <c r="J1119" i="6" s="1"/>
  <c r="V1099" i="3"/>
  <c r="E1206" i="6"/>
  <c r="I1206" i="6"/>
  <c r="N1206" i="6" s="1"/>
  <c r="T1206" i="6" s="1"/>
  <c r="I1072" i="6"/>
  <c r="N1072" i="6" s="1"/>
  <c r="E1072" i="6"/>
  <c r="V1053" i="3"/>
  <c r="V1172" i="3"/>
  <c r="V1070" i="3"/>
  <c r="V1039" i="3"/>
  <c r="V951" i="3"/>
  <c r="V1072" i="3"/>
  <c r="V1186" i="3"/>
  <c r="U1154" i="3"/>
  <c r="E1171" i="6"/>
  <c r="I1171" i="6"/>
  <c r="N1171" i="6" s="1"/>
  <c r="T1171" i="6" s="1"/>
  <c r="V1151" i="3"/>
  <c r="E1110" i="6"/>
  <c r="I1110" i="6"/>
  <c r="N1110" i="6" s="1"/>
  <c r="V1090" i="3"/>
  <c r="E1117" i="6"/>
  <c r="V1097" i="3"/>
  <c r="I1117" i="6"/>
  <c r="N1117" i="6" s="1"/>
  <c r="I1166" i="6"/>
  <c r="J1166" i="6" s="1"/>
  <c r="V1146" i="3"/>
  <c r="E1166" i="6"/>
  <c r="V1098" i="3"/>
  <c r="E1118" i="6"/>
  <c r="I1118" i="6"/>
  <c r="N1118" i="6" s="1"/>
  <c r="E1112" i="6"/>
  <c r="I1112" i="6"/>
  <c r="J1112" i="6" s="1"/>
  <c r="V1092" i="3"/>
  <c r="I1172" i="6"/>
  <c r="V1152" i="3"/>
  <c r="E1172" i="6"/>
  <c r="V1145" i="3"/>
  <c r="I1165" i="6"/>
  <c r="N1165" i="6" s="1"/>
  <c r="E1165" i="6"/>
  <c r="I1208" i="6"/>
  <c r="J1208" i="6" s="1"/>
  <c r="V1188" i="3"/>
  <c r="G1199" i="6"/>
  <c r="G1111" i="6"/>
  <c r="U1189" i="3"/>
  <c r="I1200" i="6"/>
  <c r="N1200" i="6" s="1"/>
  <c r="V1180" i="3"/>
  <c r="E1200" i="6"/>
  <c r="E1201" i="6"/>
  <c r="I1201" i="6"/>
  <c r="J1201" i="6" s="1"/>
  <c r="V1181" i="3"/>
  <c r="I1194" i="6"/>
  <c r="J1194" i="6" s="1"/>
  <c r="V1174" i="3"/>
  <c r="E1194" i="6"/>
  <c r="E1068" i="6"/>
  <c r="I1068" i="6"/>
  <c r="J1068" i="6" s="1"/>
  <c r="V1049" i="3"/>
  <c r="V1055" i="3"/>
  <c r="E1074" i="6"/>
  <c r="I1074" i="6"/>
  <c r="J1074" i="6" s="1"/>
  <c r="V985" i="3"/>
  <c r="E1001" i="6"/>
  <c r="I1001" i="6"/>
  <c r="N1001" i="6" s="1"/>
  <c r="E1052" i="6"/>
  <c r="I1052" i="6"/>
  <c r="J1052" i="6" s="1"/>
  <c r="V1033" i="3"/>
  <c r="E990" i="6"/>
  <c r="V974" i="3"/>
  <c r="I990" i="6"/>
  <c r="N990" i="6" s="1"/>
  <c r="E1011" i="6"/>
  <c r="V995" i="3"/>
  <c r="I1011" i="6"/>
  <c r="M1011" i="6" s="1"/>
  <c r="Q1011" i="6" s="1"/>
  <c r="E1057" i="6"/>
  <c r="I1057" i="6"/>
  <c r="J1057" i="6" s="1"/>
  <c r="V1038" i="3"/>
  <c r="I1125" i="6"/>
  <c r="M1125" i="6" s="1"/>
  <c r="Q1125" i="6" s="1"/>
  <c r="E1125" i="6"/>
  <c r="V1105" i="3"/>
  <c r="I1061" i="6"/>
  <c r="E1061" i="6"/>
  <c r="V1042" i="3"/>
  <c r="I1183" i="6"/>
  <c r="M1183" i="6" s="1"/>
  <c r="V1163" i="3"/>
  <c r="E1183" i="6"/>
  <c r="E1164" i="6"/>
  <c r="I1164" i="6"/>
  <c r="N1164" i="6" s="1"/>
  <c r="T1164" i="6" s="1"/>
  <c r="V1144" i="3"/>
  <c r="I1178" i="6"/>
  <c r="V1158" i="3"/>
  <c r="E1178" i="6"/>
  <c r="I1084" i="6"/>
  <c r="N1084" i="6" s="1"/>
  <c r="V1065" i="3"/>
  <c r="E1084" i="6"/>
  <c r="V969" i="3"/>
  <c r="E985" i="6"/>
  <c r="I985" i="6"/>
  <c r="M985" i="6" s="1"/>
  <c r="Q985" i="6" s="1"/>
  <c r="V1054" i="3"/>
  <c r="I1073" i="6"/>
  <c r="M1073" i="6" s="1"/>
  <c r="Q1073" i="6" s="1"/>
  <c r="E1073" i="6"/>
  <c r="I1086" i="6"/>
  <c r="J1086" i="6" s="1"/>
  <c r="V1067" i="3"/>
  <c r="E1075" i="6"/>
  <c r="V1056" i="3"/>
  <c r="I1075" i="6"/>
  <c r="J1075" i="6" s="1"/>
  <c r="U968" i="3"/>
  <c r="G984" i="6" s="1"/>
  <c r="U1140" i="3"/>
  <c r="U981" i="3"/>
  <c r="G997" i="6" s="1"/>
  <c r="U990" i="3"/>
  <c r="G1006" i="6" s="1"/>
  <c r="G1100" i="6" s="1"/>
  <c r="U1164" i="3"/>
  <c r="U1159" i="3"/>
  <c r="U185" i="3"/>
  <c r="E671" i="6"/>
  <c r="E769" i="6"/>
  <c r="E706" i="6"/>
  <c r="E726" i="6"/>
  <c r="E736" i="6"/>
  <c r="E864" i="6"/>
  <c r="E746" i="6"/>
  <c r="E62" i="6"/>
  <c r="V62" i="3"/>
  <c r="G1120" i="3"/>
  <c r="E880" i="6"/>
  <c r="E691" i="6"/>
  <c r="E852" i="6"/>
  <c r="E887" i="6"/>
  <c r="E741" i="6"/>
  <c r="E749" i="6"/>
  <c r="E774" i="6"/>
  <c r="E750" i="6"/>
  <c r="E1156" i="6"/>
  <c r="E701" i="6"/>
  <c r="E666" i="6"/>
  <c r="U261" i="3"/>
  <c r="G261" i="6" s="1"/>
  <c r="V261" i="3" s="1"/>
  <c r="U306" i="3"/>
  <c r="G306" i="6" s="1"/>
  <c r="V306" i="3" s="1"/>
  <c r="U68" i="3"/>
  <c r="U122" i="3"/>
  <c r="G122" i="6" s="1"/>
  <c r="V122" i="3" s="1"/>
  <c r="U279" i="3"/>
  <c r="U288" i="3"/>
  <c r="U347" i="3"/>
  <c r="G347" i="6" s="1"/>
  <c r="V347" i="3" s="1"/>
  <c r="U95" i="3"/>
  <c r="G95" i="6" s="1"/>
  <c r="V95" i="3" s="1"/>
  <c r="U217" i="3"/>
  <c r="U223" i="3"/>
  <c r="U176" i="3"/>
  <c r="U282" i="3"/>
  <c r="U270" i="3"/>
  <c r="G270" i="6" s="1"/>
  <c r="V270" i="3" s="1"/>
  <c r="U108" i="3"/>
  <c r="G108" i="6" s="1"/>
  <c r="V108" i="3" s="1"/>
  <c r="U151" i="3"/>
  <c r="G151" i="6" s="1"/>
  <c r="V151" i="3" s="1"/>
  <c r="U302" i="3"/>
  <c r="G302" i="6" s="1"/>
  <c r="V302" i="3" s="1"/>
  <c r="U160" i="3"/>
  <c r="U169" i="3"/>
  <c r="G169" i="6" s="1"/>
  <c r="V169" i="3" s="1"/>
  <c r="U63" i="3"/>
  <c r="G63" i="6" s="1"/>
  <c r="V63" i="3" s="1"/>
  <c r="U140" i="3"/>
  <c r="G140" i="6" s="1"/>
  <c r="V140" i="3" s="1"/>
  <c r="U83" i="3"/>
  <c r="G83" i="6" s="1"/>
  <c r="V83" i="3" s="1"/>
  <c r="U86" i="3"/>
  <c r="G86" i="6" s="1"/>
  <c r="V86" i="3" s="1"/>
  <c r="U101" i="3"/>
  <c r="G101" i="6" s="1"/>
  <c r="E779" i="6"/>
  <c r="E872" i="6"/>
  <c r="E661" i="6"/>
  <c r="E721" i="6"/>
  <c r="E681" i="6"/>
  <c r="E354" i="6"/>
  <c r="V354" i="3"/>
  <c r="E676" i="6"/>
  <c r="E827" i="6"/>
  <c r="E764" i="6"/>
  <c r="E716" i="6"/>
  <c r="E848" i="6"/>
  <c r="G1119" i="3"/>
  <c r="E799" i="6"/>
  <c r="E696" i="6"/>
  <c r="E868" i="6"/>
  <c r="E812" i="6"/>
  <c r="E860" i="6"/>
  <c r="E731" i="6"/>
  <c r="E686" i="6"/>
  <c r="E711" i="6"/>
  <c r="U309" i="3"/>
  <c r="U173" i="3"/>
  <c r="U153" i="3"/>
  <c r="U135" i="3"/>
  <c r="U137" i="3"/>
  <c r="U162" i="3"/>
  <c r="G162" i="6" s="1"/>
  <c r="V162" i="3" s="1"/>
  <c r="U350" i="3"/>
  <c r="U358" i="3" s="1"/>
  <c r="U338" i="3"/>
  <c r="U106" i="3"/>
  <c r="U266" i="3"/>
  <c r="U99" i="3"/>
  <c r="G99" i="6" s="1"/>
  <c r="V99" i="3" s="1"/>
  <c r="U70" i="3"/>
  <c r="U61" i="3"/>
  <c r="U97" i="3"/>
  <c r="U124" i="3"/>
  <c r="U257" i="3"/>
  <c r="U816" i="3"/>
  <c r="U284" i="3"/>
  <c r="G284" i="6" s="1"/>
  <c r="I284" i="6" s="1"/>
  <c r="U133" i="3"/>
  <c r="G253" i="3"/>
  <c r="U275" i="3"/>
  <c r="U178" i="3"/>
  <c r="G178" i="6" s="1"/>
  <c r="V178" i="3" s="1"/>
  <c r="U221" i="3"/>
  <c r="U113" i="3"/>
  <c r="U77" i="3"/>
  <c r="U246" i="3"/>
  <c r="U72" i="3"/>
  <c r="U252" i="3"/>
  <c r="G252" i="6" s="1"/>
  <c r="V252" i="3" s="1"/>
  <c r="U65" i="3"/>
  <c r="G65" i="6" s="1"/>
  <c r="V65" i="3" s="1"/>
  <c r="U149" i="3"/>
  <c r="G149" i="6" s="1"/>
  <c r="V149" i="3" s="1"/>
  <c r="U126" i="3"/>
  <c r="G126" i="6" s="1"/>
  <c r="V126" i="3" s="1"/>
  <c r="U226" i="3"/>
  <c r="U197" i="3"/>
  <c r="G197" i="6" s="1"/>
  <c r="V197" i="3" s="1"/>
  <c r="U117" i="3"/>
  <c r="G117" i="6" s="1"/>
  <c r="U52" i="3"/>
  <c r="U56" i="3"/>
  <c r="U32" i="3"/>
  <c r="U36" i="3"/>
  <c r="U38" i="3"/>
  <c r="G38" i="6" s="1"/>
  <c r="V38" i="3" s="1"/>
  <c r="U43" i="3"/>
  <c r="G43" i="6" s="1"/>
  <c r="V43" i="3" s="1"/>
  <c r="U27" i="3"/>
  <c r="G27" i="6" s="1"/>
  <c r="V27" i="3" s="1"/>
  <c r="U45" i="3"/>
  <c r="U23" i="3"/>
  <c r="U25" i="3"/>
  <c r="G25" i="6" s="1"/>
  <c r="V25" i="3" s="1"/>
  <c r="U41" i="3"/>
  <c r="U47" i="3"/>
  <c r="G47" i="6" s="1"/>
  <c r="V47" i="3" s="1"/>
  <c r="U20" i="3"/>
  <c r="U16" i="3"/>
  <c r="G1118" i="3"/>
  <c r="E1135" i="6"/>
  <c r="N1132" i="6"/>
  <c r="J1132" i="6"/>
  <c r="M1132" i="6"/>
  <c r="Q1132" i="6" s="1"/>
  <c r="G1134" i="6"/>
  <c r="E1130" i="6"/>
  <c r="E1131" i="6"/>
  <c r="N1131" i="6" s="1"/>
  <c r="I1114" i="3"/>
  <c r="I57" i="5" s="1"/>
  <c r="G316" i="3"/>
  <c r="G271" i="3"/>
  <c r="E1086" i="6"/>
  <c r="G174" i="3"/>
  <c r="G323" i="3"/>
  <c r="G289" i="3"/>
  <c r="U248" i="3"/>
  <c r="G48" i="3"/>
  <c r="G21" i="3"/>
  <c r="S21" i="3" s="1"/>
  <c r="G156" i="3"/>
  <c r="G244" i="3"/>
  <c r="S1168" i="3"/>
  <c r="T67" i="5" s="1"/>
  <c r="G262" i="3"/>
  <c r="G280" i="3"/>
  <c r="G831" i="3"/>
  <c r="G165" i="3"/>
  <c r="G138" i="3"/>
  <c r="G200" i="3"/>
  <c r="G93" i="3"/>
  <c r="G129" i="3"/>
  <c r="G325" i="3"/>
  <c r="G147" i="3"/>
  <c r="G102" i="3"/>
  <c r="G307" i="3"/>
  <c r="G183" i="3"/>
  <c r="G66" i="3"/>
  <c r="G230" i="3"/>
  <c r="U334" i="3"/>
  <c r="G339" i="3"/>
  <c r="G236" i="3"/>
  <c r="G358" i="3"/>
  <c r="G234" i="3"/>
  <c r="U54" i="3"/>
  <c r="G57" i="3"/>
  <c r="G889" i="3"/>
  <c r="G33" i="5" s="1"/>
  <c r="U219" i="3"/>
  <c r="G224" i="3"/>
  <c r="U110" i="3"/>
  <c r="G111" i="3"/>
  <c r="G30" i="3"/>
  <c r="S30" i="3" s="1"/>
  <c r="G75" i="3"/>
  <c r="I1" i="3"/>
  <c r="I1075" i="3" s="1"/>
  <c r="U18" i="3"/>
  <c r="G201" i="3"/>
  <c r="U115" i="3"/>
  <c r="G120" i="3"/>
  <c r="U343" i="3"/>
  <c r="G353" i="3"/>
  <c r="G348" i="3"/>
  <c r="U210" i="3"/>
  <c r="G215" i="3"/>
  <c r="G229" i="3"/>
  <c r="U273" i="3"/>
  <c r="G331" i="3"/>
  <c r="G329" i="3"/>
  <c r="U50" i="3"/>
  <c r="G205" i="3"/>
  <c r="G207" i="3"/>
  <c r="U79" i="3"/>
  <c r="G84" i="3"/>
  <c r="U341" i="3"/>
  <c r="G359" i="3"/>
  <c r="G357" i="3"/>
  <c r="G324" i="3"/>
  <c r="E1142" i="6"/>
  <c r="E649" i="6"/>
  <c r="E1087" i="6"/>
  <c r="E904" i="6"/>
  <c r="G913" i="3"/>
  <c r="G37" i="5" s="1"/>
  <c r="G1219" i="3"/>
  <c r="E921" i="6"/>
  <c r="G1202" i="3"/>
  <c r="U34" i="3"/>
  <c r="G39" i="3"/>
  <c r="S39" i="3" s="1"/>
  <c r="U300" i="3"/>
  <c r="G330" i="3"/>
  <c r="U214" i="3"/>
  <c r="G231" i="3"/>
  <c r="G326" i="3"/>
  <c r="U187" i="3"/>
  <c r="G192" i="3"/>
  <c r="U293" i="3"/>
  <c r="G298" i="3"/>
  <c r="U131" i="3"/>
  <c r="G206" i="3"/>
  <c r="E656" i="6"/>
  <c r="G752" i="3"/>
  <c r="G30" i="5" s="1"/>
  <c r="E759" i="6"/>
  <c r="G805" i="3"/>
  <c r="G31" i="5" s="1"/>
  <c r="E1161" i="6"/>
  <c r="E1088" i="6"/>
  <c r="E64" i="6"/>
  <c r="G202" i="3"/>
  <c r="G509" i="3"/>
  <c r="E1149" i="6"/>
  <c r="E1083" i="6"/>
  <c r="G1081" i="3"/>
  <c r="H327" i="3"/>
  <c r="H368" i="3" s="1"/>
  <c r="H512" i="3" s="1"/>
  <c r="H1081" i="3"/>
  <c r="H325" i="3"/>
  <c r="H365" i="3" s="1"/>
  <c r="H207" i="3"/>
  <c r="H1078" i="3"/>
  <c r="H1118" i="3" s="1"/>
  <c r="H1135" i="3"/>
  <c r="S1135" i="3" s="1"/>
  <c r="H326" i="3"/>
  <c r="H331" i="3"/>
  <c r="H205" i="3"/>
  <c r="H330" i="3"/>
  <c r="H323" i="3"/>
  <c r="H363" i="3" s="1"/>
  <c r="H329" i="3"/>
  <c r="H324" i="3"/>
  <c r="H206" i="3"/>
  <c r="H202" i="3"/>
  <c r="H201" i="3"/>
  <c r="N318" i="6"/>
  <c r="M318" i="6"/>
  <c r="Q318" i="6" s="1"/>
  <c r="W318" i="6" s="1"/>
  <c r="M1089" i="6"/>
  <c r="Q1089" i="6" s="1"/>
  <c r="N1089" i="6"/>
  <c r="M1005" i="6"/>
  <c r="N1005" i="6"/>
  <c r="S1086" i="3"/>
  <c r="T53" i="5" s="1"/>
  <c r="F69" i="5"/>
  <c r="F64" i="5"/>
  <c r="G815" i="3"/>
  <c r="S815" i="3" s="1"/>
  <c r="Y383" i="6"/>
  <c r="Y384" i="6" s="1"/>
  <c r="Y385" i="6" s="1"/>
  <c r="W382" i="6"/>
  <c r="G419" i="15"/>
  <c r="I419" i="15" s="1"/>
  <c r="I1062" i="6"/>
  <c r="E1062" i="6"/>
  <c r="G1030" i="6"/>
  <c r="E1055" i="6"/>
  <c r="I1055" i="6"/>
  <c r="E1078" i="6"/>
  <c r="I1078" i="6"/>
  <c r="J318" i="6"/>
  <c r="G1182" i="6"/>
  <c r="V1162" i="3" s="1"/>
  <c r="E1066" i="6"/>
  <c r="I1066" i="6"/>
  <c r="I1056" i="6"/>
  <c r="E1056" i="6"/>
  <c r="E1081" i="6"/>
  <c r="I1081" i="6"/>
  <c r="J1081" i="6" s="1"/>
  <c r="G1010" i="6"/>
  <c r="V994" i="3" s="1"/>
  <c r="E1031" i="6"/>
  <c r="I1031" i="6"/>
  <c r="E1050" i="6"/>
  <c r="I1050" i="6"/>
  <c r="F1081" i="3"/>
  <c r="K26" i="14"/>
  <c r="L26" i="14" s="1"/>
  <c r="M26" i="14"/>
  <c r="I1085" i="6"/>
  <c r="E1085" i="6"/>
  <c r="I1044" i="6"/>
  <c r="E1044" i="6"/>
  <c r="G966" i="6"/>
  <c r="V950" i="3" s="1"/>
  <c r="G1020" i="6"/>
  <c r="V1004" i="3" s="1"/>
  <c r="I1090" i="6"/>
  <c r="S1175" i="3"/>
  <c r="T68" i="5" s="1"/>
  <c r="G1187" i="6"/>
  <c r="V1167" i="3" s="1"/>
  <c r="J1089" i="6"/>
  <c r="AK32" i="33"/>
  <c r="AK33" i="33" s="1"/>
  <c r="AK34" i="33" s="1"/>
  <c r="AJ31" i="33"/>
  <c r="AJ32" i="33" s="1"/>
  <c r="J1005" i="6"/>
  <c r="E1069" i="6"/>
  <c r="I1069" i="6"/>
  <c r="J1069" i="6" s="1"/>
  <c r="G1015" i="6"/>
  <c r="V999" i="3" s="1"/>
  <c r="E1079" i="6"/>
  <c r="I1079" i="6"/>
  <c r="I1039" i="6"/>
  <c r="E1039" i="6"/>
  <c r="F3" i="33"/>
  <c r="I1043" i="6"/>
  <c r="E1043" i="6"/>
  <c r="E1051" i="6"/>
  <c r="I1051" i="6"/>
  <c r="V1043" i="3"/>
  <c r="V1036" i="3"/>
  <c r="V1059" i="3"/>
  <c r="E1046" i="6"/>
  <c r="I1046" i="6"/>
  <c r="J1046" i="6" s="1"/>
  <c r="V1047" i="3"/>
  <c r="E1049" i="6"/>
  <c r="I1049" i="6"/>
  <c r="V1037" i="3"/>
  <c r="G989" i="6"/>
  <c r="V973" i="3" s="1"/>
  <c r="G1025" i="6"/>
  <c r="V1009" i="3" s="1"/>
  <c r="S1140" i="3"/>
  <c r="T63" i="5" s="1"/>
  <c r="S1199" i="3"/>
  <c r="E1016" i="6"/>
  <c r="I1016" i="6"/>
  <c r="V1062" i="3"/>
  <c r="V1015" i="3"/>
  <c r="V1031" i="3"/>
  <c r="E1063" i="6"/>
  <c r="I1063" i="6"/>
  <c r="J1063" i="6" s="1"/>
  <c r="G1170" i="6"/>
  <c r="V1150" i="3" s="1"/>
  <c r="G1092" i="6"/>
  <c r="E1038" i="6"/>
  <c r="I1038" i="6"/>
  <c r="G1205" i="6"/>
  <c r="G1105" i="6"/>
  <c r="V1085" i="3" s="1"/>
  <c r="V1066" i="3"/>
  <c r="V1025" i="3"/>
  <c r="V1071" i="3"/>
  <c r="G1177" i="6"/>
  <c r="V1157" i="3" s="1"/>
  <c r="E1021" i="6"/>
  <c r="I1021" i="6"/>
  <c r="E1045" i="6"/>
  <c r="I1045" i="6"/>
  <c r="V1050" i="3"/>
  <c r="V1060" i="3"/>
  <c r="V1020" i="3"/>
  <c r="E1026" i="6"/>
  <c r="I1026" i="6"/>
  <c r="K1" i="3" l="1"/>
  <c r="K613" i="3" s="1"/>
  <c r="K5" i="5"/>
  <c r="G1163" i="6"/>
  <c r="V1143" i="3" s="1"/>
  <c r="G1212" i="6"/>
  <c r="V1192" i="3" s="1"/>
  <c r="U1182" i="3"/>
  <c r="K327" i="3"/>
  <c r="K368" i="3" s="1"/>
  <c r="K799" i="3"/>
  <c r="K402" i="3"/>
  <c r="K656" i="3"/>
  <c r="K417" i="3"/>
  <c r="K868" i="3"/>
  <c r="K784" i="3"/>
  <c r="K827" i="3"/>
  <c r="K1075" i="3"/>
  <c r="K1081" i="3" s="1"/>
  <c r="K1121" i="3" s="1"/>
  <c r="K1208" i="3" s="1"/>
  <c r="K497" i="3"/>
  <c r="K382" i="3"/>
  <c r="K706" i="3"/>
  <c r="K842" i="3"/>
  <c r="K886" i="3" s="1"/>
  <c r="V1114" i="3"/>
  <c r="U1199" i="3"/>
  <c r="G1109" i="6"/>
  <c r="V1089" i="3" s="1"/>
  <c r="F1121" i="3"/>
  <c r="F1208" i="3" s="1"/>
  <c r="V1073" i="3"/>
  <c r="G1094" i="6"/>
  <c r="I1079" i="3"/>
  <c r="I1080" i="3"/>
  <c r="G1099" i="6"/>
  <c r="G1139" i="6" s="1"/>
  <c r="I1139" i="6" s="1"/>
  <c r="H11" i="5"/>
  <c r="J985" i="6"/>
  <c r="J1183" i="6"/>
  <c r="N1183" i="6"/>
  <c r="T1183" i="6" s="1"/>
  <c r="M1171" i="6"/>
  <c r="Q1171" i="6" s="1"/>
  <c r="N1073" i="6"/>
  <c r="T1073" i="6" s="1"/>
  <c r="J1011" i="6"/>
  <c r="J1171" i="6"/>
  <c r="M1001" i="6"/>
  <c r="Q1001" i="6" s="1"/>
  <c r="M1200" i="6"/>
  <c r="Q1200" i="6" s="1"/>
  <c r="M1084" i="6"/>
  <c r="Q1084" i="6" s="1"/>
  <c r="M967" i="6"/>
  <c r="Q967" i="6" s="1"/>
  <c r="S289" i="3"/>
  <c r="S165" i="3"/>
  <c r="N1011" i="6"/>
  <c r="T1011" i="6" s="1"/>
  <c r="N985" i="6"/>
  <c r="T985" i="6" s="1"/>
  <c r="J1206" i="6"/>
  <c r="S156" i="3"/>
  <c r="S66" i="3"/>
  <c r="N1125" i="6"/>
  <c r="T1125" i="6" s="1"/>
  <c r="J990" i="6"/>
  <c r="J1118" i="6"/>
  <c r="J1165" i="6"/>
  <c r="M990" i="6"/>
  <c r="Q990" i="6" s="1"/>
  <c r="N1067" i="6"/>
  <c r="T1067" i="6" s="1"/>
  <c r="M1118" i="6"/>
  <c r="Q1118" i="6" s="1"/>
  <c r="E1126" i="6"/>
  <c r="S230" i="3"/>
  <c r="S316" i="3"/>
  <c r="J1067" i="6"/>
  <c r="J1073" i="6"/>
  <c r="J1001" i="6"/>
  <c r="J1164" i="6"/>
  <c r="M1124" i="6"/>
  <c r="Q1124" i="6" s="1"/>
  <c r="M1164" i="6"/>
  <c r="Q1164" i="6" s="1"/>
  <c r="J1124" i="6"/>
  <c r="U348" i="3"/>
  <c r="S307" i="3"/>
  <c r="S234" i="3"/>
  <c r="S358" i="3"/>
  <c r="M1206" i="6"/>
  <c r="Q1206" i="6" s="1"/>
  <c r="J1125" i="6"/>
  <c r="I1126" i="6"/>
  <c r="J1126" i="6" s="1"/>
  <c r="J967" i="6"/>
  <c r="J1110" i="6"/>
  <c r="J1117" i="6"/>
  <c r="M1192" i="6"/>
  <c r="Q1192" i="6" s="1"/>
  <c r="M1117" i="6"/>
  <c r="Q1117" i="6" s="1"/>
  <c r="M1165" i="6"/>
  <c r="Q1165" i="6" s="1"/>
  <c r="M1110" i="6"/>
  <c r="Q1110" i="6" s="1"/>
  <c r="M1072" i="6"/>
  <c r="Q1072" i="6" s="1"/>
  <c r="S183" i="3"/>
  <c r="S271" i="3"/>
  <c r="S48" i="3"/>
  <c r="S138" i="3"/>
  <c r="U262" i="3"/>
  <c r="S174" i="3"/>
  <c r="S147" i="3"/>
  <c r="S93" i="3"/>
  <c r="S129" i="3"/>
  <c r="J1192" i="6"/>
  <c r="J1072" i="6"/>
  <c r="J1084" i="6"/>
  <c r="J1200" i="6"/>
  <c r="S262" i="3"/>
  <c r="U231" i="3"/>
  <c r="S102" i="3"/>
  <c r="U224" i="3"/>
  <c r="S236" i="3"/>
  <c r="U253" i="3"/>
  <c r="U271" i="3"/>
  <c r="G1002" i="6"/>
  <c r="V981" i="3"/>
  <c r="I997" i="6"/>
  <c r="M997" i="6" s="1"/>
  <c r="Q997" i="6" s="1"/>
  <c r="E997" i="6"/>
  <c r="E1006" i="6"/>
  <c r="V990" i="3"/>
  <c r="I1006" i="6"/>
  <c r="M1006" i="6" s="1"/>
  <c r="Q1006" i="6" s="1"/>
  <c r="G1007" i="6"/>
  <c r="E1007" i="6" s="1"/>
  <c r="G1140" i="6"/>
  <c r="I1140" i="6" s="1"/>
  <c r="U138" i="3"/>
  <c r="U307" i="3"/>
  <c r="M1193" i="6"/>
  <c r="Q1193" i="6" s="1"/>
  <c r="J1193" i="6"/>
  <c r="N1193" i="6"/>
  <c r="T1193" i="6" s="1"/>
  <c r="M1207" i="6"/>
  <c r="Q1207" i="6" s="1"/>
  <c r="N1207" i="6"/>
  <c r="T1207" i="6" s="1"/>
  <c r="J1207" i="6"/>
  <c r="M1172" i="6"/>
  <c r="Q1172" i="6" s="1"/>
  <c r="J1172" i="6"/>
  <c r="N1172" i="6"/>
  <c r="T1172" i="6" s="1"/>
  <c r="V117" i="3"/>
  <c r="E117" i="6"/>
  <c r="I117" i="6"/>
  <c r="N117" i="6" s="1"/>
  <c r="U29" i="3"/>
  <c r="G29" i="6" s="1"/>
  <c r="U48" i="3"/>
  <c r="U57" i="3"/>
  <c r="I1111" i="6"/>
  <c r="E1111" i="6"/>
  <c r="V1091" i="3"/>
  <c r="V1179" i="3"/>
  <c r="E1199" i="6"/>
  <c r="I1199" i="6"/>
  <c r="V968" i="3"/>
  <c r="I984" i="6"/>
  <c r="M984" i="6" s="1"/>
  <c r="E984" i="6"/>
  <c r="G986" i="6"/>
  <c r="E986" i="6" s="1"/>
  <c r="S244" i="3"/>
  <c r="U243" i="3"/>
  <c r="S280" i="3"/>
  <c r="U277" i="3"/>
  <c r="U280" i="3" s="1"/>
  <c r="U229" i="3"/>
  <c r="U66" i="3"/>
  <c r="U111" i="3"/>
  <c r="U330" i="3"/>
  <c r="U315" i="3"/>
  <c r="G315" i="6" s="1"/>
  <c r="U194" i="3"/>
  <c r="G194" i="6" s="1"/>
  <c r="U155" i="3"/>
  <c r="G155" i="6" s="1"/>
  <c r="U146" i="3"/>
  <c r="G146" i="6" s="1"/>
  <c r="U164" i="3"/>
  <c r="G164" i="6" s="1"/>
  <c r="U180" i="3"/>
  <c r="G180" i="6" s="1"/>
  <c r="U264" i="3"/>
  <c r="G264" i="6" s="1"/>
  <c r="U321" i="3"/>
  <c r="G321" i="6" s="1"/>
  <c r="U239" i="3"/>
  <c r="G239" i="6" s="1"/>
  <c r="U311" i="3"/>
  <c r="G311" i="6" s="1"/>
  <c r="U236" i="3"/>
  <c r="U234" i="3"/>
  <c r="U104" i="3"/>
  <c r="G104" i="6" s="1"/>
  <c r="U191" i="3"/>
  <c r="G191" i="6" s="1"/>
  <c r="U291" i="3"/>
  <c r="G291" i="6" s="1"/>
  <c r="U167" i="3"/>
  <c r="G167" i="6" s="1"/>
  <c r="U119" i="3"/>
  <c r="G119" i="6" s="1"/>
  <c r="N1178" i="6"/>
  <c r="T1178" i="6" s="1"/>
  <c r="J1178" i="6"/>
  <c r="M1178" i="6"/>
  <c r="Q1178" i="6" s="1"/>
  <c r="U359" i="3"/>
  <c r="U357" i="3"/>
  <c r="S75" i="3"/>
  <c r="U74" i="3"/>
  <c r="U75" i="3" s="1"/>
  <c r="U353" i="3"/>
  <c r="U339" i="3"/>
  <c r="U102" i="3"/>
  <c r="U92" i="3"/>
  <c r="G92" i="6" s="1"/>
  <c r="U171" i="3"/>
  <c r="G171" i="6" s="1"/>
  <c r="U158" i="3"/>
  <c r="U81" i="3"/>
  <c r="G81" i="6" s="1"/>
  <c r="U59" i="3"/>
  <c r="U297" i="3"/>
  <c r="U298" i="3" s="1"/>
  <c r="U212" i="3"/>
  <c r="U230" i="3" s="1"/>
  <c r="U255" i="3"/>
  <c r="U142" i="3"/>
  <c r="G142" i="6" s="1"/>
  <c r="U320" i="3"/>
  <c r="G320" i="6" s="1"/>
  <c r="I320" i="6" s="1"/>
  <c r="U196" i="3"/>
  <c r="G196" i="6" s="1"/>
  <c r="U88" i="3"/>
  <c r="G88" i="6" s="1"/>
  <c r="U128" i="3"/>
  <c r="U129" i="3" s="1"/>
  <c r="U90" i="3"/>
  <c r="G90" i="6" s="1"/>
  <c r="U189" i="3"/>
  <c r="U182" i="3"/>
  <c r="U286" i="3"/>
  <c r="U289" i="3" s="1"/>
  <c r="U144" i="3"/>
  <c r="G144" i="6" s="1"/>
  <c r="N1061" i="6"/>
  <c r="T1061" i="6" s="1"/>
  <c r="J1061" i="6"/>
  <c r="M1061" i="6"/>
  <c r="Q1061" i="6" s="1"/>
  <c r="G282" i="6"/>
  <c r="G176" i="6"/>
  <c r="G223" i="6"/>
  <c r="G288" i="6"/>
  <c r="G279" i="6"/>
  <c r="G68" i="6"/>
  <c r="E1204" i="6"/>
  <c r="E1221" i="6"/>
  <c r="G365" i="3"/>
  <c r="G1205" i="3"/>
  <c r="G1235" i="3" s="1"/>
  <c r="G20" i="6"/>
  <c r="G41" i="6"/>
  <c r="G56" i="6"/>
  <c r="G226" i="6"/>
  <c r="G72" i="6"/>
  <c r="G246" i="6"/>
  <c r="G77" i="6"/>
  <c r="G113" i="6"/>
  <c r="G133" i="6"/>
  <c r="G817" i="6"/>
  <c r="G124" i="6"/>
  <c r="G97" i="6"/>
  <c r="G102" i="6" s="1"/>
  <c r="E102" i="6" s="1"/>
  <c r="G61" i="6"/>
  <c r="G66" i="6" s="1"/>
  <c r="E66" i="6" s="1"/>
  <c r="G70" i="6"/>
  <c r="G106" i="6"/>
  <c r="G338" i="6"/>
  <c r="G137" i="6"/>
  <c r="G135" i="6"/>
  <c r="G153" i="6"/>
  <c r="G173" i="6"/>
  <c r="G309" i="6"/>
  <c r="G185" i="6"/>
  <c r="G52" i="6"/>
  <c r="U30" i="3"/>
  <c r="U39" i="3"/>
  <c r="G23" i="6"/>
  <c r="G45" i="6"/>
  <c r="G48" i="6" s="1"/>
  <c r="E48" i="6" s="1"/>
  <c r="G36" i="6"/>
  <c r="H1120" i="3"/>
  <c r="H1207" i="3" s="1"/>
  <c r="H1237" i="3" s="1"/>
  <c r="H1119" i="3"/>
  <c r="H1206" i="3" s="1"/>
  <c r="H1236" i="3" s="1"/>
  <c r="H1121" i="3"/>
  <c r="H1208" i="3" s="1"/>
  <c r="G1082" i="3"/>
  <c r="G52" i="5" s="1"/>
  <c r="G58" i="5" s="1"/>
  <c r="G1121" i="3"/>
  <c r="G1208" i="3" s="1"/>
  <c r="E1134" i="6"/>
  <c r="G55" i="2"/>
  <c r="J1131" i="6"/>
  <c r="M1131" i="6"/>
  <c r="Q1131" i="6" s="1"/>
  <c r="T1132" i="6"/>
  <c r="T1131" i="6"/>
  <c r="B39" i="1"/>
  <c r="E39" i="1"/>
  <c r="R8" i="3" s="1"/>
  <c r="T1165" i="6"/>
  <c r="T1110" i="6"/>
  <c r="T1089" i="6"/>
  <c r="T967" i="6"/>
  <c r="T1072" i="6"/>
  <c r="T1192" i="6"/>
  <c r="T990" i="6"/>
  <c r="T1117" i="6"/>
  <c r="T1200" i="6"/>
  <c r="T1118" i="6"/>
  <c r="U318" i="6"/>
  <c r="H636" i="3"/>
  <c r="H21" i="5" s="1"/>
  <c r="I178" i="6"/>
  <c r="N178" i="6" s="1"/>
  <c r="G232" i="3"/>
  <c r="H366" i="3"/>
  <c r="H13" i="5" s="1"/>
  <c r="V284" i="3"/>
  <c r="E302" i="6"/>
  <c r="G363" i="3"/>
  <c r="G327" i="3"/>
  <c r="S323" i="3"/>
  <c r="G203" i="3"/>
  <c r="S253" i="3"/>
  <c r="G355" i="3"/>
  <c r="S202" i="3"/>
  <c r="I302" i="6"/>
  <c r="M302" i="6" s="1"/>
  <c r="G307" i="6"/>
  <c r="E307" i="6" s="1"/>
  <c r="I126" i="6"/>
  <c r="E126" i="6"/>
  <c r="I149" i="6"/>
  <c r="E149" i="6"/>
  <c r="E83" i="6"/>
  <c r="I83" i="6"/>
  <c r="E65" i="6"/>
  <c r="I65" i="6"/>
  <c r="E252" i="6"/>
  <c r="I252" i="6"/>
  <c r="I47" i="6"/>
  <c r="E47" i="6"/>
  <c r="I140" i="6"/>
  <c r="E140" i="6"/>
  <c r="E63" i="6"/>
  <c r="I63" i="6"/>
  <c r="E27" i="6"/>
  <c r="I27" i="6"/>
  <c r="G221" i="6"/>
  <c r="V221" i="3" s="1"/>
  <c r="H371" i="3"/>
  <c r="G217" i="6"/>
  <c r="I95" i="6"/>
  <c r="E95" i="6"/>
  <c r="E347" i="6"/>
  <c r="I347" i="6"/>
  <c r="G266" i="6"/>
  <c r="G350" i="6"/>
  <c r="I108" i="6"/>
  <c r="E108" i="6"/>
  <c r="E270" i="6"/>
  <c r="I270" i="6"/>
  <c r="E38" i="6"/>
  <c r="I38" i="6"/>
  <c r="I99" i="6"/>
  <c r="E99" i="6"/>
  <c r="E162" i="6"/>
  <c r="I162" i="6"/>
  <c r="S339" i="3"/>
  <c r="E25" i="6"/>
  <c r="I25" i="6"/>
  <c r="G366" i="3"/>
  <c r="G13" i="5" s="1"/>
  <c r="G371" i="3"/>
  <c r="S111" i="3"/>
  <c r="E889" i="6"/>
  <c r="S57" i="3"/>
  <c r="S224" i="3"/>
  <c r="I327" i="3"/>
  <c r="I368" i="3" s="1"/>
  <c r="I512" i="3" s="1"/>
  <c r="I205" i="3"/>
  <c r="I326" i="3"/>
  <c r="I1081" i="3"/>
  <c r="I207" i="3"/>
  <c r="I331" i="3"/>
  <c r="I202" i="3"/>
  <c r="I324" i="3"/>
  <c r="I959" i="3"/>
  <c r="S959" i="3" s="1"/>
  <c r="I962" i="3"/>
  <c r="S962" i="3" s="1"/>
  <c r="I956" i="3"/>
  <c r="S956" i="3" s="1"/>
  <c r="I960" i="3"/>
  <c r="S960" i="3" s="1"/>
  <c r="I1103" i="3"/>
  <c r="S1103" i="3" s="1"/>
  <c r="I1096" i="3"/>
  <c r="S1096" i="3" s="1"/>
  <c r="I325" i="3"/>
  <c r="I365" i="3" s="1"/>
  <c r="I201" i="3"/>
  <c r="I330" i="3"/>
  <c r="I206" i="3"/>
  <c r="I329" i="3"/>
  <c r="I323" i="3"/>
  <c r="I363" i="3" s="1"/>
  <c r="I961" i="3"/>
  <c r="S961" i="3" s="1"/>
  <c r="I957" i="3"/>
  <c r="S957" i="3" s="1"/>
  <c r="I958" i="3"/>
  <c r="S958" i="3" s="1"/>
  <c r="E122" i="6"/>
  <c r="I122" i="6"/>
  <c r="I306" i="6"/>
  <c r="E306" i="6"/>
  <c r="E261" i="6"/>
  <c r="I261" i="6"/>
  <c r="H635" i="3"/>
  <c r="H20" i="5" s="1"/>
  <c r="H364" i="3"/>
  <c r="H12" i="5" s="1"/>
  <c r="H1136" i="3"/>
  <c r="H62" i="5" s="1"/>
  <c r="U1135" i="3"/>
  <c r="H1196" i="3"/>
  <c r="H372" i="3"/>
  <c r="E1089" i="6"/>
  <c r="S206" i="3"/>
  <c r="S298" i="3"/>
  <c r="S325" i="3"/>
  <c r="S365" i="3" s="1"/>
  <c r="S192" i="3"/>
  <c r="I101" i="6"/>
  <c r="E101" i="6"/>
  <c r="S326" i="3"/>
  <c r="S231" i="3"/>
  <c r="S330" i="3"/>
  <c r="G34" i="6"/>
  <c r="V34" i="3" s="1"/>
  <c r="E1114" i="6"/>
  <c r="G1206" i="3"/>
  <c r="S324" i="3"/>
  <c r="G32" i="6"/>
  <c r="V32" i="3" s="1"/>
  <c r="G372" i="3"/>
  <c r="S207" i="3"/>
  <c r="S229" i="3"/>
  <c r="S215" i="3"/>
  <c r="G635" i="3"/>
  <c r="G20" i="5" s="1"/>
  <c r="G364" i="3"/>
  <c r="G12" i="5" s="1"/>
  <c r="H370" i="3"/>
  <c r="H1082" i="3"/>
  <c r="H52" i="5" s="1"/>
  <c r="H58" i="5" s="1"/>
  <c r="E1115" i="6"/>
  <c r="G1207" i="3"/>
  <c r="E805" i="6"/>
  <c r="E752" i="6"/>
  <c r="V101" i="3"/>
  <c r="G636" i="3"/>
  <c r="G21" i="5" s="1"/>
  <c r="S205" i="3"/>
  <c r="S359" i="3"/>
  <c r="S357" i="3"/>
  <c r="S84" i="3"/>
  <c r="G370" i="3"/>
  <c r="S331" i="3"/>
  <c r="S329" i="3"/>
  <c r="S348" i="3"/>
  <c r="S353" i="3"/>
  <c r="I86" i="6"/>
  <c r="E86" i="6"/>
  <c r="S120" i="3"/>
  <c r="S201" i="3"/>
  <c r="E284" i="6"/>
  <c r="I43" i="6"/>
  <c r="N43" i="6" s="1"/>
  <c r="E151" i="6"/>
  <c r="I151" i="6"/>
  <c r="M151" i="6" s="1"/>
  <c r="E178" i="6"/>
  <c r="M1016" i="6"/>
  <c r="Q1016" i="6" s="1"/>
  <c r="N1016" i="6"/>
  <c r="M1049" i="6"/>
  <c r="Q1049" i="6" s="1"/>
  <c r="N1049" i="6"/>
  <c r="M1043" i="6"/>
  <c r="Q1043" i="6" s="1"/>
  <c r="N1043" i="6"/>
  <c r="M1039" i="6"/>
  <c r="Q1039" i="6" s="1"/>
  <c r="N1039" i="6"/>
  <c r="M1079" i="6"/>
  <c r="Q1079" i="6" s="1"/>
  <c r="N1079" i="6"/>
  <c r="M1090" i="6"/>
  <c r="Q1090" i="6" s="1"/>
  <c r="N1090" i="6"/>
  <c r="M1044" i="6"/>
  <c r="Q1044" i="6" s="1"/>
  <c r="N1044" i="6"/>
  <c r="M1050" i="6"/>
  <c r="Q1050" i="6" s="1"/>
  <c r="N1050" i="6"/>
  <c r="M1031" i="6"/>
  <c r="N1031" i="6"/>
  <c r="M1056" i="6"/>
  <c r="Q1056" i="6" s="1"/>
  <c r="N1056" i="6"/>
  <c r="M284" i="6"/>
  <c r="N284" i="6"/>
  <c r="M1021" i="6"/>
  <c r="Q1021" i="6" s="1"/>
  <c r="N1021" i="6"/>
  <c r="M1026" i="6"/>
  <c r="Q1026" i="6" s="1"/>
  <c r="N1026" i="6"/>
  <c r="M1038" i="6"/>
  <c r="N1038" i="6"/>
  <c r="M1085" i="6"/>
  <c r="Q1085" i="6" s="1"/>
  <c r="N1085" i="6"/>
  <c r="M1066" i="6"/>
  <c r="Q1066" i="6" s="1"/>
  <c r="N1066" i="6"/>
  <c r="M1078" i="6"/>
  <c r="Q1078" i="6" s="1"/>
  <c r="N1078" i="6"/>
  <c r="M1055" i="6"/>
  <c r="Q1055" i="6" s="1"/>
  <c r="N1055" i="6"/>
  <c r="M1062" i="6"/>
  <c r="N1062" i="6"/>
  <c r="J1045" i="6"/>
  <c r="J1051" i="6"/>
  <c r="I169" i="6"/>
  <c r="N169" i="6" s="1"/>
  <c r="E169" i="6"/>
  <c r="E43" i="6"/>
  <c r="I197" i="6"/>
  <c r="E197" i="6"/>
  <c r="G275" i="6"/>
  <c r="G248" i="6"/>
  <c r="V248" i="3" s="1"/>
  <c r="G160" i="6"/>
  <c r="G257" i="6"/>
  <c r="U815" i="3"/>
  <c r="G817" i="3"/>
  <c r="E815" i="6"/>
  <c r="G830" i="3"/>
  <c r="Y386" i="6"/>
  <c r="W385" i="6"/>
  <c r="AC385" i="6" s="1"/>
  <c r="AE385" i="6" s="1"/>
  <c r="E1105" i="6"/>
  <c r="G1106" i="6"/>
  <c r="I1105" i="6"/>
  <c r="J1038" i="6"/>
  <c r="I1092" i="6"/>
  <c r="E1092" i="6"/>
  <c r="E1170" i="6"/>
  <c r="I1170" i="6"/>
  <c r="G1174" i="6"/>
  <c r="G1159" i="6"/>
  <c r="V1139" i="3" s="1"/>
  <c r="E989" i="6"/>
  <c r="G991" i="6"/>
  <c r="I989" i="6"/>
  <c r="J1043" i="6"/>
  <c r="F9" i="20"/>
  <c r="F17" i="20"/>
  <c r="F10" i="20"/>
  <c r="J1039" i="6"/>
  <c r="J1079" i="6"/>
  <c r="T1005" i="6"/>
  <c r="AK35" i="33"/>
  <c r="AJ35" i="33" s="1"/>
  <c r="AJ34" i="33"/>
  <c r="J1090" i="6"/>
  <c r="E966" i="6"/>
  <c r="G969" i="6"/>
  <c r="I966" i="6"/>
  <c r="J1044" i="6"/>
  <c r="J1085" i="6"/>
  <c r="J1050" i="6"/>
  <c r="J1031" i="6"/>
  <c r="F1082" i="3"/>
  <c r="F1124" i="3" s="1"/>
  <c r="J1056" i="6"/>
  <c r="I1030" i="6"/>
  <c r="G1032" i="6"/>
  <c r="E1030" i="6"/>
  <c r="J1062" i="6"/>
  <c r="J1026" i="6"/>
  <c r="J1021" i="6"/>
  <c r="I1177" i="6"/>
  <c r="G1179" i="6"/>
  <c r="E1177" i="6"/>
  <c r="V1185" i="3"/>
  <c r="E1205" i="6"/>
  <c r="I1205" i="6"/>
  <c r="G1209" i="6"/>
  <c r="Q1183" i="6"/>
  <c r="M1184" i="6"/>
  <c r="J1016" i="6"/>
  <c r="E1025" i="6"/>
  <c r="I1025" i="6"/>
  <c r="G1027" i="6"/>
  <c r="J1049" i="6"/>
  <c r="T1084" i="6"/>
  <c r="E1198" i="6"/>
  <c r="I1198" i="6"/>
  <c r="G1202" i="6"/>
  <c r="I1015" i="6"/>
  <c r="G1017" i="6"/>
  <c r="E1015" i="6"/>
  <c r="Q1005" i="6"/>
  <c r="E1187" i="6"/>
  <c r="G1188" i="6"/>
  <c r="I1187" i="6"/>
  <c r="G1191" i="6"/>
  <c r="E1020" i="6"/>
  <c r="I1020" i="6"/>
  <c r="G1022" i="6"/>
  <c r="M27" i="14"/>
  <c r="K27" i="14"/>
  <c r="E1010" i="6"/>
  <c r="I1010" i="6"/>
  <c r="G1012" i="6"/>
  <c r="J1066" i="6"/>
  <c r="E1182" i="6"/>
  <c r="G1184" i="6"/>
  <c r="I1182" i="6"/>
  <c r="J1078" i="6"/>
  <c r="J1055" i="6"/>
  <c r="V1014" i="3"/>
  <c r="J284" i="6"/>
  <c r="T1001" i="6"/>
  <c r="I1212" i="6" l="1"/>
  <c r="I1213" i="6" s="1"/>
  <c r="J1213" i="6" s="1"/>
  <c r="K330" i="3"/>
  <c r="K880" i="3"/>
  <c r="K506" i="3"/>
  <c r="K202" i="3"/>
  <c r="K666" i="3"/>
  <c r="K774" i="3"/>
  <c r="K501" i="3"/>
  <c r="K649" i="3"/>
  <c r="K29" i="5" s="1"/>
  <c r="K437" i="3"/>
  <c r="K528" i="3"/>
  <c r="K904" i="3"/>
  <c r="K913" i="3" s="1"/>
  <c r="K37" i="5" s="1"/>
  <c r="K759" i="3"/>
  <c r="K803" i="3"/>
  <c r="K676" i="3"/>
  <c r="K764" i="3"/>
  <c r="K397" i="3"/>
  <c r="K538" i="3"/>
  <c r="K487" i="3"/>
  <c r="K452" i="3"/>
  <c r="K593" i="3"/>
  <c r="K812" i="3"/>
  <c r="K831" i="3"/>
  <c r="K588" i="3"/>
  <c r="K691" i="3"/>
  <c r="K696" i="3"/>
  <c r="K548" i="3"/>
  <c r="K840" i="3"/>
  <c r="K573" i="3"/>
  <c r="K830" i="3"/>
  <c r="K207" i="3"/>
  <c r="K598" i="3"/>
  <c r="K432" i="3"/>
  <c r="K325" i="3"/>
  <c r="K365" i="3" s="1"/>
  <c r="K921" i="3"/>
  <c r="K38" i="5" s="1"/>
  <c r="K533" i="3"/>
  <c r="K876" i="3"/>
  <c r="K603" i="3"/>
  <c r="K462" i="3"/>
  <c r="K422" i="3"/>
  <c r="K721" i="3"/>
  <c r="K749" i="3"/>
  <c r="K387" i="3"/>
  <c r="K864" i="3"/>
  <c r="K205" i="3"/>
  <c r="K817" i="3"/>
  <c r="K671" i="3"/>
  <c r="K583" i="3"/>
  <c r="K746" i="3"/>
  <c r="K331" i="3"/>
  <c r="K884" i="3"/>
  <c r="K741" i="3"/>
  <c r="K492" i="3"/>
  <c r="K822" i="3"/>
  <c r="K1078" i="3"/>
  <c r="K1118" i="3" s="1"/>
  <c r="K1205" i="3" s="1"/>
  <c r="K1235" i="3" s="1"/>
  <c r="K505" i="3"/>
  <c r="K407" i="3"/>
  <c r="K427" i="3"/>
  <c r="K578" i="3"/>
  <c r="K507" i="3"/>
  <c r="K568" i="3"/>
  <c r="K326" i="3"/>
  <c r="K852" i="3"/>
  <c r="K502" i="3"/>
  <c r="K769" i="3"/>
  <c r="K736" i="3"/>
  <c r="K447" i="3"/>
  <c r="K324" i="3"/>
  <c r="K681" i="3"/>
  <c r="K860" i="3"/>
  <c r="K731" i="3"/>
  <c r="K392" i="3"/>
  <c r="K543" i="3"/>
  <c r="K442" i="3"/>
  <c r="K750" i="3"/>
  <c r="K661" i="3"/>
  <c r="K1079" i="3"/>
  <c r="K1119" i="3" s="1"/>
  <c r="K1206" i="3" s="1"/>
  <c r="K1236" i="3" s="1"/>
  <c r="K201" i="3"/>
  <c r="K563" i="3"/>
  <c r="K477" i="3"/>
  <c r="K856" i="3"/>
  <c r="K503" i="3"/>
  <c r="K329" i="3"/>
  <c r="K726" i="3"/>
  <c r="K457" i="3"/>
  <c r="K716" i="3"/>
  <c r="K323" i="3"/>
  <c r="K363" i="3" s="1"/>
  <c r="K701" i="3"/>
  <c r="K686" i="3"/>
  <c r="K482" i="3"/>
  <c r="K843" i="3"/>
  <c r="K887" i="3" s="1"/>
  <c r="K467" i="3"/>
  <c r="K558" i="3"/>
  <c r="K848" i="3"/>
  <c r="K1080" i="3"/>
  <c r="K1120" i="3" s="1"/>
  <c r="K1207" i="3" s="1"/>
  <c r="K1237" i="3" s="1"/>
  <c r="K472" i="3"/>
  <c r="K779" i="3"/>
  <c r="K412" i="3"/>
  <c r="K523" i="3"/>
  <c r="K608" i="3"/>
  <c r="K872" i="3"/>
  <c r="K553" i="3"/>
  <c r="K711" i="3"/>
  <c r="K206" i="3"/>
  <c r="K371" i="3" s="1"/>
  <c r="R1" i="3"/>
  <c r="R5" i="5"/>
  <c r="G1213" i="6"/>
  <c r="V1193" i="3" s="1"/>
  <c r="E9" i="582"/>
  <c r="Q9" i="3"/>
  <c r="Q6" i="5" s="1"/>
  <c r="R9" i="3"/>
  <c r="R6" i="5" s="1"/>
  <c r="E1212" i="6"/>
  <c r="G1167" i="6"/>
  <c r="V1147" i="3" s="1"/>
  <c r="I1163" i="6"/>
  <c r="I1167" i="6" s="1"/>
  <c r="E1163" i="6"/>
  <c r="G1113" i="6"/>
  <c r="G52" i="2" s="1"/>
  <c r="I1109" i="6"/>
  <c r="J1109" i="6" s="1"/>
  <c r="E1109" i="6"/>
  <c r="I11" i="5"/>
  <c r="J1092" i="6"/>
  <c r="I1094" i="6"/>
  <c r="I1101" i="6" s="1"/>
  <c r="M1100" i="6"/>
  <c r="I1100" i="6"/>
  <c r="D10" i="50" s="1"/>
  <c r="I1099" i="6"/>
  <c r="G1034" i="6"/>
  <c r="E1034" i="6" s="1"/>
  <c r="U156" i="3"/>
  <c r="H22" i="5"/>
  <c r="G11" i="5"/>
  <c r="G16" i="5" s="1"/>
  <c r="G22" i="5"/>
  <c r="H16" i="5"/>
  <c r="E1090" i="6"/>
  <c r="U325" i="3"/>
  <c r="U365" i="3" s="1"/>
  <c r="U183" i="3"/>
  <c r="I366" i="3"/>
  <c r="I13" i="5" s="1"/>
  <c r="U165" i="3"/>
  <c r="U192" i="3"/>
  <c r="U205" i="3"/>
  <c r="U355" i="3"/>
  <c r="G323" i="6"/>
  <c r="J984" i="6"/>
  <c r="N1006" i="6"/>
  <c r="N1007" i="6" s="1"/>
  <c r="I1007" i="6"/>
  <c r="J1007" i="6" s="1"/>
  <c r="E1100" i="6"/>
  <c r="M178" i="6"/>
  <c r="Q178" i="6" s="1"/>
  <c r="J1006" i="6"/>
  <c r="N997" i="6"/>
  <c r="T997" i="6" s="1"/>
  <c r="N984" i="6"/>
  <c r="T984" i="6" s="1"/>
  <c r="T986" i="6" s="1"/>
  <c r="V991" i="3"/>
  <c r="J117" i="6"/>
  <c r="I1002" i="6"/>
  <c r="J1002" i="6" s="1"/>
  <c r="I986" i="6"/>
  <c r="J986" i="6" s="1"/>
  <c r="J997" i="6"/>
  <c r="V970" i="3"/>
  <c r="M117" i="6"/>
  <c r="R117" i="6" s="1"/>
  <c r="U331" i="3"/>
  <c r="U206" i="3"/>
  <c r="U371" i="3" s="1"/>
  <c r="G156" i="6"/>
  <c r="E156" i="6" s="1"/>
  <c r="E1002" i="6"/>
  <c r="V986" i="3"/>
  <c r="M43" i="6"/>
  <c r="Q43" i="6" s="1"/>
  <c r="G286" i="6"/>
  <c r="G289" i="6" s="1"/>
  <c r="E289" i="6" s="1"/>
  <c r="G182" i="6"/>
  <c r="G183" i="6" s="1"/>
  <c r="E183" i="6" s="1"/>
  <c r="G189" i="6"/>
  <c r="I189" i="6" s="1"/>
  <c r="G128" i="6"/>
  <c r="G129" i="6" s="1"/>
  <c r="E129" i="6" s="1"/>
  <c r="E29" i="6"/>
  <c r="I29" i="6"/>
  <c r="I30" i="6" s="1"/>
  <c r="J30" i="6" s="1"/>
  <c r="V29" i="3"/>
  <c r="G30" i="6"/>
  <c r="V30" i="3" s="1"/>
  <c r="N151" i="6"/>
  <c r="T151" i="6" s="1"/>
  <c r="T156" i="6" s="1"/>
  <c r="U202" i="3"/>
  <c r="M1111" i="6"/>
  <c r="Q1111" i="6" s="1"/>
  <c r="J1111" i="6"/>
  <c r="N1111" i="6"/>
  <c r="T1111" i="6" s="1"/>
  <c r="E1207" i="6"/>
  <c r="M1199" i="6"/>
  <c r="Q1199" i="6" s="1"/>
  <c r="J1199" i="6"/>
  <c r="N1199" i="6"/>
  <c r="T1199" i="6" s="1"/>
  <c r="I81" i="6"/>
  <c r="E81" i="6"/>
  <c r="E171" i="6"/>
  <c r="I171" i="6"/>
  <c r="G174" i="6"/>
  <c r="E174" i="6" s="1"/>
  <c r="V239" i="3"/>
  <c r="E239" i="6"/>
  <c r="I239" i="6"/>
  <c r="I142" i="6"/>
  <c r="E142" i="6"/>
  <c r="G147" i="6"/>
  <c r="E147" i="6" s="1"/>
  <c r="I92" i="6"/>
  <c r="E92" i="6"/>
  <c r="I311" i="6"/>
  <c r="E311" i="6"/>
  <c r="G316" i="6"/>
  <c r="E316" i="6" s="1"/>
  <c r="U1136" i="3"/>
  <c r="U1196" i="3"/>
  <c r="V144" i="3"/>
  <c r="V90" i="3"/>
  <c r="U93" i="3"/>
  <c r="V196" i="3"/>
  <c r="V320" i="3"/>
  <c r="G255" i="6"/>
  <c r="V255" i="3" s="1"/>
  <c r="G212" i="6"/>
  <c r="G230" i="6" s="1"/>
  <c r="G297" i="6"/>
  <c r="G59" i="6"/>
  <c r="G158" i="6"/>
  <c r="V119" i="3"/>
  <c r="V291" i="3"/>
  <c r="V104" i="3"/>
  <c r="V321" i="3"/>
  <c r="V164" i="3"/>
  <c r="V155" i="3"/>
  <c r="V194" i="3"/>
  <c r="V315" i="3"/>
  <c r="U207" i="3"/>
  <c r="U120" i="3"/>
  <c r="U215" i="3"/>
  <c r="U232" i="3" s="1"/>
  <c r="U817" i="3"/>
  <c r="E144" i="6"/>
  <c r="I144" i="6"/>
  <c r="I90" i="6"/>
  <c r="E90" i="6"/>
  <c r="V88" i="3"/>
  <c r="E88" i="6"/>
  <c r="I88" i="6"/>
  <c r="G93" i="6"/>
  <c r="E93" i="6" s="1"/>
  <c r="E196" i="6"/>
  <c r="I196" i="6"/>
  <c r="N320" i="6"/>
  <c r="T320" i="6" s="1"/>
  <c r="M320" i="6"/>
  <c r="Q320" i="6" s="1"/>
  <c r="J320" i="6"/>
  <c r="U147" i="3"/>
  <c r="V142" i="3"/>
  <c r="V81" i="3"/>
  <c r="V171" i="3"/>
  <c r="V92" i="3"/>
  <c r="U329" i="3"/>
  <c r="U84" i="3"/>
  <c r="E119" i="6"/>
  <c r="I119" i="6"/>
  <c r="V167" i="3"/>
  <c r="E167" i="6"/>
  <c r="I167" i="6"/>
  <c r="I291" i="6"/>
  <c r="E291" i="6"/>
  <c r="V191" i="3"/>
  <c r="I191" i="6"/>
  <c r="E191" i="6"/>
  <c r="I104" i="6"/>
  <c r="E104" i="6"/>
  <c r="U316" i="3"/>
  <c r="V311" i="3"/>
  <c r="U244" i="3"/>
  <c r="U323" i="3"/>
  <c r="U174" i="3"/>
  <c r="E321" i="6"/>
  <c r="I321" i="6"/>
  <c r="V264" i="3"/>
  <c r="I264" i="6"/>
  <c r="E264" i="6"/>
  <c r="V180" i="3"/>
  <c r="I180" i="6"/>
  <c r="E180" i="6"/>
  <c r="E164" i="6"/>
  <c r="I164" i="6"/>
  <c r="V146" i="3"/>
  <c r="I146" i="6"/>
  <c r="E146" i="6"/>
  <c r="I155" i="6"/>
  <c r="E155" i="6"/>
  <c r="E194" i="6"/>
  <c r="I194" i="6"/>
  <c r="E315" i="6"/>
  <c r="I315" i="6"/>
  <c r="U200" i="3"/>
  <c r="U324" i="3"/>
  <c r="U326" i="3"/>
  <c r="U201" i="3"/>
  <c r="E1210" i="6"/>
  <c r="U958" i="3"/>
  <c r="U961" i="3"/>
  <c r="U959" i="3"/>
  <c r="G975" i="6" s="1"/>
  <c r="V959" i="3" s="1"/>
  <c r="E185" i="6"/>
  <c r="V185" i="3"/>
  <c r="I185" i="6"/>
  <c r="E173" i="6"/>
  <c r="I173" i="6"/>
  <c r="V173" i="3"/>
  <c r="E135" i="6"/>
  <c r="I135" i="6"/>
  <c r="V135" i="3"/>
  <c r="E338" i="6"/>
  <c r="I338" i="6"/>
  <c r="V338" i="3"/>
  <c r="V70" i="3"/>
  <c r="I70" i="6"/>
  <c r="E70" i="6"/>
  <c r="V97" i="3"/>
  <c r="I97" i="6"/>
  <c r="I102" i="6" s="1"/>
  <c r="J102" i="6" s="1"/>
  <c r="E97" i="6"/>
  <c r="I817" i="6"/>
  <c r="V816" i="3"/>
  <c r="V113" i="3"/>
  <c r="E113" i="6"/>
  <c r="I113" i="6"/>
  <c r="V246" i="3"/>
  <c r="E246" i="6"/>
  <c r="I246" i="6"/>
  <c r="E226" i="6"/>
  <c r="I226" i="6"/>
  <c r="V226" i="3"/>
  <c r="E41" i="6"/>
  <c r="I41" i="6"/>
  <c r="V41" i="3"/>
  <c r="I279" i="6"/>
  <c r="E279" i="6"/>
  <c r="V279" i="3"/>
  <c r="V223" i="3"/>
  <c r="E223" i="6"/>
  <c r="I223" i="6"/>
  <c r="E282" i="6"/>
  <c r="V282" i="3"/>
  <c r="I282" i="6"/>
  <c r="E830" i="6"/>
  <c r="G1237" i="3"/>
  <c r="U957" i="3"/>
  <c r="U960" i="3"/>
  <c r="G976" i="6" s="1"/>
  <c r="V960" i="3" s="1"/>
  <c r="U962" i="3"/>
  <c r="I309" i="6"/>
  <c r="V309" i="3"/>
  <c r="E309" i="6"/>
  <c r="E153" i="6"/>
  <c r="V153" i="3"/>
  <c r="I153" i="6"/>
  <c r="V137" i="3"/>
  <c r="I137" i="6"/>
  <c r="E137" i="6"/>
  <c r="V106" i="3"/>
  <c r="E106" i="6"/>
  <c r="I106" i="6"/>
  <c r="E61" i="6"/>
  <c r="V61" i="3"/>
  <c r="I61" i="6"/>
  <c r="E124" i="6"/>
  <c r="V124" i="3"/>
  <c r="I124" i="6"/>
  <c r="V133" i="3"/>
  <c r="E133" i="6"/>
  <c r="I133" i="6"/>
  <c r="G138" i="6"/>
  <c r="V77" i="3"/>
  <c r="E77" i="6"/>
  <c r="I77" i="6"/>
  <c r="I72" i="6"/>
  <c r="E72" i="6"/>
  <c r="V72" i="3"/>
  <c r="V56" i="3"/>
  <c r="I56" i="6"/>
  <c r="E56" i="6"/>
  <c r="V20" i="3"/>
  <c r="E20" i="6"/>
  <c r="I20" i="6"/>
  <c r="V68" i="3"/>
  <c r="E68" i="6"/>
  <c r="I68" i="6"/>
  <c r="I288" i="6"/>
  <c r="E288" i="6"/>
  <c r="V288" i="3"/>
  <c r="E176" i="6"/>
  <c r="V176" i="3"/>
  <c r="I176" i="6"/>
  <c r="V52" i="3"/>
  <c r="I52" i="6"/>
  <c r="E52" i="6"/>
  <c r="E45" i="6"/>
  <c r="I45" i="6"/>
  <c r="I48" i="6" s="1"/>
  <c r="J48" i="6" s="1"/>
  <c r="V45" i="3"/>
  <c r="E36" i="6"/>
  <c r="V36" i="3"/>
  <c r="I36" i="6"/>
  <c r="V23" i="3"/>
  <c r="I23" i="6"/>
  <c r="E23" i="6"/>
  <c r="H1124" i="3"/>
  <c r="I1119" i="3"/>
  <c r="I1206" i="3" s="1"/>
  <c r="I1236" i="3" s="1"/>
  <c r="I1120" i="3"/>
  <c r="I1207" i="3" s="1"/>
  <c r="I1237" i="3" s="1"/>
  <c r="I1121" i="3"/>
  <c r="I1208" i="3" s="1"/>
  <c r="G1124" i="3"/>
  <c r="G1211" i="3" s="1"/>
  <c r="E1140" i="6"/>
  <c r="J8" i="3"/>
  <c r="J5" i="5" s="1"/>
  <c r="J9" i="3"/>
  <c r="J6" i="5" s="1"/>
  <c r="V66" i="3"/>
  <c r="J178" i="6"/>
  <c r="T1044" i="6"/>
  <c r="T1090" i="6"/>
  <c r="T1079" i="6"/>
  <c r="T1039" i="6"/>
  <c r="T1043" i="6"/>
  <c r="T1055" i="6"/>
  <c r="T1078" i="6"/>
  <c r="T1066" i="6"/>
  <c r="T1085" i="6"/>
  <c r="T1026" i="6"/>
  <c r="T1021" i="6"/>
  <c r="T1056" i="6"/>
  <c r="T1050" i="6"/>
  <c r="T1049" i="6"/>
  <c r="T1016" i="6"/>
  <c r="U117" i="6"/>
  <c r="I307" i="6"/>
  <c r="J307" i="6" s="1"/>
  <c r="V307" i="3"/>
  <c r="S327" i="3"/>
  <c r="G74" i="6"/>
  <c r="G75" i="6" s="1"/>
  <c r="E75" i="6" s="1"/>
  <c r="V102" i="3"/>
  <c r="H22" i="1"/>
  <c r="J22" i="1"/>
  <c r="G368" i="3"/>
  <c r="S232" i="3"/>
  <c r="E1209" i="6"/>
  <c r="N302" i="6"/>
  <c r="J302" i="6"/>
  <c r="S355" i="3"/>
  <c r="M126" i="6"/>
  <c r="R126" i="6" s="1"/>
  <c r="N126" i="6"/>
  <c r="J126" i="6"/>
  <c r="M149" i="6"/>
  <c r="Q149" i="6" s="1"/>
  <c r="N149" i="6"/>
  <c r="J149" i="6"/>
  <c r="M83" i="6"/>
  <c r="R83" i="6" s="1"/>
  <c r="J83" i="6"/>
  <c r="N83" i="6"/>
  <c r="M65" i="6"/>
  <c r="R65" i="6" s="1"/>
  <c r="J65" i="6"/>
  <c r="N65" i="6"/>
  <c r="M63" i="6"/>
  <c r="R63" i="6" s="1"/>
  <c r="J63" i="6"/>
  <c r="N63" i="6"/>
  <c r="M252" i="6"/>
  <c r="R252" i="6" s="1"/>
  <c r="R253" i="6" s="1"/>
  <c r="J252" i="6"/>
  <c r="N252" i="6"/>
  <c r="M140" i="6"/>
  <c r="Q140" i="6" s="1"/>
  <c r="J140" i="6"/>
  <c r="N140" i="6"/>
  <c r="M47" i="6"/>
  <c r="R47" i="6" s="1"/>
  <c r="J47" i="6"/>
  <c r="N47" i="6"/>
  <c r="M27" i="6"/>
  <c r="R27" i="6" s="1"/>
  <c r="J27" i="6"/>
  <c r="N27" i="6"/>
  <c r="I221" i="6"/>
  <c r="E221" i="6"/>
  <c r="G334" i="6"/>
  <c r="M99" i="6"/>
  <c r="R99" i="6" s="1"/>
  <c r="N99" i="6"/>
  <c r="J99" i="6"/>
  <c r="M108" i="6"/>
  <c r="R108" i="6" s="1"/>
  <c r="J108" i="6"/>
  <c r="N108" i="6"/>
  <c r="V350" i="3"/>
  <c r="I350" i="6"/>
  <c r="E350" i="6"/>
  <c r="G358" i="6"/>
  <c r="G271" i="6"/>
  <c r="I266" i="6"/>
  <c r="E266" i="6"/>
  <c r="V266" i="3"/>
  <c r="M95" i="6"/>
  <c r="Q95" i="6" s="1"/>
  <c r="J95" i="6"/>
  <c r="N95" i="6"/>
  <c r="M25" i="6"/>
  <c r="Q25" i="6" s="1"/>
  <c r="J25" i="6"/>
  <c r="N25" i="6"/>
  <c r="M162" i="6"/>
  <c r="R162" i="6" s="1"/>
  <c r="J162" i="6"/>
  <c r="N162" i="6"/>
  <c r="M38" i="6"/>
  <c r="R38" i="6" s="1"/>
  <c r="N38" i="6"/>
  <c r="J38" i="6"/>
  <c r="M270" i="6"/>
  <c r="R270" i="6" s="1"/>
  <c r="R271" i="6" s="1"/>
  <c r="N270" i="6"/>
  <c r="J270" i="6"/>
  <c r="M347" i="6"/>
  <c r="R347" i="6" s="1"/>
  <c r="R348" i="6" s="1"/>
  <c r="J347" i="6"/>
  <c r="N347" i="6"/>
  <c r="I217" i="6"/>
  <c r="G234" i="6"/>
  <c r="V217" i="3"/>
  <c r="G236" i="6"/>
  <c r="E217" i="6"/>
  <c r="S636" i="3"/>
  <c r="T21" i="5" s="1"/>
  <c r="S366" i="3"/>
  <c r="T13" i="5" s="1"/>
  <c r="I372" i="3"/>
  <c r="G219" i="6"/>
  <c r="V219" i="3" s="1"/>
  <c r="G54" i="6"/>
  <c r="V54" i="3" s="1"/>
  <c r="G110" i="6"/>
  <c r="S370" i="3"/>
  <c r="H1205" i="3"/>
  <c r="H1235" i="3" s="1"/>
  <c r="S371" i="3"/>
  <c r="M306" i="6"/>
  <c r="R306" i="6" s="1"/>
  <c r="R307" i="6" s="1"/>
  <c r="N306" i="6"/>
  <c r="J306" i="6"/>
  <c r="I371" i="3"/>
  <c r="I635" i="3"/>
  <c r="I20" i="5" s="1"/>
  <c r="I364" i="3"/>
  <c r="I12" i="5" s="1"/>
  <c r="U1096" i="3"/>
  <c r="U1100" i="3" s="1"/>
  <c r="I1100" i="3"/>
  <c r="I55" i="5" s="1"/>
  <c r="I636" i="3"/>
  <c r="I21" i="5" s="1"/>
  <c r="I370" i="3"/>
  <c r="N261" i="6"/>
  <c r="M261" i="6"/>
  <c r="R261" i="6" s="1"/>
  <c r="R262" i="6" s="1"/>
  <c r="J261" i="6"/>
  <c r="M122" i="6"/>
  <c r="Q122" i="6" s="1"/>
  <c r="J122" i="6"/>
  <c r="N122" i="6"/>
  <c r="L1075" i="3"/>
  <c r="I1107" i="3"/>
  <c r="I56" i="5" s="1"/>
  <c r="U1103" i="3"/>
  <c r="U1107" i="3" s="1"/>
  <c r="I964" i="3"/>
  <c r="S635" i="3"/>
  <c r="S364" i="3"/>
  <c r="T12" i="5" s="1"/>
  <c r="M86" i="6"/>
  <c r="Q86" i="6" s="1"/>
  <c r="N86" i="6"/>
  <c r="J86" i="6"/>
  <c r="G273" i="6"/>
  <c r="V273" i="3" s="1"/>
  <c r="G639" i="3"/>
  <c r="S372" i="3"/>
  <c r="G277" i="6"/>
  <c r="G280" i="6" s="1"/>
  <c r="G1236" i="3"/>
  <c r="E1208" i="6"/>
  <c r="G243" i="6"/>
  <c r="G244" i="6" s="1"/>
  <c r="G293" i="6"/>
  <c r="G131" i="6"/>
  <c r="H1202" i="3"/>
  <c r="H639" i="3"/>
  <c r="H1216" i="3" s="1"/>
  <c r="G18" i="6"/>
  <c r="V18" i="3" s="1"/>
  <c r="G115" i="6"/>
  <c r="V115" i="3" s="1"/>
  <c r="G343" i="6"/>
  <c r="G79" i="6"/>
  <c r="V79" i="3" s="1"/>
  <c r="G341" i="6"/>
  <c r="G210" i="6"/>
  <c r="G50" i="6"/>
  <c r="E32" i="6"/>
  <c r="I32" i="6"/>
  <c r="I34" i="6"/>
  <c r="E34" i="6"/>
  <c r="G39" i="6"/>
  <c r="G300" i="6"/>
  <c r="V300" i="3" s="1"/>
  <c r="G214" i="6"/>
  <c r="V214" i="3" s="1"/>
  <c r="M101" i="6"/>
  <c r="R101" i="6" s="1"/>
  <c r="N101" i="6"/>
  <c r="J101" i="6"/>
  <c r="G187" i="6"/>
  <c r="S1196" i="3"/>
  <c r="S1136" i="3"/>
  <c r="T62" i="5" s="1"/>
  <c r="J43" i="6"/>
  <c r="J151" i="6"/>
  <c r="V48" i="3"/>
  <c r="M1010" i="6"/>
  <c r="N1010" i="6"/>
  <c r="M1182" i="6"/>
  <c r="Q1182" i="6" s="1"/>
  <c r="N1182" i="6"/>
  <c r="M1025" i="6"/>
  <c r="N1025" i="6"/>
  <c r="M1177" i="6"/>
  <c r="N1177" i="6"/>
  <c r="M966" i="6"/>
  <c r="N966" i="6"/>
  <c r="M989" i="6"/>
  <c r="N989" i="6"/>
  <c r="M1105" i="6"/>
  <c r="N1105" i="6"/>
  <c r="M197" i="6"/>
  <c r="Q197" i="6" s="1"/>
  <c r="N197" i="6"/>
  <c r="M1020" i="6"/>
  <c r="N1020" i="6"/>
  <c r="M1015" i="6"/>
  <c r="N1015" i="6"/>
  <c r="M1030" i="6"/>
  <c r="N1030" i="6"/>
  <c r="J169" i="6"/>
  <c r="M169" i="6"/>
  <c r="Q169" i="6" s="1"/>
  <c r="J197" i="6"/>
  <c r="V257" i="3"/>
  <c r="G262" i="6"/>
  <c r="I257" i="6"/>
  <c r="E257" i="6"/>
  <c r="E275" i="6"/>
  <c r="V275" i="3"/>
  <c r="I275" i="6"/>
  <c r="I160" i="6"/>
  <c r="E160" i="6"/>
  <c r="V160" i="3"/>
  <c r="G165" i="6"/>
  <c r="I248" i="6"/>
  <c r="G253" i="6"/>
  <c r="E248" i="6"/>
  <c r="M1007" i="6"/>
  <c r="M1086" i="6"/>
  <c r="Q1086" i="6" s="1"/>
  <c r="M1002" i="6"/>
  <c r="E817" i="6"/>
  <c r="G833" i="3"/>
  <c r="G32" i="5" s="1"/>
  <c r="G34" i="5" s="1"/>
  <c r="S817" i="3"/>
  <c r="Y387" i="6"/>
  <c r="W386" i="6"/>
  <c r="AC386" i="6" s="1"/>
  <c r="AE386" i="6" s="1"/>
  <c r="V1159" i="3"/>
  <c r="V1154" i="3"/>
  <c r="N1086" i="6"/>
  <c r="Q284" i="6"/>
  <c r="G65" i="2"/>
  <c r="E1184" i="6"/>
  <c r="J1010" i="6"/>
  <c r="I1012" i="6"/>
  <c r="J1012" i="6" s="1"/>
  <c r="L27" i="14"/>
  <c r="E1022" i="6"/>
  <c r="V1006" i="3"/>
  <c r="V1171" i="3"/>
  <c r="I1191" i="6"/>
  <c r="G1216" i="6"/>
  <c r="E1216" i="6" s="1"/>
  <c r="E1191" i="6"/>
  <c r="G1195" i="6"/>
  <c r="G66" i="2"/>
  <c r="E1188" i="6"/>
  <c r="E1017" i="6"/>
  <c r="V1001" i="3"/>
  <c r="E1202" i="6"/>
  <c r="T43" i="6"/>
  <c r="T48" i="6" s="1"/>
  <c r="I1027" i="6"/>
  <c r="J1027" i="6" s="1"/>
  <c r="J1025" i="6"/>
  <c r="J1177" i="6"/>
  <c r="I1179" i="6"/>
  <c r="Q302" i="6"/>
  <c r="Q1062" i="6"/>
  <c r="M1063" i="6"/>
  <c r="Q1063" i="6" s="1"/>
  <c r="E1099" i="6"/>
  <c r="E1032" i="6"/>
  <c r="V1016" i="3"/>
  <c r="F52" i="5"/>
  <c r="F58" i="5" s="1"/>
  <c r="Q1031" i="6"/>
  <c r="Q1100" i="6" s="1"/>
  <c r="J966" i="6"/>
  <c r="I969" i="6"/>
  <c r="J969" i="6" s="1"/>
  <c r="V1168" i="3"/>
  <c r="V1182" i="3"/>
  <c r="T169" i="6"/>
  <c r="T174" i="6" s="1"/>
  <c r="J989" i="6"/>
  <c r="I991" i="6"/>
  <c r="J991" i="6" s="1"/>
  <c r="G1160" i="6"/>
  <c r="G1219" i="6"/>
  <c r="E1159" i="6"/>
  <c r="I1159" i="6"/>
  <c r="J1170" i="6"/>
  <c r="I1174" i="6"/>
  <c r="V1189" i="3"/>
  <c r="V1086" i="3"/>
  <c r="E1106" i="6"/>
  <c r="G51" i="2"/>
  <c r="T178" i="6"/>
  <c r="T183" i="6" s="1"/>
  <c r="U284" i="6"/>
  <c r="I1184" i="6"/>
  <c r="J1182" i="6"/>
  <c r="E1012" i="6"/>
  <c r="V996" i="3"/>
  <c r="K28" i="14"/>
  <c r="L28" i="14" s="1"/>
  <c r="M28" i="14"/>
  <c r="Q984" i="6"/>
  <c r="M986" i="6"/>
  <c r="I1022" i="6"/>
  <c r="J1022" i="6" s="1"/>
  <c r="J1020" i="6"/>
  <c r="I1188" i="6"/>
  <c r="J1187" i="6"/>
  <c r="Q1007" i="6"/>
  <c r="I1017" i="6"/>
  <c r="J1017" i="6" s="1"/>
  <c r="J1015" i="6"/>
  <c r="I1202" i="6"/>
  <c r="J1198" i="6"/>
  <c r="E1027" i="6"/>
  <c r="V1011" i="3"/>
  <c r="J1205" i="6"/>
  <c r="I1209" i="6"/>
  <c r="J1209" i="6" s="1"/>
  <c r="E1179" i="6"/>
  <c r="G64" i="2"/>
  <c r="Q1002" i="6"/>
  <c r="T1062" i="6"/>
  <c r="N1063" i="6"/>
  <c r="J1030" i="6"/>
  <c r="I1032" i="6"/>
  <c r="V1164" i="3"/>
  <c r="T1031" i="6"/>
  <c r="Q151" i="6"/>
  <c r="E969" i="6"/>
  <c r="V953" i="3"/>
  <c r="AK36" i="33"/>
  <c r="AK37" i="33" s="1"/>
  <c r="AK38" i="33" s="1"/>
  <c r="AK39" i="33" s="1"/>
  <c r="E1094" i="6"/>
  <c r="G1101" i="6"/>
  <c r="G1141" i="6" s="1"/>
  <c r="I1141" i="6" s="1"/>
  <c r="E991" i="6"/>
  <c r="V975" i="3"/>
  <c r="E1174" i="6"/>
  <c r="G63" i="2"/>
  <c r="M1040" i="6"/>
  <c r="Q1040" i="6" s="1"/>
  <c r="Q1038" i="6"/>
  <c r="N1040" i="6"/>
  <c r="T1038" i="6"/>
  <c r="J1105" i="6"/>
  <c r="I1106" i="6"/>
  <c r="K15" i="5" l="1"/>
  <c r="K1219" i="3"/>
  <c r="K364" i="3"/>
  <c r="K12" i="5" s="1"/>
  <c r="K833" i="3"/>
  <c r="K32" i="5" s="1"/>
  <c r="J1212" i="6"/>
  <c r="K370" i="3"/>
  <c r="K636" i="3"/>
  <c r="K21" i="5" s="1"/>
  <c r="K372" i="3"/>
  <c r="K635" i="3"/>
  <c r="K20" i="5" s="1"/>
  <c r="K366" i="3"/>
  <c r="K13" i="5" s="1"/>
  <c r="K509" i="3"/>
  <c r="K512" i="3" s="1"/>
  <c r="K844" i="3"/>
  <c r="K889" i="3" s="1"/>
  <c r="K33" i="5" s="1"/>
  <c r="K1082" i="3"/>
  <c r="K52" i="5" s="1"/>
  <c r="K58" i="5" s="1"/>
  <c r="K11" i="5"/>
  <c r="K752" i="3"/>
  <c r="K30" i="5" s="1"/>
  <c r="K805" i="3"/>
  <c r="K31" i="5" s="1"/>
  <c r="K14" i="5"/>
  <c r="G68" i="2"/>
  <c r="N68" i="2" s="1"/>
  <c r="J1163" i="6"/>
  <c r="V1093" i="3"/>
  <c r="G62" i="2"/>
  <c r="N62" i="2" s="1"/>
  <c r="E1167" i="6"/>
  <c r="E1113" i="6"/>
  <c r="I1113" i="6"/>
  <c r="I52" i="2" s="1"/>
  <c r="I16" i="5"/>
  <c r="I22" i="5"/>
  <c r="L1079" i="3"/>
  <c r="L1080" i="3"/>
  <c r="M1099" i="6"/>
  <c r="M1139" i="6" s="1"/>
  <c r="N1099" i="6"/>
  <c r="N1139" i="6" s="1"/>
  <c r="N1100" i="6"/>
  <c r="N1140" i="6" s="1"/>
  <c r="I1034" i="6"/>
  <c r="J1034" i="6" s="1"/>
  <c r="V174" i="3"/>
  <c r="J1" i="3"/>
  <c r="J1075" i="3" s="1"/>
  <c r="U370" i="3"/>
  <c r="U327" i="3"/>
  <c r="I323" i="6"/>
  <c r="J323" i="6" s="1"/>
  <c r="T1006" i="6"/>
  <c r="T1100" i="6" s="1"/>
  <c r="N986" i="6"/>
  <c r="N1002" i="6"/>
  <c r="J29" i="6"/>
  <c r="J1100" i="6"/>
  <c r="V183" i="3"/>
  <c r="J1140" i="6"/>
  <c r="I174" i="6"/>
  <c r="J174" i="6" s="1"/>
  <c r="V156" i="3"/>
  <c r="V189" i="3"/>
  <c r="I156" i="6"/>
  <c r="J156" i="6" s="1"/>
  <c r="E189" i="6"/>
  <c r="E286" i="6"/>
  <c r="V289" i="3"/>
  <c r="V316" i="3"/>
  <c r="I286" i="6"/>
  <c r="J286" i="6" s="1"/>
  <c r="V286" i="3"/>
  <c r="U372" i="3"/>
  <c r="E30" i="6"/>
  <c r="N29" i="6"/>
  <c r="U29" i="6" s="1"/>
  <c r="I128" i="6"/>
  <c r="M128" i="6" s="1"/>
  <c r="R128" i="6" s="1"/>
  <c r="R129" i="6" s="1"/>
  <c r="I182" i="6"/>
  <c r="I183" i="6" s="1"/>
  <c r="J183" i="6" s="1"/>
  <c r="M29" i="6"/>
  <c r="R29" i="6" s="1"/>
  <c r="R30" i="6" s="1"/>
  <c r="V129" i="3"/>
  <c r="U366" i="3"/>
  <c r="U363" i="3"/>
  <c r="V147" i="3"/>
  <c r="E128" i="6"/>
  <c r="V128" i="3"/>
  <c r="E182" i="6"/>
  <c r="V182" i="3"/>
  <c r="W320" i="6"/>
  <c r="AC320" i="6" s="1"/>
  <c r="AE320" i="6" s="1"/>
  <c r="M1140" i="6"/>
  <c r="U364" i="3"/>
  <c r="U635" i="3"/>
  <c r="U636" i="3"/>
  <c r="M315" i="6"/>
  <c r="R315" i="6" s="1"/>
  <c r="R316" i="6" s="1"/>
  <c r="N315" i="6"/>
  <c r="U315" i="6" s="1"/>
  <c r="J315" i="6"/>
  <c r="N194" i="6"/>
  <c r="T194" i="6" s="1"/>
  <c r="M194" i="6"/>
  <c r="Q194" i="6" s="1"/>
  <c r="J194" i="6"/>
  <c r="N180" i="6"/>
  <c r="M180" i="6"/>
  <c r="J180" i="6"/>
  <c r="M291" i="6"/>
  <c r="Q291" i="6" s="1"/>
  <c r="W291" i="6" s="1"/>
  <c r="J291" i="6"/>
  <c r="N291" i="6"/>
  <c r="U291" i="6" s="1"/>
  <c r="M119" i="6"/>
  <c r="R119" i="6" s="1"/>
  <c r="R120" i="6" s="1"/>
  <c r="J119" i="6"/>
  <c r="N119" i="6"/>
  <c r="U119" i="6" s="1"/>
  <c r="N88" i="6"/>
  <c r="I93" i="6"/>
  <c r="J93" i="6" s="1"/>
  <c r="M88" i="6"/>
  <c r="J88" i="6"/>
  <c r="M144" i="6"/>
  <c r="R144" i="6" s="1"/>
  <c r="J144" i="6"/>
  <c r="N144" i="6"/>
  <c r="U144" i="6" s="1"/>
  <c r="V158" i="3"/>
  <c r="I158" i="6"/>
  <c r="E158" i="6"/>
  <c r="V297" i="3"/>
  <c r="E297" i="6"/>
  <c r="I297" i="6"/>
  <c r="E255" i="6"/>
  <c r="I255" i="6"/>
  <c r="M92" i="6"/>
  <c r="R92" i="6" s="1"/>
  <c r="J92" i="6"/>
  <c r="N92" i="6"/>
  <c r="U92" i="6" s="1"/>
  <c r="N142" i="6"/>
  <c r="J142" i="6"/>
  <c r="M142" i="6"/>
  <c r="I147" i="6"/>
  <c r="J147" i="6" s="1"/>
  <c r="M81" i="6"/>
  <c r="R81" i="6" s="1"/>
  <c r="R84" i="6" s="1"/>
  <c r="J81" i="6"/>
  <c r="N81" i="6"/>
  <c r="U81" i="6" s="1"/>
  <c r="U956" i="3"/>
  <c r="G972" i="6" s="1"/>
  <c r="M155" i="6"/>
  <c r="R155" i="6" s="1"/>
  <c r="J155" i="6"/>
  <c r="N155" i="6"/>
  <c r="U155" i="6" s="1"/>
  <c r="M146" i="6"/>
  <c r="R146" i="6" s="1"/>
  <c r="J146" i="6"/>
  <c r="N146" i="6"/>
  <c r="U146" i="6" s="1"/>
  <c r="M164" i="6"/>
  <c r="R164" i="6" s="1"/>
  <c r="R165" i="6" s="1"/>
  <c r="J164" i="6"/>
  <c r="N164" i="6"/>
  <c r="U164" i="6" s="1"/>
  <c r="M264" i="6"/>
  <c r="Q264" i="6" s="1"/>
  <c r="J264" i="6"/>
  <c r="N264" i="6"/>
  <c r="T264" i="6" s="1"/>
  <c r="N321" i="6"/>
  <c r="T321" i="6" s="1"/>
  <c r="J321" i="6"/>
  <c r="M321" i="6"/>
  <c r="Q321" i="6" s="1"/>
  <c r="M104" i="6"/>
  <c r="Q104" i="6" s="1"/>
  <c r="J104" i="6"/>
  <c r="N104" i="6"/>
  <c r="T104" i="6" s="1"/>
  <c r="J191" i="6"/>
  <c r="N191" i="6"/>
  <c r="U191" i="6" s="1"/>
  <c r="M191" i="6"/>
  <c r="R191" i="6" s="1"/>
  <c r="N167" i="6"/>
  <c r="T167" i="6" s="1"/>
  <c r="M167" i="6"/>
  <c r="Q167" i="6" s="1"/>
  <c r="J167" i="6"/>
  <c r="N196" i="6"/>
  <c r="T196" i="6" s="1"/>
  <c r="M196" i="6"/>
  <c r="Q196" i="6" s="1"/>
  <c r="J196" i="6"/>
  <c r="M90" i="6"/>
  <c r="R90" i="6" s="1"/>
  <c r="N90" i="6"/>
  <c r="U90" i="6" s="1"/>
  <c r="J90" i="6"/>
  <c r="N189" i="6"/>
  <c r="U189" i="6" s="1"/>
  <c r="J189" i="6"/>
  <c r="M189" i="6"/>
  <c r="R189" i="6" s="1"/>
  <c r="V59" i="3"/>
  <c r="I59" i="6"/>
  <c r="E59" i="6"/>
  <c r="V212" i="3"/>
  <c r="I212" i="6"/>
  <c r="I230" i="6" s="1"/>
  <c r="J230" i="6" s="1"/>
  <c r="E212" i="6"/>
  <c r="V93" i="3"/>
  <c r="N311" i="6"/>
  <c r="M311" i="6"/>
  <c r="I316" i="6"/>
  <c r="J316" i="6" s="1"/>
  <c r="J311" i="6"/>
  <c r="N239" i="6"/>
  <c r="T239" i="6" s="1"/>
  <c r="J239" i="6"/>
  <c r="M239" i="6"/>
  <c r="Q239" i="6" s="1"/>
  <c r="Q244" i="6" s="1"/>
  <c r="N171" i="6"/>
  <c r="U171" i="6" s="1"/>
  <c r="J171" i="6"/>
  <c r="M171" i="6"/>
  <c r="R171" i="6" s="1"/>
  <c r="G1216" i="3"/>
  <c r="G512" i="3"/>
  <c r="J176" i="6"/>
  <c r="N176" i="6"/>
  <c r="T176" i="6" s="1"/>
  <c r="M176" i="6"/>
  <c r="Q176" i="6" s="1"/>
  <c r="N68" i="6"/>
  <c r="T68" i="6" s="1"/>
  <c r="M68" i="6"/>
  <c r="Q68" i="6" s="1"/>
  <c r="J68" i="6"/>
  <c r="M77" i="6"/>
  <c r="Q77" i="6" s="1"/>
  <c r="N77" i="6"/>
  <c r="T77" i="6" s="1"/>
  <c r="J77" i="6"/>
  <c r="N133" i="6"/>
  <c r="J133" i="6"/>
  <c r="M133" i="6"/>
  <c r="I138" i="6"/>
  <c r="J138" i="6" s="1"/>
  <c r="M61" i="6"/>
  <c r="Q61" i="6" s="1"/>
  <c r="Q66" i="6" s="1"/>
  <c r="J61" i="6"/>
  <c r="N61" i="6"/>
  <c r="T61" i="6" s="1"/>
  <c r="T66" i="6" s="1"/>
  <c r="M309" i="6"/>
  <c r="Q309" i="6" s="1"/>
  <c r="W309" i="6" s="1"/>
  <c r="N309" i="6"/>
  <c r="U309" i="6" s="1"/>
  <c r="J309" i="6"/>
  <c r="I66" i="6"/>
  <c r="J66" i="6" s="1"/>
  <c r="E1239" i="6"/>
  <c r="N282" i="6"/>
  <c r="U282" i="6" s="1"/>
  <c r="J282" i="6"/>
  <c r="M282" i="6"/>
  <c r="Q282" i="6" s="1"/>
  <c r="W282" i="6" s="1"/>
  <c r="M279" i="6"/>
  <c r="R279" i="6" s="1"/>
  <c r="R280" i="6" s="1"/>
  <c r="J279" i="6"/>
  <c r="N279" i="6"/>
  <c r="U279" i="6" s="1"/>
  <c r="N226" i="6"/>
  <c r="T226" i="6" s="1"/>
  <c r="M226" i="6"/>
  <c r="Q226" i="6" s="1"/>
  <c r="J226" i="6"/>
  <c r="M246" i="6"/>
  <c r="Q246" i="6" s="1"/>
  <c r="J246" i="6"/>
  <c r="N246" i="6"/>
  <c r="T246" i="6" s="1"/>
  <c r="M70" i="6"/>
  <c r="Q70" i="6" s="1"/>
  <c r="Q75" i="6" s="1"/>
  <c r="J70" i="6"/>
  <c r="N70" i="6"/>
  <c r="T70" i="6" s="1"/>
  <c r="T75" i="6" s="1"/>
  <c r="M135" i="6"/>
  <c r="R135" i="6" s="1"/>
  <c r="N135" i="6"/>
  <c r="U135" i="6" s="1"/>
  <c r="J135" i="6"/>
  <c r="E1238" i="6"/>
  <c r="I1078" i="3"/>
  <c r="E1213" i="6"/>
  <c r="E1119" i="6"/>
  <c r="M288" i="6"/>
  <c r="J288" i="6"/>
  <c r="N288" i="6"/>
  <c r="M20" i="6"/>
  <c r="R20" i="6" s="1"/>
  <c r="J20" i="6"/>
  <c r="N20" i="6"/>
  <c r="U20" i="6" s="1"/>
  <c r="N56" i="6"/>
  <c r="U56" i="6" s="1"/>
  <c r="M56" i="6"/>
  <c r="R56" i="6" s="1"/>
  <c r="J56" i="6"/>
  <c r="M72" i="6"/>
  <c r="R72" i="6" s="1"/>
  <c r="J72" i="6"/>
  <c r="N72" i="6"/>
  <c r="U72" i="6" s="1"/>
  <c r="E138" i="6"/>
  <c r="V138" i="3"/>
  <c r="M124" i="6"/>
  <c r="Q124" i="6" s="1"/>
  <c r="Q129" i="6" s="1"/>
  <c r="J124" i="6"/>
  <c r="N124" i="6"/>
  <c r="T124" i="6" s="1"/>
  <c r="T129" i="6" s="1"/>
  <c r="M106" i="6"/>
  <c r="Q106" i="6" s="1"/>
  <c r="Q111" i="6" s="1"/>
  <c r="N106" i="6"/>
  <c r="T106" i="6" s="1"/>
  <c r="T111" i="6" s="1"/>
  <c r="J106" i="6"/>
  <c r="M137" i="6"/>
  <c r="R137" i="6" s="1"/>
  <c r="J137" i="6"/>
  <c r="N137" i="6"/>
  <c r="U137" i="6" s="1"/>
  <c r="N153" i="6"/>
  <c r="M153" i="6"/>
  <c r="J153" i="6"/>
  <c r="G978" i="6"/>
  <c r="G973" i="6"/>
  <c r="N223" i="6"/>
  <c r="U223" i="6" s="1"/>
  <c r="J223" i="6"/>
  <c r="M223" i="6"/>
  <c r="R223" i="6" s="1"/>
  <c r="N41" i="6"/>
  <c r="T41" i="6" s="1"/>
  <c r="M41" i="6"/>
  <c r="Q41" i="6" s="1"/>
  <c r="J41" i="6"/>
  <c r="N113" i="6"/>
  <c r="T113" i="6" s="1"/>
  <c r="M113" i="6"/>
  <c r="Q113" i="6" s="1"/>
  <c r="J113" i="6"/>
  <c r="N817" i="6"/>
  <c r="T817" i="6" s="1"/>
  <c r="M817" i="6"/>
  <c r="Q817" i="6" s="1"/>
  <c r="J817" i="6"/>
  <c r="M97" i="6"/>
  <c r="Q97" i="6" s="1"/>
  <c r="Q102" i="6" s="1"/>
  <c r="J97" i="6"/>
  <c r="N97" i="6"/>
  <c r="T97" i="6" s="1"/>
  <c r="T102" i="6" s="1"/>
  <c r="N338" i="6"/>
  <c r="M338" i="6"/>
  <c r="R338" i="6" s="1"/>
  <c r="R339" i="6" s="1"/>
  <c r="R355" i="6" s="1"/>
  <c r="J338" i="6"/>
  <c r="M173" i="6"/>
  <c r="R173" i="6" s="1"/>
  <c r="N173" i="6"/>
  <c r="J173" i="6"/>
  <c r="M185" i="6"/>
  <c r="Q185" i="6" s="1"/>
  <c r="J185" i="6"/>
  <c r="N185" i="6"/>
  <c r="T185" i="6" s="1"/>
  <c r="G977" i="6"/>
  <c r="G974" i="6"/>
  <c r="N52" i="6"/>
  <c r="T52" i="6" s="1"/>
  <c r="T57" i="6" s="1"/>
  <c r="M52" i="6"/>
  <c r="Q52" i="6" s="1"/>
  <c r="Q57" i="6" s="1"/>
  <c r="J52" i="6"/>
  <c r="M23" i="6"/>
  <c r="Q23" i="6" s="1"/>
  <c r="J23" i="6"/>
  <c r="N23" i="6"/>
  <c r="T23" i="6" s="1"/>
  <c r="J36" i="6"/>
  <c r="M36" i="6"/>
  <c r="R36" i="6" s="1"/>
  <c r="R39" i="6" s="1"/>
  <c r="N36" i="6"/>
  <c r="U36" i="6" s="1"/>
  <c r="M45" i="6"/>
  <c r="R45" i="6" s="1"/>
  <c r="R48" i="6" s="1"/>
  <c r="J45" i="6"/>
  <c r="N45" i="6"/>
  <c r="U45" i="6" s="1"/>
  <c r="E1139" i="6"/>
  <c r="B40" i="1"/>
  <c r="T1002" i="6"/>
  <c r="V74" i="3"/>
  <c r="T1040" i="6"/>
  <c r="T1063" i="6"/>
  <c r="T197" i="6"/>
  <c r="U101" i="6"/>
  <c r="T86" i="6"/>
  <c r="U261" i="6"/>
  <c r="U262" i="6" s="1"/>
  <c r="U306" i="6"/>
  <c r="U38" i="6"/>
  <c r="U162" i="6"/>
  <c r="T95" i="6"/>
  <c r="U27" i="6"/>
  <c r="U252" i="6"/>
  <c r="U253" i="6" s="1"/>
  <c r="U65" i="6"/>
  <c r="U126" i="6"/>
  <c r="T1086" i="6"/>
  <c r="T122" i="6"/>
  <c r="U347" i="6"/>
  <c r="U348" i="6" s="1"/>
  <c r="U270" i="6"/>
  <c r="U271" i="6" s="1"/>
  <c r="T25" i="6"/>
  <c r="T30" i="6" s="1"/>
  <c r="U108" i="6"/>
  <c r="U99" i="6"/>
  <c r="U47" i="6"/>
  <c r="T140" i="6"/>
  <c r="U63" i="6"/>
  <c r="U83" i="6"/>
  <c r="T149" i="6"/>
  <c r="T1182" i="6"/>
  <c r="T1184" i="6" s="1"/>
  <c r="N1184" i="6"/>
  <c r="X19" i="33"/>
  <c r="AK40" i="33"/>
  <c r="AJ39" i="33"/>
  <c r="I74" i="6"/>
  <c r="I75" i="6" s="1"/>
  <c r="J75" i="6" s="1"/>
  <c r="R102" i="6"/>
  <c r="E74" i="6"/>
  <c r="V75" i="3"/>
  <c r="G202" i="6"/>
  <c r="M307" i="6"/>
  <c r="N307" i="6"/>
  <c r="U302" i="6"/>
  <c r="V1140" i="3"/>
  <c r="R66" i="6"/>
  <c r="E230" i="6"/>
  <c r="V230" i="3"/>
  <c r="N221" i="6"/>
  <c r="M221" i="6"/>
  <c r="J221" i="6"/>
  <c r="H1211" i="3"/>
  <c r="E236" i="6"/>
  <c r="V236" i="3"/>
  <c r="E234" i="6"/>
  <c r="V234" i="3"/>
  <c r="Q30" i="6"/>
  <c r="M266" i="6"/>
  <c r="J266" i="6"/>
  <c r="N266" i="6"/>
  <c r="I271" i="6"/>
  <c r="J271" i="6" s="1"/>
  <c r="E358" i="6"/>
  <c r="V358" i="3"/>
  <c r="N350" i="6"/>
  <c r="J350" i="6"/>
  <c r="M350" i="6"/>
  <c r="I358" i="6"/>
  <c r="J358" i="6" s="1"/>
  <c r="N217" i="6"/>
  <c r="M217" i="6"/>
  <c r="J217" i="6"/>
  <c r="I236" i="6"/>
  <c r="J236" i="6" s="1"/>
  <c r="I234" i="6"/>
  <c r="J234" i="6" s="1"/>
  <c r="E271" i="6"/>
  <c r="V271" i="3"/>
  <c r="V334" i="3"/>
  <c r="E334" i="6"/>
  <c r="I334" i="6"/>
  <c r="G339" i="6"/>
  <c r="E339" i="6" s="1"/>
  <c r="G224" i="6"/>
  <c r="E224" i="6" s="1"/>
  <c r="I219" i="6"/>
  <c r="E219" i="6"/>
  <c r="V244" i="3"/>
  <c r="E244" i="6"/>
  <c r="G111" i="6"/>
  <c r="E111" i="6" s="1"/>
  <c r="I110" i="6"/>
  <c r="V110" i="3"/>
  <c r="E110" i="6"/>
  <c r="I54" i="6"/>
  <c r="E54" i="6"/>
  <c r="G57" i="6"/>
  <c r="E57" i="6" s="1"/>
  <c r="I975" i="6"/>
  <c r="J975" i="6" s="1"/>
  <c r="E975" i="6"/>
  <c r="S1107" i="3"/>
  <c r="T56" i="5" s="1"/>
  <c r="L327" i="3"/>
  <c r="L207" i="3"/>
  <c r="L331" i="3"/>
  <c r="L323" i="3"/>
  <c r="L326" i="3"/>
  <c r="L201" i="3"/>
  <c r="L206" i="3"/>
  <c r="L325" i="3"/>
  <c r="L202" i="3"/>
  <c r="L329" i="3"/>
  <c r="L324" i="3"/>
  <c r="L205" i="3"/>
  <c r="L1078" i="3"/>
  <c r="L330" i="3"/>
  <c r="I976" i="6"/>
  <c r="J976" i="6" s="1"/>
  <c r="E976" i="6"/>
  <c r="S1100" i="3"/>
  <c r="T55" i="5" s="1"/>
  <c r="I639" i="3"/>
  <c r="I1216" i="3" s="1"/>
  <c r="V1196" i="3"/>
  <c r="V1135" i="3"/>
  <c r="V1136" i="3"/>
  <c r="V187" i="3"/>
  <c r="G192" i="6"/>
  <c r="E192" i="6" s="1"/>
  <c r="E187" i="6"/>
  <c r="I187" i="6"/>
  <c r="G231" i="6"/>
  <c r="E231" i="6" s="1"/>
  <c r="E214" i="6"/>
  <c r="I214" i="6"/>
  <c r="E39" i="6"/>
  <c r="V39" i="3"/>
  <c r="M34" i="6"/>
  <c r="J34" i="6"/>
  <c r="N34" i="6"/>
  <c r="I39" i="6"/>
  <c r="J39" i="6" s="1"/>
  <c r="M32" i="6"/>
  <c r="J32" i="6"/>
  <c r="N32" i="6"/>
  <c r="I50" i="6"/>
  <c r="E50" i="6"/>
  <c r="G207" i="6"/>
  <c r="E210" i="6"/>
  <c r="G229" i="6"/>
  <c r="E229" i="6" s="1"/>
  <c r="I210" i="6"/>
  <c r="G215" i="6"/>
  <c r="V215" i="3" s="1"/>
  <c r="I343" i="6"/>
  <c r="G353" i="6"/>
  <c r="E353" i="6" s="1"/>
  <c r="E343" i="6"/>
  <c r="G348" i="6"/>
  <c r="V293" i="3"/>
  <c r="E293" i="6"/>
  <c r="G298" i="6"/>
  <c r="E298" i="6" s="1"/>
  <c r="I293" i="6"/>
  <c r="I325" i="6" s="1"/>
  <c r="G325" i="6"/>
  <c r="E243" i="6"/>
  <c r="G326" i="6"/>
  <c r="E326" i="6" s="1"/>
  <c r="I243" i="6"/>
  <c r="I244" i="6" s="1"/>
  <c r="J244" i="6" s="1"/>
  <c r="T20" i="5"/>
  <c r="T22" i="5" s="1"/>
  <c r="S639" i="3"/>
  <c r="I300" i="6"/>
  <c r="E300" i="6"/>
  <c r="G330" i="6"/>
  <c r="E330" i="6" s="1"/>
  <c r="G205" i="6"/>
  <c r="V50" i="3"/>
  <c r="V210" i="3"/>
  <c r="V341" i="3"/>
  <c r="E341" i="6"/>
  <c r="I341" i="6"/>
  <c r="G357" i="6"/>
  <c r="E357" i="6" s="1"/>
  <c r="G359" i="6"/>
  <c r="E359" i="6" s="1"/>
  <c r="E79" i="6"/>
  <c r="I79" i="6"/>
  <c r="G84" i="6"/>
  <c r="E84" i="6" s="1"/>
  <c r="V343" i="3"/>
  <c r="G120" i="6"/>
  <c r="E120" i="6" s="1"/>
  <c r="I115" i="6"/>
  <c r="E115" i="6"/>
  <c r="E18" i="6"/>
  <c r="G201" i="6"/>
  <c r="I18" i="6"/>
  <c r="V131" i="3"/>
  <c r="E131" i="6"/>
  <c r="G206" i="6"/>
  <c r="I131" i="6"/>
  <c r="V243" i="3"/>
  <c r="V277" i="3"/>
  <c r="I277" i="6"/>
  <c r="I280" i="6" s="1"/>
  <c r="J280" i="6" s="1"/>
  <c r="E277" i="6"/>
  <c r="G324" i="6"/>
  <c r="E273" i="6"/>
  <c r="I273" i="6"/>
  <c r="G331" i="6"/>
  <c r="E331" i="6" s="1"/>
  <c r="G329" i="6"/>
  <c r="E329" i="6" s="1"/>
  <c r="M275" i="6"/>
  <c r="N275" i="6"/>
  <c r="M257" i="6"/>
  <c r="N257" i="6"/>
  <c r="M248" i="6"/>
  <c r="N248" i="6"/>
  <c r="M160" i="6"/>
  <c r="N160" i="6"/>
  <c r="E323" i="6"/>
  <c r="J248" i="6"/>
  <c r="I253" i="6"/>
  <c r="I165" i="6"/>
  <c r="J165" i="6" s="1"/>
  <c r="J160" i="6"/>
  <c r="E280" i="6"/>
  <c r="V280" i="3"/>
  <c r="E262" i="6"/>
  <c r="V262" i="3"/>
  <c r="E253" i="6"/>
  <c r="V253" i="3"/>
  <c r="E165" i="6"/>
  <c r="V165" i="3"/>
  <c r="J275" i="6"/>
  <c r="I262" i="6"/>
  <c r="J262" i="6" s="1"/>
  <c r="J257" i="6"/>
  <c r="V1175" i="3"/>
  <c r="G816" i="6"/>
  <c r="V815" i="3" s="1"/>
  <c r="E833" i="6"/>
  <c r="G892" i="3"/>
  <c r="Y388" i="6"/>
  <c r="Y389" i="6" s="1"/>
  <c r="Y390" i="6" s="1"/>
  <c r="W387" i="6"/>
  <c r="AC387" i="6" s="1"/>
  <c r="AE387" i="6" s="1"/>
  <c r="J1094" i="6"/>
  <c r="V1199" i="3"/>
  <c r="F22" i="1"/>
  <c r="N29" i="12" s="1"/>
  <c r="N30" i="12" s="1"/>
  <c r="T1105" i="6"/>
  <c r="T1106" i="6" s="1"/>
  <c r="N1106" i="6"/>
  <c r="M1106" i="6"/>
  <c r="Q1105" i="6"/>
  <c r="N63" i="2"/>
  <c r="E1101" i="6"/>
  <c r="AJ36" i="33"/>
  <c r="Q156" i="6"/>
  <c r="W156" i="6" s="1"/>
  <c r="W151" i="6"/>
  <c r="J1032" i="6"/>
  <c r="N64" i="2"/>
  <c r="Q48" i="6"/>
  <c r="W48" i="6" s="1"/>
  <c r="AC48" i="6" s="1"/>
  <c r="AE48" i="6" s="1"/>
  <c r="W43" i="6"/>
  <c r="AC43" i="6" s="1"/>
  <c r="AE43" i="6" s="1"/>
  <c r="J1202" i="6"/>
  <c r="I68" i="2"/>
  <c r="M1017" i="6"/>
  <c r="Q1015" i="6"/>
  <c r="T1020" i="6"/>
  <c r="T1022" i="6" s="1"/>
  <c r="N1022" i="6"/>
  <c r="Q986" i="6"/>
  <c r="I65" i="2"/>
  <c r="J1184" i="6"/>
  <c r="I1160" i="6"/>
  <c r="I1219" i="6"/>
  <c r="J1159" i="6"/>
  <c r="M991" i="6"/>
  <c r="Q989" i="6"/>
  <c r="Q174" i="6"/>
  <c r="W174" i="6" s="1"/>
  <c r="W169" i="6"/>
  <c r="N969" i="6"/>
  <c r="T966" i="6"/>
  <c r="T969" i="6" s="1"/>
  <c r="Q307" i="6"/>
  <c r="W307" i="6" s="1"/>
  <c r="W302" i="6"/>
  <c r="I64" i="2"/>
  <c r="J1179" i="6"/>
  <c r="Q1177" i="6"/>
  <c r="M1179" i="6"/>
  <c r="N1027" i="6"/>
  <c r="T1025" i="6"/>
  <c r="T1027" i="6" s="1"/>
  <c r="S200" i="3"/>
  <c r="S363" i="3" s="1"/>
  <c r="T11" i="5" s="1"/>
  <c r="N66" i="2"/>
  <c r="I1195" i="6"/>
  <c r="J1191" i="6"/>
  <c r="I1216" i="6"/>
  <c r="J1216" i="6" s="1"/>
  <c r="M1012" i="6"/>
  <c r="Q1010" i="6"/>
  <c r="N65" i="2"/>
  <c r="Q183" i="6"/>
  <c r="W183" i="6" s="1"/>
  <c r="W178" i="6"/>
  <c r="I51" i="2"/>
  <c r="J1106" i="6"/>
  <c r="J1101" i="6"/>
  <c r="F7" i="595"/>
  <c r="T1030" i="6"/>
  <c r="N1032" i="6"/>
  <c r="E10" i="50"/>
  <c r="J1099" i="6"/>
  <c r="Q1030" i="6"/>
  <c r="M1032" i="6"/>
  <c r="N1017" i="6"/>
  <c r="T1015" i="6"/>
  <c r="T1017" i="6" s="1"/>
  <c r="I66" i="2"/>
  <c r="J1188" i="6"/>
  <c r="M1022" i="6"/>
  <c r="Q1020" i="6"/>
  <c r="M29" i="14"/>
  <c r="K29" i="14"/>
  <c r="L29" i="14" s="1"/>
  <c r="Q1184" i="6"/>
  <c r="N51" i="2"/>
  <c r="N52" i="2"/>
  <c r="I63" i="2"/>
  <c r="J1174" i="6"/>
  <c r="G61" i="2"/>
  <c r="E1160" i="6"/>
  <c r="T989" i="6"/>
  <c r="T991" i="6" s="1"/>
  <c r="N991" i="6"/>
  <c r="M969" i="6"/>
  <c r="Q966" i="6"/>
  <c r="J1167" i="6"/>
  <c r="I62" i="2"/>
  <c r="T1177" i="6"/>
  <c r="T1179" i="6" s="1"/>
  <c r="N1179" i="6"/>
  <c r="M1027" i="6"/>
  <c r="Q1025" i="6"/>
  <c r="G67" i="2"/>
  <c r="E1195" i="6"/>
  <c r="N1012" i="6"/>
  <c r="T1010" i="6"/>
  <c r="T1012" i="6" s="1"/>
  <c r="Q289" i="6"/>
  <c r="W289" i="6" s="1"/>
  <c r="W284" i="6"/>
  <c r="K639" i="3" l="1"/>
  <c r="K1216" i="3" s="1"/>
  <c r="K22" i="5"/>
  <c r="K1124" i="3"/>
  <c r="K1211" i="3" s="1"/>
  <c r="K34" i="5"/>
  <c r="K16" i="5"/>
  <c r="K892" i="3"/>
  <c r="K1217" i="3" s="1"/>
  <c r="J1113" i="6"/>
  <c r="I1082" i="3"/>
  <c r="I52" i="5" s="1"/>
  <c r="I58" i="5" s="1"/>
  <c r="J1079" i="3"/>
  <c r="J1080" i="3"/>
  <c r="Q1099" i="6"/>
  <c r="Q1139" i="6" s="1"/>
  <c r="T1099" i="6"/>
  <c r="T1139" i="6" s="1"/>
  <c r="M1034" i="6"/>
  <c r="N1034" i="6"/>
  <c r="W321" i="6"/>
  <c r="W23" i="6"/>
  <c r="AC23" i="6" s="1"/>
  <c r="AE23" i="6" s="1"/>
  <c r="W185" i="6"/>
  <c r="W264" i="6"/>
  <c r="AC264" i="6" s="1"/>
  <c r="AE264" i="6" s="1"/>
  <c r="R192" i="6"/>
  <c r="N128" i="6"/>
  <c r="U128" i="6" s="1"/>
  <c r="U129" i="6" s="1"/>
  <c r="T1007" i="6"/>
  <c r="U84" i="6"/>
  <c r="R174" i="6"/>
  <c r="U138" i="6"/>
  <c r="W97" i="6"/>
  <c r="AC97" i="6" s="1"/>
  <c r="AE97" i="6" s="1"/>
  <c r="W52" i="6"/>
  <c r="U165" i="6"/>
  <c r="I129" i="6"/>
  <c r="J129" i="6" s="1"/>
  <c r="I289" i="6"/>
  <c r="J289" i="6" s="1"/>
  <c r="M30" i="6"/>
  <c r="N286" i="6"/>
  <c r="U286" i="6" s="1"/>
  <c r="W75" i="6"/>
  <c r="W66" i="6"/>
  <c r="AC66" i="6" s="1"/>
  <c r="AE66" i="6" s="1"/>
  <c r="J128" i="6"/>
  <c r="M66" i="6"/>
  <c r="N66" i="6"/>
  <c r="U147" i="6"/>
  <c r="N30" i="6"/>
  <c r="J182" i="6"/>
  <c r="W124" i="6"/>
  <c r="AC124" i="6" s="1"/>
  <c r="AE124" i="6" s="1"/>
  <c r="M182" i="6"/>
  <c r="W57" i="6"/>
  <c r="W102" i="6"/>
  <c r="AC102" i="6" s="1"/>
  <c r="AE102" i="6" s="1"/>
  <c r="W129" i="6"/>
  <c r="AC129" i="6" s="1"/>
  <c r="AE129" i="6" s="1"/>
  <c r="W70" i="6"/>
  <c r="W61" i="6"/>
  <c r="AC61" i="6" s="1"/>
  <c r="AE61" i="6" s="1"/>
  <c r="M174" i="6"/>
  <c r="M102" i="6"/>
  <c r="N102" i="6"/>
  <c r="M286" i="6"/>
  <c r="M289" i="6" s="1"/>
  <c r="R93" i="6"/>
  <c r="J1139" i="6"/>
  <c r="W239" i="6"/>
  <c r="AC239" i="6" s="1"/>
  <c r="AE239" i="6" s="1"/>
  <c r="W106" i="6"/>
  <c r="N182" i="6"/>
  <c r="U182" i="6" s="1"/>
  <c r="N48" i="6"/>
  <c r="U48" i="6"/>
  <c r="W41" i="6"/>
  <c r="W167" i="6"/>
  <c r="AC167" i="6" s="1"/>
  <c r="AE167" i="6" s="1"/>
  <c r="M48" i="6"/>
  <c r="W113" i="6"/>
  <c r="W111" i="6"/>
  <c r="W246" i="6"/>
  <c r="AC246" i="6" s="1"/>
  <c r="AE246" i="6" s="1"/>
  <c r="W226" i="6"/>
  <c r="W68" i="6"/>
  <c r="AC68" i="6" s="1"/>
  <c r="AE68" i="6" s="1"/>
  <c r="W176" i="6"/>
  <c r="W196" i="6"/>
  <c r="AC196" i="6" s="1"/>
  <c r="AE196" i="6" s="1"/>
  <c r="W104" i="6"/>
  <c r="AC104" i="6" s="1"/>
  <c r="AE104" i="6" s="1"/>
  <c r="W194" i="6"/>
  <c r="T244" i="6"/>
  <c r="W244" i="6" s="1"/>
  <c r="AC244" i="6" s="1"/>
  <c r="AE244" i="6" s="1"/>
  <c r="I205" i="6"/>
  <c r="J205" i="6" s="1"/>
  <c r="M129" i="6"/>
  <c r="U39" i="6"/>
  <c r="U120" i="6"/>
  <c r="W77" i="6"/>
  <c r="S203" i="3"/>
  <c r="S368" i="3" s="1"/>
  <c r="U21" i="3"/>
  <c r="U203" i="3" s="1"/>
  <c r="U368" i="3" s="1"/>
  <c r="U639" i="3"/>
  <c r="V956" i="3"/>
  <c r="G980" i="6"/>
  <c r="G1098" i="6" s="1"/>
  <c r="E1098" i="6" s="1"/>
  <c r="I972" i="6"/>
  <c r="J972" i="6" s="1"/>
  <c r="E972" i="6"/>
  <c r="U311" i="6"/>
  <c r="N316" i="6"/>
  <c r="N59" i="6"/>
  <c r="T59" i="6" s="1"/>
  <c r="M59" i="6"/>
  <c r="Q59" i="6" s="1"/>
  <c r="J59" i="6"/>
  <c r="U192" i="6"/>
  <c r="U180" i="6"/>
  <c r="M316" i="6"/>
  <c r="Q311" i="6"/>
  <c r="N212" i="6"/>
  <c r="U212" i="6" s="1"/>
  <c r="M212" i="6"/>
  <c r="R212" i="6" s="1"/>
  <c r="J212" i="6"/>
  <c r="U93" i="6"/>
  <c r="Q142" i="6"/>
  <c r="M147" i="6"/>
  <c r="T142" i="6"/>
  <c r="N147" i="6"/>
  <c r="M255" i="6"/>
  <c r="Q255" i="6" s="1"/>
  <c r="N255" i="6"/>
  <c r="J255" i="6"/>
  <c r="N297" i="6"/>
  <c r="U297" i="6" s="1"/>
  <c r="M297" i="6"/>
  <c r="R297" i="6" s="1"/>
  <c r="R298" i="6" s="1"/>
  <c r="J297" i="6"/>
  <c r="N158" i="6"/>
  <c r="T158" i="6" s="1"/>
  <c r="J158" i="6"/>
  <c r="M158" i="6"/>
  <c r="Q158" i="6" s="1"/>
  <c r="R147" i="6"/>
  <c r="M93" i="6"/>
  <c r="Q88" i="6"/>
  <c r="T88" i="6"/>
  <c r="N93" i="6"/>
  <c r="R180" i="6"/>
  <c r="V958" i="3"/>
  <c r="E974" i="6"/>
  <c r="I974" i="6"/>
  <c r="J974" i="6" s="1"/>
  <c r="V957" i="3"/>
  <c r="E973" i="6"/>
  <c r="I973" i="6"/>
  <c r="J973" i="6" s="1"/>
  <c r="U153" i="6"/>
  <c r="N156" i="6"/>
  <c r="I1118" i="3"/>
  <c r="U329" i="6"/>
  <c r="U370" i="6" s="1"/>
  <c r="M138" i="6"/>
  <c r="Q133" i="6"/>
  <c r="N138" i="6"/>
  <c r="T133" i="6"/>
  <c r="L1081" i="3"/>
  <c r="L1121" i="3" s="1"/>
  <c r="L365" i="3"/>
  <c r="L363" i="3"/>
  <c r="L368" i="3"/>
  <c r="V961" i="3"/>
  <c r="E977" i="6"/>
  <c r="I977" i="6"/>
  <c r="J977" i="6" s="1"/>
  <c r="U173" i="6"/>
  <c r="N174" i="6"/>
  <c r="U338" i="6"/>
  <c r="U339" i="6" s="1"/>
  <c r="U355" i="6" s="1"/>
  <c r="V962" i="3"/>
  <c r="I978" i="6"/>
  <c r="J978" i="6" s="1"/>
  <c r="E978" i="6"/>
  <c r="R153" i="6"/>
  <c r="R156" i="6" s="1"/>
  <c r="M156" i="6"/>
  <c r="U288" i="6"/>
  <c r="R288" i="6"/>
  <c r="R289" i="6" s="1"/>
  <c r="R138" i="6"/>
  <c r="L1118" i="3"/>
  <c r="L1205" i="3" s="1"/>
  <c r="L1235" i="3" s="1"/>
  <c r="L1119" i="3"/>
  <c r="L1120" i="3"/>
  <c r="Q1140" i="6"/>
  <c r="T1140" i="6"/>
  <c r="W122" i="6"/>
  <c r="X20" i="33"/>
  <c r="M74" i="6"/>
  <c r="M75" i="6" s="1"/>
  <c r="I202" i="6"/>
  <c r="J202" i="6" s="1"/>
  <c r="W149" i="6"/>
  <c r="AC149" i="6" s="1"/>
  <c r="AE149" i="6" s="1"/>
  <c r="W30" i="6"/>
  <c r="W86" i="6"/>
  <c r="W197" i="6"/>
  <c r="W25" i="6"/>
  <c r="W140" i="6"/>
  <c r="U66" i="6"/>
  <c r="W95" i="6"/>
  <c r="U30" i="6"/>
  <c r="U307" i="6"/>
  <c r="U102" i="6"/>
  <c r="E202" i="6"/>
  <c r="N74" i="6"/>
  <c r="U74" i="6" s="1"/>
  <c r="AK41" i="33"/>
  <c r="AK42" i="33" s="1"/>
  <c r="AK43" i="33" s="1"/>
  <c r="AJ40" i="33"/>
  <c r="AJ41" i="33" s="1"/>
  <c r="J74" i="6"/>
  <c r="L370" i="3"/>
  <c r="V192" i="3"/>
  <c r="V353" i="3"/>
  <c r="G327" i="6"/>
  <c r="E327" i="6" s="1"/>
  <c r="V298" i="3"/>
  <c r="V231" i="3"/>
  <c r="V357" i="3"/>
  <c r="L372" i="3"/>
  <c r="R221" i="6"/>
  <c r="U221" i="6"/>
  <c r="J334" i="6"/>
  <c r="I339" i="6"/>
  <c r="J339" i="6" s="1"/>
  <c r="Q217" i="6"/>
  <c r="M236" i="6"/>
  <c r="M234" i="6"/>
  <c r="V339" i="3"/>
  <c r="Q350" i="6"/>
  <c r="M358" i="6"/>
  <c r="T350" i="6"/>
  <c r="T358" i="6" s="1"/>
  <c r="N358" i="6"/>
  <c r="N271" i="6"/>
  <c r="T266" i="6"/>
  <c r="T271" i="6" s="1"/>
  <c r="M271" i="6"/>
  <c r="Q266" i="6"/>
  <c r="N236" i="6"/>
  <c r="T217" i="6"/>
  <c r="N234" i="6"/>
  <c r="G366" i="6"/>
  <c r="V224" i="3"/>
  <c r="I111" i="6"/>
  <c r="J111" i="6" s="1"/>
  <c r="M110" i="6"/>
  <c r="J110" i="6"/>
  <c r="N110" i="6"/>
  <c r="N219" i="6"/>
  <c r="J219" i="6"/>
  <c r="M219" i="6"/>
  <c r="I224" i="6"/>
  <c r="J224" i="6" s="1"/>
  <c r="V57" i="3"/>
  <c r="M54" i="6"/>
  <c r="N54" i="6"/>
  <c r="J54" i="6"/>
  <c r="I57" i="6"/>
  <c r="J57" i="6" s="1"/>
  <c r="V111" i="3"/>
  <c r="G1116" i="6"/>
  <c r="L636" i="3"/>
  <c r="L21" i="5" s="1"/>
  <c r="L366" i="3"/>
  <c r="L13" i="5" s="1"/>
  <c r="L635" i="3"/>
  <c r="L20" i="5" s="1"/>
  <c r="L364" i="3"/>
  <c r="L12" i="5" s="1"/>
  <c r="M1075" i="3"/>
  <c r="L371" i="3"/>
  <c r="G1123" i="6"/>
  <c r="G637" i="6"/>
  <c r="E324" i="6"/>
  <c r="N277" i="6"/>
  <c r="J277" i="6"/>
  <c r="I324" i="6"/>
  <c r="M277" i="6"/>
  <c r="G371" i="6"/>
  <c r="E371" i="6" s="1"/>
  <c r="E206" i="6"/>
  <c r="G364" i="6"/>
  <c r="G636" i="6"/>
  <c r="E201" i="6"/>
  <c r="N79" i="6"/>
  <c r="J79" i="6"/>
  <c r="I84" i="6"/>
  <c r="J84" i="6" s="1"/>
  <c r="M79" i="6"/>
  <c r="E205" i="6"/>
  <c r="G370" i="6"/>
  <c r="E370" i="6" s="1"/>
  <c r="G365" i="6"/>
  <c r="E365" i="6" s="1"/>
  <c r="E325" i="6"/>
  <c r="E348" i="6"/>
  <c r="G355" i="6"/>
  <c r="E355" i="6" s="1"/>
  <c r="V348" i="3"/>
  <c r="V84" i="3"/>
  <c r="G232" i="6"/>
  <c r="E232" i="6" s="1"/>
  <c r="E215" i="6"/>
  <c r="V229" i="3"/>
  <c r="N187" i="6"/>
  <c r="I192" i="6"/>
  <c r="J192" i="6" s="1"/>
  <c r="M187" i="6"/>
  <c r="J187" i="6"/>
  <c r="N273" i="6"/>
  <c r="M273" i="6"/>
  <c r="J273" i="6"/>
  <c r="I331" i="6"/>
  <c r="J331" i="6" s="1"/>
  <c r="I329" i="6"/>
  <c r="N131" i="6"/>
  <c r="J131" i="6"/>
  <c r="M131" i="6"/>
  <c r="I206" i="6"/>
  <c r="M18" i="6"/>
  <c r="I201" i="6"/>
  <c r="J18" i="6"/>
  <c r="N18" i="6"/>
  <c r="N115" i="6"/>
  <c r="J115" i="6"/>
  <c r="I120" i="6"/>
  <c r="J120" i="6" s="1"/>
  <c r="M115" i="6"/>
  <c r="N341" i="6"/>
  <c r="I359" i="6"/>
  <c r="J359" i="6" s="1"/>
  <c r="I357" i="6"/>
  <c r="J357" i="6" s="1"/>
  <c r="M341" i="6"/>
  <c r="J341" i="6"/>
  <c r="M300" i="6"/>
  <c r="N300" i="6"/>
  <c r="J300" i="6"/>
  <c r="I330" i="6"/>
  <c r="J330" i="6" s="1"/>
  <c r="M243" i="6"/>
  <c r="M244" i="6" s="1"/>
  <c r="I326" i="6"/>
  <c r="J326" i="6" s="1"/>
  <c r="J243" i="6"/>
  <c r="N243" i="6"/>
  <c r="N293" i="6"/>
  <c r="J293" i="6"/>
  <c r="M293" i="6"/>
  <c r="I298" i="6"/>
  <c r="J298" i="6" s="1"/>
  <c r="V120" i="3"/>
  <c r="I348" i="6"/>
  <c r="J343" i="6"/>
  <c r="I353" i="6"/>
  <c r="J353" i="6" s="1"/>
  <c r="V359" i="3"/>
  <c r="N210" i="6"/>
  <c r="J210" i="6"/>
  <c r="I229" i="6"/>
  <c r="J229" i="6" s="1"/>
  <c r="I215" i="6"/>
  <c r="M210" i="6"/>
  <c r="E207" i="6"/>
  <c r="G372" i="6"/>
  <c r="N50" i="6"/>
  <c r="M50" i="6"/>
  <c r="J50" i="6"/>
  <c r="I207" i="6"/>
  <c r="T32" i="6"/>
  <c r="Q32" i="6"/>
  <c r="T34" i="6"/>
  <c r="T39" i="6" s="1"/>
  <c r="N39" i="6"/>
  <c r="Q34" i="6"/>
  <c r="M39" i="6"/>
  <c r="M214" i="6"/>
  <c r="I231" i="6"/>
  <c r="J231" i="6" s="1"/>
  <c r="J214" i="6"/>
  <c r="N214" i="6"/>
  <c r="Q275" i="6"/>
  <c r="J253" i="6"/>
  <c r="M323" i="6"/>
  <c r="Q248" i="6"/>
  <c r="M253" i="6"/>
  <c r="N262" i="6"/>
  <c r="T257" i="6"/>
  <c r="T262" i="6" s="1"/>
  <c r="M262" i="6"/>
  <c r="Q257" i="6"/>
  <c r="U275" i="6"/>
  <c r="T160" i="6"/>
  <c r="T165" i="6" s="1"/>
  <c r="N165" i="6"/>
  <c r="Q160" i="6"/>
  <c r="M165" i="6"/>
  <c r="T248" i="6"/>
  <c r="N323" i="6"/>
  <c r="N253" i="6"/>
  <c r="E892" i="6"/>
  <c r="G1217" i="3"/>
  <c r="G923" i="3"/>
  <c r="G39" i="5" s="1"/>
  <c r="G40" i="5" s="1"/>
  <c r="G43" i="5" s="1"/>
  <c r="G46" i="5" s="1"/>
  <c r="E816" i="6"/>
  <c r="I816" i="6"/>
  <c r="G818" i="6"/>
  <c r="E818" i="6" s="1"/>
  <c r="E65" i="2"/>
  <c r="M65" i="2"/>
  <c r="Y391" i="6"/>
  <c r="W390" i="6"/>
  <c r="M52" i="2"/>
  <c r="L29" i="12"/>
  <c r="L30" i="12" s="1"/>
  <c r="E52" i="2"/>
  <c r="E51" i="2"/>
  <c r="M51" i="2"/>
  <c r="M68" i="2"/>
  <c r="E68" i="2"/>
  <c r="Q969" i="6"/>
  <c r="N61" i="2"/>
  <c r="K30" i="14"/>
  <c r="L30" i="14" s="1"/>
  <c r="M30" i="14"/>
  <c r="F10" i="594"/>
  <c r="F14" i="594" s="1"/>
  <c r="Q1012" i="6"/>
  <c r="J1195" i="6"/>
  <c r="I67" i="2"/>
  <c r="M66" i="2"/>
  <c r="T16" i="5"/>
  <c r="J1219" i="6"/>
  <c r="B25" i="50"/>
  <c r="M64" i="2"/>
  <c r="E63" i="2"/>
  <c r="M63" i="2"/>
  <c r="Q1106" i="6"/>
  <c r="N67" i="2"/>
  <c r="Q1027" i="6"/>
  <c r="Q1022" i="6"/>
  <c r="Q1032" i="6"/>
  <c r="T1032" i="6"/>
  <c r="E62" i="2"/>
  <c r="M62" i="2"/>
  <c r="E66" i="2"/>
  <c r="G16" i="6"/>
  <c r="Q1179" i="6"/>
  <c r="Q991" i="6"/>
  <c r="I61" i="2"/>
  <c r="J1160" i="6"/>
  <c r="Q1017" i="6"/>
  <c r="E64" i="2"/>
  <c r="E1141" i="6"/>
  <c r="G1228" i="6"/>
  <c r="L11" i="5" l="1"/>
  <c r="K923" i="3"/>
  <c r="K39" i="5" s="1"/>
  <c r="K40" i="5" s="1"/>
  <c r="K43" i="5" s="1"/>
  <c r="K46" i="5" s="1"/>
  <c r="L22" i="5"/>
  <c r="L16" i="5"/>
  <c r="I1124" i="3"/>
  <c r="I1211" i="3" s="1"/>
  <c r="R1075" i="3"/>
  <c r="R1079" i="3"/>
  <c r="R1080" i="3"/>
  <c r="M1079" i="3"/>
  <c r="M1080" i="3"/>
  <c r="T1034" i="6"/>
  <c r="Q1034" i="6"/>
  <c r="W158" i="6"/>
  <c r="N129" i="6"/>
  <c r="N289" i="6"/>
  <c r="L1082" i="3"/>
  <c r="L52" i="5" s="1"/>
  <c r="L58" i="5" s="1"/>
  <c r="E980" i="6"/>
  <c r="R182" i="6"/>
  <c r="R183" i="6" s="1"/>
  <c r="M183" i="6"/>
  <c r="G1102" i="6"/>
  <c r="E1102" i="6" s="1"/>
  <c r="M324" i="6"/>
  <c r="J1141" i="6"/>
  <c r="N230" i="6"/>
  <c r="M205" i="6"/>
  <c r="D43" i="50"/>
  <c r="M230" i="6"/>
  <c r="I980" i="6"/>
  <c r="I1098" i="6" s="1"/>
  <c r="C10" i="50" s="1"/>
  <c r="N183" i="6"/>
  <c r="W59" i="6"/>
  <c r="T93" i="6"/>
  <c r="T147" i="6"/>
  <c r="Q147" i="6"/>
  <c r="W142" i="6"/>
  <c r="AC142" i="6" s="1"/>
  <c r="AE142" i="6" s="1"/>
  <c r="W311" i="6"/>
  <c r="Q316" i="6"/>
  <c r="W316" i="6" s="1"/>
  <c r="Q93" i="6"/>
  <c r="W88" i="6"/>
  <c r="T255" i="6"/>
  <c r="W255" i="6" s="1"/>
  <c r="AC255" i="6" s="1"/>
  <c r="AE255" i="6" s="1"/>
  <c r="U183" i="6"/>
  <c r="U316" i="6"/>
  <c r="L1206" i="3"/>
  <c r="L1208" i="3"/>
  <c r="U289" i="6"/>
  <c r="U174" i="6"/>
  <c r="L512" i="3"/>
  <c r="E1219" i="6"/>
  <c r="L1207" i="3"/>
  <c r="T138" i="6"/>
  <c r="Q138" i="6"/>
  <c r="W133" i="6"/>
  <c r="I1205" i="3"/>
  <c r="U156" i="6"/>
  <c r="G1138" i="6"/>
  <c r="I1228" i="6"/>
  <c r="J1228" i="6" s="1"/>
  <c r="I1134" i="6"/>
  <c r="J1130" i="6"/>
  <c r="M202" i="6"/>
  <c r="R74" i="6"/>
  <c r="R75" i="6" s="1"/>
  <c r="N205" i="6"/>
  <c r="N244" i="6"/>
  <c r="N202" i="6"/>
  <c r="N75" i="6"/>
  <c r="N325" i="6"/>
  <c r="N365" i="6" s="1"/>
  <c r="N324" i="6"/>
  <c r="U277" i="6"/>
  <c r="U324" i="6" s="1"/>
  <c r="AK44" i="33"/>
  <c r="E366" i="6"/>
  <c r="G15" i="2"/>
  <c r="N15" i="2" s="1"/>
  <c r="M280" i="6"/>
  <c r="V355" i="3"/>
  <c r="N280" i="6"/>
  <c r="I327" i="6"/>
  <c r="J327" i="6" s="1"/>
  <c r="U224" i="6"/>
  <c r="U230" i="6"/>
  <c r="R224" i="6"/>
  <c r="R230" i="6"/>
  <c r="V232" i="3"/>
  <c r="T236" i="6"/>
  <c r="T234" i="6"/>
  <c r="Q271" i="6"/>
  <c r="W271" i="6" s="1"/>
  <c r="W266" i="6"/>
  <c r="Q358" i="6"/>
  <c r="W358" i="6" s="1"/>
  <c r="W350" i="6"/>
  <c r="Q234" i="6"/>
  <c r="W217" i="6"/>
  <c r="Q236" i="6"/>
  <c r="U75" i="6"/>
  <c r="R54" i="6"/>
  <c r="R57" i="6" s="1"/>
  <c r="M57" i="6"/>
  <c r="U110" i="6"/>
  <c r="U111" i="6" s="1"/>
  <c r="N111" i="6"/>
  <c r="R110" i="6"/>
  <c r="R111" i="6" s="1"/>
  <c r="M111" i="6"/>
  <c r="U54" i="6"/>
  <c r="U57" i="6" s="1"/>
  <c r="N57" i="6"/>
  <c r="M224" i="6"/>
  <c r="Q219" i="6"/>
  <c r="N224" i="6"/>
  <c r="T219" i="6"/>
  <c r="T224" i="6" s="1"/>
  <c r="M327" i="3"/>
  <c r="M207" i="3"/>
  <c r="M326" i="3"/>
  <c r="M1081" i="3"/>
  <c r="M206" i="3"/>
  <c r="M1078" i="3"/>
  <c r="M202" i="3"/>
  <c r="M205" i="3"/>
  <c r="M323" i="3"/>
  <c r="M325" i="3"/>
  <c r="M201" i="3"/>
  <c r="M331" i="3"/>
  <c r="M330" i="3"/>
  <c r="M324" i="3"/>
  <c r="M329" i="3"/>
  <c r="L639" i="3"/>
  <c r="V1096" i="3"/>
  <c r="E1116" i="6"/>
  <c r="I1116" i="6"/>
  <c r="G1120" i="6"/>
  <c r="I1123" i="6"/>
  <c r="G1127" i="6"/>
  <c r="V1107" i="3" s="1"/>
  <c r="V1103" i="3"/>
  <c r="E1123" i="6"/>
  <c r="N231" i="6"/>
  <c r="U214" i="6"/>
  <c r="I372" i="6"/>
  <c r="J372" i="6" s="1"/>
  <c r="J207" i="6"/>
  <c r="Q50" i="6"/>
  <c r="Q205" i="6" s="1"/>
  <c r="M207" i="6"/>
  <c r="E372" i="6"/>
  <c r="I232" i="6"/>
  <c r="J232" i="6" s="1"/>
  <c r="J215" i="6"/>
  <c r="J348" i="6"/>
  <c r="I355" i="6"/>
  <c r="J355" i="6" s="1"/>
  <c r="I365" i="6"/>
  <c r="J365" i="6" s="1"/>
  <c r="N298" i="6"/>
  <c r="U293" i="6"/>
  <c r="U325" i="6" s="1"/>
  <c r="R243" i="6"/>
  <c r="M326" i="6"/>
  <c r="U300" i="6"/>
  <c r="N330" i="6"/>
  <c r="Q341" i="6"/>
  <c r="M357" i="6"/>
  <c r="M359" i="6"/>
  <c r="Q115" i="6"/>
  <c r="M120" i="6"/>
  <c r="U18" i="6"/>
  <c r="N201" i="6"/>
  <c r="I636" i="6"/>
  <c r="I364" i="6"/>
  <c r="J201" i="6"/>
  <c r="I371" i="6"/>
  <c r="J371" i="6" s="1"/>
  <c r="J206" i="6"/>
  <c r="J329" i="6"/>
  <c r="E43" i="50"/>
  <c r="T273" i="6"/>
  <c r="N329" i="6"/>
  <c r="N331" i="6"/>
  <c r="M192" i="6"/>
  <c r="Q187" i="6"/>
  <c r="N192" i="6"/>
  <c r="T187" i="6"/>
  <c r="T192" i="6" s="1"/>
  <c r="T79" i="6"/>
  <c r="T84" i="6" s="1"/>
  <c r="N84" i="6"/>
  <c r="G640" i="6"/>
  <c r="G1236" i="6" s="1"/>
  <c r="E1236" i="6" s="1"/>
  <c r="G22" i="2"/>
  <c r="I370" i="6"/>
  <c r="J370" i="6" s="1"/>
  <c r="M231" i="6"/>
  <c r="R214" i="6"/>
  <c r="Q39" i="6"/>
  <c r="W39" i="6" s="1"/>
  <c r="W34" i="6"/>
  <c r="W32" i="6"/>
  <c r="T50" i="6"/>
  <c r="T205" i="6" s="1"/>
  <c r="N207" i="6"/>
  <c r="Q210" i="6"/>
  <c r="M215" i="6"/>
  <c r="M229" i="6"/>
  <c r="N229" i="6"/>
  <c r="T210" i="6"/>
  <c r="N215" i="6"/>
  <c r="M325" i="6"/>
  <c r="M365" i="6" s="1"/>
  <c r="Q293" i="6"/>
  <c r="M298" i="6"/>
  <c r="U243" i="6"/>
  <c r="N326" i="6"/>
  <c r="Q300" i="6"/>
  <c r="M330" i="6"/>
  <c r="N359" i="6"/>
  <c r="N357" i="6"/>
  <c r="T341" i="6"/>
  <c r="N120" i="6"/>
  <c r="T115" i="6"/>
  <c r="T120" i="6" s="1"/>
  <c r="R18" i="6"/>
  <c r="M201" i="6"/>
  <c r="Q131" i="6"/>
  <c r="M206" i="6"/>
  <c r="T131" i="6"/>
  <c r="T206" i="6" s="1"/>
  <c r="T371" i="6" s="1"/>
  <c r="N206" i="6"/>
  <c r="Q273" i="6"/>
  <c r="M331" i="6"/>
  <c r="M329" i="6"/>
  <c r="I366" i="6"/>
  <c r="Q79" i="6"/>
  <c r="M84" i="6"/>
  <c r="G14" i="2"/>
  <c r="E364" i="6"/>
  <c r="I637" i="6"/>
  <c r="J324" i="6"/>
  <c r="G23" i="2"/>
  <c r="F18" i="594"/>
  <c r="M816" i="6"/>
  <c r="N816" i="6"/>
  <c r="U323" i="6"/>
  <c r="U363" i="6" s="1"/>
  <c r="W257" i="6"/>
  <c r="AC257" i="6" s="1"/>
  <c r="AE257" i="6" s="1"/>
  <c r="Q262" i="6"/>
  <c r="W262" i="6" s="1"/>
  <c r="AC262" i="6" s="1"/>
  <c r="AE262" i="6" s="1"/>
  <c r="Q253" i="6"/>
  <c r="Q323" i="6"/>
  <c r="W248" i="6"/>
  <c r="AC248" i="6" s="1"/>
  <c r="AE248" i="6" s="1"/>
  <c r="W275" i="6"/>
  <c r="Q280" i="6"/>
  <c r="W280" i="6" s="1"/>
  <c r="T253" i="6"/>
  <c r="T327" i="6" s="1"/>
  <c r="T323" i="6"/>
  <c r="W160" i="6"/>
  <c r="AC160" i="6" s="1"/>
  <c r="AE160" i="6" s="1"/>
  <c r="Q165" i="6"/>
  <c r="W165" i="6" s="1"/>
  <c r="AC165" i="6" s="1"/>
  <c r="AE165" i="6" s="1"/>
  <c r="J816" i="6"/>
  <c r="I818" i="6"/>
  <c r="J818" i="6" s="1"/>
  <c r="G1220" i="3"/>
  <c r="G933" i="3"/>
  <c r="E923" i="6"/>
  <c r="Y392" i="6"/>
  <c r="W391" i="6"/>
  <c r="E67" i="2"/>
  <c r="M67" i="2"/>
  <c r="L6" i="42"/>
  <c r="M61" i="2"/>
  <c r="V16" i="3"/>
  <c r="I16" i="6"/>
  <c r="E16" i="6"/>
  <c r="G200" i="6"/>
  <c r="G21" i="6"/>
  <c r="V21" i="3" s="1"/>
  <c r="M31" i="14"/>
  <c r="K31" i="14"/>
  <c r="L31" i="14" s="1"/>
  <c r="E61" i="2"/>
  <c r="K1220" i="3" l="1"/>
  <c r="K1224" i="3" s="1"/>
  <c r="K1226" i="3" s="1"/>
  <c r="K1231" i="3" s="1"/>
  <c r="K70" i="5" s="1"/>
  <c r="K71" i="5" s="1"/>
  <c r="K74" i="5" s="1"/>
  <c r="K933" i="3"/>
  <c r="K936" i="3" s="1"/>
  <c r="K939" i="3" s="1"/>
  <c r="M635" i="3"/>
  <c r="M20" i="5" s="1"/>
  <c r="L1124" i="3"/>
  <c r="L1211" i="3" s="1"/>
  <c r="I1102" i="6"/>
  <c r="J1102" i="6" s="1"/>
  <c r="G50" i="2"/>
  <c r="N50" i="2" s="1"/>
  <c r="J1098" i="6"/>
  <c r="F43" i="50"/>
  <c r="D46" i="50" s="1"/>
  <c r="D12" i="50" s="1"/>
  <c r="M637" i="6"/>
  <c r="J980" i="6"/>
  <c r="W138" i="6"/>
  <c r="W147" i="6"/>
  <c r="AC147" i="6" s="1"/>
  <c r="AE147" i="6" s="1"/>
  <c r="I1138" i="6"/>
  <c r="G1225" i="6"/>
  <c r="G1257" i="6" s="1"/>
  <c r="E1257" i="6" s="1"/>
  <c r="W93" i="6"/>
  <c r="L1216" i="3"/>
  <c r="M365" i="3"/>
  <c r="M368" i="3"/>
  <c r="G1224" i="3"/>
  <c r="M363" i="3"/>
  <c r="M1118" i="3"/>
  <c r="M1205" i="3" s="1"/>
  <c r="M1235" i="3" s="1"/>
  <c r="I1235" i="3"/>
  <c r="L1237" i="3"/>
  <c r="L1236" i="3"/>
  <c r="M1121" i="3"/>
  <c r="M1120" i="3"/>
  <c r="M1207" i="3" s="1"/>
  <c r="M1237" i="3" s="1"/>
  <c r="M1119" i="3"/>
  <c r="M1206" i="3" s="1"/>
  <c r="M1236" i="3" s="1"/>
  <c r="J1134" i="6"/>
  <c r="I55" i="2"/>
  <c r="G1144" i="6"/>
  <c r="E1144" i="6" s="1"/>
  <c r="W234" i="6"/>
  <c r="U280" i="6"/>
  <c r="N637" i="6"/>
  <c r="F6" i="137"/>
  <c r="AK45" i="33"/>
  <c r="AK46" i="33" s="1"/>
  <c r="AK47" i="33" s="1"/>
  <c r="AK48" i="33" s="1"/>
  <c r="AK49" i="33" s="1"/>
  <c r="AK50" i="33" s="1"/>
  <c r="AK51" i="33" s="1"/>
  <c r="AK52" i="33" s="1"/>
  <c r="AK53" i="33" s="1"/>
  <c r="AK54" i="33" s="1"/>
  <c r="AK55" i="33" s="1"/>
  <c r="AJ44" i="33"/>
  <c r="M370" i="3"/>
  <c r="N232" i="6"/>
  <c r="M327" i="6"/>
  <c r="M372" i="3"/>
  <c r="M364" i="3"/>
  <c r="M12" i="5" s="1"/>
  <c r="M232" i="6"/>
  <c r="M370" i="6"/>
  <c r="W236" i="6"/>
  <c r="E1138" i="6"/>
  <c r="N327" i="6"/>
  <c r="N371" i="6"/>
  <c r="M371" i="3"/>
  <c r="M366" i="6"/>
  <c r="M371" i="6"/>
  <c r="M636" i="3"/>
  <c r="M21" i="5" s="1"/>
  <c r="U202" i="6"/>
  <c r="M366" i="3"/>
  <c r="M13" i="5" s="1"/>
  <c r="R231" i="6"/>
  <c r="R215" i="6"/>
  <c r="R232" i="6" s="1"/>
  <c r="W219" i="6"/>
  <c r="Q224" i="6"/>
  <c r="W224" i="6" s="1"/>
  <c r="U231" i="6"/>
  <c r="U215" i="6"/>
  <c r="U232" i="6" s="1"/>
  <c r="R202" i="6"/>
  <c r="N370" i="6"/>
  <c r="N366" i="6"/>
  <c r="I1127" i="6"/>
  <c r="J1123" i="6"/>
  <c r="J1116" i="6"/>
  <c r="I1120" i="6"/>
  <c r="M1082" i="3"/>
  <c r="M52" i="5" s="1"/>
  <c r="M58" i="5" s="1"/>
  <c r="N1075" i="3"/>
  <c r="G54" i="2"/>
  <c r="N54" i="2" s="1"/>
  <c r="E1127" i="6"/>
  <c r="V1100" i="3"/>
  <c r="G53" i="2"/>
  <c r="N53" i="2" s="1"/>
  <c r="E1120" i="6"/>
  <c r="N14" i="2"/>
  <c r="Q84" i="6"/>
  <c r="W84" i="6" s="1"/>
  <c r="W79" i="6"/>
  <c r="W273" i="6"/>
  <c r="Q331" i="6"/>
  <c r="Q329" i="6"/>
  <c r="W131" i="6"/>
  <c r="AC131" i="6" s="1"/>
  <c r="AE131" i="6" s="1"/>
  <c r="Q206" i="6"/>
  <c r="R21" i="6"/>
  <c r="R203" i="6" s="1"/>
  <c r="R201" i="6"/>
  <c r="T229" i="6"/>
  <c r="T215" i="6"/>
  <c r="T232" i="6" s="1"/>
  <c r="Q229" i="6"/>
  <c r="Q215" i="6"/>
  <c r="W210" i="6"/>
  <c r="T207" i="6"/>
  <c r="N22" i="2"/>
  <c r="G24" i="2"/>
  <c r="J636" i="6"/>
  <c r="I22" i="2"/>
  <c r="I640" i="6"/>
  <c r="U201" i="6"/>
  <c r="U21" i="6"/>
  <c r="U203" i="6" s="1"/>
  <c r="W115" i="6"/>
  <c r="Q120" i="6"/>
  <c r="W120" i="6" s="1"/>
  <c r="W50" i="6"/>
  <c r="AC50" i="6" s="1"/>
  <c r="AE50" i="6" s="1"/>
  <c r="Q207" i="6"/>
  <c r="N23" i="2"/>
  <c r="J637" i="6"/>
  <c r="I23" i="2"/>
  <c r="E23" i="2" s="1"/>
  <c r="I15" i="2"/>
  <c r="J366" i="6"/>
  <c r="M636" i="6"/>
  <c r="M364" i="6"/>
  <c r="T357" i="6"/>
  <c r="T359" i="6"/>
  <c r="W300" i="6"/>
  <c r="Q330" i="6"/>
  <c r="W330" i="6" s="1"/>
  <c r="U326" i="6"/>
  <c r="U637" i="6" s="1"/>
  <c r="U244" i="6"/>
  <c r="Q298" i="6"/>
  <c r="W298" i="6" s="1"/>
  <c r="W293" i="6"/>
  <c r="Q325" i="6"/>
  <c r="N372" i="6"/>
  <c r="W187" i="6"/>
  <c r="Q192" i="6"/>
  <c r="W192" i="6" s="1"/>
  <c r="T329" i="6"/>
  <c r="T331" i="6"/>
  <c r="I14" i="2"/>
  <c r="E14" i="2" s="1"/>
  <c r="J364" i="6"/>
  <c r="N364" i="6"/>
  <c r="N636" i="6"/>
  <c r="Q359" i="6"/>
  <c r="Q357" i="6"/>
  <c r="W341" i="6"/>
  <c r="U330" i="6"/>
  <c r="U371" i="6" s="1"/>
  <c r="U331" i="6"/>
  <c r="U372" i="6" s="1"/>
  <c r="R326" i="6"/>
  <c r="R637" i="6" s="1"/>
  <c r="R244" i="6"/>
  <c r="R327" i="6" s="1"/>
  <c r="U298" i="6"/>
  <c r="M372" i="6"/>
  <c r="M16" i="6"/>
  <c r="N16" i="6"/>
  <c r="W323" i="6"/>
  <c r="AC323" i="6" s="1"/>
  <c r="AE323" i="6" s="1"/>
  <c r="W253" i="6"/>
  <c r="AC253" i="6" s="1"/>
  <c r="AE253" i="6" s="1"/>
  <c r="N818" i="6"/>
  <c r="T816" i="6"/>
  <c r="T818" i="6" s="1"/>
  <c r="E933" i="6"/>
  <c r="G936" i="3"/>
  <c r="Q816" i="6"/>
  <c r="Q818" i="6" s="1"/>
  <c r="M818" i="6"/>
  <c r="Y393" i="6"/>
  <c r="Y394" i="6" s="1"/>
  <c r="Y395" i="6" s="1"/>
  <c r="W392" i="6"/>
  <c r="K32" i="14"/>
  <c r="M32" i="14"/>
  <c r="F10" i="50"/>
  <c r="G363" i="6"/>
  <c r="E200" i="6"/>
  <c r="I21" i="6"/>
  <c r="J16" i="6"/>
  <c r="I200" i="6"/>
  <c r="I363" i="6" s="1"/>
  <c r="I13" i="2" s="1"/>
  <c r="L9" i="42"/>
  <c r="V200" i="3"/>
  <c r="E21" i="6"/>
  <c r="G203" i="6"/>
  <c r="K1238" i="3" l="1"/>
  <c r="K1241" i="3"/>
  <c r="M11" i="5"/>
  <c r="M16" i="5" s="1"/>
  <c r="M22" i="5"/>
  <c r="N1079" i="3"/>
  <c r="N1080" i="3"/>
  <c r="F14" i="137"/>
  <c r="F15" i="137"/>
  <c r="F12" i="137"/>
  <c r="F13" i="137"/>
  <c r="E46" i="50"/>
  <c r="N4" i="6" s="1"/>
  <c r="I50" i="2"/>
  <c r="M50" i="2" s="1"/>
  <c r="M640" i="6"/>
  <c r="M1236" i="6" s="1"/>
  <c r="I1225" i="6"/>
  <c r="I1257" i="6" s="1"/>
  <c r="C25" i="50" s="1"/>
  <c r="I1144" i="6"/>
  <c r="J1144" i="6" s="1"/>
  <c r="W205" i="6"/>
  <c r="AC205" i="6" s="1"/>
  <c r="AE205" i="6" s="1"/>
  <c r="G1226" i="3"/>
  <c r="M512" i="3"/>
  <c r="G939" i="3"/>
  <c r="M1208" i="3"/>
  <c r="M1124" i="3"/>
  <c r="M1211" i="3" s="1"/>
  <c r="G56" i="2"/>
  <c r="N56" i="2" s="1"/>
  <c r="E1225" i="6"/>
  <c r="W229" i="6"/>
  <c r="W359" i="6"/>
  <c r="N640" i="6"/>
  <c r="E18" i="12" s="1"/>
  <c r="E54" i="12" s="1"/>
  <c r="U365" i="6"/>
  <c r="J1138" i="6"/>
  <c r="Q327" i="6"/>
  <c r="W327" i="6" s="1"/>
  <c r="AC327" i="6" s="1"/>
  <c r="AE327" i="6" s="1"/>
  <c r="W357" i="6"/>
  <c r="M639" i="3"/>
  <c r="W331" i="6"/>
  <c r="AC331" i="6" s="1"/>
  <c r="AE331" i="6" s="1"/>
  <c r="W329" i="6"/>
  <c r="AC329" i="6" s="1"/>
  <c r="AE329" i="6" s="1"/>
  <c r="T370" i="6"/>
  <c r="M4" i="6"/>
  <c r="U327" i="6"/>
  <c r="M23" i="2"/>
  <c r="N323" i="3"/>
  <c r="N331" i="3"/>
  <c r="N207" i="3"/>
  <c r="N202" i="3"/>
  <c r="N327" i="3"/>
  <c r="N325" i="3"/>
  <c r="N205" i="3"/>
  <c r="N1081" i="3"/>
  <c r="N1078" i="3"/>
  <c r="N1118" i="3" s="1"/>
  <c r="N201" i="3"/>
  <c r="N326" i="3"/>
  <c r="N206" i="3"/>
  <c r="N330" i="3"/>
  <c r="N329" i="3"/>
  <c r="N324" i="3"/>
  <c r="J1120" i="6"/>
  <c r="I53" i="2"/>
  <c r="O1075" i="3"/>
  <c r="I54" i="2"/>
  <c r="E54" i="2" s="1"/>
  <c r="J1127" i="6"/>
  <c r="E15" i="2"/>
  <c r="M15" i="2"/>
  <c r="Q372" i="6"/>
  <c r="I1236" i="6"/>
  <c r="J640" i="6"/>
  <c r="C18" i="12"/>
  <c r="C54" i="12" s="1"/>
  <c r="N24" i="2"/>
  <c r="R366" i="6"/>
  <c r="Q370" i="6"/>
  <c r="R368" i="6"/>
  <c r="R512" i="6" s="1"/>
  <c r="W206" i="6"/>
  <c r="AC206" i="6" s="1"/>
  <c r="AE206" i="6" s="1"/>
  <c r="Q365" i="6"/>
  <c r="W365" i="6" s="1"/>
  <c r="W325" i="6"/>
  <c r="U366" i="6"/>
  <c r="W207" i="6"/>
  <c r="AC207" i="6" s="1"/>
  <c r="AE207" i="6" s="1"/>
  <c r="U364" i="6"/>
  <c r="U636" i="6"/>
  <c r="U640" i="6" s="1"/>
  <c r="E22" i="2"/>
  <c r="I24" i="2"/>
  <c r="E24" i="2" s="1"/>
  <c r="M22" i="2"/>
  <c r="T372" i="6"/>
  <c r="Q232" i="6"/>
  <c r="W232" i="6" s="1"/>
  <c r="W215" i="6"/>
  <c r="R364" i="6"/>
  <c r="R636" i="6"/>
  <c r="R640" i="6" s="1"/>
  <c r="Q371" i="6"/>
  <c r="W371" i="6" s="1"/>
  <c r="AC371" i="6" s="1"/>
  <c r="AE371" i="6" s="1"/>
  <c r="M14" i="2"/>
  <c r="F16" i="137"/>
  <c r="F20" i="137"/>
  <c r="F11" i="137"/>
  <c r="F17" i="137"/>
  <c r="F22" i="137"/>
  <c r="G361" i="6"/>
  <c r="Y396" i="6"/>
  <c r="W395" i="6"/>
  <c r="AC395" i="6" s="1"/>
  <c r="AE395" i="6" s="1"/>
  <c r="E203" i="6"/>
  <c r="G368" i="6"/>
  <c r="M33" i="14"/>
  <c r="K33" i="14"/>
  <c r="L33" i="14" s="1"/>
  <c r="J200" i="6"/>
  <c r="J21" i="6"/>
  <c r="I203" i="6"/>
  <c r="E363" i="6"/>
  <c r="G13" i="2"/>
  <c r="D15" i="50"/>
  <c r="L32" i="14"/>
  <c r="O1080" i="3" l="1"/>
  <c r="O1079" i="3"/>
  <c r="F787" i="3"/>
  <c r="F782" i="3"/>
  <c r="F792" i="3"/>
  <c r="F783" i="3"/>
  <c r="F793" i="3"/>
  <c r="F788" i="3"/>
  <c r="N1130" i="6"/>
  <c r="U1130" i="6" s="1"/>
  <c r="U1134" i="6" s="1"/>
  <c r="M1130" i="6"/>
  <c r="Q1130" i="6" s="1"/>
  <c r="E12" i="50"/>
  <c r="E15" i="50" s="1"/>
  <c r="F15" i="50" s="1"/>
  <c r="E18" i="50" s="1"/>
  <c r="N2" i="6" s="1"/>
  <c r="E50" i="2"/>
  <c r="N783" i="3"/>
  <c r="N803" i="3" s="1"/>
  <c r="N334" i="6"/>
  <c r="M783" i="3"/>
  <c r="M803" i="3" s="1"/>
  <c r="H783" i="3"/>
  <c r="H803" i="3" s="1"/>
  <c r="N1109" i="6"/>
  <c r="N343" i="6"/>
  <c r="M793" i="3"/>
  <c r="H793" i="3"/>
  <c r="N974" i="6"/>
  <c r="M788" i="3"/>
  <c r="I783" i="3"/>
  <c r="I803" i="3" s="1"/>
  <c r="N930" i="6"/>
  <c r="N973" i="6"/>
  <c r="H788" i="3"/>
  <c r="N975" i="6"/>
  <c r="E793" i="3"/>
  <c r="E783" i="3"/>
  <c r="N1198" i="6"/>
  <c r="N972" i="6"/>
  <c r="N1205" i="6"/>
  <c r="F46" i="50"/>
  <c r="N793" i="3"/>
  <c r="N647" i="6"/>
  <c r="N1163" i="6"/>
  <c r="N1116" i="6"/>
  <c r="I793" i="3"/>
  <c r="E788" i="3"/>
  <c r="N920" i="6"/>
  <c r="N978" i="6"/>
  <c r="N1170" i="6"/>
  <c r="I788" i="3"/>
  <c r="N788" i="3"/>
  <c r="N1191" i="6"/>
  <c r="N977" i="6"/>
  <c r="N976" i="6"/>
  <c r="N648" i="6"/>
  <c r="N1155" i="6"/>
  <c r="N1123" i="6"/>
  <c r="D18" i="12"/>
  <c r="D54" i="12" s="1"/>
  <c r="F54" i="12" s="1"/>
  <c r="J1225" i="6"/>
  <c r="N368" i="3"/>
  <c r="N365" i="3"/>
  <c r="M1216" i="3"/>
  <c r="E939" i="6"/>
  <c r="G1231" i="3"/>
  <c r="G70" i="5" s="1"/>
  <c r="G71" i="5" s="1"/>
  <c r="G74" i="5" s="1"/>
  <c r="E1228" i="6"/>
  <c r="N1120" i="3"/>
  <c r="N1207" i="3" s="1"/>
  <c r="N1119" i="3"/>
  <c r="N1206" i="3" s="1"/>
  <c r="N1236" i="3" s="1"/>
  <c r="N1121" i="3"/>
  <c r="N1208" i="3" s="1"/>
  <c r="I56" i="2"/>
  <c r="M56" i="2" s="1"/>
  <c r="U368" i="6"/>
  <c r="U512" i="6" s="1"/>
  <c r="N787" i="3"/>
  <c r="W370" i="6"/>
  <c r="AC370" i="6" s="1"/>
  <c r="AE370" i="6" s="1"/>
  <c r="N635" i="3"/>
  <c r="N20" i="5" s="1"/>
  <c r="W372" i="6"/>
  <c r="AC372" i="6" s="1"/>
  <c r="AE372" i="6" s="1"/>
  <c r="N372" i="3"/>
  <c r="N366" i="3"/>
  <c r="N13" i="5" s="1"/>
  <c r="N363" i="3"/>
  <c r="N11" i="5" s="1"/>
  <c r="N371" i="3"/>
  <c r="N636" i="3"/>
  <c r="N21" i="5" s="1"/>
  <c r="N370" i="3"/>
  <c r="M930" i="6"/>
  <c r="M647" i="6"/>
  <c r="M648" i="6"/>
  <c r="M975" i="6"/>
  <c r="M343" i="6"/>
  <c r="M1205" i="6"/>
  <c r="M1170" i="6"/>
  <c r="M1198" i="6"/>
  <c r="M973" i="6"/>
  <c r="M1191" i="6"/>
  <c r="M1123" i="6"/>
  <c r="M920" i="6"/>
  <c r="M1155" i="6"/>
  <c r="M334" i="6"/>
  <c r="M976" i="6"/>
  <c r="M974" i="6"/>
  <c r="M1163" i="6"/>
  <c r="M978" i="6"/>
  <c r="M977" i="6"/>
  <c r="M1109" i="6"/>
  <c r="M972" i="6"/>
  <c r="M1116" i="6"/>
  <c r="H792" i="3"/>
  <c r="M792" i="3"/>
  <c r="H787" i="3"/>
  <c r="E787" i="3"/>
  <c r="I787" i="3"/>
  <c r="N782" i="3"/>
  <c r="M787" i="3"/>
  <c r="I782" i="3"/>
  <c r="E782" i="3"/>
  <c r="I792" i="3"/>
  <c r="N792" i="3"/>
  <c r="E792" i="3"/>
  <c r="H782" i="3"/>
  <c r="M782" i="3"/>
  <c r="N364" i="3"/>
  <c r="N12" i="5" s="1"/>
  <c r="N1205" i="3"/>
  <c r="N1235" i="3" s="1"/>
  <c r="N1082" i="3"/>
  <c r="N52" i="5" s="1"/>
  <c r="N58" i="5" s="1"/>
  <c r="O788" i="3"/>
  <c r="O207" i="3"/>
  <c r="O326" i="3"/>
  <c r="O323" i="3"/>
  <c r="O783" i="3" s="1"/>
  <c r="O803" i="3" s="1"/>
  <c r="O324" i="3"/>
  <c r="O329" i="3"/>
  <c r="O331" i="3"/>
  <c r="O202" i="3"/>
  <c r="O327" i="3"/>
  <c r="O368" i="3" s="1"/>
  <c r="O512" i="3" s="1"/>
  <c r="O793" i="3"/>
  <c r="O1078" i="3"/>
  <c r="O1118" i="3" s="1"/>
  <c r="O206" i="3"/>
  <c r="O205" i="3"/>
  <c r="O787" i="3" s="1"/>
  <c r="O325" i="3"/>
  <c r="O365" i="3" s="1"/>
  <c r="O1081" i="3"/>
  <c r="O330" i="3"/>
  <c r="O201" i="3"/>
  <c r="O792" i="3"/>
  <c r="O782" i="3"/>
  <c r="M53" i="2"/>
  <c r="E53" i="2"/>
  <c r="M54" i="2"/>
  <c r="M24" i="2"/>
  <c r="J1236" i="6"/>
  <c r="N1236" i="6"/>
  <c r="N13" i="2"/>
  <c r="I361" i="6"/>
  <c r="J361" i="6" s="1"/>
  <c r="Y397" i="6"/>
  <c r="W396" i="6"/>
  <c r="G18" i="2"/>
  <c r="K34" i="14"/>
  <c r="L34" i="14" s="1"/>
  <c r="M34" i="14"/>
  <c r="J1257" i="6"/>
  <c r="I368" i="6"/>
  <c r="J203" i="6"/>
  <c r="J363" i="6"/>
  <c r="G512" i="6"/>
  <c r="E368" i="6"/>
  <c r="N22" i="5" l="1"/>
  <c r="N16" i="5"/>
  <c r="F803" i="3"/>
  <c r="F789" i="3"/>
  <c r="F794" i="3"/>
  <c r="F784" i="3"/>
  <c r="F802" i="3"/>
  <c r="E794" i="3"/>
  <c r="O363" i="3"/>
  <c r="O11" i="5" s="1"/>
  <c r="F12" i="50"/>
  <c r="O366" i="3"/>
  <c r="O13" i="5" s="1"/>
  <c r="M789" i="3"/>
  <c r="N789" i="3"/>
  <c r="F18" i="12"/>
  <c r="I794" i="3"/>
  <c r="E784" i="3"/>
  <c r="M794" i="3"/>
  <c r="N794" i="3"/>
  <c r="I789" i="3"/>
  <c r="E789" i="3"/>
  <c r="O636" i="3"/>
  <c r="O21" i="5" s="1"/>
  <c r="N1133" i="6"/>
  <c r="H789" i="3"/>
  <c r="H794" i="3"/>
  <c r="N1237" i="3"/>
  <c r="N512" i="3"/>
  <c r="E1233" i="6"/>
  <c r="G1238" i="3"/>
  <c r="G1241" i="3"/>
  <c r="O1121" i="3"/>
  <c r="O1208" i="3" s="1"/>
  <c r="O1119" i="3"/>
  <c r="O1206" i="3" s="1"/>
  <c r="O1236" i="3" s="1"/>
  <c r="O1120" i="3"/>
  <c r="O1207" i="3" s="1"/>
  <c r="O1237" i="3" s="1"/>
  <c r="N1124" i="3"/>
  <c r="N1211" i="3" s="1"/>
  <c r="E56" i="2"/>
  <c r="N639" i="3"/>
  <c r="O789" i="3"/>
  <c r="J324" i="3"/>
  <c r="J387" i="3"/>
  <c r="J427" i="3"/>
  <c r="J467" i="3"/>
  <c r="J502" i="3"/>
  <c r="J538" i="3"/>
  <c r="J578" i="3"/>
  <c r="J649" i="3"/>
  <c r="J29" i="5" s="1"/>
  <c r="J691" i="3"/>
  <c r="J731" i="3"/>
  <c r="J774" i="3"/>
  <c r="J848" i="3"/>
  <c r="J880" i="3"/>
  <c r="J326" i="3"/>
  <c r="J417" i="3"/>
  <c r="J457" i="3"/>
  <c r="J497" i="3"/>
  <c r="J528" i="3"/>
  <c r="J568" i="3"/>
  <c r="J608" i="3"/>
  <c r="J681" i="3"/>
  <c r="J721" i="3"/>
  <c r="J764" i="3"/>
  <c r="J817" i="3"/>
  <c r="J856" i="3"/>
  <c r="J904" i="3"/>
  <c r="J913" i="3" s="1"/>
  <c r="J37" i="5" s="1"/>
  <c r="J205" i="3"/>
  <c r="J323" i="3"/>
  <c r="J327" i="3"/>
  <c r="J382" i="3"/>
  <c r="J402" i="3"/>
  <c r="J422" i="3"/>
  <c r="J442" i="3"/>
  <c r="J462" i="3"/>
  <c r="J482" i="3"/>
  <c r="J501" i="3"/>
  <c r="J506" i="3"/>
  <c r="J533" i="3"/>
  <c r="J553" i="3"/>
  <c r="J573" i="3"/>
  <c r="J593" i="3"/>
  <c r="J613" i="3"/>
  <c r="J666" i="3"/>
  <c r="J686" i="3"/>
  <c r="J706" i="3"/>
  <c r="J726" i="3"/>
  <c r="J746" i="3"/>
  <c r="J759" i="3"/>
  <c r="J779" i="3"/>
  <c r="J803" i="3"/>
  <c r="J822" i="3"/>
  <c r="J844" i="3"/>
  <c r="J860" i="3"/>
  <c r="J201" i="3"/>
  <c r="J329" i="3"/>
  <c r="J407" i="3"/>
  <c r="J447" i="3"/>
  <c r="J487" i="3"/>
  <c r="J507" i="3"/>
  <c r="J558" i="3"/>
  <c r="J598" i="3"/>
  <c r="J671" i="3"/>
  <c r="J711" i="3"/>
  <c r="J749" i="3"/>
  <c r="J827" i="3"/>
  <c r="J864" i="3"/>
  <c r="J921" i="3"/>
  <c r="J38" i="5" s="1"/>
  <c r="J206" i="3"/>
  <c r="J331" i="3"/>
  <c r="J397" i="3"/>
  <c r="J437" i="3"/>
  <c r="J477" i="3"/>
  <c r="J505" i="3"/>
  <c r="J548" i="3"/>
  <c r="J588" i="3"/>
  <c r="J661" i="3"/>
  <c r="J701" i="3"/>
  <c r="J741" i="3"/>
  <c r="J784" i="3"/>
  <c r="J831" i="3"/>
  <c r="J872" i="3"/>
  <c r="J1078" i="3"/>
  <c r="J202" i="3"/>
  <c r="J207" i="3"/>
  <c r="J325" i="3"/>
  <c r="J330" i="3"/>
  <c r="J392" i="3"/>
  <c r="J412" i="3"/>
  <c r="J432" i="3"/>
  <c r="J452" i="3"/>
  <c r="J472" i="3"/>
  <c r="J492" i="3"/>
  <c r="J503" i="3"/>
  <c r="J523" i="3"/>
  <c r="J543" i="3"/>
  <c r="J563" i="3"/>
  <c r="J583" i="3"/>
  <c r="J603" i="3"/>
  <c r="J656" i="3"/>
  <c r="J676" i="3"/>
  <c r="J696" i="3"/>
  <c r="J716" i="3"/>
  <c r="J736" i="3"/>
  <c r="J750" i="3"/>
  <c r="J769" i="3"/>
  <c r="J799" i="3"/>
  <c r="J812" i="3"/>
  <c r="J830" i="3"/>
  <c r="J852" i="3"/>
  <c r="J868" i="3"/>
  <c r="J884" i="3"/>
  <c r="O635" i="3"/>
  <c r="O20" i="5" s="1"/>
  <c r="O372" i="3"/>
  <c r="O370" i="3"/>
  <c r="O364" i="3"/>
  <c r="O12" i="5" s="1"/>
  <c r="O794" i="3"/>
  <c r="O371" i="3"/>
  <c r="M784" i="3"/>
  <c r="M802" i="3"/>
  <c r="H784" i="3"/>
  <c r="H802" i="3"/>
  <c r="I802" i="3"/>
  <c r="I784" i="3"/>
  <c r="N784" i="3"/>
  <c r="N802" i="3"/>
  <c r="O784" i="3"/>
  <c r="O802" i="3"/>
  <c r="O1082" i="3"/>
  <c r="O52" i="5" s="1"/>
  <c r="O58" i="5" s="1"/>
  <c r="O1205" i="3"/>
  <c r="O1235" i="3" s="1"/>
  <c r="P1075" i="3"/>
  <c r="N933" i="6"/>
  <c r="N923" i="6"/>
  <c r="N1112" i="6"/>
  <c r="N1173" i="6"/>
  <c r="N1091" i="6"/>
  <c r="N1208" i="6"/>
  <c r="N1126" i="6"/>
  <c r="N1119" i="6"/>
  <c r="N1166" i="6"/>
  <c r="N1068" i="6"/>
  <c r="N1080" i="6"/>
  <c r="N1074" i="6"/>
  <c r="N1057" i="6"/>
  <c r="N1194" i="6"/>
  <c r="N1201" i="6"/>
  <c r="N1051" i="6"/>
  <c r="N1045" i="6"/>
  <c r="N1187" i="6"/>
  <c r="N1212" i="6"/>
  <c r="N1159" i="6"/>
  <c r="M13" i="2"/>
  <c r="I18" i="2"/>
  <c r="Y398" i="6"/>
  <c r="Y399" i="6" s="1"/>
  <c r="Y400" i="6" s="1"/>
  <c r="W397" i="6"/>
  <c r="AC397" i="6" s="1"/>
  <c r="AE397" i="6" s="1"/>
  <c r="D18" i="50"/>
  <c r="M2" i="6" s="1"/>
  <c r="H23" i="647" s="1"/>
  <c r="E13" i="2"/>
  <c r="N18" i="2"/>
  <c r="J368" i="6"/>
  <c r="I512" i="6"/>
  <c r="D29" i="50"/>
  <c r="E29" i="50"/>
  <c r="M35" i="14"/>
  <c r="K35" i="14"/>
  <c r="L35" i="14" s="1"/>
  <c r="E27" i="50"/>
  <c r="O22" i="5" l="1"/>
  <c r="O16" i="5"/>
  <c r="H24" i="647"/>
  <c r="J875" i="3" s="1"/>
  <c r="S875" i="3" s="1"/>
  <c r="U875" i="3" s="1"/>
  <c r="J874" i="3"/>
  <c r="S874" i="3" s="1"/>
  <c r="J14" i="5"/>
  <c r="J15" i="5"/>
  <c r="J199" i="4"/>
  <c r="J198" i="4" s="1"/>
  <c r="J265" i="4" s="1"/>
  <c r="J274" i="4" s="1"/>
  <c r="T199" i="4"/>
  <c r="T198" i="4" s="1"/>
  <c r="R199" i="4"/>
  <c r="R198" i="4" s="1"/>
  <c r="R265" i="4" s="1"/>
  <c r="R274" i="4" s="1"/>
  <c r="I199" i="4"/>
  <c r="I198" i="4" s="1"/>
  <c r="I265" i="4" s="1"/>
  <c r="I274" i="4" s="1"/>
  <c r="Q199" i="4"/>
  <c r="Q198" i="4" s="1"/>
  <c r="Q265" i="4" s="1"/>
  <c r="Q274" i="4" s="1"/>
  <c r="K199" i="4"/>
  <c r="K198" i="4" s="1"/>
  <c r="K265" i="4" s="1"/>
  <c r="K274" i="4" s="1"/>
  <c r="S199" i="4"/>
  <c r="S198" i="4" s="1"/>
  <c r="S265" i="4" s="1"/>
  <c r="S274" i="4" s="1"/>
  <c r="L199" i="4"/>
  <c r="L198" i="4" s="1"/>
  <c r="L265" i="4" s="1"/>
  <c r="L274" i="4" s="1"/>
  <c r="P199" i="4"/>
  <c r="P198" i="4" s="1"/>
  <c r="P265" i="4" s="1"/>
  <c r="P274" i="4" s="1"/>
  <c r="O199" i="4"/>
  <c r="O198" i="4" s="1"/>
  <c r="O265" i="4" s="1"/>
  <c r="O274" i="4" s="1"/>
  <c r="N199" i="4"/>
  <c r="N198" i="4" s="1"/>
  <c r="N265" i="4" s="1"/>
  <c r="N274" i="4" s="1"/>
  <c r="M199" i="4"/>
  <c r="M198" i="4" s="1"/>
  <c r="M265" i="4" s="1"/>
  <c r="M274" i="4" s="1"/>
  <c r="M1112" i="6"/>
  <c r="H199" i="4"/>
  <c r="H198" i="4" s="1"/>
  <c r="H265" i="4" s="1"/>
  <c r="H274" i="4" s="1"/>
  <c r="P1079" i="3"/>
  <c r="P1080" i="3"/>
  <c r="F805" i="3"/>
  <c r="F892" i="3" s="1"/>
  <c r="M805" i="3"/>
  <c r="M31" i="5" s="1"/>
  <c r="I805" i="3"/>
  <c r="I31" i="5" s="1"/>
  <c r="I34" i="5" s="1"/>
  <c r="N805" i="3"/>
  <c r="N31" i="5" s="1"/>
  <c r="R666" i="3"/>
  <c r="H805" i="3"/>
  <c r="H31" i="5" s="1"/>
  <c r="H34" i="5" s="1"/>
  <c r="J1081" i="3"/>
  <c r="J1118" i="3"/>
  <c r="J1205" i="3" s="1"/>
  <c r="J363" i="3"/>
  <c r="N1216" i="3"/>
  <c r="E1243" i="6"/>
  <c r="J365" i="3"/>
  <c r="J368" i="3"/>
  <c r="O1124" i="3"/>
  <c r="O1211" i="3" s="1"/>
  <c r="J1119" i="3"/>
  <c r="J1120" i="3"/>
  <c r="R1119" i="3"/>
  <c r="R1206" i="3" s="1"/>
  <c r="R1236" i="3" s="1"/>
  <c r="M1133" i="6"/>
  <c r="T1133" i="6"/>
  <c r="T1134" i="6" s="1"/>
  <c r="N1134" i="6"/>
  <c r="R1078" i="3"/>
  <c r="R505" i="3"/>
  <c r="R558" i="3"/>
  <c r="R676" i="3"/>
  <c r="R921" i="3"/>
  <c r="R38" i="5" s="1"/>
  <c r="R407" i="3"/>
  <c r="R749" i="3"/>
  <c r="R492" i="3"/>
  <c r="R201" i="3"/>
  <c r="R701" i="3"/>
  <c r="R482" i="3"/>
  <c r="R830" i="3"/>
  <c r="R822" i="3"/>
  <c r="R503" i="3"/>
  <c r="R324" i="3"/>
  <c r="R844" i="3"/>
  <c r="R206" i="3"/>
  <c r="R507" i="3"/>
  <c r="R711" i="3"/>
  <c r="R880" i="3"/>
  <c r="S880" i="3" s="1"/>
  <c r="R452" i="3"/>
  <c r="R603" i="3"/>
  <c r="R799" i="3"/>
  <c r="R207" i="3"/>
  <c r="R477" i="3"/>
  <c r="R661" i="3"/>
  <c r="R856" i="3"/>
  <c r="S856" i="3" s="1"/>
  <c r="R442" i="3"/>
  <c r="R593" i="3"/>
  <c r="R779" i="3"/>
  <c r="R578" i="3"/>
  <c r="R325" i="3"/>
  <c r="R365" i="3" s="1"/>
  <c r="R852" i="3"/>
  <c r="R528" i="3"/>
  <c r="R721" i="3"/>
  <c r="R501" i="3"/>
  <c r="R387" i="3"/>
  <c r="R502" i="3"/>
  <c r="R691" i="3"/>
  <c r="R864" i="3"/>
  <c r="S864" i="3" s="1"/>
  <c r="R432" i="3"/>
  <c r="R583" i="3"/>
  <c r="R769" i="3"/>
  <c r="R202" i="3"/>
  <c r="R457" i="3"/>
  <c r="R608" i="3"/>
  <c r="R827" i="3"/>
  <c r="R422" i="3"/>
  <c r="R573" i="3"/>
  <c r="R759" i="3"/>
  <c r="V573" i="3"/>
  <c r="J364" i="3"/>
  <c r="J12" i="5" s="1"/>
  <c r="R329" i="3"/>
  <c r="R538" i="3"/>
  <c r="R731" i="3"/>
  <c r="R904" i="3"/>
  <c r="R913" i="3" s="1"/>
  <c r="R37" i="5" s="1"/>
  <c r="R472" i="3"/>
  <c r="R656" i="3"/>
  <c r="R812" i="3"/>
  <c r="R326" i="3"/>
  <c r="R497" i="3"/>
  <c r="R681" i="3"/>
  <c r="R872" i="3"/>
  <c r="S872" i="3" s="1"/>
  <c r="R462" i="3"/>
  <c r="R613" i="3"/>
  <c r="R803" i="3"/>
  <c r="R427" i="3"/>
  <c r="R774" i="3"/>
  <c r="R696" i="3"/>
  <c r="R686" i="3"/>
  <c r="R205" i="3"/>
  <c r="R598" i="3"/>
  <c r="R330" i="3"/>
  <c r="R523" i="3"/>
  <c r="R868" i="3"/>
  <c r="S868" i="3" s="1"/>
  <c r="R397" i="3"/>
  <c r="R741" i="3"/>
  <c r="R327" i="3"/>
  <c r="R368" i="3" s="1"/>
  <c r="R706" i="3"/>
  <c r="R860" i="3"/>
  <c r="S860" i="3" s="1"/>
  <c r="R323" i="3"/>
  <c r="R363" i="3" s="1"/>
  <c r="R467" i="3"/>
  <c r="R649" i="3"/>
  <c r="R29" i="5" s="1"/>
  <c r="R831" i="3"/>
  <c r="R392" i="3"/>
  <c r="R543" i="3"/>
  <c r="R736" i="3"/>
  <c r="R884" i="3"/>
  <c r="S884" i="3" s="1"/>
  <c r="R417" i="3"/>
  <c r="R568" i="3"/>
  <c r="R764" i="3"/>
  <c r="R382" i="3"/>
  <c r="R533" i="3"/>
  <c r="R726" i="3"/>
  <c r="R876" i="3"/>
  <c r="R447" i="3"/>
  <c r="R817" i="3"/>
  <c r="R716" i="3"/>
  <c r="R548" i="3"/>
  <c r="R506" i="3"/>
  <c r="V442" i="3"/>
  <c r="R331" i="3"/>
  <c r="R487" i="3"/>
  <c r="R671" i="3"/>
  <c r="R848" i="3"/>
  <c r="S848" i="3" s="1"/>
  <c r="R412" i="3"/>
  <c r="R563" i="3"/>
  <c r="R750" i="3"/>
  <c r="R1081" i="3"/>
  <c r="R437" i="3"/>
  <c r="R588" i="3"/>
  <c r="R784" i="3"/>
  <c r="R402" i="3"/>
  <c r="R553" i="3"/>
  <c r="R746" i="3"/>
  <c r="J1219" i="3"/>
  <c r="V492" i="3"/>
  <c r="V457" i="3"/>
  <c r="V382" i="3"/>
  <c r="V603" i="3"/>
  <c r="V482" i="3"/>
  <c r="J371" i="3"/>
  <c r="V593" i="3"/>
  <c r="V827" i="3"/>
  <c r="V533" i="3"/>
  <c r="V666" i="3"/>
  <c r="V507" i="3"/>
  <c r="V749" i="3"/>
  <c r="V583" i="3"/>
  <c r="V736" i="3"/>
  <c r="V726" i="3"/>
  <c r="V706" i="3"/>
  <c r="V750" i="3"/>
  <c r="V528" i="3"/>
  <c r="V543" i="3"/>
  <c r="V746" i="3"/>
  <c r="V817" i="3"/>
  <c r="V696" i="3"/>
  <c r="V779" i="3"/>
  <c r="V497" i="3"/>
  <c r="V412" i="3"/>
  <c r="V563" i="3"/>
  <c r="V523" i="3"/>
  <c r="V676" i="3"/>
  <c r="V716" i="3"/>
  <c r="V769" i="3"/>
  <c r="V731" i="3"/>
  <c r="V422" i="3"/>
  <c r="V741" i="3"/>
  <c r="V427" i="3"/>
  <c r="V681" i="3"/>
  <c r="V721" i="3"/>
  <c r="V392" i="3"/>
  <c r="J833" i="3"/>
  <c r="J32" i="5" s="1"/>
  <c r="J366" i="3"/>
  <c r="J13" i="5" s="1"/>
  <c r="V578" i="3"/>
  <c r="V437" i="3"/>
  <c r="V417" i="3"/>
  <c r="V538" i="3"/>
  <c r="V505" i="3"/>
  <c r="V558" i="3"/>
  <c r="V661" i="3"/>
  <c r="V397" i="3"/>
  <c r="V487" i="3"/>
  <c r="V774" i="3"/>
  <c r="V503" i="3"/>
  <c r="V387" i="3"/>
  <c r="V764" i="3"/>
  <c r="V613" i="3"/>
  <c r="V553" i="3"/>
  <c r="V447" i="3"/>
  <c r="V598" i="3"/>
  <c r="V462" i="3"/>
  <c r="V691" i="3"/>
  <c r="V548" i="3"/>
  <c r="V452" i="3"/>
  <c r="V656" i="3"/>
  <c r="V711" i="3"/>
  <c r="V701" i="3"/>
  <c r="V506" i="3"/>
  <c r="V759" i="3"/>
  <c r="V568" i="3"/>
  <c r="V799" i="3"/>
  <c r="V477" i="3"/>
  <c r="V432" i="3"/>
  <c r="V608" i="3"/>
  <c r="V467" i="3"/>
  <c r="V686" i="3"/>
  <c r="J372" i="3"/>
  <c r="J752" i="3"/>
  <c r="J30" i="5" s="1"/>
  <c r="J805" i="3"/>
  <c r="J31" i="5" s="1"/>
  <c r="J509" i="3"/>
  <c r="J635" i="3"/>
  <c r="J20" i="5" s="1"/>
  <c r="J370" i="3"/>
  <c r="J636" i="3"/>
  <c r="J21" i="5" s="1"/>
  <c r="O639" i="3"/>
  <c r="O1216" i="3" s="1"/>
  <c r="O805" i="3"/>
  <c r="O31" i="5" s="1"/>
  <c r="Q1075" i="3"/>
  <c r="S1075" i="3" s="1"/>
  <c r="P327" i="3"/>
  <c r="P782" i="3"/>
  <c r="P331" i="3"/>
  <c r="P325" i="3"/>
  <c r="P365" i="3" s="1"/>
  <c r="P207" i="3"/>
  <c r="P323" i="3"/>
  <c r="P783" i="3" s="1"/>
  <c r="P326" i="3"/>
  <c r="P793" i="3"/>
  <c r="P792" i="3"/>
  <c r="P330" i="3"/>
  <c r="P206" i="3"/>
  <c r="P329" i="3"/>
  <c r="P205" i="3"/>
  <c r="P787" i="3" s="1"/>
  <c r="P201" i="3"/>
  <c r="P1078" i="3"/>
  <c r="P1118" i="3" s="1"/>
  <c r="P788" i="3"/>
  <c r="P202" i="3"/>
  <c r="P324" i="3"/>
  <c r="P1081" i="3"/>
  <c r="M933" i="6"/>
  <c r="M923" i="6"/>
  <c r="M1126" i="6"/>
  <c r="M1173" i="6"/>
  <c r="M1119" i="6"/>
  <c r="M1091" i="6"/>
  <c r="M1166" i="6"/>
  <c r="M1208" i="6"/>
  <c r="M1068" i="6"/>
  <c r="M1194" i="6"/>
  <c r="M1080" i="6"/>
  <c r="M1074" i="6"/>
  <c r="M1201" i="6"/>
  <c r="M1057" i="6"/>
  <c r="M1051" i="6"/>
  <c r="M1045" i="6"/>
  <c r="M1187" i="6"/>
  <c r="M1212" i="6"/>
  <c r="M1159" i="6"/>
  <c r="F18" i="50"/>
  <c r="N21" i="6"/>
  <c r="T16" i="6"/>
  <c r="N200" i="6"/>
  <c r="Y401" i="6"/>
  <c r="W400" i="6"/>
  <c r="AC400" i="6" s="1"/>
  <c r="AE400" i="6" s="1"/>
  <c r="D27" i="50"/>
  <c r="F27" i="50" s="1"/>
  <c r="M18" i="2"/>
  <c r="E18" i="2"/>
  <c r="J512" i="6"/>
  <c r="C17" i="12"/>
  <c r="C53" i="12" s="1"/>
  <c r="E14" i="582"/>
  <c r="D26" i="137"/>
  <c r="W27" i="42"/>
  <c r="F42" i="1"/>
  <c r="K36" i="14"/>
  <c r="L36" i="14" s="1"/>
  <c r="M36" i="14"/>
  <c r="F29" i="50"/>
  <c r="R11" i="5" l="1"/>
  <c r="R15" i="5"/>
  <c r="R14" i="5"/>
  <c r="H25" i="647"/>
  <c r="J1121" i="3"/>
  <c r="J1208" i="3" s="1"/>
  <c r="P803" i="3"/>
  <c r="F923" i="3"/>
  <c r="F933" i="3" s="1"/>
  <c r="F936" i="3" s="1"/>
  <c r="F939" i="3" s="1"/>
  <c r="J22" i="5"/>
  <c r="J11" i="5"/>
  <c r="J16" i="5" s="1"/>
  <c r="U874" i="3"/>
  <c r="J876" i="3"/>
  <c r="G885" i="6"/>
  <c r="V875" i="3" s="1"/>
  <c r="O266" i="4"/>
  <c r="O275" i="4" s="1"/>
  <c r="O277" i="4" s="1"/>
  <c r="Q1079" i="3"/>
  <c r="S1079" i="3" s="1"/>
  <c r="Q1080" i="3"/>
  <c r="S1080" i="3" s="1"/>
  <c r="F1217" i="3"/>
  <c r="H892" i="3"/>
  <c r="H1217" i="3" s="1"/>
  <c r="V502" i="3"/>
  <c r="R1219" i="3"/>
  <c r="S1219" i="3" s="1"/>
  <c r="F31" i="5"/>
  <c r="F34" i="5" s="1"/>
  <c r="J1082" i="3"/>
  <c r="J52" i="5" s="1"/>
  <c r="J58" i="5" s="1"/>
  <c r="J512" i="3"/>
  <c r="I892" i="3"/>
  <c r="I923" i="3" s="1"/>
  <c r="I39" i="5" s="1"/>
  <c r="I40" i="5" s="1"/>
  <c r="I43" i="5" s="1"/>
  <c r="I46" i="5" s="1"/>
  <c r="V198" i="4"/>
  <c r="J1235" i="3"/>
  <c r="V671" i="3"/>
  <c r="V501" i="3"/>
  <c r="V407" i="3"/>
  <c r="J1207" i="3"/>
  <c r="V812" i="3"/>
  <c r="V921" i="3"/>
  <c r="V649" i="3"/>
  <c r="V402" i="3"/>
  <c r="V472" i="3"/>
  <c r="V588" i="3"/>
  <c r="J1206" i="3"/>
  <c r="P1121" i="3"/>
  <c r="P1208" i="3" s="1"/>
  <c r="P1119" i="3"/>
  <c r="P1206" i="3" s="1"/>
  <c r="P1236" i="3" s="1"/>
  <c r="P1120" i="3"/>
  <c r="P1207" i="3" s="1"/>
  <c r="P1237" i="3" s="1"/>
  <c r="R1118" i="3"/>
  <c r="R1205" i="3" s="1"/>
  <c r="R1235" i="3" s="1"/>
  <c r="R1121" i="3"/>
  <c r="R1208" i="3" s="1"/>
  <c r="R1120" i="3"/>
  <c r="R1207" i="3" s="1"/>
  <c r="R1237" i="3" s="1"/>
  <c r="Q1133" i="6"/>
  <c r="Q1134" i="6" s="1"/>
  <c r="M1134" i="6"/>
  <c r="N203" i="6"/>
  <c r="R635" i="3"/>
  <c r="R20" i="5" s="1"/>
  <c r="R372" i="3"/>
  <c r="R509" i="3"/>
  <c r="R512" i="3" s="1"/>
  <c r="R833" i="3"/>
  <c r="R32" i="5" s="1"/>
  <c r="R370" i="3"/>
  <c r="R636" i="3"/>
  <c r="R21" i="5" s="1"/>
  <c r="R805" i="3"/>
  <c r="R31" i="5" s="1"/>
  <c r="P366" i="3"/>
  <c r="P13" i="5" s="1"/>
  <c r="R364" i="3"/>
  <c r="R12" i="5" s="1"/>
  <c r="R752" i="3"/>
  <c r="R30" i="5" s="1"/>
  <c r="P372" i="3"/>
  <c r="R1082" i="3"/>
  <c r="R52" i="5" s="1"/>
  <c r="R58" i="5" s="1"/>
  <c r="P363" i="3"/>
  <c r="P11" i="5" s="1"/>
  <c r="R366" i="3"/>
  <c r="R13" i="5" s="1"/>
  <c r="R371" i="3"/>
  <c r="J639" i="3"/>
  <c r="P371" i="3"/>
  <c r="P636" i="3"/>
  <c r="P21" i="5" s="1"/>
  <c r="P364" i="3"/>
  <c r="P12" i="5" s="1"/>
  <c r="P370" i="3"/>
  <c r="P794" i="3"/>
  <c r="P789" i="3"/>
  <c r="P635" i="3"/>
  <c r="P20" i="5" s="1"/>
  <c r="P802" i="3"/>
  <c r="P784" i="3"/>
  <c r="Q327" i="3"/>
  <c r="V327" i="3" s="1"/>
  <c r="Q324" i="3"/>
  <c r="V324" i="3" s="1"/>
  <c r="Q207" i="3"/>
  <c r="V207" i="3" s="1"/>
  <c r="Q323" i="3"/>
  <c r="Q783" i="3" s="1"/>
  <c r="Q803" i="3" s="1"/>
  <c r="Q206" i="3"/>
  <c r="V206" i="3" s="1"/>
  <c r="Q331" i="3"/>
  <c r="V331" i="3" s="1"/>
  <c r="Q1078" i="3"/>
  <c r="Q1118" i="3" s="1"/>
  <c r="Q326" i="3"/>
  <c r="V326" i="3" s="1"/>
  <c r="Q205" i="3"/>
  <c r="Q787" i="3" s="1"/>
  <c r="Q793" i="3"/>
  <c r="Q792" i="3"/>
  <c r="Q782" i="3"/>
  <c r="Q202" i="3"/>
  <c r="V202" i="3" s="1"/>
  <c r="Q325" i="3"/>
  <c r="Q365" i="3" s="1"/>
  <c r="V365" i="3" s="1"/>
  <c r="Q330" i="3"/>
  <c r="V330" i="3" s="1"/>
  <c r="Q201" i="3"/>
  <c r="V201" i="3" s="1"/>
  <c r="Q1081" i="3"/>
  <c r="S1081" i="3" s="1"/>
  <c r="Q329" i="3"/>
  <c r="V329" i="3" s="1"/>
  <c r="Q788" i="3"/>
  <c r="P1082" i="3"/>
  <c r="P52" i="5" s="1"/>
  <c r="P58" i="5" s="1"/>
  <c r="P1205" i="3"/>
  <c r="P1235" i="3" s="1"/>
  <c r="G6" i="52"/>
  <c r="G8" i="52" s="1"/>
  <c r="F9" i="3"/>
  <c r="F6" i="5" s="1"/>
  <c r="T21" i="6"/>
  <c r="T203" i="6" s="1"/>
  <c r="T200" i="6"/>
  <c r="M266" i="4"/>
  <c r="M275" i="4" s="1"/>
  <c r="M277" i="4" s="1"/>
  <c r="O16" i="6"/>
  <c r="P266" i="4"/>
  <c r="P275" i="4" s="1"/>
  <c r="P277" i="4" s="1"/>
  <c r="M1046" i="6"/>
  <c r="Q1046" i="6" s="1"/>
  <c r="Q1057" i="6"/>
  <c r="Q1126" i="6"/>
  <c r="W26" i="42"/>
  <c r="W28" i="42" s="1"/>
  <c r="Q1166" i="6"/>
  <c r="Q266" i="4"/>
  <c r="Q275" i="4" s="1"/>
  <c r="Q277" i="4" s="1"/>
  <c r="Q1212" i="6"/>
  <c r="Q1194" i="6"/>
  <c r="M1069" i="6"/>
  <c r="Q1069" i="6" s="1"/>
  <c r="L266" i="4"/>
  <c r="L275" i="4" s="1"/>
  <c r="L277" i="4" s="1"/>
  <c r="H266" i="4"/>
  <c r="H275" i="4" s="1"/>
  <c r="H277" i="4" s="1"/>
  <c r="Q923" i="6"/>
  <c r="Q1112" i="6"/>
  <c r="Q933" i="6"/>
  <c r="D25" i="137"/>
  <c r="Q1080" i="6"/>
  <c r="M1092" i="6"/>
  <c r="S266" i="4"/>
  <c r="S275" i="4" s="1"/>
  <c r="S277" i="4" s="1"/>
  <c r="Q1201" i="6"/>
  <c r="Q1119" i="6"/>
  <c r="Q1074" i="6"/>
  <c r="M1160" i="6"/>
  <c r="K266" i="4"/>
  <c r="K275" i="4" s="1"/>
  <c r="K277" i="4" s="1"/>
  <c r="N266" i="4"/>
  <c r="N275" i="4" s="1"/>
  <c r="N277" i="4" s="1"/>
  <c r="R266" i="4"/>
  <c r="R275" i="4" s="1"/>
  <c r="R277" i="4" s="1"/>
  <c r="Q1187" i="6"/>
  <c r="I266" i="4"/>
  <c r="I275" i="4" s="1"/>
  <c r="I277" i="4" s="1"/>
  <c r="Q1173" i="6"/>
  <c r="J266" i="4"/>
  <c r="J275" i="4" s="1"/>
  <c r="J277" i="4" s="1"/>
  <c r="M1052" i="6"/>
  <c r="Q1052" i="6" s="1"/>
  <c r="Y402" i="6"/>
  <c r="W401" i="6"/>
  <c r="B4" i="1"/>
  <c r="B42" i="1"/>
  <c r="T1126" i="6"/>
  <c r="T1068" i="6"/>
  <c r="N1069" i="6"/>
  <c r="T1194" i="6"/>
  <c r="T1212" i="6"/>
  <c r="N1213" i="6"/>
  <c r="T1187" i="6"/>
  <c r="N1188" i="6"/>
  <c r="F1150" i="6"/>
  <c r="AL198" i="4"/>
  <c r="T265" i="4"/>
  <c r="Y198" i="4"/>
  <c r="T1112" i="6"/>
  <c r="T1173" i="6"/>
  <c r="T1208" i="6"/>
  <c r="N1046" i="6"/>
  <c r="T1045" i="6"/>
  <c r="T923" i="6"/>
  <c r="Q852" i="3"/>
  <c r="S852" i="3" s="1"/>
  <c r="M37" i="14"/>
  <c r="K37" i="14"/>
  <c r="T1166" i="6"/>
  <c r="T1074" i="6"/>
  <c r="N1075" i="6"/>
  <c r="T1201" i="6"/>
  <c r="T1119" i="6"/>
  <c r="T933" i="6"/>
  <c r="N1058" i="6"/>
  <c r="T1057" i="6"/>
  <c r="T1091" i="6"/>
  <c r="N1092" i="6"/>
  <c r="T1080" i="6"/>
  <c r="N1081" i="6"/>
  <c r="T1159" i="6"/>
  <c r="N1160" i="6"/>
  <c r="N1219" i="6"/>
  <c r="T1051" i="6"/>
  <c r="N1052" i="6"/>
  <c r="U868" i="3"/>
  <c r="U880" i="3"/>
  <c r="S901" i="3"/>
  <c r="U901" i="3" s="1"/>
  <c r="S903" i="3"/>
  <c r="U903" i="3" s="1"/>
  <c r="U864" i="3"/>
  <c r="U884" i="3"/>
  <c r="U848" i="3"/>
  <c r="U856" i="3"/>
  <c r="S902" i="3"/>
  <c r="U872" i="3"/>
  <c r="U860" i="3"/>
  <c r="R22" i="5" l="1"/>
  <c r="R16" i="5"/>
  <c r="P22" i="5"/>
  <c r="P16" i="5"/>
  <c r="S1078" i="3"/>
  <c r="F1220" i="3"/>
  <c r="F1224" i="3" s="1"/>
  <c r="F1226" i="3" s="1"/>
  <c r="F1231" i="3" s="1"/>
  <c r="F70" i="5" s="1"/>
  <c r="S876" i="3"/>
  <c r="U876" i="3" s="1"/>
  <c r="G886" i="6" s="1"/>
  <c r="E886" i="6" s="1"/>
  <c r="E885" i="6"/>
  <c r="I885" i="6"/>
  <c r="G884" i="6"/>
  <c r="V874" i="3" s="1"/>
  <c r="N1094" i="6"/>
  <c r="H923" i="3"/>
  <c r="H39" i="5" s="1"/>
  <c r="H40" i="5" s="1"/>
  <c r="H43" i="5" s="1"/>
  <c r="H46" i="5" s="1"/>
  <c r="J1124" i="3"/>
  <c r="J1211" i="3" s="1"/>
  <c r="Q368" i="3"/>
  <c r="Q512" i="3" s="1"/>
  <c r="I1217" i="3"/>
  <c r="AB198" i="4"/>
  <c r="AB265" i="4" s="1"/>
  <c r="AA198" i="4"/>
  <c r="AA265" i="4" s="1"/>
  <c r="AA274" i="4" s="1"/>
  <c r="F39" i="5"/>
  <c r="F40" i="5" s="1"/>
  <c r="F43" i="5" s="1"/>
  <c r="F46" i="5" s="1"/>
  <c r="U902" i="3"/>
  <c r="G915" i="6" s="1"/>
  <c r="V752" i="3"/>
  <c r="V323" i="3"/>
  <c r="J1216" i="3"/>
  <c r="V509" i="3"/>
  <c r="V205" i="3"/>
  <c r="J1236" i="3"/>
  <c r="V325" i="3"/>
  <c r="J1237" i="3"/>
  <c r="P1124" i="3"/>
  <c r="P1211" i="3" s="1"/>
  <c r="Q1121" i="3"/>
  <c r="Q1208" i="3" s="1"/>
  <c r="Q1119" i="3"/>
  <c r="Q1206" i="3" s="1"/>
  <c r="Q1236" i="3" s="1"/>
  <c r="Q1120" i="3"/>
  <c r="Q1207" i="3" s="1"/>
  <c r="Q1237" i="3" s="1"/>
  <c r="R1124" i="3"/>
  <c r="R1211" i="3" s="1"/>
  <c r="T1202" i="6"/>
  <c r="T1195" i="6"/>
  <c r="T1081" i="6"/>
  <c r="T1209" i="6"/>
  <c r="T1052" i="6"/>
  <c r="T1058" i="6"/>
  <c r="T1120" i="6"/>
  <c r="T1075" i="6"/>
  <c r="T1167" i="6"/>
  <c r="T924" i="6"/>
  <c r="T1046" i="6"/>
  <c r="T1174" i="6"/>
  <c r="T1188" i="6"/>
  <c r="T1213" i="6"/>
  <c r="T1069" i="6"/>
  <c r="T1127" i="6"/>
  <c r="R639" i="3"/>
  <c r="R1216" i="3" s="1"/>
  <c r="AL265" i="4"/>
  <c r="AO198" i="4"/>
  <c r="T266" i="4"/>
  <c r="Q370" i="3"/>
  <c r="V370" i="3" s="1"/>
  <c r="Q372" i="3"/>
  <c r="V372" i="3" s="1"/>
  <c r="Q635" i="3"/>
  <c r="Q20" i="5" s="1"/>
  <c r="Q363" i="3"/>
  <c r="Q11" i="5" s="1"/>
  <c r="Q366" i="3"/>
  <c r="Q13" i="5" s="1"/>
  <c r="Q371" i="3"/>
  <c r="V371" i="3" s="1"/>
  <c r="P805" i="3"/>
  <c r="P31" i="5" s="1"/>
  <c r="Q364" i="3"/>
  <c r="Q12" i="5" s="1"/>
  <c r="Q794" i="3"/>
  <c r="Q789" i="3"/>
  <c r="I933" i="3"/>
  <c r="I936" i="3" s="1"/>
  <c r="I939" i="3" s="1"/>
  <c r="I1220" i="3"/>
  <c r="Q1205" i="3"/>
  <c r="Q1235" i="3" s="1"/>
  <c r="Q1082" i="3"/>
  <c r="Q52" i="5" s="1"/>
  <c r="Q58" i="5" s="1"/>
  <c r="Q802" i="3"/>
  <c r="Q784" i="3"/>
  <c r="Q636" i="3"/>
  <c r="Q21" i="5" s="1"/>
  <c r="P639" i="3"/>
  <c r="P1216" i="3" s="1"/>
  <c r="F26" i="137"/>
  <c r="Q843" i="3" s="1"/>
  <c r="Q887" i="3" s="1"/>
  <c r="D27" i="137"/>
  <c r="M21" i="6"/>
  <c r="M203" i="6" s="1"/>
  <c r="M200" i="6"/>
  <c r="Q16" i="6"/>
  <c r="Q1045" i="6"/>
  <c r="F25" i="137"/>
  <c r="M1075" i="6"/>
  <c r="Q1075" i="6" s="1"/>
  <c r="Q1091" i="6"/>
  <c r="AL199" i="4"/>
  <c r="Y199" i="4"/>
  <c r="Y200" i="4" s="1"/>
  <c r="Y270" i="4" s="1"/>
  <c r="Y279" i="4" s="1"/>
  <c r="F1151" i="6"/>
  <c r="F1218" i="6" s="1"/>
  <c r="F1227" i="6" s="1"/>
  <c r="F1259" i="6" s="1"/>
  <c r="Q1208" i="6"/>
  <c r="M1213" i="6"/>
  <c r="M1058" i="6"/>
  <c r="Q1058" i="6" s="1"/>
  <c r="M1188" i="6"/>
  <c r="Q1068" i="6"/>
  <c r="Q1051" i="6"/>
  <c r="M1219" i="6"/>
  <c r="M1081" i="6"/>
  <c r="Q1081" i="6" s="1"/>
  <c r="V199" i="4"/>
  <c r="Q1159" i="6"/>
  <c r="Q1160" i="6" s="1"/>
  <c r="Y403" i="6"/>
  <c r="Y404" i="6" s="1"/>
  <c r="Y405" i="6" s="1"/>
  <c r="W402" i="6"/>
  <c r="AC402" i="6" s="1"/>
  <c r="AE402" i="6" s="1"/>
  <c r="G866" i="6"/>
  <c r="E866" i="6" s="1"/>
  <c r="G896" i="6"/>
  <c r="V884" i="3" s="1"/>
  <c r="V868" i="3"/>
  <c r="G876" i="6"/>
  <c r="G861" i="6"/>
  <c r="E861" i="6" s="1"/>
  <c r="G871" i="6"/>
  <c r="E871" i="6" s="1"/>
  <c r="G916" i="6"/>
  <c r="V903" i="3" s="1"/>
  <c r="G914" i="6"/>
  <c r="I914" i="6" s="1"/>
  <c r="N914" i="6" s="1"/>
  <c r="S900" i="3"/>
  <c r="U900" i="3" s="1"/>
  <c r="Q1213" i="6"/>
  <c r="T1160" i="6"/>
  <c r="T1219" i="6"/>
  <c r="L37" i="14"/>
  <c r="Q1188" i="6"/>
  <c r="Y265" i="4"/>
  <c r="Y274" i="4" s="1"/>
  <c r="T274" i="4"/>
  <c r="F1217" i="6"/>
  <c r="A5" i="15"/>
  <c r="A4" i="20"/>
  <c r="A5" i="50"/>
  <c r="B3" i="12"/>
  <c r="J4" i="20"/>
  <c r="V872" i="3"/>
  <c r="G881" i="6"/>
  <c r="E881" i="6" s="1"/>
  <c r="G851" i="6"/>
  <c r="E851" i="6" s="1"/>
  <c r="G891" i="6"/>
  <c r="E891" i="6" s="1"/>
  <c r="T1092" i="6"/>
  <c r="K38" i="14"/>
  <c r="L38" i="14" s="1"/>
  <c r="M38" i="14"/>
  <c r="Q1092" i="6"/>
  <c r="AC205" i="4"/>
  <c r="V265" i="4"/>
  <c r="Z198" i="4"/>
  <c r="D5" i="49"/>
  <c r="G22" i="49"/>
  <c r="G37" i="49"/>
  <c r="N36" i="52" s="1"/>
  <c r="Q22" i="5" l="1"/>
  <c r="Q16" i="5"/>
  <c r="S1235" i="3"/>
  <c r="U1235" i="3" s="1"/>
  <c r="V1235" i="3" s="1"/>
  <c r="I884" i="6"/>
  <c r="E884" i="6"/>
  <c r="N885" i="6"/>
  <c r="T885" i="6" s="1"/>
  <c r="M885" i="6"/>
  <c r="Q885" i="6" s="1"/>
  <c r="J885" i="6"/>
  <c r="G63" i="49"/>
  <c r="N60" i="52" s="1"/>
  <c r="G49" i="49"/>
  <c r="N46" i="52" s="1"/>
  <c r="G31" i="49"/>
  <c r="E8" i="49" s="1"/>
  <c r="G60" i="49"/>
  <c r="N57" i="52" s="1"/>
  <c r="G45" i="49"/>
  <c r="G30" i="49"/>
  <c r="E7" i="49" s="1"/>
  <c r="G42" i="49"/>
  <c r="N39" i="52" s="1"/>
  <c r="G53" i="49"/>
  <c r="N50" i="52" s="1"/>
  <c r="G51" i="49"/>
  <c r="N48" i="52" s="1"/>
  <c r="G50" i="49"/>
  <c r="N47" i="52" s="1"/>
  <c r="G59" i="49"/>
  <c r="N56" i="52" s="1"/>
  <c r="G44" i="49"/>
  <c r="N41" i="52" s="1"/>
  <c r="G27" i="49"/>
  <c r="G58" i="49"/>
  <c r="N55" i="52" s="1"/>
  <c r="G43" i="49"/>
  <c r="N40" i="52" s="1"/>
  <c r="G26" i="49"/>
  <c r="D9" i="49" s="1"/>
  <c r="G57" i="49"/>
  <c r="N54" i="52" s="1"/>
  <c r="G25" i="49"/>
  <c r="D8" i="49" s="1"/>
  <c r="G41" i="49"/>
  <c r="G24" i="49"/>
  <c r="D7" i="49" s="1"/>
  <c r="G40" i="49"/>
  <c r="G32" i="49"/>
  <c r="M12" i="52" s="1"/>
  <c r="Q1094" i="6"/>
  <c r="Q1101" i="6" s="1"/>
  <c r="Q1141" i="6" s="1"/>
  <c r="T1094" i="6"/>
  <c r="T1101" i="6" s="1"/>
  <c r="T1141" i="6" s="1"/>
  <c r="M1094" i="6"/>
  <c r="M1101" i="6" s="1"/>
  <c r="M1141" i="6" s="1"/>
  <c r="F1238" i="3"/>
  <c r="H1220" i="3"/>
  <c r="H1224" i="3" s="1"/>
  <c r="H933" i="3"/>
  <c r="H936" i="3" s="1"/>
  <c r="V364" i="3"/>
  <c r="I1224" i="3"/>
  <c r="I1226" i="3" s="1"/>
  <c r="I1231" i="3" s="1"/>
  <c r="I70" i="5" s="1"/>
  <c r="I71" i="5" s="1"/>
  <c r="I74" i="5" s="1"/>
  <c r="V266" i="4"/>
  <c r="V275" i="4" s="1"/>
  <c r="AA199" i="4"/>
  <c r="AA266" i="4" s="1"/>
  <c r="AA275" i="4" s="1"/>
  <c r="Y266" i="4"/>
  <c r="Y275" i="4" s="1"/>
  <c r="U904" i="3"/>
  <c r="E915" i="6"/>
  <c r="I915" i="6"/>
  <c r="N915" i="6" s="1"/>
  <c r="V902" i="3"/>
  <c r="U1219" i="3"/>
  <c r="V1219" i="3" s="1"/>
  <c r="U1075" i="3"/>
  <c r="V1075" i="3" s="1"/>
  <c r="S1120" i="3"/>
  <c r="U1080" i="3"/>
  <c r="U1120" i="3" s="1"/>
  <c r="V1120" i="3" s="1"/>
  <c r="S1118" i="3"/>
  <c r="S1205" i="3" s="1"/>
  <c r="U1078" i="3"/>
  <c r="U1118" i="3" s="1"/>
  <c r="V1118" i="3" s="1"/>
  <c r="S1119" i="3"/>
  <c r="U1079" i="3"/>
  <c r="U1119" i="3" s="1"/>
  <c r="V1119" i="3" s="1"/>
  <c r="V363" i="3"/>
  <c r="V636" i="3"/>
  <c r="V635" i="3"/>
  <c r="V366" i="3"/>
  <c r="Q1124" i="3"/>
  <c r="Q1211" i="3" s="1"/>
  <c r="AB274" i="4"/>
  <c r="AC272" i="4"/>
  <c r="AC273" i="4"/>
  <c r="AM273" i="4" s="1"/>
  <c r="AN273" i="4" s="1"/>
  <c r="V901" i="3"/>
  <c r="T275" i="4"/>
  <c r="T277" i="4" s="1"/>
  <c r="N1101" i="6"/>
  <c r="N1141" i="6" s="1"/>
  <c r="AL266" i="4"/>
  <c r="AO199" i="4"/>
  <c r="AL274" i="4"/>
  <c r="AO274" i="4" s="1"/>
  <c r="AO265" i="4"/>
  <c r="Q805" i="3"/>
  <c r="Q31" i="5" s="1"/>
  <c r="Q639" i="3"/>
  <c r="Q1216" i="3" s="1"/>
  <c r="S1216" i="3" s="1"/>
  <c r="Q842" i="3"/>
  <c r="Q886" i="3" s="1"/>
  <c r="Q889" i="3" s="1"/>
  <c r="Q33" i="5" s="1"/>
  <c r="F27" i="137"/>
  <c r="Z199" i="4"/>
  <c r="Z200" i="4" s="1"/>
  <c r="F1152" i="6"/>
  <c r="Q21" i="6"/>
  <c r="Q200" i="6"/>
  <c r="W200" i="6" s="1"/>
  <c r="AC200" i="6" s="1"/>
  <c r="AE200" i="6" s="1"/>
  <c r="W16" i="6"/>
  <c r="AC16" i="6" s="1"/>
  <c r="AE16" i="6" s="1"/>
  <c r="Q1219" i="6"/>
  <c r="AL200" i="4"/>
  <c r="AB199" i="4"/>
  <c r="Y406" i="6"/>
  <c r="W405" i="6"/>
  <c r="AC405" i="6" s="1"/>
  <c r="AE405" i="6" s="1"/>
  <c r="V864" i="3"/>
  <c r="V880" i="3"/>
  <c r="V274" i="4"/>
  <c r="Z265" i="4"/>
  <c r="U1081" i="3"/>
  <c r="S904" i="3"/>
  <c r="S964" i="3"/>
  <c r="V869" i="3"/>
  <c r="E876" i="6"/>
  <c r="AC198" i="4"/>
  <c r="M39" i="14"/>
  <c r="K39" i="14"/>
  <c r="L39" i="14" s="1"/>
  <c r="V848" i="3"/>
  <c r="F1222" i="6"/>
  <c r="F1231" i="6" s="1"/>
  <c r="F1263" i="6" s="1"/>
  <c r="F1226" i="6"/>
  <c r="F1258" i="6" s="1"/>
  <c r="S913" i="3"/>
  <c r="U913" i="3" s="1"/>
  <c r="V876" i="3"/>
  <c r="E914" i="6"/>
  <c r="E916" i="6"/>
  <c r="I916" i="6"/>
  <c r="V856" i="3"/>
  <c r="E896" i="6"/>
  <c r="V860" i="3"/>
  <c r="Q34" i="5" l="1"/>
  <c r="M884" i="6"/>
  <c r="I886" i="6"/>
  <c r="J886" i="6" s="1"/>
  <c r="J884" i="6"/>
  <c r="N884" i="6"/>
  <c r="I1241" i="3"/>
  <c r="I1238" i="3"/>
  <c r="Z266" i="4"/>
  <c r="Z275" i="4" s="1"/>
  <c r="J915" i="6"/>
  <c r="AC206" i="4"/>
  <c r="AB266" i="4"/>
  <c r="AB275" i="4" s="1"/>
  <c r="M915" i="6"/>
  <c r="Q915" i="6" s="1"/>
  <c r="U1121" i="3"/>
  <c r="V1121" i="3" s="1"/>
  <c r="U964" i="3"/>
  <c r="V964" i="3" s="1"/>
  <c r="U1205" i="3"/>
  <c r="U1082" i="3"/>
  <c r="U1124" i="3" s="1"/>
  <c r="H1226" i="3"/>
  <c r="H939" i="3"/>
  <c r="V639" i="3"/>
  <c r="S1082" i="3"/>
  <c r="S1124" i="3" s="1"/>
  <c r="S1121" i="3"/>
  <c r="S1208" i="3" s="1"/>
  <c r="T1228" i="6"/>
  <c r="T1102" i="6"/>
  <c r="T915" i="6"/>
  <c r="V277" i="4"/>
  <c r="AL270" i="4"/>
  <c r="AO270" i="4" s="1"/>
  <c r="AO200" i="4"/>
  <c r="AO266" i="4"/>
  <c r="AL275" i="4"/>
  <c r="AO275" i="4" s="1"/>
  <c r="AC199" i="4"/>
  <c r="AD199" i="4" s="1"/>
  <c r="Q844" i="3"/>
  <c r="Q892" i="3"/>
  <c r="Q923" i="3" s="1"/>
  <c r="Q39" i="5" s="1"/>
  <c r="Q40" i="5" s="1"/>
  <c r="Q43" i="5" s="1"/>
  <c r="Q46" i="5" s="1"/>
  <c r="F59" i="2"/>
  <c r="F70" i="2" s="1"/>
  <c r="M914" i="6"/>
  <c r="Q914" i="6" s="1"/>
  <c r="M916" i="6"/>
  <c r="Q916" i="6" s="1"/>
  <c r="N916" i="6"/>
  <c r="W21" i="6"/>
  <c r="AC21" i="6" s="1"/>
  <c r="AE21" i="6" s="1"/>
  <c r="Q203" i="6"/>
  <c r="W203" i="6" s="1"/>
  <c r="AC203" i="6" s="1"/>
  <c r="AE203" i="6" s="1"/>
  <c r="M1228" i="6"/>
  <c r="G8" i="49"/>
  <c r="Y407" i="6"/>
  <c r="W406" i="6"/>
  <c r="AC406" i="6" s="1"/>
  <c r="AE406" i="6" s="1"/>
  <c r="J914" i="6"/>
  <c r="T37" i="5"/>
  <c r="K40" i="14"/>
  <c r="L40" i="14" s="1"/>
  <c r="M40" i="14"/>
  <c r="AC200" i="4"/>
  <c r="Z270" i="4"/>
  <c r="G913" i="6"/>
  <c r="AC265" i="4"/>
  <c r="AM265" i="4" s="1"/>
  <c r="AN265" i="4" s="1"/>
  <c r="Z274" i="4"/>
  <c r="AC274" i="4" s="1"/>
  <c r="G9" i="49"/>
  <c r="L12" i="52"/>
  <c r="N12" i="52" s="1"/>
  <c r="N23" i="52" s="1"/>
  <c r="N27" i="52" s="1"/>
  <c r="M11" i="52"/>
  <c r="J916" i="6"/>
  <c r="V1080" i="3"/>
  <c r="AM198" i="4"/>
  <c r="AN198" i="4" s="1"/>
  <c r="AD198" i="4"/>
  <c r="V1078" i="3"/>
  <c r="V1079" i="3"/>
  <c r="L11" i="52"/>
  <c r="N42" i="52"/>
  <c r="N38" i="52"/>
  <c r="T884" i="6" l="1"/>
  <c r="T886" i="6" s="1"/>
  <c r="N886" i="6"/>
  <c r="Q884" i="6"/>
  <c r="Q886" i="6" s="1"/>
  <c r="M886" i="6"/>
  <c r="AC266" i="4"/>
  <c r="AM266" i="4" s="1"/>
  <c r="AN266" i="4" s="1"/>
  <c r="AL279" i="4"/>
  <c r="AO279" i="4" s="1"/>
  <c r="AC275" i="4"/>
  <c r="AM275" i="4" s="1"/>
  <c r="AN275" i="4" s="1"/>
  <c r="T52" i="5"/>
  <c r="T58" i="5" s="1"/>
  <c r="U1208" i="3"/>
  <c r="U1216" i="3"/>
  <c r="V1216" i="3" s="1"/>
  <c r="H1231" i="3"/>
  <c r="H70" i="5" s="1"/>
  <c r="H71" i="5" s="1"/>
  <c r="H74" i="5" s="1"/>
  <c r="N1228" i="6"/>
  <c r="T916" i="6"/>
  <c r="T914" i="6"/>
  <c r="AM274" i="4"/>
  <c r="AN274" i="4" s="1"/>
  <c r="AD266" i="4"/>
  <c r="AD275" i="4" s="1"/>
  <c r="Q1217" i="3"/>
  <c r="F1131" i="3"/>
  <c r="AM199" i="4"/>
  <c r="AN199" i="4" s="1"/>
  <c r="Q933" i="3"/>
  <c r="Q936" i="3" s="1"/>
  <c r="Q939" i="3" s="1"/>
  <c r="Q1220" i="3"/>
  <c r="Y408" i="6"/>
  <c r="Y409" i="6" s="1"/>
  <c r="Y410" i="6" s="1"/>
  <c r="W407" i="6"/>
  <c r="AC407" i="6" s="1"/>
  <c r="AE407" i="6" s="1"/>
  <c r="L13" i="52"/>
  <c r="C14" i="12"/>
  <c r="D12" i="49"/>
  <c r="D14" i="12"/>
  <c r="E14" i="12"/>
  <c r="D10" i="49"/>
  <c r="V1205" i="3"/>
  <c r="F1130" i="3"/>
  <c r="S1130" i="3" s="1"/>
  <c r="AD265" i="4"/>
  <c r="N11" i="52"/>
  <c r="V1081" i="3"/>
  <c r="I913" i="6"/>
  <c r="G917" i="6"/>
  <c r="V904" i="3" s="1"/>
  <c r="E913" i="6"/>
  <c r="AC270" i="4"/>
  <c r="AM270" i="4" s="1"/>
  <c r="Z279" i="4"/>
  <c r="AC279" i="4" s="1"/>
  <c r="AM279" i="4" s="1"/>
  <c r="M41" i="14"/>
  <c r="K41" i="14"/>
  <c r="L41" i="14" s="1"/>
  <c r="F73" i="2"/>
  <c r="V1082" i="3"/>
  <c r="C15" i="12"/>
  <c r="D15" i="12"/>
  <c r="E15" i="12"/>
  <c r="G7" i="49"/>
  <c r="Q1228" i="6"/>
  <c r="V900" i="3"/>
  <c r="AD200" i="4"/>
  <c r="AM200" i="4"/>
  <c r="AN200" i="4" s="1"/>
  <c r="S1131" i="3" l="1"/>
  <c r="U1131" i="3" s="1"/>
  <c r="U1198" i="3" s="1"/>
  <c r="U1207" i="3" s="1"/>
  <c r="H1238" i="3"/>
  <c r="H1241" i="3"/>
  <c r="T917" i="6"/>
  <c r="T926" i="6" s="1"/>
  <c r="Q1224" i="3"/>
  <c r="Q1226" i="3" s="1"/>
  <c r="Q1231" i="3" s="1"/>
  <c r="Q70" i="5" s="1"/>
  <c r="Q71" i="5" s="1"/>
  <c r="Q74" i="5" s="1"/>
  <c r="F1198" i="3"/>
  <c r="F1207" i="3" s="1"/>
  <c r="F1237" i="3" s="1"/>
  <c r="M913" i="6"/>
  <c r="N913" i="6"/>
  <c r="AD270" i="4"/>
  <c r="AD274" i="4"/>
  <c r="Y411" i="6"/>
  <c r="W410" i="6"/>
  <c r="F14" i="12"/>
  <c r="F15" i="12"/>
  <c r="V1124" i="3"/>
  <c r="K42" i="14"/>
  <c r="M42" i="14"/>
  <c r="E917" i="6"/>
  <c r="G926" i="6"/>
  <c r="N13" i="52"/>
  <c r="N29" i="52"/>
  <c r="N31" i="52" s="1"/>
  <c r="G12" i="49"/>
  <c r="G10" i="49"/>
  <c r="F76" i="2"/>
  <c r="J913" i="6"/>
  <c r="I917" i="6"/>
  <c r="V1208" i="3"/>
  <c r="U1130" i="3"/>
  <c r="F1132" i="3"/>
  <c r="F1197" i="3"/>
  <c r="F1206" i="3" s="1"/>
  <c r="F1236" i="3" s="1"/>
  <c r="S1198" i="3" l="1"/>
  <c r="S1207" i="3" s="1"/>
  <c r="S1236" i="3"/>
  <c r="U1236" i="3" s="1"/>
  <c r="S1237" i="3"/>
  <c r="U1237" i="3" s="1"/>
  <c r="U1132" i="3"/>
  <c r="U1202" i="3" s="1"/>
  <c r="U1211" i="3" s="1"/>
  <c r="U1197" i="3"/>
  <c r="U1206" i="3" s="1"/>
  <c r="Q1238" i="3"/>
  <c r="Q1241" i="3"/>
  <c r="AN270" i="4"/>
  <c r="AD279" i="4"/>
  <c r="AN279" i="4" s="1"/>
  <c r="Y412" i="6"/>
  <c r="W411" i="6"/>
  <c r="S1197" i="3"/>
  <c r="S1206" i="3" s="1"/>
  <c r="S1132" i="3"/>
  <c r="C20" i="12"/>
  <c r="C56" i="12" s="1"/>
  <c r="J917" i="6"/>
  <c r="I926" i="6"/>
  <c r="F78" i="2"/>
  <c r="N76" i="2"/>
  <c r="D46" i="12"/>
  <c r="C46" i="12"/>
  <c r="C62" i="12" s="1"/>
  <c r="E46" i="12"/>
  <c r="E62" i="12" s="1"/>
  <c r="L42" i="14"/>
  <c r="F61" i="5"/>
  <c r="F71" i="5" s="1"/>
  <c r="F1202" i="3"/>
  <c r="F1211" i="3" s="1"/>
  <c r="F1241" i="3" s="1"/>
  <c r="L76" i="2"/>
  <c r="G1151" i="6"/>
  <c r="E926" i="6"/>
  <c r="G35" i="2"/>
  <c r="V913" i="3"/>
  <c r="M43" i="14"/>
  <c r="K43" i="14"/>
  <c r="L43" i="14" s="1"/>
  <c r="Y413" i="6" l="1"/>
  <c r="Y414" i="6" s="1"/>
  <c r="Y415" i="6" s="1"/>
  <c r="W412" i="6"/>
  <c r="N35" i="2"/>
  <c r="V1131" i="3"/>
  <c r="E1151" i="6"/>
  <c r="I1151" i="6"/>
  <c r="M1151" i="6" s="1"/>
  <c r="G1218" i="6"/>
  <c r="V1198" i="3" s="1"/>
  <c r="G1150" i="6"/>
  <c r="V1130" i="3" s="1"/>
  <c r="K44" i="14"/>
  <c r="L44" i="14" s="1"/>
  <c r="M44" i="14"/>
  <c r="D62" i="12"/>
  <c r="F62" i="12" s="1"/>
  <c r="F46" i="12"/>
  <c r="N78" i="2"/>
  <c r="I35" i="2"/>
  <c r="J926" i="6"/>
  <c r="S1202" i="3"/>
  <c r="S1211" i="3" s="1"/>
  <c r="T61" i="5"/>
  <c r="N1151" i="6" l="1"/>
  <c r="Y416" i="6"/>
  <c r="W415" i="6"/>
  <c r="AC415" i="6" s="1"/>
  <c r="AE415" i="6" s="1"/>
  <c r="F74" i="5"/>
  <c r="J1151" i="6"/>
  <c r="I1218" i="6"/>
  <c r="D25" i="50" s="1"/>
  <c r="E35" i="2"/>
  <c r="M45" i="14"/>
  <c r="K45" i="14"/>
  <c r="L45" i="14" s="1"/>
  <c r="G1217" i="6"/>
  <c r="V1197" i="3" s="1"/>
  <c r="G1152" i="6"/>
  <c r="E1150" i="6"/>
  <c r="I1150" i="6"/>
  <c r="G1227" i="6"/>
  <c r="E1218" i="6"/>
  <c r="M35" i="2"/>
  <c r="M1150" i="6" l="1"/>
  <c r="N1150" i="6"/>
  <c r="Y417" i="6"/>
  <c r="W416" i="6"/>
  <c r="AC416" i="6" s="1"/>
  <c r="AE416" i="6" s="1"/>
  <c r="E1217" i="6"/>
  <c r="G1226" i="6"/>
  <c r="V1206" i="3" s="1"/>
  <c r="G1222" i="6"/>
  <c r="K46" i="14"/>
  <c r="L46" i="14" s="1"/>
  <c r="M46" i="14"/>
  <c r="M1218" i="6"/>
  <c r="M1227" i="6" s="1"/>
  <c r="M1259" i="6" s="1"/>
  <c r="Q1151" i="6"/>
  <c r="N1218" i="6"/>
  <c r="T1151" i="6"/>
  <c r="T1218" i="6" s="1"/>
  <c r="T1227" i="6" s="1"/>
  <c r="T1259" i="6" s="1"/>
  <c r="G1259" i="6"/>
  <c r="E1227" i="6"/>
  <c r="J1150" i="6"/>
  <c r="I1217" i="6"/>
  <c r="E25" i="50" s="1"/>
  <c r="I1152" i="6"/>
  <c r="V1132" i="3"/>
  <c r="E1152" i="6"/>
  <c r="G59" i="2"/>
  <c r="I1227" i="6"/>
  <c r="J1218" i="6"/>
  <c r="V1207" i="3"/>
  <c r="N1227" i="6" l="1"/>
  <c r="Y418" i="6"/>
  <c r="Y419" i="6" s="1"/>
  <c r="Y420" i="6" s="1"/>
  <c r="W417" i="6"/>
  <c r="AC417" i="6" s="1"/>
  <c r="AE417" i="6" s="1"/>
  <c r="J1227" i="6"/>
  <c r="I1259" i="6"/>
  <c r="J1259" i="6" s="1"/>
  <c r="E32" i="50"/>
  <c r="I1222" i="6"/>
  <c r="J1217" i="6"/>
  <c r="I1226" i="6"/>
  <c r="N1152" i="6"/>
  <c r="T1150" i="6"/>
  <c r="N1217" i="6"/>
  <c r="V1237" i="3"/>
  <c r="E1259" i="6"/>
  <c r="G1258" i="6"/>
  <c r="E1226" i="6"/>
  <c r="D32" i="50"/>
  <c r="N59" i="2"/>
  <c r="J1152" i="6"/>
  <c r="I59" i="2"/>
  <c r="Q1150" i="6"/>
  <c r="M1152" i="6"/>
  <c r="M1217" i="6"/>
  <c r="Q1218" i="6"/>
  <c r="M47" i="14"/>
  <c r="K47" i="14"/>
  <c r="E1222" i="6"/>
  <c r="G1231" i="6"/>
  <c r="V1202" i="3"/>
  <c r="N1259" i="6" l="1"/>
  <c r="Y421" i="6"/>
  <c r="W420" i="6"/>
  <c r="F25" i="50"/>
  <c r="E59" i="2"/>
  <c r="E1231" i="6"/>
  <c r="V1211" i="3"/>
  <c r="L47" i="14"/>
  <c r="F32" i="50"/>
  <c r="D35" i="50" s="1"/>
  <c r="M3" i="6" s="1"/>
  <c r="V1236" i="3"/>
  <c r="E1258" i="6"/>
  <c r="N1226" i="6"/>
  <c r="K48" i="14"/>
  <c r="L48" i="14" s="1"/>
  <c r="M48" i="14"/>
  <c r="Q1227" i="6"/>
  <c r="M1226" i="6"/>
  <c r="M1258" i="6" s="1"/>
  <c r="Q1152" i="6"/>
  <c r="Q1217" i="6"/>
  <c r="M59" i="2"/>
  <c r="T1152" i="6"/>
  <c r="T1217" i="6"/>
  <c r="I1258" i="6"/>
  <c r="J1258" i="6" s="1"/>
  <c r="J1226" i="6"/>
  <c r="I1231" i="6"/>
  <c r="J1222" i="6"/>
  <c r="N1258" i="6" l="1"/>
  <c r="Y422" i="6"/>
  <c r="W421" i="6"/>
  <c r="E35" i="50"/>
  <c r="N3" i="6" s="1"/>
  <c r="C23" i="12"/>
  <c r="J1231" i="6"/>
  <c r="T1226" i="6"/>
  <c r="T1258" i="6" s="1"/>
  <c r="Q1226" i="6"/>
  <c r="Q1259" i="6"/>
  <c r="M49" i="14"/>
  <c r="K49" i="14"/>
  <c r="L49" i="14" s="1"/>
  <c r="Q974" i="6" l="1"/>
  <c r="Q648" i="6"/>
  <c r="Q976" i="6"/>
  <c r="Q977" i="6"/>
  <c r="Q973" i="6"/>
  <c r="Q978" i="6"/>
  <c r="Q975" i="6"/>
  <c r="U975" i="6"/>
  <c r="T648" i="6"/>
  <c r="U977" i="6"/>
  <c r="U973" i="6"/>
  <c r="U978" i="6"/>
  <c r="U976" i="6"/>
  <c r="U974" i="6"/>
  <c r="Y423" i="6"/>
  <c r="Y424" i="6" s="1"/>
  <c r="Y425" i="6" s="1"/>
  <c r="W422" i="6"/>
  <c r="F35" i="50"/>
  <c r="Q1258" i="6"/>
  <c r="K50" i="14"/>
  <c r="L50" i="14" s="1"/>
  <c r="M50" i="14"/>
  <c r="N917" i="6" l="1"/>
  <c r="U913" i="6"/>
  <c r="U1170" i="6"/>
  <c r="N1174" i="6"/>
  <c r="U1205" i="6"/>
  <c r="N1209" i="6"/>
  <c r="N348" i="6"/>
  <c r="T343" i="6"/>
  <c r="U1116" i="6"/>
  <c r="N1120" i="6"/>
  <c r="T930" i="6"/>
  <c r="N934" i="6"/>
  <c r="U972" i="6"/>
  <c r="N980" i="6"/>
  <c r="Q972" i="6"/>
  <c r="Q980" i="6" s="1"/>
  <c r="Q1098" i="6" s="1"/>
  <c r="M980" i="6"/>
  <c r="M1098" i="6" s="1"/>
  <c r="M1138" i="6" s="1"/>
  <c r="Q1170" i="6"/>
  <c r="Q1174" i="6" s="1"/>
  <c r="M1174" i="6"/>
  <c r="Q920" i="6"/>
  <c r="Q924" i="6" s="1"/>
  <c r="D21" i="12" s="1"/>
  <c r="D57" i="12" s="1"/>
  <c r="M924" i="6"/>
  <c r="Q1116" i="6"/>
  <c r="Q1120" i="6" s="1"/>
  <c r="Q1121" i="6" s="1"/>
  <c r="M1120" i="6"/>
  <c r="Q1163" i="6"/>
  <c r="Q1167" i="6" s="1"/>
  <c r="M1167" i="6"/>
  <c r="Q334" i="6"/>
  <c r="M353" i="6"/>
  <c r="M363" i="6" s="1"/>
  <c r="M339" i="6"/>
  <c r="Q930" i="6"/>
  <c r="Q934" i="6" s="1"/>
  <c r="D22" i="12" s="1"/>
  <c r="D58" i="12" s="1"/>
  <c r="M934" i="6"/>
  <c r="M1239" i="6" s="1"/>
  <c r="N1239" i="6" s="1"/>
  <c r="Q1109" i="6"/>
  <c r="Q1113" i="6" s="1"/>
  <c r="M1113" i="6"/>
  <c r="U1198" i="6"/>
  <c r="N1202" i="6"/>
  <c r="U1163" i="6"/>
  <c r="N1167" i="6"/>
  <c r="T647" i="6"/>
  <c r="N650" i="6"/>
  <c r="N353" i="6"/>
  <c r="T334" i="6"/>
  <c r="N339" i="6"/>
  <c r="T1109" i="6"/>
  <c r="N1113" i="6"/>
  <c r="U1123" i="6"/>
  <c r="N1127" i="6"/>
  <c r="U920" i="6"/>
  <c r="N924" i="6"/>
  <c r="N1156" i="6"/>
  <c r="T1155" i="6"/>
  <c r="N1216" i="6"/>
  <c r="U1191" i="6"/>
  <c r="N1195" i="6"/>
  <c r="M917" i="6"/>
  <c r="Q913" i="6"/>
  <c r="Q917" i="6" s="1"/>
  <c r="M348" i="6"/>
  <c r="Q343" i="6"/>
  <c r="Q1198" i="6"/>
  <c r="Q1202" i="6" s="1"/>
  <c r="M1202" i="6"/>
  <c r="Q1205" i="6"/>
  <c r="Q1209" i="6" s="1"/>
  <c r="M1209" i="6"/>
  <c r="Q1191" i="6"/>
  <c r="Q1195" i="6" s="1"/>
  <c r="M1195" i="6"/>
  <c r="M1216" i="6"/>
  <c r="M1222" i="6" s="1"/>
  <c r="Q1155" i="6"/>
  <c r="M1156" i="6"/>
  <c r="Q1123" i="6"/>
  <c r="Q1127" i="6" s="1"/>
  <c r="M1127" i="6"/>
  <c r="M650" i="6"/>
  <c r="Q647" i="6"/>
  <c r="Q650" i="6" s="1"/>
  <c r="Y426" i="6"/>
  <c r="W425" i="6"/>
  <c r="M51" i="14"/>
  <c r="K51" i="14"/>
  <c r="L51" i="14" s="1"/>
  <c r="M926" i="6" l="1"/>
  <c r="T1138" i="6"/>
  <c r="Q1138" i="6"/>
  <c r="Q37" i="20"/>
  <c r="Q44" i="20" s="1"/>
  <c r="N363" i="6"/>
  <c r="T650" i="6"/>
  <c r="U1167" i="6"/>
  <c r="U1202" i="6"/>
  <c r="N1098" i="6"/>
  <c r="T348" i="6"/>
  <c r="U917" i="6"/>
  <c r="N1222" i="6"/>
  <c r="U924" i="6"/>
  <c r="U1127" i="6"/>
  <c r="U980" i="6"/>
  <c r="U1098" i="6" s="1"/>
  <c r="T934" i="6"/>
  <c r="U1120" i="6"/>
  <c r="U1209" i="6"/>
  <c r="U1174" i="6"/>
  <c r="N355" i="6"/>
  <c r="U1195" i="6"/>
  <c r="U1216" i="6"/>
  <c r="U1222" i="6" s="1"/>
  <c r="T1216" i="6"/>
  <c r="T1156" i="6"/>
  <c r="M1225" i="6"/>
  <c r="M1257" i="6" s="1"/>
  <c r="M1102" i="6"/>
  <c r="Q1216" i="6"/>
  <c r="Q1222" i="6" s="1"/>
  <c r="Q1156" i="6"/>
  <c r="W343" i="6"/>
  <c r="Q348" i="6"/>
  <c r="D20" i="12"/>
  <c r="D56" i="12" s="1"/>
  <c r="Q926" i="6"/>
  <c r="T1113" i="6"/>
  <c r="T1144" i="6" s="1"/>
  <c r="T353" i="6"/>
  <c r="T363" i="6" s="1"/>
  <c r="T339" i="6"/>
  <c r="M355" i="6"/>
  <c r="M368" i="6" s="1"/>
  <c r="M512" i="6" s="1"/>
  <c r="D17" i="12" s="1"/>
  <c r="Q339" i="6"/>
  <c r="W334" i="6"/>
  <c r="Q353" i="6"/>
  <c r="Q1102" i="6"/>
  <c r="Q1144" i="6" s="1"/>
  <c r="N926" i="6"/>
  <c r="Y427" i="6"/>
  <c r="W426" i="6"/>
  <c r="K52" i="14"/>
  <c r="M52" i="14"/>
  <c r="M1144" i="6" l="1"/>
  <c r="M1231" i="6" s="1"/>
  <c r="N1102" i="6"/>
  <c r="N1144" i="6" s="1"/>
  <c r="N1138" i="6"/>
  <c r="N1225" i="6" s="1"/>
  <c r="U1102" i="6"/>
  <c r="U1144" i="6" s="1"/>
  <c r="U1231" i="6" s="1"/>
  <c r="U1263" i="6" s="1"/>
  <c r="U1138" i="6"/>
  <c r="U1225" i="6" s="1"/>
  <c r="U1257" i="6" s="1"/>
  <c r="M12" i="20"/>
  <c r="O12" i="20" s="1"/>
  <c r="T355" i="6"/>
  <c r="T368" i="6" s="1"/>
  <c r="T512" i="6" s="1"/>
  <c r="W348" i="6"/>
  <c r="U926" i="6"/>
  <c r="N368" i="6"/>
  <c r="N512" i="6" s="1"/>
  <c r="Q38" i="20"/>
  <c r="Q45" i="20" s="1"/>
  <c r="Q46" i="20" s="1"/>
  <c r="Q1231" i="6"/>
  <c r="D23" i="12" s="1"/>
  <c r="Q1225" i="6"/>
  <c r="Q1257" i="6" s="1"/>
  <c r="W353" i="6"/>
  <c r="Q363" i="6"/>
  <c r="W363" i="6" s="1"/>
  <c r="AC363" i="6" s="1"/>
  <c r="AE363" i="6" s="1"/>
  <c r="Q355" i="6"/>
  <c r="W339" i="6"/>
  <c r="T1225" i="6"/>
  <c r="T1257" i="6" s="1"/>
  <c r="T1222" i="6"/>
  <c r="T1231" i="6" s="1"/>
  <c r="D53" i="12"/>
  <c r="Y428" i="6"/>
  <c r="Y429" i="6" s="1"/>
  <c r="Y430" i="6" s="1"/>
  <c r="W427" i="6"/>
  <c r="L52" i="14"/>
  <c r="M53" i="14"/>
  <c r="K53" i="14"/>
  <c r="L53" i="14" s="1"/>
  <c r="D12" i="20" l="1"/>
  <c r="F12" i="20" s="1"/>
  <c r="L782" i="3" s="1"/>
  <c r="S782" i="3" s="1"/>
  <c r="N1231" i="6"/>
  <c r="E17" i="12"/>
  <c r="N1257" i="6"/>
  <c r="M13" i="20"/>
  <c r="D13" i="20"/>
  <c r="W355" i="6"/>
  <c r="Q368" i="6"/>
  <c r="Y431" i="6"/>
  <c r="W430" i="6"/>
  <c r="K54" i="14"/>
  <c r="L54" i="14" s="1"/>
  <c r="M54" i="14"/>
  <c r="F13" i="20" l="1"/>
  <c r="D14" i="20"/>
  <c r="O13" i="20"/>
  <c r="O14" i="20" s="1"/>
  <c r="M14" i="20"/>
  <c r="E53" i="12"/>
  <c r="F53" i="12" s="1"/>
  <c r="F17" i="12"/>
  <c r="Q512" i="6"/>
  <c r="W368" i="6"/>
  <c r="AC368" i="6" s="1"/>
  <c r="AE368" i="6" s="1"/>
  <c r="U782" i="3"/>
  <c r="Y432" i="6"/>
  <c r="W431" i="6"/>
  <c r="M55" i="14"/>
  <c r="K55" i="14"/>
  <c r="L55" i="14" s="1"/>
  <c r="L783" i="3" l="1"/>
  <c r="S783" i="3" s="1"/>
  <c r="F14" i="20"/>
  <c r="J13" i="2"/>
  <c r="Y433" i="6"/>
  <c r="Y434" i="6" s="1"/>
  <c r="Y435" i="6" s="1"/>
  <c r="W432" i="6"/>
  <c r="K56" i="14"/>
  <c r="L56" i="14" s="1"/>
  <c r="M56" i="14"/>
  <c r="U783" i="3" l="1"/>
  <c r="L803" i="3"/>
  <c r="L784" i="3"/>
  <c r="G783" i="6"/>
  <c r="V782" i="3" s="1"/>
  <c r="Y436" i="6"/>
  <c r="W435" i="6"/>
  <c r="M57" i="14"/>
  <c r="K57" i="14"/>
  <c r="U803" i="3" l="1"/>
  <c r="U784" i="3"/>
  <c r="S803" i="3"/>
  <c r="S784" i="3"/>
  <c r="E783" i="6"/>
  <c r="I783" i="6"/>
  <c r="Y437" i="6"/>
  <c r="W436" i="6"/>
  <c r="K58" i="14"/>
  <c r="L58" i="14" s="1"/>
  <c r="M58" i="14"/>
  <c r="L57" i="14"/>
  <c r="G784" i="6" l="1"/>
  <c r="V783" i="3" s="1"/>
  <c r="M783" i="6"/>
  <c r="N783" i="6"/>
  <c r="J783" i="6"/>
  <c r="Y438" i="6"/>
  <c r="Y439" i="6" s="1"/>
  <c r="Y440" i="6" s="1"/>
  <c r="W437" i="6"/>
  <c r="M59" i="14"/>
  <c r="K59" i="14"/>
  <c r="L59" i="14" s="1"/>
  <c r="I784" i="6" l="1"/>
  <c r="E784" i="6"/>
  <c r="G785" i="6"/>
  <c r="T783" i="6"/>
  <c r="N803" i="6"/>
  <c r="Q783" i="6"/>
  <c r="Y441" i="6"/>
  <c r="W440" i="6"/>
  <c r="K60" i="14"/>
  <c r="L60" i="14" s="1"/>
  <c r="M60" i="14"/>
  <c r="E785" i="6" l="1"/>
  <c r="V784" i="3"/>
  <c r="M784" i="6"/>
  <c r="N784" i="6"/>
  <c r="J784" i="6"/>
  <c r="I785" i="6"/>
  <c r="J785" i="6" s="1"/>
  <c r="Q803" i="6"/>
  <c r="T803" i="6"/>
  <c r="Y442" i="6"/>
  <c r="W441" i="6"/>
  <c r="M61" i="14"/>
  <c r="K61" i="14"/>
  <c r="L61" i="14" s="1"/>
  <c r="M804" i="6" l="1"/>
  <c r="Q784" i="6"/>
  <c r="M785" i="6"/>
  <c r="T784" i="6"/>
  <c r="N804" i="6"/>
  <c r="N785" i="6"/>
  <c r="Y443" i="6"/>
  <c r="Y444" i="6" s="1"/>
  <c r="Y445" i="6" s="1"/>
  <c r="W442" i="6"/>
  <c r="K62" i="14"/>
  <c r="M62" i="14"/>
  <c r="T804" i="6" l="1"/>
  <c r="T785" i="6"/>
  <c r="T806" i="6" s="1"/>
  <c r="Q804" i="6"/>
  <c r="Q785" i="6"/>
  <c r="Q806" i="6" s="1"/>
  <c r="Y446" i="6"/>
  <c r="W445" i="6"/>
  <c r="L62" i="14"/>
  <c r="M63" i="14"/>
  <c r="K63" i="14"/>
  <c r="L63" i="14" s="1"/>
  <c r="Y447" i="6" l="1"/>
  <c r="W446" i="6"/>
  <c r="K64" i="14"/>
  <c r="L64" i="14" s="1"/>
  <c r="M64" i="14"/>
  <c r="Y448" i="6" l="1"/>
  <c r="Y449" i="6" s="1"/>
  <c r="Y450" i="6" s="1"/>
  <c r="W447" i="6"/>
  <c r="M65" i="14"/>
  <c r="K65" i="14"/>
  <c r="L65" i="14" s="1"/>
  <c r="Y451" i="6" l="1"/>
  <c r="W450" i="6"/>
  <c r="K66" i="14"/>
  <c r="L66" i="14" s="1"/>
  <c r="M66" i="14"/>
  <c r="Y452" i="6" l="1"/>
  <c r="W451" i="6"/>
  <c r="M67" i="14"/>
  <c r="K67" i="14"/>
  <c r="Y453" i="6" l="1"/>
  <c r="Y454" i="6" s="1"/>
  <c r="Y455" i="6" s="1"/>
  <c r="W452" i="6"/>
  <c r="L67" i="14"/>
  <c r="K68" i="14"/>
  <c r="L68" i="14" s="1"/>
  <c r="M68" i="14"/>
  <c r="Y456" i="6" l="1"/>
  <c r="W455" i="6"/>
  <c r="AC455" i="6" s="1"/>
  <c r="AE455" i="6" s="1"/>
  <c r="M69" i="14"/>
  <c r="K69" i="14"/>
  <c r="L69" i="14" s="1"/>
  <c r="Y457" i="6" l="1"/>
  <c r="W456" i="6"/>
  <c r="K70" i="14"/>
  <c r="L70" i="14" s="1"/>
  <c r="M70" i="14"/>
  <c r="Y458" i="6" l="1"/>
  <c r="Y459" i="6" s="1"/>
  <c r="Y460" i="6" s="1"/>
  <c r="W457" i="6"/>
  <c r="AC457" i="6" s="1"/>
  <c r="AE457" i="6" s="1"/>
  <c r="M71" i="14"/>
  <c r="K71" i="14"/>
  <c r="L71" i="14" s="1"/>
  <c r="Y461" i="6" l="1"/>
  <c r="W460" i="6"/>
  <c r="K72" i="14"/>
  <c r="M72" i="14"/>
  <c r="Y462" i="6" l="1"/>
  <c r="W461" i="6"/>
  <c r="M73" i="14"/>
  <c r="K73" i="14"/>
  <c r="L73" i="14" s="1"/>
  <c r="L72" i="14"/>
  <c r="Y463" i="6" l="1"/>
  <c r="Y464" i="6" s="1"/>
  <c r="Y465" i="6" s="1"/>
  <c r="W462" i="6"/>
  <c r="K74" i="14"/>
  <c r="L74" i="14" s="1"/>
  <c r="M74" i="14"/>
  <c r="Y466" i="6" l="1"/>
  <c r="W465" i="6"/>
  <c r="M75" i="14"/>
  <c r="K75" i="14"/>
  <c r="L75" i="14" s="1"/>
  <c r="Y467" i="6" l="1"/>
  <c r="W466" i="6"/>
  <c r="K76" i="14"/>
  <c r="L76" i="14" s="1"/>
  <c r="M76" i="14"/>
  <c r="Y468" i="6" l="1"/>
  <c r="Y469" i="6" s="1"/>
  <c r="Y470" i="6" s="1"/>
  <c r="W467" i="6"/>
  <c r="M77" i="14"/>
  <c r="K77" i="14"/>
  <c r="Y471" i="6" l="1"/>
  <c r="W470" i="6"/>
  <c r="K78" i="14"/>
  <c r="L78" i="14" s="1"/>
  <c r="M78" i="14"/>
  <c r="L77" i="14"/>
  <c r="Y472" i="6" l="1"/>
  <c r="W471" i="6"/>
  <c r="M79" i="14"/>
  <c r="K79" i="14"/>
  <c r="L79" i="14" s="1"/>
  <c r="Y473" i="6" l="1"/>
  <c r="Y474" i="6" s="1"/>
  <c r="Y475" i="6" s="1"/>
  <c r="W472" i="6"/>
  <c r="K80" i="14"/>
  <c r="L80" i="14" s="1"/>
  <c r="M80" i="14"/>
  <c r="Y476" i="6" l="1"/>
  <c r="W475" i="6"/>
  <c r="M81" i="14"/>
  <c r="K81" i="14"/>
  <c r="L81" i="14" s="1"/>
  <c r="Y477" i="6" l="1"/>
  <c r="W476" i="6"/>
  <c r="K82" i="14"/>
  <c r="M82" i="14"/>
  <c r="Y478" i="6" l="1"/>
  <c r="Y479" i="6" s="1"/>
  <c r="Y480" i="6" s="1"/>
  <c r="W477" i="6"/>
  <c r="L82" i="14"/>
  <c r="M83" i="14"/>
  <c r="K83" i="14"/>
  <c r="L83" i="14" s="1"/>
  <c r="Y481" i="6" l="1"/>
  <c r="W480" i="6"/>
  <c r="K84" i="14"/>
  <c r="L84" i="14" s="1"/>
  <c r="M84" i="14"/>
  <c r="Y482" i="6" l="1"/>
  <c r="W481" i="6"/>
  <c r="AC481" i="6" s="1"/>
  <c r="AE481" i="6" s="1"/>
  <c r="M85" i="14"/>
  <c r="K85" i="14"/>
  <c r="L85" i="14" s="1"/>
  <c r="Y483" i="6" l="1"/>
  <c r="Y484" i="6" s="1"/>
  <c r="Y485" i="6" s="1"/>
  <c r="W482" i="6"/>
  <c r="AC482" i="6" s="1"/>
  <c r="AE482" i="6" s="1"/>
  <c r="K86" i="14"/>
  <c r="L86" i="14" s="1"/>
  <c r="M86" i="14"/>
  <c r="Y486" i="6" l="1"/>
  <c r="W485" i="6"/>
  <c r="M87" i="14"/>
  <c r="K87" i="14"/>
  <c r="Y487" i="6" l="1"/>
  <c r="W486" i="6"/>
  <c r="K88" i="14"/>
  <c r="L88" i="14" s="1"/>
  <c r="M88" i="14"/>
  <c r="L87" i="14"/>
  <c r="Y488" i="6" l="1"/>
  <c r="Y489" i="6" s="1"/>
  <c r="Y490" i="6" s="1"/>
  <c r="W487" i="6"/>
  <c r="M89" i="14"/>
  <c r="K89" i="14"/>
  <c r="L89" i="14" s="1"/>
  <c r="Y491" i="6" l="1"/>
  <c r="W490" i="6"/>
  <c r="K90" i="14"/>
  <c r="L90" i="14" s="1"/>
  <c r="M90" i="14"/>
  <c r="Y492" i="6" l="1"/>
  <c r="W491" i="6"/>
  <c r="M91" i="14"/>
  <c r="K91" i="14"/>
  <c r="L91" i="14" s="1"/>
  <c r="Y493" i="6" l="1"/>
  <c r="Y494" i="6" s="1"/>
  <c r="Y495" i="6" s="1"/>
  <c r="W492" i="6"/>
  <c r="K92" i="14"/>
  <c r="M92" i="14"/>
  <c r="Y496" i="6" l="1"/>
  <c r="W495" i="6"/>
  <c r="M93" i="14"/>
  <c r="K93" i="14"/>
  <c r="L93" i="14" s="1"/>
  <c r="L92" i="14"/>
  <c r="Y497" i="6" l="1"/>
  <c r="W496" i="6"/>
  <c r="K94" i="14"/>
  <c r="L94" i="14" s="1"/>
  <c r="M94" i="14"/>
  <c r="Y498" i="6" l="1"/>
  <c r="Y499" i="6" s="1"/>
  <c r="Y500" i="6" s="1"/>
  <c r="Y501" i="6" s="1"/>
  <c r="W497" i="6"/>
  <c r="M95" i="14"/>
  <c r="K95" i="14"/>
  <c r="L95" i="14" s="1"/>
  <c r="Y502" i="6" l="1"/>
  <c r="W501" i="6"/>
  <c r="K96" i="14"/>
  <c r="L96" i="14" s="1"/>
  <c r="M96" i="14"/>
  <c r="Y503" i="6" l="1"/>
  <c r="W502" i="6"/>
  <c r="AC502" i="6" s="1"/>
  <c r="AE502" i="6" s="1"/>
  <c r="M97" i="14"/>
  <c r="K97" i="14"/>
  <c r="Y504" i="6" l="1"/>
  <c r="Y505" i="6" s="1"/>
  <c r="W503" i="6"/>
  <c r="AC503" i="6" s="1"/>
  <c r="AE503" i="6" s="1"/>
  <c r="L97" i="14"/>
  <c r="M98" i="14"/>
  <c r="K98" i="14"/>
  <c r="L98" i="14" s="1"/>
  <c r="Y506" i="6" l="1"/>
  <c r="W505" i="6"/>
  <c r="M99" i="14"/>
  <c r="K99" i="14"/>
  <c r="L99" i="14" s="1"/>
  <c r="Y507" i="6" l="1"/>
  <c r="W506" i="6"/>
  <c r="AC506" i="6" s="1"/>
  <c r="AE506" i="6" s="1"/>
  <c r="M100" i="14"/>
  <c r="K100" i="14"/>
  <c r="L100" i="14" s="1"/>
  <c r="Y508" i="6" l="1"/>
  <c r="Y509" i="6" s="1"/>
  <c r="W507" i="6"/>
  <c r="AC507" i="6" s="1"/>
  <c r="AE507" i="6" s="1"/>
  <c r="M101" i="14"/>
  <c r="K101" i="14"/>
  <c r="L101" i="14" s="1"/>
  <c r="Y510" i="6" l="1"/>
  <c r="Y511" i="6" s="1"/>
  <c r="Y512" i="6" s="1"/>
  <c r="W509" i="6"/>
  <c r="AC509" i="6" s="1"/>
  <c r="AE509" i="6" s="1"/>
  <c r="M102" i="14"/>
  <c r="K102" i="14"/>
  <c r="J17" i="2" l="1"/>
  <c r="Y513" i="6"/>
  <c r="Y514" i="6" s="1"/>
  <c r="Y515" i="6" s="1"/>
  <c r="Y516" i="6" s="1"/>
  <c r="Y517" i="6" s="1"/>
  <c r="Y518" i="6" s="1"/>
  <c r="Y519" i="6" s="1"/>
  <c r="Y520" i="6" s="1"/>
  <c r="Y521" i="6" s="1"/>
  <c r="Y522" i="6" s="1"/>
  <c r="W512" i="6"/>
  <c r="AC512" i="6" s="1"/>
  <c r="AE512" i="6" s="1"/>
  <c r="L102" i="14"/>
  <c r="M103" i="14"/>
  <c r="K103" i="14"/>
  <c r="L103" i="14" s="1"/>
  <c r="L17" i="2" l="1"/>
  <c r="J18" i="2"/>
  <c r="Y523" i="6"/>
  <c r="W522" i="6"/>
  <c r="M104" i="14"/>
  <c r="K104" i="14"/>
  <c r="L104" i="14" s="1"/>
  <c r="Y524" i="6" l="1"/>
  <c r="W523" i="6"/>
  <c r="M105" i="14"/>
  <c r="K105" i="14"/>
  <c r="L105" i="14" s="1"/>
  <c r="Y525" i="6" l="1"/>
  <c r="Y526" i="6" s="1"/>
  <c r="Y527" i="6" s="1"/>
  <c r="W524" i="6"/>
  <c r="M106" i="14"/>
  <c r="K106" i="14"/>
  <c r="L106" i="14" s="1"/>
  <c r="Y528" i="6" l="1"/>
  <c r="W527" i="6"/>
  <c r="M107" i="14"/>
  <c r="K107" i="14"/>
  <c r="Y529" i="6" l="1"/>
  <c r="W528" i="6"/>
  <c r="L107" i="14"/>
  <c r="M108" i="14"/>
  <c r="K108" i="14"/>
  <c r="L108" i="14" s="1"/>
  <c r="Y530" i="6" l="1"/>
  <c r="Y531" i="6" s="1"/>
  <c r="Y532" i="6" s="1"/>
  <c r="W529" i="6"/>
  <c r="M109" i="14"/>
  <c r="K109" i="14"/>
  <c r="L109" i="14" s="1"/>
  <c r="Y533" i="6" l="1"/>
  <c r="W532" i="6"/>
  <c r="M110" i="14"/>
  <c r="K110" i="14"/>
  <c r="L110" i="14" s="1"/>
  <c r="Y534" i="6" l="1"/>
  <c r="W533" i="6"/>
  <c r="M111" i="14"/>
  <c r="K111" i="14"/>
  <c r="L111" i="14" s="1"/>
  <c r="Y535" i="6" l="1"/>
  <c r="Y536" i="6" s="1"/>
  <c r="Y537" i="6" s="1"/>
  <c r="W534" i="6"/>
  <c r="M112" i="14"/>
  <c r="K112" i="14"/>
  <c r="Y538" i="6" l="1"/>
  <c r="W537" i="6"/>
  <c r="M113" i="14"/>
  <c r="K113" i="14"/>
  <c r="L113" i="14" s="1"/>
  <c r="L112" i="14"/>
  <c r="Y539" i="6" l="1"/>
  <c r="W538" i="6"/>
  <c r="M114" i="14"/>
  <c r="K114" i="14"/>
  <c r="L114" i="14" s="1"/>
  <c r="Y540" i="6" l="1"/>
  <c r="Y541" i="6" s="1"/>
  <c r="Y542" i="6" s="1"/>
  <c r="W539" i="6"/>
  <c r="M115" i="14"/>
  <c r="K115" i="14"/>
  <c r="L115" i="14" s="1"/>
  <c r="Y543" i="6" l="1"/>
  <c r="W542" i="6"/>
  <c r="M116" i="14"/>
  <c r="K116" i="14"/>
  <c r="L116" i="14" s="1"/>
  <c r="Y544" i="6" l="1"/>
  <c r="W543" i="6"/>
  <c r="M117" i="14"/>
  <c r="K117" i="14"/>
  <c r="Y545" i="6" l="1"/>
  <c r="Y546" i="6" s="1"/>
  <c r="Y547" i="6" s="1"/>
  <c r="W544" i="6"/>
  <c r="L117" i="14"/>
  <c r="M118" i="14"/>
  <c r="K118" i="14"/>
  <c r="L118" i="14" s="1"/>
  <c r="Y548" i="6" l="1"/>
  <c r="W547" i="6"/>
  <c r="M119" i="14"/>
  <c r="K119" i="14"/>
  <c r="L119" i="14" s="1"/>
  <c r="Y549" i="6" l="1"/>
  <c r="W548" i="6"/>
  <c r="M120" i="14"/>
  <c r="K120" i="14"/>
  <c r="L120" i="14" s="1"/>
  <c r="Y550" i="6" l="1"/>
  <c r="Y551" i="6" s="1"/>
  <c r="Y552" i="6" s="1"/>
  <c r="W549" i="6"/>
  <c r="M121" i="14"/>
  <c r="K121" i="14"/>
  <c r="L121" i="14" s="1"/>
  <c r="Y553" i="6" l="1"/>
  <c r="W552" i="6"/>
  <c r="M122" i="14"/>
  <c r="K122" i="14"/>
  <c r="Y554" i="6" l="1"/>
  <c r="W553" i="6"/>
  <c r="L122" i="14"/>
  <c r="M123" i="14"/>
  <c r="K123" i="14"/>
  <c r="L123" i="14" s="1"/>
  <c r="Y555" i="6" l="1"/>
  <c r="Y556" i="6" s="1"/>
  <c r="Y557" i="6" s="1"/>
  <c r="W554" i="6"/>
  <c r="M124" i="14"/>
  <c r="K124" i="14"/>
  <c r="L124" i="14" s="1"/>
  <c r="Y558" i="6" l="1"/>
  <c r="W557" i="6"/>
  <c r="M125" i="14"/>
  <c r="K125" i="14"/>
  <c r="L125" i="14" s="1"/>
  <c r="Y559" i="6" l="1"/>
  <c r="W558" i="6"/>
  <c r="M126" i="14"/>
  <c r="K126" i="14"/>
  <c r="L126" i="14" s="1"/>
  <c r="Y560" i="6" l="1"/>
  <c r="Y561" i="6" s="1"/>
  <c r="Y562" i="6" s="1"/>
  <c r="W559" i="6"/>
  <c r="M127" i="14"/>
  <c r="K127" i="14"/>
  <c r="Y563" i="6" l="1"/>
  <c r="W562" i="6"/>
  <c r="L127" i="14"/>
  <c r="M128" i="14"/>
  <c r="K128" i="14"/>
  <c r="L128" i="14" s="1"/>
  <c r="Y564" i="6" l="1"/>
  <c r="W563" i="6"/>
  <c r="M129" i="14"/>
  <c r="K129" i="14"/>
  <c r="L129" i="14" s="1"/>
  <c r="Y565" i="6" l="1"/>
  <c r="Y566" i="6" s="1"/>
  <c r="Y567" i="6" s="1"/>
  <c r="W564" i="6"/>
  <c r="M130" i="14"/>
  <c r="K130" i="14"/>
  <c r="L130" i="14" s="1"/>
  <c r="Y568" i="6" l="1"/>
  <c r="W567" i="6"/>
  <c r="M131" i="14"/>
  <c r="K131" i="14"/>
  <c r="L131" i="14" s="1"/>
  <c r="Y569" i="6" l="1"/>
  <c r="W568" i="6"/>
  <c r="M132" i="14"/>
  <c r="K132" i="14"/>
  <c r="Y570" i="6" l="1"/>
  <c r="Y571" i="6" s="1"/>
  <c r="Y572" i="6" s="1"/>
  <c r="W569" i="6"/>
  <c r="L132" i="14"/>
  <c r="K144" i="14"/>
  <c r="L144" i="14" s="1"/>
  <c r="M133" i="14"/>
  <c r="K133" i="14"/>
  <c r="L133" i="14" s="1"/>
  <c r="Y573" i="6" l="1"/>
  <c r="W572" i="6"/>
  <c r="M134" i="14"/>
  <c r="M135" i="14" s="1"/>
  <c r="K134" i="14"/>
  <c r="L134" i="14" s="1"/>
  <c r="Y574" i="6" l="1"/>
  <c r="W573" i="6"/>
  <c r="M136" i="14"/>
  <c r="K136" i="14"/>
  <c r="L136" i="14" s="1"/>
  <c r="Y575" i="6" l="1"/>
  <c r="Y576" i="6" s="1"/>
  <c r="Y577" i="6" s="1"/>
  <c r="W574" i="6"/>
  <c r="M137" i="14"/>
  <c r="K137" i="14"/>
  <c r="L137" i="14" s="1"/>
  <c r="Y578" i="6" l="1"/>
  <c r="W577" i="6"/>
  <c r="M138" i="14"/>
  <c r="M139" i="14" s="1"/>
  <c r="K138" i="14"/>
  <c r="L138" i="14" s="1"/>
  <c r="Y579" i="6" l="1"/>
  <c r="W578" i="6"/>
  <c r="M140" i="14"/>
  <c r="K140" i="14"/>
  <c r="L140" i="14" s="1"/>
  <c r="Y580" i="6" l="1"/>
  <c r="Y581" i="6" s="1"/>
  <c r="Y582" i="6" s="1"/>
  <c r="W579" i="6"/>
  <c r="M141" i="14"/>
  <c r="K141" i="14"/>
  <c r="L141" i="14" s="1"/>
  <c r="Y583" i="6" l="1"/>
  <c r="W582" i="6"/>
  <c r="M142" i="14"/>
  <c r="M143" i="14" s="1"/>
  <c r="M144" i="14" s="1"/>
  <c r="M145" i="14" s="1"/>
  <c r="M146" i="14" s="1"/>
  <c r="M147" i="14" s="1"/>
  <c r="M148" i="14" s="1"/>
  <c r="K142" i="14"/>
  <c r="L142" i="14" s="1"/>
  <c r="Y584" i="6" l="1"/>
  <c r="W583" i="6"/>
  <c r="Y585" i="6" l="1"/>
  <c r="Y586" i="6" s="1"/>
  <c r="Y587" i="6" s="1"/>
  <c r="W584" i="6"/>
  <c r="Y588" i="6" l="1"/>
  <c r="W587" i="6"/>
  <c r="Y589" i="6" l="1"/>
  <c r="W588" i="6"/>
  <c r="Y590" i="6" l="1"/>
  <c r="Y591" i="6" s="1"/>
  <c r="Y592" i="6" s="1"/>
  <c r="W589" i="6"/>
  <c r="Y593" i="6" l="1"/>
  <c r="W592" i="6"/>
  <c r="Y594" i="6" l="1"/>
  <c r="W593" i="6"/>
  <c r="Y595" i="6" l="1"/>
  <c r="Y596" i="6" s="1"/>
  <c r="Y597" i="6" s="1"/>
  <c r="W594" i="6"/>
  <c r="Y598" i="6" l="1"/>
  <c r="W597" i="6"/>
  <c r="Y599" i="6" l="1"/>
  <c r="W598" i="6"/>
  <c r="Y600" i="6" l="1"/>
  <c r="Y601" i="6" s="1"/>
  <c r="Y602" i="6" s="1"/>
  <c r="W599" i="6"/>
  <c r="Y603" i="6" l="1"/>
  <c r="W602" i="6"/>
  <c r="Y604" i="6" l="1"/>
  <c r="W603" i="6"/>
  <c r="Y605" i="6" l="1"/>
  <c r="Y606" i="6" s="1"/>
  <c r="Y607" i="6" s="1"/>
  <c r="W604" i="6"/>
  <c r="Y608" i="6" l="1"/>
  <c r="W607" i="6"/>
  <c r="Y609" i="6" l="1"/>
  <c r="W608" i="6"/>
  <c r="Y610" i="6" l="1"/>
  <c r="Y611" i="6" s="1"/>
  <c r="Y612" i="6" s="1"/>
  <c r="W609" i="6"/>
  <c r="Y613" i="6" l="1"/>
  <c r="W612" i="6"/>
  <c r="Y614" i="6" l="1"/>
  <c r="W613" i="6"/>
  <c r="Y615" i="6" l="1"/>
  <c r="Y616" i="6" s="1"/>
  <c r="Y617" i="6" s="1"/>
  <c r="W614" i="6"/>
  <c r="Y618" i="6" l="1"/>
  <c r="W617" i="6"/>
  <c r="Y619" i="6" l="1"/>
  <c r="W618" i="6"/>
  <c r="Y620" i="6" l="1"/>
  <c r="Y621" i="6" s="1"/>
  <c r="Y622" i="6" s="1"/>
  <c r="W619" i="6"/>
  <c r="Y623" i="6" l="1"/>
  <c r="W622" i="6"/>
  <c r="Y624" i="6" l="1"/>
  <c r="W623" i="6"/>
  <c r="Y625" i="6" l="1"/>
  <c r="Y626" i="6" s="1"/>
  <c r="Y627" i="6" s="1"/>
  <c r="W624" i="6"/>
  <c r="Y628" i="6" l="1"/>
  <c r="W627" i="6"/>
  <c r="Y629" i="6" l="1"/>
  <c r="W628" i="6"/>
  <c r="Y630" i="6" l="1"/>
  <c r="Y631" i="6" s="1"/>
  <c r="Y632" i="6" s="1"/>
  <c r="W629" i="6"/>
  <c r="Y633" i="6" l="1"/>
  <c r="W632" i="6"/>
  <c r="Y634" i="6" l="1"/>
  <c r="Y635" i="6" s="1"/>
  <c r="W633" i="6"/>
  <c r="Y636" i="6" l="1"/>
  <c r="W635" i="6"/>
  <c r="Y637" i="6" l="1"/>
  <c r="W636" i="6"/>
  <c r="Y638" i="6" l="1"/>
  <c r="Y639" i="6" s="1"/>
  <c r="Y640" i="6" s="1"/>
  <c r="W637" i="6"/>
  <c r="Y641" i="6" l="1"/>
  <c r="Y642" i="6" s="1"/>
  <c r="Y643" i="6" s="1"/>
  <c r="Y644" i="6" s="1"/>
  <c r="Y645" i="6" s="1"/>
  <c r="Y646" i="6" s="1"/>
  <c r="Y647" i="6" s="1"/>
  <c r="W640" i="6"/>
  <c r="Y648" i="6" l="1"/>
  <c r="W647" i="6"/>
  <c r="AC647" i="6" s="1"/>
  <c r="AE647" i="6" s="1"/>
  <c r="Y649" i="6" l="1"/>
  <c r="W648" i="6"/>
  <c r="AC648" i="6" s="1"/>
  <c r="AE648" i="6" s="1"/>
  <c r="Y650" i="6" l="1"/>
  <c r="W649" i="6"/>
  <c r="Y651" i="6" l="1"/>
  <c r="Y652" i="6" s="1"/>
  <c r="Y653" i="6" s="1"/>
  <c r="Y654" i="6" s="1"/>
  <c r="Y655" i="6" s="1"/>
  <c r="W650" i="6"/>
  <c r="AC650" i="6" s="1"/>
  <c r="AE650" i="6" s="1"/>
  <c r="J27" i="2" l="1"/>
  <c r="Y656" i="6"/>
  <c r="W655" i="6"/>
  <c r="AC655" i="6" s="1"/>
  <c r="AE655" i="6" s="1"/>
  <c r="Y657" i="6" l="1"/>
  <c r="W656" i="6"/>
  <c r="AC656" i="6" s="1"/>
  <c r="AE656" i="6" s="1"/>
  <c r="L27" i="2"/>
  <c r="Y658" i="6" l="1"/>
  <c r="Y659" i="6" s="1"/>
  <c r="Y660" i="6" s="1"/>
  <c r="W657" i="6"/>
  <c r="AC657" i="6" s="1"/>
  <c r="AE657" i="6" s="1"/>
  <c r="Y661" i="6" l="1"/>
  <c r="W660" i="6"/>
  <c r="AC660" i="6" s="1"/>
  <c r="AE660" i="6" s="1"/>
  <c r="Y662" i="6" l="1"/>
  <c r="W661" i="6"/>
  <c r="AC661" i="6" s="1"/>
  <c r="AE661" i="6" s="1"/>
  <c r="Y663" i="6" l="1"/>
  <c r="Y664" i="6" s="1"/>
  <c r="Y665" i="6" s="1"/>
  <c r="W662" i="6"/>
  <c r="AC662" i="6" s="1"/>
  <c r="AE662" i="6" s="1"/>
  <c r="Y666" i="6" l="1"/>
  <c r="W665" i="6"/>
  <c r="Y667" i="6" l="1"/>
  <c r="W666" i="6"/>
  <c r="Y668" i="6" l="1"/>
  <c r="Y669" i="6" s="1"/>
  <c r="Y670" i="6" s="1"/>
  <c r="W667" i="6"/>
  <c r="Y671" i="6" l="1"/>
  <c r="W670" i="6"/>
  <c r="AC670" i="6" s="1"/>
  <c r="AE670" i="6" s="1"/>
  <c r="Y672" i="6" l="1"/>
  <c r="W671" i="6"/>
  <c r="Y673" i="6" l="1"/>
  <c r="Y674" i="6" s="1"/>
  <c r="Y675" i="6" s="1"/>
  <c r="W672" i="6"/>
  <c r="AC672" i="6" s="1"/>
  <c r="AE672" i="6" s="1"/>
  <c r="Y676" i="6" l="1"/>
  <c r="W675" i="6"/>
  <c r="AC675" i="6" s="1"/>
  <c r="AE675" i="6" s="1"/>
  <c r="Y677" i="6" l="1"/>
  <c r="W676" i="6"/>
  <c r="AC676" i="6" s="1"/>
  <c r="AE676" i="6" s="1"/>
  <c r="Y678" i="6" l="1"/>
  <c r="Y679" i="6" s="1"/>
  <c r="Y680" i="6" s="1"/>
  <c r="W677" i="6"/>
  <c r="AC677" i="6" s="1"/>
  <c r="AE677" i="6" s="1"/>
  <c r="Y681" i="6" l="1"/>
  <c r="W680" i="6"/>
  <c r="AC680" i="6" s="1"/>
  <c r="AE680" i="6" s="1"/>
  <c r="Y682" i="6" l="1"/>
  <c r="W681" i="6"/>
  <c r="AC681" i="6" s="1"/>
  <c r="AE681" i="6" s="1"/>
  <c r="Y683" i="6" l="1"/>
  <c r="Y684" i="6" s="1"/>
  <c r="Y685" i="6" s="1"/>
  <c r="W682" i="6"/>
  <c r="AC682" i="6" s="1"/>
  <c r="AE682" i="6" s="1"/>
  <c r="Y686" i="6" l="1"/>
  <c r="W685" i="6"/>
  <c r="AC685" i="6" s="1"/>
  <c r="AE685" i="6" s="1"/>
  <c r="Y687" i="6" l="1"/>
  <c r="W686" i="6"/>
  <c r="AC686" i="6" s="1"/>
  <c r="AE686" i="6" s="1"/>
  <c r="Y688" i="6" l="1"/>
  <c r="Y689" i="6" s="1"/>
  <c r="Y690" i="6" s="1"/>
  <c r="W687" i="6"/>
  <c r="AC687" i="6" s="1"/>
  <c r="AE687" i="6" s="1"/>
  <c r="Y691" i="6" l="1"/>
  <c r="W690" i="6"/>
  <c r="AC690" i="6" s="1"/>
  <c r="AE690" i="6" s="1"/>
  <c r="Y692" i="6" l="1"/>
  <c r="W691" i="6"/>
  <c r="AC691" i="6" s="1"/>
  <c r="AE691" i="6" s="1"/>
  <c r="Y693" i="6" l="1"/>
  <c r="Y694" i="6" s="1"/>
  <c r="Y695" i="6" s="1"/>
  <c r="W692" i="6"/>
  <c r="AC692" i="6" s="1"/>
  <c r="AE692" i="6" s="1"/>
  <c r="Y696" i="6" l="1"/>
  <c r="W695" i="6"/>
  <c r="AC695" i="6" s="1"/>
  <c r="AE695" i="6" s="1"/>
  <c r="Y697" i="6" l="1"/>
  <c r="W696" i="6"/>
  <c r="AC696" i="6" s="1"/>
  <c r="AE696" i="6" s="1"/>
  <c r="Y698" i="6" l="1"/>
  <c r="Y699" i="6" s="1"/>
  <c r="Y700" i="6" s="1"/>
  <c r="W697" i="6"/>
  <c r="AC697" i="6" s="1"/>
  <c r="AE697" i="6" s="1"/>
  <c r="Y701" i="6" l="1"/>
  <c r="W700" i="6"/>
  <c r="AC700" i="6" s="1"/>
  <c r="AE700" i="6" s="1"/>
  <c r="Y702" i="6" l="1"/>
  <c r="W701" i="6"/>
  <c r="AC701" i="6" s="1"/>
  <c r="AE701" i="6" s="1"/>
  <c r="Y703" i="6" l="1"/>
  <c r="Y704" i="6" s="1"/>
  <c r="Y705" i="6" s="1"/>
  <c r="W702" i="6"/>
  <c r="AC702" i="6" s="1"/>
  <c r="AE702" i="6" s="1"/>
  <c r="Y706" i="6" l="1"/>
  <c r="W705" i="6"/>
  <c r="AC705" i="6" s="1"/>
  <c r="AE705" i="6" s="1"/>
  <c r="Y707" i="6" l="1"/>
  <c r="W706" i="6"/>
  <c r="AC706" i="6" s="1"/>
  <c r="AE706" i="6" s="1"/>
  <c r="Y708" i="6" l="1"/>
  <c r="Y709" i="6" s="1"/>
  <c r="Y710" i="6" s="1"/>
  <c r="W707" i="6"/>
  <c r="AC707" i="6" s="1"/>
  <c r="AE707" i="6" s="1"/>
  <c r="Y711" i="6" l="1"/>
  <c r="W710" i="6"/>
  <c r="AC710" i="6" s="1"/>
  <c r="AE710" i="6" s="1"/>
  <c r="Y712" i="6" l="1"/>
  <c r="W711" i="6"/>
  <c r="AC711" i="6" s="1"/>
  <c r="AE711" i="6" s="1"/>
  <c r="Y713" i="6" l="1"/>
  <c r="Y714" i="6" s="1"/>
  <c r="Y715" i="6" s="1"/>
  <c r="W712" i="6"/>
  <c r="AC712" i="6" s="1"/>
  <c r="AE712" i="6" s="1"/>
  <c r="Y716" i="6" l="1"/>
  <c r="W715" i="6"/>
  <c r="AC715" i="6" s="1"/>
  <c r="AE715" i="6" s="1"/>
  <c r="Y717" i="6" l="1"/>
  <c r="W716" i="6"/>
  <c r="AC716" i="6" s="1"/>
  <c r="AE716" i="6" s="1"/>
  <c r="Y718" i="6" l="1"/>
  <c r="Y719" i="6" s="1"/>
  <c r="Y720" i="6" s="1"/>
  <c r="W717" i="6"/>
  <c r="AC717" i="6" s="1"/>
  <c r="AE717" i="6" s="1"/>
  <c r="Y721" i="6" l="1"/>
  <c r="W720" i="6"/>
  <c r="AC720" i="6" s="1"/>
  <c r="AE720" i="6" s="1"/>
  <c r="Y722" i="6" l="1"/>
  <c r="W721" i="6"/>
  <c r="AC721" i="6" s="1"/>
  <c r="AE721" i="6" s="1"/>
  <c r="Y723" i="6" l="1"/>
  <c r="Y724" i="6" s="1"/>
  <c r="Y725" i="6" s="1"/>
  <c r="W722" i="6"/>
  <c r="AC722" i="6" s="1"/>
  <c r="AE722" i="6" s="1"/>
  <c r="Y726" i="6" l="1"/>
  <c r="W725" i="6"/>
  <c r="AC725" i="6" s="1"/>
  <c r="AE725" i="6" s="1"/>
  <c r="Y727" i="6" l="1"/>
  <c r="W726" i="6"/>
  <c r="AC726" i="6" s="1"/>
  <c r="AE726" i="6" s="1"/>
  <c r="Y728" i="6" l="1"/>
  <c r="Y729" i="6" s="1"/>
  <c r="Y730" i="6" s="1"/>
  <c r="W727" i="6"/>
  <c r="AC727" i="6" s="1"/>
  <c r="AE727" i="6" s="1"/>
  <c r="Y731" i="6" l="1"/>
  <c r="W730" i="6"/>
  <c r="AC730" i="6" s="1"/>
  <c r="AE730" i="6" s="1"/>
  <c r="Y732" i="6" l="1"/>
  <c r="W731" i="6"/>
  <c r="AC731" i="6" s="1"/>
  <c r="AE731" i="6" s="1"/>
  <c r="Y733" i="6" l="1"/>
  <c r="Y734" i="6" s="1"/>
  <c r="Y735" i="6" s="1"/>
  <c r="W732" i="6"/>
  <c r="AC732" i="6" s="1"/>
  <c r="AE732" i="6" s="1"/>
  <c r="Y736" i="6" l="1"/>
  <c r="W735" i="6"/>
  <c r="AC735" i="6" s="1"/>
  <c r="AE735" i="6" s="1"/>
  <c r="Y737" i="6" l="1"/>
  <c r="W736" i="6"/>
  <c r="AC736" i="6" s="1"/>
  <c r="AE736" i="6" s="1"/>
  <c r="Y738" i="6" l="1"/>
  <c r="Y739" i="6" s="1"/>
  <c r="Y740" i="6" s="1"/>
  <c r="W737" i="6"/>
  <c r="AC737" i="6" s="1"/>
  <c r="AE737" i="6" s="1"/>
  <c r="Y741" i="6" l="1"/>
  <c r="W740" i="6"/>
  <c r="Y742" i="6" l="1"/>
  <c r="W741" i="6"/>
  <c r="Y743" i="6" l="1"/>
  <c r="Y744" i="6" s="1"/>
  <c r="Y745" i="6" s="1"/>
  <c r="W742" i="6"/>
  <c r="Y746" i="6" l="1"/>
  <c r="W745" i="6"/>
  <c r="Y747" i="6" l="1"/>
  <c r="W746" i="6"/>
  <c r="Y748" i="6" l="1"/>
  <c r="Y749" i="6" s="1"/>
  <c r="Y750" i="6" s="1"/>
  <c r="W747" i="6"/>
  <c r="Y751" i="6" l="1"/>
  <c r="W750" i="6"/>
  <c r="AC750" i="6" s="1"/>
  <c r="AE750" i="6" s="1"/>
  <c r="Y752" i="6" l="1"/>
  <c r="W751" i="6"/>
  <c r="AC751" i="6" s="1"/>
  <c r="AE751" i="6" s="1"/>
  <c r="Y753" i="6" l="1"/>
  <c r="W752" i="6"/>
  <c r="Y754" i="6" l="1"/>
  <c r="Y755" i="6" s="1"/>
  <c r="Y756" i="6" s="1"/>
  <c r="Y757" i="6" s="1"/>
  <c r="Y758" i="6" s="1"/>
  <c r="W753" i="6"/>
  <c r="AC753" i="6" s="1"/>
  <c r="AE753" i="6" s="1"/>
  <c r="J28" i="2" l="1"/>
  <c r="Y759" i="6"/>
  <c r="W758" i="6"/>
  <c r="AC758" i="6" s="1"/>
  <c r="AE758" i="6" s="1"/>
  <c r="Y760" i="6" l="1"/>
  <c r="W759" i="6"/>
  <c r="AC759" i="6" s="1"/>
  <c r="AE759" i="6" s="1"/>
  <c r="L28" i="2"/>
  <c r="Y761" i="6" l="1"/>
  <c r="Y762" i="6" s="1"/>
  <c r="Y763" i="6" s="1"/>
  <c r="W760" i="6"/>
  <c r="AC760" i="6" s="1"/>
  <c r="AE760" i="6" s="1"/>
  <c r="Y764" i="6" l="1"/>
  <c r="W763" i="6"/>
  <c r="AC763" i="6" s="1"/>
  <c r="AE763" i="6" s="1"/>
  <c r="Y765" i="6" l="1"/>
  <c r="W764" i="6"/>
  <c r="AC764" i="6" s="1"/>
  <c r="AE764" i="6" s="1"/>
  <c r="Y766" i="6" l="1"/>
  <c r="Y767" i="6" s="1"/>
  <c r="Y768" i="6" s="1"/>
  <c r="W765" i="6"/>
  <c r="AC765" i="6" s="1"/>
  <c r="AE765" i="6" s="1"/>
  <c r="Y769" i="6" l="1"/>
  <c r="W768" i="6"/>
  <c r="AC768" i="6" s="1"/>
  <c r="AE768" i="6" s="1"/>
  <c r="Y770" i="6" l="1"/>
  <c r="W769" i="6"/>
  <c r="AC769" i="6" s="1"/>
  <c r="AE769" i="6" s="1"/>
  <c r="Y771" i="6" l="1"/>
  <c r="Y772" i="6" s="1"/>
  <c r="Y773" i="6" s="1"/>
  <c r="W770" i="6"/>
  <c r="AC770" i="6" s="1"/>
  <c r="AE770" i="6" s="1"/>
  <c r="Y774" i="6" l="1"/>
  <c r="W773" i="6"/>
  <c r="AC773" i="6" s="1"/>
  <c r="AE773" i="6" s="1"/>
  <c r="Y775" i="6" l="1"/>
  <c r="W774" i="6"/>
  <c r="AC774" i="6" s="1"/>
  <c r="AE774" i="6" s="1"/>
  <c r="Y776" i="6" l="1"/>
  <c r="Y777" i="6" s="1"/>
  <c r="Y778" i="6" s="1"/>
  <c r="W775" i="6"/>
  <c r="AC775" i="6" s="1"/>
  <c r="AE775" i="6" s="1"/>
  <c r="Y779" i="6" l="1"/>
  <c r="W778" i="6"/>
  <c r="AC778" i="6" s="1"/>
  <c r="AE778" i="6" s="1"/>
  <c r="Y780" i="6" l="1"/>
  <c r="W779" i="6"/>
  <c r="AC779" i="6" s="1"/>
  <c r="AE779" i="6" s="1"/>
  <c r="Y781" i="6" l="1"/>
  <c r="Y782" i="6" s="1"/>
  <c r="Y783" i="6" s="1"/>
  <c r="W780" i="6"/>
  <c r="AC780" i="6" s="1"/>
  <c r="AE780" i="6" s="1"/>
  <c r="Y784" i="6" l="1"/>
  <c r="W783" i="6"/>
  <c r="AC783" i="6" s="1"/>
  <c r="AE783" i="6" s="1"/>
  <c r="Y785" i="6" l="1"/>
  <c r="W784" i="6"/>
  <c r="AC784" i="6" s="1"/>
  <c r="AE784" i="6" s="1"/>
  <c r="Y786" i="6" l="1"/>
  <c r="Y787" i="6" s="1"/>
  <c r="Y788" i="6" s="1"/>
  <c r="W785" i="6"/>
  <c r="AC785" i="6" s="1"/>
  <c r="AE785" i="6" s="1"/>
  <c r="Y789" i="6" l="1"/>
  <c r="W788" i="6"/>
  <c r="Y790" i="6" l="1"/>
  <c r="W789" i="6"/>
  <c r="Y791" i="6" l="1"/>
  <c r="Y792" i="6" s="1"/>
  <c r="Y793" i="6" s="1"/>
  <c r="W790" i="6"/>
  <c r="Y794" i="6" l="1"/>
  <c r="W793" i="6"/>
  <c r="Y795" i="6" l="1"/>
  <c r="W794" i="6"/>
  <c r="Y796" i="6" l="1"/>
  <c r="Y797" i="6" s="1"/>
  <c r="Y798" i="6" s="1"/>
  <c r="W795" i="6"/>
  <c r="Y799" i="6" l="1"/>
  <c r="W798" i="6"/>
  <c r="W803" i="6" l="1"/>
  <c r="AC803" i="6" s="1"/>
  <c r="AE803" i="6" s="1"/>
  <c r="Y800" i="6"/>
  <c r="W799" i="6"/>
  <c r="Y801" i="6" l="1"/>
  <c r="Y802" i="6" s="1"/>
  <c r="Y803" i="6" s="1"/>
  <c r="Y804" i="6" s="1"/>
  <c r="W800" i="6"/>
  <c r="Y805" i="6" l="1"/>
  <c r="Y806" i="6" s="1"/>
  <c r="W804" i="6"/>
  <c r="AC804" i="6" s="1"/>
  <c r="AE804" i="6" s="1"/>
  <c r="Y807" i="6" l="1"/>
  <c r="Y808" i="6" s="1"/>
  <c r="Y809" i="6" s="1"/>
  <c r="Y810" i="6" s="1"/>
  <c r="Y811" i="6" s="1"/>
  <c r="W806" i="6"/>
  <c r="AC806" i="6" s="1"/>
  <c r="AE806" i="6" s="1"/>
  <c r="J29" i="2" l="1"/>
  <c r="Y812" i="6"/>
  <c r="W811" i="6"/>
  <c r="AC811" i="6" s="1"/>
  <c r="AE811" i="6" s="1"/>
  <c r="Y813" i="6" l="1"/>
  <c r="W812" i="6"/>
  <c r="AC812" i="6" s="1"/>
  <c r="AE812" i="6" s="1"/>
  <c r="Y814" i="6" l="1"/>
  <c r="Y815" i="6" s="1"/>
  <c r="Y816" i="6" s="1"/>
  <c r="W813" i="6"/>
  <c r="AC813" i="6" s="1"/>
  <c r="AE813" i="6" s="1"/>
  <c r="Y817" i="6" l="1"/>
  <c r="W816" i="6"/>
  <c r="AC816" i="6" s="1"/>
  <c r="AE816" i="6" s="1"/>
  <c r="Y818" i="6" l="1"/>
  <c r="W817" i="6"/>
  <c r="AC817" i="6" s="1"/>
  <c r="AE817" i="6" s="1"/>
  <c r="Y819" i="6" l="1"/>
  <c r="Y820" i="6" s="1"/>
  <c r="Y821" i="6" s="1"/>
  <c r="W818" i="6"/>
  <c r="AC818" i="6" s="1"/>
  <c r="AE818" i="6" s="1"/>
  <c r="Y822" i="6" l="1"/>
  <c r="Y823" i="6" l="1"/>
  <c r="Y824" i="6" l="1"/>
  <c r="Y825" i="6" s="1"/>
  <c r="Y826" i="6" s="1"/>
  <c r="Y827" i="6" l="1"/>
  <c r="W826" i="6"/>
  <c r="Y828" i="6" l="1"/>
  <c r="W827" i="6"/>
  <c r="Y829" i="6" l="1"/>
  <c r="Y830" i="6" s="1"/>
  <c r="Y831" i="6" s="1"/>
  <c r="W828" i="6"/>
  <c r="Y832" i="6" l="1"/>
  <c r="Y833" i="6" l="1"/>
  <c r="Y834" i="6" s="1"/>
  <c r="Y835" i="6" l="1"/>
  <c r="Y836" i="6" s="1"/>
  <c r="Y837" i="6" s="1"/>
  <c r="Y838" i="6" s="1"/>
  <c r="Y839" i="6" s="1"/>
  <c r="Y840" i="6" l="1"/>
  <c r="Y841" i="6" l="1"/>
  <c r="Y842" i="6" l="1"/>
  <c r="Y843" i="6" s="1"/>
  <c r="Y844" i="6" s="1"/>
  <c r="Y845" i="6" l="1"/>
  <c r="Y846" i="6" l="1"/>
  <c r="Y847" i="6" l="1"/>
  <c r="Y848" i="6" s="1"/>
  <c r="Y849" i="6" s="1"/>
  <c r="Y850" i="6" l="1"/>
  <c r="W849" i="6"/>
  <c r="AC849" i="6" s="1"/>
  <c r="AE849" i="6" s="1"/>
  <c r="Y851" i="6" l="1"/>
  <c r="W850" i="6"/>
  <c r="AC850" i="6" s="1"/>
  <c r="AE850" i="6" s="1"/>
  <c r="Y852" i="6" l="1"/>
  <c r="Y853" i="6" s="1"/>
  <c r="Y854" i="6" s="1"/>
  <c r="W851" i="6"/>
  <c r="AC851" i="6" s="1"/>
  <c r="AE851" i="6" s="1"/>
  <c r="Y855" i="6" l="1"/>
  <c r="Y856" i="6" l="1"/>
  <c r="Y857" i="6" l="1"/>
  <c r="Y858" i="6" s="1"/>
  <c r="Y859" i="6" s="1"/>
  <c r="Y860" i="6" l="1"/>
  <c r="W859" i="6"/>
  <c r="AC859" i="6" s="1"/>
  <c r="AE859" i="6" s="1"/>
  <c r="Y861" i="6" l="1"/>
  <c r="W860" i="6"/>
  <c r="AC860" i="6" s="1"/>
  <c r="AE860" i="6" s="1"/>
  <c r="Y862" i="6" l="1"/>
  <c r="Y863" i="6" s="1"/>
  <c r="Y864" i="6" s="1"/>
  <c r="W861" i="6"/>
  <c r="AC861" i="6" s="1"/>
  <c r="AE861" i="6" s="1"/>
  <c r="Y865" i="6" l="1"/>
  <c r="W864" i="6"/>
  <c r="AC864" i="6" s="1"/>
  <c r="AE864" i="6" s="1"/>
  <c r="Y866" i="6" l="1"/>
  <c r="W865" i="6"/>
  <c r="AC865" i="6" s="1"/>
  <c r="AE865" i="6" s="1"/>
  <c r="Y867" i="6" l="1"/>
  <c r="Y868" i="6" s="1"/>
  <c r="Y869" i="6" s="1"/>
  <c r="W866" i="6"/>
  <c r="AC866" i="6" s="1"/>
  <c r="AE866" i="6" s="1"/>
  <c r="Y870" i="6" l="1"/>
  <c r="W869" i="6"/>
  <c r="AC869" i="6" s="1"/>
  <c r="AE869" i="6" s="1"/>
  <c r="Y871" i="6" l="1"/>
  <c r="W870" i="6"/>
  <c r="AC870" i="6" s="1"/>
  <c r="AE870" i="6" s="1"/>
  <c r="Y872" i="6" l="1"/>
  <c r="Y873" i="6" s="1"/>
  <c r="Y874" i="6" s="1"/>
  <c r="W871" i="6"/>
  <c r="AC871" i="6" s="1"/>
  <c r="AE871" i="6" s="1"/>
  <c r="Y875" i="6" l="1"/>
  <c r="W874" i="6"/>
  <c r="Y876" i="6" l="1"/>
  <c r="W875" i="6"/>
  <c r="Y877" i="6" l="1"/>
  <c r="Y878" i="6" s="1"/>
  <c r="Y879" i="6" s="1"/>
  <c r="W876" i="6"/>
  <c r="Y880" i="6" l="1"/>
  <c r="W879" i="6"/>
  <c r="Y881" i="6" l="1"/>
  <c r="W880" i="6"/>
  <c r="Y882" i="6" l="1"/>
  <c r="Y883" i="6" s="1"/>
  <c r="Y884" i="6" s="1"/>
  <c r="W881" i="6"/>
  <c r="Y885" i="6" l="1"/>
  <c r="W884" i="6"/>
  <c r="AC884" i="6" s="1"/>
  <c r="AE884" i="6" s="1"/>
  <c r="Y886" i="6" l="1"/>
  <c r="W885" i="6"/>
  <c r="AC885" i="6" s="1"/>
  <c r="AE885" i="6" s="1"/>
  <c r="Y887" i="6" l="1"/>
  <c r="Y888" i="6" s="1"/>
  <c r="Y889" i="6" s="1"/>
  <c r="W886" i="6"/>
  <c r="AC886" i="6" s="1"/>
  <c r="AE886" i="6" s="1"/>
  <c r="Y890" i="6" l="1"/>
  <c r="W889" i="6"/>
  <c r="AC889" i="6" s="1"/>
  <c r="AE889" i="6" s="1"/>
  <c r="Y891" i="6" l="1"/>
  <c r="W890" i="6"/>
  <c r="AC890" i="6" s="1"/>
  <c r="AE890" i="6" s="1"/>
  <c r="Y892" i="6" l="1"/>
  <c r="Y893" i="6" s="1"/>
  <c r="Y894" i="6" s="1"/>
  <c r="W891" i="6"/>
  <c r="AC891" i="6" s="1"/>
  <c r="AE891" i="6" s="1"/>
  <c r="Y895" i="6" l="1"/>
  <c r="W894" i="6"/>
  <c r="Y896" i="6" l="1"/>
  <c r="W895" i="6"/>
  <c r="Y897" i="6" l="1"/>
  <c r="Y898" i="6" s="1"/>
  <c r="Y899" i="6" s="1"/>
  <c r="Y900" i="6" s="1"/>
  <c r="Y901" i="6" s="1"/>
  <c r="Y902" i="6" s="1"/>
  <c r="W896" i="6"/>
  <c r="Y903" i="6" l="1"/>
  <c r="Y904" i="6" s="1"/>
  <c r="Y905" i="6" s="1"/>
  <c r="Y906" i="6" l="1"/>
  <c r="Y907" i="6" s="1"/>
  <c r="Y908" i="6" s="1"/>
  <c r="Y909" i="6" s="1"/>
  <c r="Y910" i="6" s="1"/>
  <c r="Y911" i="6" s="1"/>
  <c r="Y912" i="6" s="1"/>
  <c r="Y913" i="6" s="1"/>
  <c r="Y914" i="6" l="1"/>
  <c r="W913" i="6"/>
  <c r="AC913" i="6" s="1"/>
  <c r="AE913" i="6" s="1"/>
  <c r="Y915" i="6" l="1"/>
  <c r="W914" i="6"/>
  <c r="AC914" i="6" s="1"/>
  <c r="AE914" i="6" s="1"/>
  <c r="Y916" i="6" l="1"/>
  <c r="W915" i="6"/>
  <c r="AC915" i="6" s="1"/>
  <c r="AE915" i="6" s="1"/>
  <c r="Y917" i="6" l="1"/>
  <c r="W916" i="6"/>
  <c r="AC916" i="6" s="1"/>
  <c r="AE916" i="6" s="1"/>
  <c r="Y918" i="6" l="1"/>
  <c r="Y919" i="6" s="1"/>
  <c r="Y920" i="6" s="1"/>
  <c r="W917" i="6"/>
  <c r="AC917" i="6" s="1"/>
  <c r="AE917" i="6" s="1"/>
  <c r="E20" i="12" l="1"/>
  <c r="F20" i="12" s="1"/>
  <c r="Y921" i="6"/>
  <c r="W920" i="6"/>
  <c r="AC920" i="6" s="1"/>
  <c r="AE920" i="6" s="1"/>
  <c r="E56" i="12" l="1"/>
  <c r="F56" i="12" s="1"/>
  <c r="Y922" i="6"/>
  <c r="W921" i="6"/>
  <c r="Y923" i="6" l="1"/>
  <c r="W922" i="6"/>
  <c r="Y924" i="6" l="1"/>
  <c r="W923" i="6"/>
  <c r="Y925" i="6" l="1"/>
  <c r="Y926" i="6" s="1"/>
  <c r="W924" i="6"/>
  <c r="AC924" i="6" s="1"/>
  <c r="AE924" i="6" s="1"/>
  <c r="E21" i="12" l="1"/>
  <c r="E57" i="12" s="1"/>
  <c r="Y927" i="6"/>
  <c r="Y928" i="6" s="1"/>
  <c r="Y929" i="6" s="1"/>
  <c r="W926" i="6"/>
  <c r="AC926" i="6" s="1"/>
  <c r="AE926" i="6" s="1"/>
  <c r="F21" i="12" l="1"/>
  <c r="J35" i="2"/>
  <c r="Y930" i="6"/>
  <c r="W929" i="6"/>
  <c r="F57" i="12"/>
  <c r="L35" i="2" l="1"/>
  <c r="Y931" i="6"/>
  <c r="W930" i="6"/>
  <c r="Y932" i="6" l="1"/>
  <c r="W931" i="6"/>
  <c r="AC931" i="6" s="1"/>
  <c r="AE931" i="6" s="1"/>
  <c r="Y933" i="6" l="1"/>
  <c r="W932" i="6"/>
  <c r="AC932" i="6" s="1"/>
  <c r="AE932" i="6" s="1"/>
  <c r="Y934" i="6" l="1"/>
  <c r="W933" i="6"/>
  <c r="AC933" i="6" s="1"/>
  <c r="AE933" i="6" s="1"/>
  <c r="Y935" i="6" l="1"/>
  <c r="Y936" i="6" s="1"/>
  <c r="W934" i="6"/>
  <c r="AC934" i="6" s="1"/>
  <c r="AE934" i="6" s="1"/>
  <c r="J36" i="2" l="1"/>
  <c r="E22" i="12"/>
  <c r="Y937" i="6"/>
  <c r="Y938" i="6" s="1"/>
  <c r="E58" i="12" l="1"/>
  <c r="F22" i="12"/>
  <c r="Y939" i="6"/>
  <c r="Y940" i="6" s="1"/>
  <c r="W938" i="6"/>
  <c r="L36" i="2"/>
  <c r="Y941" i="6" l="1"/>
  <c r="Y942" i="6" s="1"/>
  <c r="W940" i="6"/>
  <c r="F58" i="12"/>
  <c r="Y943" i="6" l="1"/>
  <c r="Y944" i="6" s="1"/>
  <c r="W942" i="6"/>
  <c r="Y945" i="6" l="1"/>
  <c r="Y946" i="6" s="1"/>
  <c r="Y947" i="6" s="1"/>
  <c r="Y948" i="6" s="1"/>
  <c r="Y949" i="6" s="1"/>
  <c r="Y950" i="6" s="1"/>
  <c r="W944" i="6"/>
  <c r="Y951" i="6" l="1"/>
  <c r="Y952" i="6" s="1"/>
  <c r="Y953" i="6" s="1"/>
  <c r="Y954" i="6" l="1"/>
  <c r="Y955" i="6" s="1"/>
  <c r="Y956" i="6" s="1"/>
  <c r="Y957" i="6" l="1"/>
  <c r="Y958" i="6" s="1"/>
  <c r="Y959" i="6" s="1"/>
  <c r="Y960" i="6" s="1"/>
  <c r="Y961" i="6" s="1"/>
  <c r="Y962" i="6" s="1"/>
  <c r="Y963" i="6" s="1"/>
  <c r="Y964" i="6" s="1"/>
  <c r="Y965" i="6" s="1"/>
  <c r="Y966" i="6" s="1"/>
  <c r="Y967" i="6" l="1"/>
  <c r="W966" i="6"/>
  <c r="AC966" i="6" s="1"/>
  <c r="AE966" i="6" s="1"/>
  <c r="Y968" i="6" l="1"/>
  <c r="Y969" i="6" s="1"/>
  <c r="Y970" i="6" s="1"/>
  <c r="Y971" i="6" s="1"/>
  <c r="Y972" i="6" s="1"/>
  <c r="W967" i="6"/>
  <c r="AC967" i="6" s="1"/>
  <c r="AE967" i="6" s="1"/>
  <c r="Y973" i="6" l="1"/>
  <c r="W972" i="6"/>
  <c r="AC972" i="6" s="1"/>
  <c r="AE972" i="6" s="1"/>
  <c r="W969" i="6"/>
  <c r="AC969" i="6" s="1"/>
  <c r="AE969" i="6" s="1"/>
  <c r="Y974" i="6" l="1"/>
  <c r="W973" i="6"/>
  <c r="AC973" i="6" s="1"/>
  <c r="AE973" i="6" s="1"/>
  <c r="Y975" i="6" l="1"/>
  <c r="W974" i="6"/>
  <c r="AC974" i="6" s="1"/>
  <c r="AE974" i="6" s="1"/>
  <c r="Y976" i="6" l="1"/>
  <c r="W975" i="6"/>
  <c r="AC975" i="6" s="1"/>
  <c r="AE975" i="6" s="1"/>
  <c r="Y977" i="6" l="1"/>
  <c r="W976" i="6"/>
  <c r="AC976" i="6" s="1"/>
  <c r="AE976" i="6" s="1"/>
  <c r="Y978" i="6" l="1"/>
  <c r="W977" i="6"/>
  <c r="AC977" i="6" s="1"/>
  <c r="AE977" i="6" s="1"/>
  <c r="Y979" i="6" l="1"/>
  <c r="Y980" i="6" s="1"/>
  <c r="Y981" i="6" s="1"/>
  <c r="Y982" i="6" s="1"/>
  <c r="Y983" i="6" s="1"/>
  <c r="Y984" i="6" s="1"/>
  <c r="W978" i="6"/>
  <c r="AC978" i="6" s="1"/>
  <c r="AE978" i="6" s="1"/>
  <c r="Y985" i="6" l="1"/>
  <c r="W984" i="6"/>
  <c r="AC984" i="6" s="1"/>
  <c r="AE984" i="6" s="1"/>
  <c r="W980" i="6"/>
  <c r="AC980" i="6" s="1"/>
  <c r="AE980" i="6" s="1"/>
  <c r="Y986" i="6" l="1"/>
  <c r="Y987" i="6" s="1"/>
  <c r="Y988" i="6" s="1"/>
  <c r="Y989" i="6" s="1"/>
  <c r="W985" i="6"/>
  <c r="AC985" i="6" s="1"/>
  <c r="AE985" i="6" s="1"/>
  <c r="Y990" i="6" l="1"/>
  <c r="W989" i="6"/>
  <c r="AC989" i="6" s="1"/>
  <c r="AE989" i="6" s="1"/>
  <c r="W986" i="6"/>
  <c r="AC986" i="6" s="1"/>
  <c r="AE986" i="6" s="1"/>
  <c r="Y991" i="6" l="1"/>
  <c r="Y992" i="6" s="1"/>
  <c r="Y993" i="6" s="1"/>
  <c r="Y994" i="6" s="1"/>
  <c r="Y995" i="6" s="1"/>
  <c r="Y996" i="6" s="1"/>
  <c r="Y997" i="6" s="1"/>
  <c r="W990" i="6"/>
  <c r="AC990" i="6" s="1"/>
  <c r="AE990" i="6" s="1"/>
  <c r="Y998" i="6" l="1"/>
  <c r="Y999" i="6" s="1"/>
  <c r="Y1000" i="6" s="1"/>
  <c r="Y1001" i="6" s="1"/>
  <c r="W997" i="6"/>
  <c r="AC997" i="6" s="1"/>
  <c r="AE997" i="6" s="1"/>
  <c r="W991" i="6"/>
  <c r="AC991" i="6" s="1"/>
  <c r="AE991" i="6" s="1"/>
  <c r="Y1002" i="6" l="1"/>
  <c r="Y1003" i="6" s="1"/>
  <c r="Y1004" i="6" s="1"/>
  <c r="Y1005" i="6" s="1"/>
  <c r="W1001" i="6"/>
  <c r="AC1001" i="6" s="1"/>
  <c r="AE1001" i="6" s="1"/>
  <c r="W1002" i="6" l="1"/>
  <c r="AC1002" i="6" s="1"/>
  <c r="AE1002" i="6" s="1"/>
  <c r="Y1006" i="6"/>
  <c r="W1005" i="6"/>
  <c r="Y1007" i="6" l="1"/>
  <c r="Y1008" i="6" s="1"/>
  <c r="Y1009" i="6" s="1"/>
  <c r="Y1010" i="6" s="1"/>
  <c r="W1006" i="6"/>
  <c r="AC1006" i="6" s="1"/>
  <c r="AE1006" i="6" s="1"/>
  <c r="Y1011" i="6" l="1"/>
  <c r="W1010" i="6"/>
  <c r="AC1010" i="6" s="1"/>
  <c r="AE1010" i="6" s="1"/>
  <c r="W1007" i="6"/>
  <c r="AC1007" i="6" s="1"/>
  <c r="AE1007" i="6" s="1"/>
  <c r="Y1012" i="6" l="1"/>
  <c r="Y1013" i="6" s="1"/>
  <c r="Y1014" i="6" s="1"/>
  <c r="Y1015" i="6" s="1"/>
  <c r="W1011" i="6"/>
  <c r="AC1011" i="6" s="1"/>
  <c r="AE1011" i="6" s="1"/>
  <c r="W1012" i="6" l="1"/>
  <c r="AC1012" i="6" s="1"/>
  <c r="AE1012" i="6" s="1"/>
  <c r="Y1016" i="6"/>
  <c r="W1015" i="6"/>
  <c r="AC1015" i="6" s="1"/>
  <c r="AE1015" i="6" s="1"/>
  <c r="Y1017" i="6" l="1"/>
  <c r="Y1018" i="6" s="1"/>
  <c r="Y1019" i="6" s="1"/>
  <c r="Y1020" i="6" s="1"/>
  <c r="W1016" i="6"/>
  <c r="AC1016" i="6" s="1"/>
  <c r="AE1016" i="6" s="1"/>
  <c r="W1017" i="6" l="1"/>
  <c r="AC1017" i="6" s="1"/>
  <c r="AE1017" i="6" s="1"/>
  <c r="Y1021" i="6"/>
  <c r="W1020" i="6"/>
  <c r="AC1020" i="6" s="1"/>
  <c r="AE1020" i="6" s="1"/>
  <c r="Y1022" i="6" l="1"/>
  <c r="Y1023" i="6" s="1"/>
  <c r="Y1024" i="6" s="1"/>
  <c r="Y1025" i="6" s="1"/>
  <c r="W1021" i="6"/>
  <c r="AC1021" i="6" s="1"/>
  <c r="AE1021" i="6" s="1"/>
  <c r="Y1026" i="6" l="1"/>
  <c r="W1025" i="6"/>
  <c r="AC1025" i="6" s="1"/>
  <c r="AE1025" i="6" s="1"/>
  <c r="W1022" i="6"/>
  <c r="AC1022" i="6" s="1"/>
  <c r="AE1022" i="6" s="1"/>
  <c r="Y1027" i="6" l="1"/>
  <c r="Y1028" i="6" s="1"/>
  <c r="Y1029" i="6" s="1"/>
  <c r="Y1030" i="6" s="1"/>
  <c r="W1026" i="6"/>
  <c r="AC1026" i="6" s="1"/>
  <c r="AE1026" i="6" s="1"/>
  <c r="Y1031" i="6" l="1"/>
  <c r="W1030" i="6"/>
  <c r="AC1030" i="6" s="1"/>
  <c r="AE1030" i="6" s="1"/>
  <c r="W1027" i="6"/>
  <c r="AC1027" i="6" s="1"/>
  <c r="AE1027" i="6" s="1"/>
  <c r="Y1032" i="6" l="1"/>
  <c r="Y1033" i="6" s="1"/>
  <c r="Y1034" i="6" s="1"/>
  <c r="Y1035" i="6" s="1"/>
  <c r="W1031" i="6"/>
  <c r="AC1031" i="6" s="1"/>
  <c r="AE1031" i="6" s="1"/>
  <c r="W1032" i="6" l="1"/>
  <c r="AC1032" i="6" l="1"/>
  <c r="AE1032" i="6" s="1"/>
  <c r="W1034" i="6"/>
  <c r="Y1036" i="6"/>
  <c r="Y1037" i="6" s="1"/>
  <c r="Y1038" i="6" s="1"/>
  <c r="Y1039" i="6" l="1"/>
  <c r="W1038" i="6"/>
  <c r="AC1034" i="6" l="1"/>
  <c r="AE1034" i="6" s="1"/>
  <c r="Y1040" i="6"/>
  <c r="W1039" i="6"/>
  <c r="AC1039" i="6" s="1"/>
  <c r="AE1039" i="6" s="1"/>
  <c r="Y1041" i="6" l="1"/>
  <c r="Y1042" i="6" s="1"/>
  <c r="Y1043" i="6" s="1"/>
  <c r="W1040" i="6"/>
  <c r="AC1040" i="6" s="1"/>
  <c r="AE1040" i="6" s="1"/>
  <c r="Y1044" i="6" l="1"/>
  <c r="W1043" i="6"/>
  <c r="AC1043" i="6" s="1"/>
  <c r="AE1043" i="6" s="1"/>
  <c r="Y1045" i="6" l="1"/>
  <c r="W1044" i="6"/>
  <c r="AC1044" i="6" s="1"/>
  <c r="AE1044" i="6" s="1"/>
  <c r="Y1046" i="6" l="1"/>
  <c r="W1045" i="6"/>
  <c r="AC1045" i="6" s="1"/>
  <c r="AE1045" i="6" s="1"/>
  <c r="Y1047" i="6" l="1"/>
  <c r="Y1048" i="6" s="1"/>
  <c r="Y1049" i="6" s="1"/>
  <c r="W1046" i="6"/>
  <c r="AC1046" i="6" s="1"/>
  <c r="AE1046" i="6" s="1"/>
  <c r="Y1050" i="6" l="1"/>
  <c r="W1049" i="6"/>
  <c r="Y1051" i="6" l="1"/>
  <c r="W1050" i="6"/>
  <c r="AC1050" i="6" s="1"/>
  <c r="AE1050" i="6" s="1"/>
  <c r="Y1052" i="6" l="1"/>
  <c r="W1051" i="6"/>
  <c r="AC1051" i="6" s="1"/>
  <c r="AE1051" i="6" s="1"/>
  <c r="Y1053" i="6" l="1"/>
  <c r="Y1054" i="6" s="1"/>
  <c r="Y1055" i="6" s="1"/>
  <c r="W1052" i="6"/>
  <c r="AC1052" i="6" s="1"/>
  <c r="AE1052" i="6" s="1"/>
  <c r="Y1056" i="6" l="1"/>
  <c r="W1055" i="6"/>
  <c r="Y1057" i="6" l="1"/>
  <c r="W1056" i="6"/>
  <c r="AC1056" i="6" s="1"/>
  <c r="AE1056" i="6" s="1"/>
  <c r="Y1058" i="6" l="1"/>
  <c r="W1057" i="6"/>
  <c r="AC1057" i="6" s="1"/>
  <c r="AE1057" i="6" s="1"/>
  <c r="Y1059" i="6" l="1"/>
  <c r="Y1060" i="6" s="1"/>
  <c r="Y1061" i="6" s="1"/>
  <c r="W1058" i="6"/>
  <c r="AC1058" i="6" s="1"/>
  <c r="AE1058" i="6" s="1"/>
  <c r="Y1062" i="6" l="1"/>
  <c r="W1061" i="6"/>
  <c r="Y1063" i="6" l="1"/>
  <c r="W1062" i="6"/>
  <c r="AC1062" i="6" s="1"/>
  <c r="AE1062" i="6" s="1"/>
  <c r="Y1064" i="6" l="1"/>
  <c r="Y1065" i="6" s="1"/>
  <c r="Y1066" i="6" s="1"/>
  <c r="W1063" i="6"/>
  <c r="AC1063" i="6" s="1"/>
  <c r="AE1063" i="6" s="1"/>
  <c r="Y1067" i="6" l="1"/>
  <c r="W1066" i="6"/>
  <c r="AC1066" i="6" s="1"/>
  <c r="AE1066" i="6" s="1"/>
  <c r="Y1068" i="6" l="1"/>
  <c r="W1067" i="6"/>
  <c r="AC1067" i="6" s="1"/>
  <c r="AE1067" i="6" s="1"/>
  <c r="Y1069" i="6" l="1"/>
  <c r="W1068" i="6"/>
  <c r="AC1068" i="6" s="1"/>
  <c r="AE1068" i="6" s="1"/>
  <c r="Y1070" i="6" l="1"/>
  <c r="Y1071" i="6" s="1"/>
  <c r="Y1072" i="6" s="1"/>
  <c r="W1069" i="6"/>
  <c r="AC1069" i="6" s="1"/>
  <c r="AE1069" i="6" s="1"/>
  <c r="Y1073" i="6" l="1"/>
  <c r="W1072" i="6"/>
  <c r="Y1074" i="6" l="1"/>
  <c r="W1073" i="6"/>
  <c r="AC1073" i="6" s="1"/>
  <c r="AE1073" i="6" s="1"/>
  <c r="Y1075" i="6" l="1"/>
  <c r="W1074" i="6"/>
  <c r="AC1074" i="6" s="1"/>
  <c r="AE1074" i="6" s="1"/>
  <c r="Y1076" i="6" l="1"/>
  <c r="Y1077" i="6" s="1"/>
  <c r="Y1078" i="6" s="1"/>
  <c r="W1075" i="6"/>
  <c r="AC1075" i="6" s="1"/>
  <c r="AE1075" i="6" s="1"/>
  <c r="Y1079" i="6" l="1"/>
  <c r="W1078" i="6"/>
  <c r="Y1080" i="6" l="1"/>
  <c r="W1079" i="6"/>
  <c r="AC1079" i="6" s="1"/>
  <c r="AE1079" i="6" s="1"/>
  <c r="Y1081" i="6" l="1"/>
  <c r="W1080" i="6"/>
  <c r="Y1082" i="6" l="1"/>
  <c r="Y1083" i="6" s="1"/>
  <c r="Y1084" i="6" s="1"/>
  <c r="W1081" i="6"/>
  <c r="AC1081" i="6" s="1"/>
  <c r="AE1081" i="6" s="1"/>
  <c r="Y1085" i="6" l="1"/>
  <c r="W1084" i="6"/>
  <c r="Y1086" i="6" l="1"/>
  <c r="W1085" i="6"/>
  <c r="AC1085" i="6" s="1"/>
  <c r="AE1085" i="6" s="1"/>
  <c r="Y1087" i="6" l="1"/>
  <c r="Y1088" i="6" s="1"/>
  <c r="Y1089" i="6" s="1"/>
  <c r="W1086" i="6"/>
  <c r="AC1086" i="6" s="1"/>
  <c r="AE1086" i="6" s="1"/>
  <c r="Y1090" i="6" l="1"/>
  <c r="W1089" i="6"/>
  <c r="AC1089" i="6" s="1"/>
  <c r="AE1089" i="6" s="1"/>
  <c r="Y1091" i="6" l="1"/>
  <c r="W1090" i="6"/>
  <c r="AC1090" i="6" s="1"/>
  <c r="AE1090" i="6" s="1"/>
  <c r="Y1092" i="6" l="1"/>
  <c r="W1091" i="6"/>
  <c r="AC1091" i="6" s="1"/>
  <c r="AE1091" i="6" s="1"/>
  <c r="Y1093" i="6" l="1"/>
  <c r="Y1094" i="6" s="1"/>
  <c r="W1092" i="6"/>
  <c r="AC1092" i="6" l="1"/>
  <c r="AE1092" i="6" s="1"/>
  <c r="W1094" i="6"/>
  <c r="Y1095" i="6"/>
  <c r="Y1096" i="6" s="1"/>
  <c r="Y1097" i="6" s="1"/>
  <c r="Y1098" i="6" s="1"/>
  <c r="AC1094" i="6" l="1"/>
  <c r="AE1094" i="6" s="1"/>
  <c r="Y1099" i="6"/>
  <c r="W1098" i="6"/>
  <c r="AC1098" i="6" s="1"/>
  <c r="AE1098" i="6" s="1"/>
  <c r="Y1100" i="6" l="1"/>
  <c r="W1099" i="6"/>
  <c r="Y1101" i="6" l="1"/>
  <c r="W1100" i="6"/>
  <c r="AC1100" i="6" s="1"/>
  <c r="AE1100" i="6" s="1"/>
  <c r="Y1102" i="6" l="1"/>
  <c r="W1101" i="6"/>
  <c r="AC1101" i="6" s="1"/>
  <c r="AE1101" i="6" s="1"/>
  <c r="Y1103" i="6" l="1"/>
  <c r="Y1104" i="6" s="1"/>
  <c r="Y1105" i="6" s="1"/>
  <c r="W1102" i="6"/>
  <c r="AC1102" i="6" s="1"/>
  <c r="AE1102" i="6" s="1"/>
  <c r="J50" i="2" l="1"/>
  <c r="Y1106" i="6"/>
  <c r="W1105" i="6"/>
  <c r="AC1105" i="6" s="1"/>
  <c r="AE1105" i="6" s="1"/>
  <c r="Y1107" i="6" l="1"/>
  <c r="Y1108" i="6" s="1"/>
  <c r="Y1109" i="6" s="1"/>
  <c r="W1106" i="6"/>
  <c r="AC1106" i="6" s="1"/>
  <c r="AE1106" i="6" s="1"/>
  <c r="L50" i="2"/>
  <c r="J51" i="2" l="1"/>
  <c r="Y1110" i="6"/>
  <c r="W1109" i="6"/>
  <c r="L51" i="2" l="1"/>
  <c r="Y1111" i="6"/>
  <c r="W1110" i="6"/>
  <c r="AC1110" i="6" s="1"/>
  <c r="AE1110" i="6" s="1"/>
  <c r="Y1112" i="6" l="1"/>
  <c r="W1111" i="6"/>
  <c r="AC1111" i="6" s="1"/>
  <c r="AE1111" i="6" s="1"/>
  <c r="Y1113" i="6" l="1"/>
  <c r="W1112" i="6"/>
  <c r="AC1112" i="6" s="1"/>
  <c r="AE1112" i="6" s="1"/>
  <c r="Y1114" i="6" l="1"/>
  <c r="Y1115" i="6" s="1"/>
  <c r="Y1116" i="6" s="1"/>
  <c r="W1113" i="6"/>
  <c r="AC1113" i="6" s="1"/>
  <c r="AE1113" i="6" s="1"/>
  <c r="J52" i="2" l="1"/>
  <c r="Y1117" i="6"/>
  <c r="W1116" i="6"/>
  <c r="AC1116" i="6" s="1"/>
  <c r="AE1116" i="6" s="1"/>
  <c r="Y1118" i="6" l="1"/>
  <c r="W1117" i="6"/>
  <c r="L52" i="2"/>
  <c r="Y1119" i="6" l="1"/>
  <c r="W1118" i="6"/>
  <c r="AC1118" i="6" s="1"/>
  <c r="AE1118" i="6" s="1"/>
  <c r="Y1120" i="6" l="1"/>
  <c r="W1119" i="6"/>
  <c r="AC1119" i="6" s="1"/>
  <c r="AE1119" i="6" s="1"/>
  <c r="Y1121" i="6" l="1"/>
  <c r="Y1122" i="6" s="1"/>
  <c r="Y1123" i="6" s="1"/>
  <c r="W1120" i="6"/>
  <c r="AC1120" i="6" s="1"/>
  <c r="AE1120" i="6" s="1"/>
  <c r="Y1124" i="6" l="1"/>
  <c r="W1123" i="6"/>
  <c r="AC1123" i="6" s="1"/>
  <c r="AE1123" i="6" s="1"/>
  <c r="J53" i="2"/>
  <c r="L53" i="2" l="1"/>
  <c r="Y1125" i="6"/>
  <c r="W1124" i="6"/>
  <c r="AC1124" i="6" s="1"/>
  <c r="AE1124" i="6" s="1"/>
  <c r="Y1126" i="6" l="1"/>
  <c r="W1125" i="6"/>
  <c r="AC1125" i="6" s="1"/>
  <c r="AE1125" i="6" s="1"/>
  <c r="Y1127" i="6" l="1"/>
  <c r="W1126" i="6"/>
  <c r="Y1128" i="6" l="1"/>
  <c r="W1127" i="6"/>
  <c r="AC1127" i="6" s="1"/>
  <c r="AE1127" i="6" s="1"/>
  <c r="Y1129" i="6" l="1"/>
  <c r="Y1130" i="6" s="1"/>
  <c r="J54" i="2"/>
  <c r="Y1131" i="6" l="1"/>
  <c r="W1130" i="6"/>
  <c r="AC1130" i="6" s="1"/>
  <c r="AE1130" i="6" s="1"/>
  <c r="L54" i="2"/>
  <c r="Y1132" i="6" l="1"/>
  <c r="W1131" i="6"/>
  <c r="AC1131" i="6" s="1"/>
  <c r="AE1131" i="6" s="1"/>
  <c r="Y1133" i="6" l="1"/>
  <c r="W1132" i="6"/>
  <c r="AC1132" i="6" s="1"/>
  <c r="AE1132" i="6" s="1"/>
  <c r="Y1134" i="6" l="1"/>
  <c r="W1133" i="6"/>
  <c r="Y1135" i="6" l="1"/>
  <c r="Y1136" i="6" s="1"/>
  <c r="Y1137" i="6" s="1"/>
  <c r="Y1138" i="6" s="1"/>
  <c r="W1134" i="6"/>
  <c r="AC1134" i="6" s="1"/>
  <c r="AE1134" i="6" s="1"/>
  <c r="W1138" i="6" l="1"/>
  <c r="AC1138" i="6" s="1"/>
  <c r="AE1138" i="6" s="1"/>
  <c r="Y1139" i="6"/>
  <c r="J55" i="2"/>
  <c r="J56" i="2" s="1"/>
  <c r="L55" i="2" l="1"/>
  <c r="L56" i="2" s="1"/>
  <c r="Y1140" i="6"/>
  <c r="W1139" i="6"/>
  <c r="W1140" i="6" l="1"/>
  <c r="AC1140" i="6" s="1"/>
  <c r="AE1140" i="6" s="1"/>
  <c r="Y1141" i="6"/>
  <c r="Y1142" i="6" l="1"/>
  <c r="Y1143" i="6" s="1"/>
  <c r="Y1144" i="6" s="1"/>
  <c r="W1141" i="6"/>
  <c r="AC1141" i="6" s="1"/>
  <c r="AE1141" i="6" s="1"/>
  <c r="W1144" i="6" l="1"/>
  <c r="AC1144" i="6" s="1"/>
  <c r="AE1144" i="6" s="1"/>
  <c r="Y1145" i="6"/>
  <c r="Y1146" i="6" s="1"/>
  <c r="Y1147" i="6" s="1"/>
  <c r="Y1148" i="6" s="1"/>
  <c r="Y1149" i="6" s="1"/>
  <c r="Y1150" i="6" s="1"/>
  <c r="W1150" i="6" l="1"/>
  <c r="AC1150" i="6" s="1"/>
  <c r="AE1150" i="6" s="1"/>
  <c r="Y1151" i="6"/>
  <c r="Y1152" i="6" l="1"/>
  <c r="W1151" i="6"/>
  <c r="AC1151" i="6" s="1"/>
  <c r="AE1151" i="6" s="1"/>
  <c r="Y1153" i="6" l="1"/>
  <c r="Y1154" i="6" s="1"/>
  <c r="Y1155" i="6" s="1"/>
  <c r="W1152" i="6"/>
  <c r="J59" i="2" l="1"/>
  <c r="L59" i="2" s="1"/>
  <c r="AC1152" i="6"/>
  <c r="AE1152" i="6" s="1"/>
  <c r="Y1156" i="6"/>
  <c r="W1155" i="6"/>
  <c r="AC1155" i="6" s="1"/>
  <c r="AE1155" i="6" s="1"/>
  <c r="Y1157" i="6" l="1"/>
  <c r="Y1158" i="6" s="1"/>
  <c r="Y1159" i="6" s="1"/>
  <c r="W1156" i="6"/>
  <c r="J60" i="2" s="1"/>
  <c r="W1159" i="6" l="1"/>
  <c r="AC1159" i="6" s="1"/>
  <c r="AE1159" i="6" s="1"/>
  <c r="Y1160" i="6"/>
  <c r="L60" i="2"/>
  <c r="W1160" i="6" l="1"/>
  <c r="Y1161" i="6"/>
  <c r="Y1162" i="6" s="1"/>
  <c r="Y1163" i="6" s="1"/>
  <c r="J61" i="2" l="1"/>
  <c r="L61" i="2" s="1"/>
  <c r="AC1160" i="6"/>
  <c r="AE1160" i="6" s="1"/>
  <c r="W1163" i="6"/>
  <c r="AC1163" i="6" s="1"/>
  <c r="AE1163" i="6" s="1"/>
  <c r="Y1164" i="6"/>
  <c r="Y1165" i="6" l="1"/>
  <c r="W1164" i="6"/>
  <c r="Y1166" i="6" l="1"/>
  <c r="W1165" i="6"/>
  <c r="AC1165" i="6" s="1"/>
  <c r="AE1165" i="6" s="1"/>
  <c r="Y1167" i="6" l="1"/>
  <c r="W1166" i="6"/>
  <c r="Y1168" i="6" l="1"/>
  <c r="Y1169" i="6" s="1"/>
  <c r="Y1170" i="6" s="1"/>
  <c r="W1167" i="6"/>
  <c r="J62" i="2" l="1"/>
  <c r="L62" i="2" s="1"/>
  <c r="AC1167" i="6"/>
  <c r="AE1167" i="6" s="1"/>
  <c r="Y1171" i="6"/>
  <c r="W1170" i="6"/>
  <c r="AC1170" i="6" s="1"/>
  <c r="AE1170" i="6" s="1"/>
  <c r="W1171" i="6" l="1"/>
  <c r="AC1171" i="6" s="1"/>
  <c r="AE1171" i="6" s="1"/>
  <c r="Y1172" i="6"/>
  <c r="W1172" i="6" l="1"/>
  <c r="AC1172" i="6" s="1"/>
  <c r="AE1172" i="6" s="1"/>
  <c r="Y1173" i="6"/>
  <c r="Y1174" i="6" l="1"/>
  <c r="W1173" i="6"/>
  <c r="Y1175" i="6" l="1"/>
  <c r="Y1176" i="6" s="1"/>
  <c r="Y1177" i="6" s="1"/>
  <c r="W1174" i="6"/>
  <c r="J63" i="2" l="1"/>
  <c r="L63" i="2" s="1"/>
  <c r="AC1174" i="6"/>
  <c r="AE1174" i="6" s="1"/>
  <c r="Y1178" i="6"/>
  <c r="W1177" i="6"/>
  <c r="Y1179" i="6" l="1"/>
  <c r="W1178" i="6"/>
  <c r="AC1178" i="6" s="1"/>
  <c r="AE1178" i="6" s="1"/>
  <c r="Y1180" i="6" l="1"/>
  <c r="Y1181" i="6" s="1"/>
  <c r="Y1182" i="6" s="1"/>
  <c r="W1179" i="6"/>
  <c r="J64" i="2" l="1"/>
  <c r="L64" i="2" s="1"/>
  <c r="AC1179" i="6"/>
  <c r="AE1179" i="6" s="1"/>
  <c r="Y1183" i="6"/>
  <c r="W1182" i="6"/>
  <c r="Y1184" i="6" l="1"/>
  <c r="W1183" i="6"/>
  <c r="AC1183" i="6" s="1"/>
  <c r="AE1183" i="6" s="1"/>
  <c r="Y1185" i="6" l="1"/>
  <c r="Y1186" i="6" s="1"/>
  <c r="Y1187" i="6" s="1"/>
  <c r="W1184" i="6"/>
  <c r="J65" i="2" l="1"/>
  <c r="L65" i="2" s="1"/>
  <c r="AC1184" i="6"/>
  <c r="AE1184" i="6" s="1"/>
  <c r="W1187" i="6"/>
  <c r="AC1187" i="6" s="1"/>
  <c r="AE1187" i="6" s="1"/>
  <c r="Y1188" i="6"/>
  <c r="Y1189" i="6" l="1"/>
  <c r="Y1190" i="6" s="1"/>
  <c r="Y1191" i="6" s="1"/>
  <c r="W1188" i="6"/>
  <c r="J66" i="2" l="1"/>
  <c r="L66" i="2" s="1"/>
  <c r="AC1188" i="6"/>
  <c r="AE1188" i="6" s="1"/>
  <c r="W1191" i="6"/>
  <c r="AC1191" i="6" s="1"/>
  <c r="AE1191" i="6" s="1"/>
  <c r="Y1192" i="6"/>
  <c r="Y1193" i="6" l="1"/>
  <c r="W1192" i="6"/>
  <c r="Y1194" i="6" l="1"/>
  <c r="W1193" i="6"/>
  <c r="AC1193" i="6" s="1"/>
  <c r="AE1193" i="6" s="1"/>
  <c r="Y1195" i="6" l="1"/>
  <c r="W1194" i="6"/>
  <c r="AC1194" i="6" s="1"/>
  <c r="AE1194" i="6" s="1"/>
  <c r="W1195" i="6" l="1"/>
  <c r="Y1196" i="6"/>
  <c r="Y1197" i="6" s="1"/>
  <c r="Y1198" i="6" s="1"/>
  <c r="J67" i="2" l="1"/>
  <c r="L67" i="2" s="1"/>
  <c r="AC1195" i="6"/>
  <c r="AE1195" i="6" s="1"/>
  <c r="W1198" i="6"/>
  <c r="AC1198" i="6" s="1"/>
  <c r="AE1198" i="6" s="1"/>
  <c r="Y1199" i="6"/>
  <c r="W1199" i="6" l="1"/>
  <c r="AC1199" i="6" s="1"/>
  <c r="AE1199" i="6" s="1"/>
  <c r="Y1200" i="6"/>
  <c r="W1200" i="6" l="1"/>
  <c r="AC1200" i="6" s="1"/>
  <c r="AE1200" i="6" s="1"/>
  <c r="Y1201" i="6"/>
  <c r="W1201" i="6" l="1"/>
  <c r="AC1201" i="6" s="1"/>
  <c r="AE1201" i="6" s="1"/>
  <c r="Y1202" i="6"/>
  <c r="W1202" i="6" l="1"/>
  <c r="AC1202" i="6" s="1"/>
  <c r="AE1202" i="6" s="1"/>
  <c r="Y1203" i="6"/>
  <c r="Y1204" i="6" s="1"/>
  <c r="Y1205" i="6" s="1"/>
  <c r="W1205" i="6" l="1"/>
  <c r="AC1205" i="6" s="1"/>
  <c r="AE1205" i="6" s="1"/>
  <c r="Y1206" i="6"/>
  <c r="W1206" i="6" l="1"/>
  <c r="AC1206" i="6" s="1"/>
  <c r="AE1206" i="6" s="1"/>
  <c r="Y1207" i="6"/>
  <c r="Y1208" i="6" l="1"/>
  <c r="W1207" i="6"/>
  <c r="AC1207" i="6" s="1"/>
  <c r="AE1207" i="6" s="1"/>
  <c r="Y1209" i="6" l="1"/>
  <c r="W1208" i="6"/>
  <c r="AC1208" i="6" s="1"/>
  <c r="AE1208" i="6" s="1"/>
  <c r="Y1210" i="6" l="1"/>
  <c r="Y1211" i="6" s="1"/>
  <c r="Y1212" i="6" s="1"/>
  <c r="W1209" i="6"/>
  <c r="AC1209" i="6" s="1"/>
  <c r="AE1209" i="6" s="1"/>
  <c r="W1212" i="6" l="1"/>
  <c r="AC1212" i="6" s="1"/>
  <c r="AE1212" i="6" s="1"/>
  <c r="Y1213" i="6"/>
  <c r="Y1214" i="6" l="1"/>
  <c r="Y1215" i="6" s="1"/>
  <c r="Y1216" i="6" s="1"/>
  <c r="W1213" i="6"/>
  <c r="J68" i="2" l="1"/>
  <c r="L68" i="2" s="1"/>
  <c r="AC1213" i="6"/>
  <c r="AE1213" i="6" s="1"/>
  <c r="Y1217" i="6"/>
  <c r="W1216" i="6"/>
  <c r="AC1216" i="6" s="1"/>
  <c r="AE1216" i="6" s="1"/>
  <c r="W1217" i="6" l="1"/>
  <c r="Y1218" i="6"/>
  <c r="W1218" i="6" l="1"/>
  <c r="AC1218" i="6" s="1"/>
  <c r="AE1218" i="6" s="1"/>
  <c r="Y1219" i="6"/>
  <c r="Y1220" i="6" l="1"/>
  <c r="Y1221" i="6" s="1"/>
  <c r="Y1222" i="6" s="1"/>
  <c r="W1219" i="6"/>
  <c r="AC1219" i="6" s="1"/>
  <c r="AE1219" i="6" s="1"/>
  <c r="W1222" i="6" l="1"/>
  <c r="AC1222" i="6" s="1"/>
  <c r="AE1222" i="6" s="1"/>
  <c r="Y1223" i="6"/>
  <c r="Y1224" i="6" s="1"/>
  <c r="Y1225" i="6" s="1"/>
  <c r="W1225" i="6" l="1"/>
  <c r="AC1225" i="6" s="1"/>
  <c r="AE1225" i="6" s="1"/>
  <c r="Y1226" i="6"/>
  <c r="Y1227" i="6" l="1"/>
  <c r="W1226" i="6"/>
  <c r="W1227" i="6" l="1"/>
  <c r="AC1227" i="6" s="1"/>
  <c r="AE1227" i="6" s="1"/>
  <c r="Y1228" i="6"/>
  <c r="W1228" i="6" l="1"/>
  <c r="AC1228" i="6" s="1"/>
  <c r="AE1228" i="6" s="1"/>
  <c r="Y1229" i="6"/>
  <c r="Y1230" i="6" s="1"/>
  <c r="Y1231" i="6" s="1"/>
  <c r="Y1232" i="6" l="1"/>
  <c r="Y1233" i="6" s="1"/>
  <c r="Y1234" i="6" s="1"/>
  <c r="Y1235" i="6" s="1"/>
  <c r="Y1236" i="6" s="1"/>
  <c r="Y1237" i="6" s="1"/>
  <c r="Y1238" i="6" s="1"/>
  <c r="Y1239" i="6" s="1"/>
  <c r="Y1240" i="6" s="1"/>
  <c r="Y1241" i="6" s="1"/>
  <c r="Y1242" i="6" s="1"/>
  <c r="Y1243" i="6" s="1"/>
  <c r="Y1244" i="6" s="1"/>
  <c r="Y1245" i="6" s="1"/>
  <c r="Y1246" i="6" s="1"/>
  <c r="Y1247" i="6" s="1"/>
  <c r="Y1248" i="6" s="1"/>
  <c r="Y1249" i="6" s="1"/>
  <c r="Y1250" i="6" s="1"/>
  <c r="Y1251" i="6" s="1"/>
  <c r="Y1252" i="6" s="1"/>
  <c r="Y1253" i="6" s="1"/>
  <c r="Y1254" i="6" s="1"/>
  <c r="Y1255" i="6" s="1"/>
  <c r="Y1256" i="6" s="1"/>
  <c r="Y1257" i="6" s="1"/>
  <c r="W1231" i="6"/>
  <c r="P368" i="3"/>
  <c r="E23" i="12" l="1"/>
  <c r="F23" i="12" s="1"/>
  <c r="AC1231" i="6"/>
  <c r="AE1231" i="6" s="1"/>
  <c r="W1257" i="6"/>
  <c r="AC1257" i="6" s="1"/>
  <c r="AE1257" i="6" s="1"/>
  <c r="Y1258" i="6"/>
  <c r="P512" i="3"/>
  <c r="S512" i="3" s="1"/>
  <c r="V368" i="3"/>
  <c r="Y1259" i="6" l="1"/>
  <c r="W1258" i="6"/>
  <c r="U512" i="3"/>
  <c r="V512" i="3" s="1"/>
  <c r="N840" i="3"/>
  <c r="W1259" i="6" l="1"/>
  <c r="AC1259" i="6" s="1"/>
  <c r="AE1259" i="6" s="1"/>
  <c r="Y1260" i="6"/>
  <c r="Y1261" i="6" s="1"/>
  <c r="Y1262" i="6" s="1"/>
  <c r="Y1263" i="6" s="1"/>
  <c r="Q24" i="595"/>
  <c r="U24" i="595" l="1"/>
  <c r="N25" i="595" s="1"/>
  <c r="T24" i="595"/>
  <c r="E15" i="582" l="1"/>
  <c r="E16" i="582"/>
  <c r="R838" i="3" s="1"/>
  <c r="E17" i="582" l="1"/>
  <c r="R839" i="3" s="1"/>
  <c r="R887" i="3" s="1"/>
  <c r="J887" i="3"/>
  <c r="R886" i="3"/>
  <c r="J840" i="3"/>
  <c r="J886" i="3"/>
  <c r="R840" i="3" l="1"/>
  <c r="R889" i="3" s="1"/>
  <c r="R33" i="5" s="1"/>
  <c r="R34" i="5" s="1"/>
  <c r="J889" i="3"/>
  <c r="J33" i="5" l="1"/>
  <c r="J34" i="5" s="1"/>
  <c r="J892" i="3"/>
  <c r="R892" i="3"/>
  <c r="R923" i="3" s="1"/>
  <c r="R39" i="5" s="1"/>
  <c r="R40" i="5" s="1"/>
  <c r="R43" i="5" s="1"/>
  <c r="R46" i="5" s="1"/>
  <c r="J1217" i="3" l="1"/>
  <c r="J923" i="3"/>
  <c r="R1217" i="3"/>
  <c r="R1220" i="3"/>
  <c r="R933" i="3"/>
  <c r="R936" i="3" s="1"/>
  <c r="R939" i="3" s="1"/>
  <c r="J39" i="5" l="1"/>
  <c r="J40" i="5" s="1"/>
  <c r="J43" i="5" s="1"/>
  <c r="J46" i="5" s="1"/>
  <c r="J1220" i="3"/>
  <c r="J933" i="3"/>
  <c r="R1224" i="3"/>
  <c r="R1226" i="3" s="1"/>
  <c r="R1231" i="3" s="1"/>
  <c r="R70" i="5" s="1"/>
  <c r="R71" i="5" s="1"/>
  <c r="R74" i="5" s="1"/>
  <c r="J1224" i="3" l="1"/>
  <c r="J936" i="3"/>
  <c r="R1238" i="3"/>
  <c r="R1241" i="3"/>
  <c r="J939" i="3" l="1"/>
  <c r="J1226" i="3"/>
  <c r="AI43" i="33"/>
  <c r="AJ43" i="33" s="1"/>
  <c r="AJ45" i="33" s="1"/>
  <c r="J1231" i="3" l="1"/>
  <c r="AI45" i="33"/>
  <c r="J70" i="5" l="1"/>
  <c r="J71" i="5" s="1"/>
  <c r="J74" i="5" s="1"/>
  <c r="J1241" i="3"/>
  <c r="J1238" i="3"/>
  <c r="X28" i="33"/>
  <c r="V23" i="595" l="1"/>
  <c r="R24" i="595"/>
  <c r="W23" i="595" l="1"/>
  <c r="M14" i="595" s="1"/>
  <c r="M45" i="2" l="1"/>
  <c r="M74" i="2" l="1"/>
  <c r="G11" i="52" l="1"/>
  <c r="G10" i="52"/>
  <c r="G9" i="52"/>
  <c r="O32" i="33" l="1"/>
  <c r="G13" i="52"/>
  <c r="V18" i="594"/>
  <c r="V19" i="594" s="1"/>
  <c r="W19" i="594" s="1"/>
  <c r="X19" i="594" s="1"/>
  <c r="P17" i="594" s="1"/>
  <c r="R26" i="42"/>
  <c r="AB16" i="594"/>
  <c r="AB17" i="594" s="1"/>
  <c r="AC17" i="594" s="1"/>
  <c r="AD17" i="594" s="1"/>
  <c r="V31" i="594"/>
  <c r="V32" i="594" s="1"/>
  <c r="W32" i="594" s="1"/>
  <c r="X32" i="594" s="1"/>
  <c r="P16" i="594" s="1"/>
  <c r="Q16" i="594" s="1"/>
  <c r="R16" i="594" s="1"/>
  <c r="D16" i="594" s="1"/>
  <c r="F16" i="594" s="1"/>
  <c r="L21" i="595"/>
  <c r="AH16" i="594"/>
  <c r="AH17" i="594" s="1"/>
  <c r="AI17" i="594" s="1"/>
  <c r="AJ17" i="594" s="1"/>
  <c r="P20" i="594" l="1"/>
  <c r="L22" i="595"/>
  <c r="M22" i="595" s="1"/>
  <c r="N22" i="595" s="1"/>
  <c r="Q17" i="594"/>
  <c r="N27" i="595" l="1"/>
  <c r="N29" i="595" s="1"/>
  <c r="R17" i="594"/>
  <c r="N32" i="595" l="1"/>
  <c r="N31" i="595"/>
  <c r="C12" i="595"/>
  <c r="D17" i="594"/>
  <c r="U851" i="3"/>
  <c r="N33" i="595" l="1"/>
  <c r="C14" i="595"/>
  <c r="F12" i="595"/>
  <c r="C15" i="595"/>
  <c r="F17" i="594"/>
  <c r="G855" i="6"/>
  <c r="V851" i="3" s="1"/>
  <c r="F14" i="595" l="1"/>
  <c r="N842" i="3" s="1"/>
  <c r="F15" i="595"/>
  <c r="N843" i="3" s="1"/>
  <c r="N887" i="3" s="1"/>
  <c r="U852" i="3"/>
  <c r="U850" i="3"/>
  <c r="I855" i="6"/>
  <c r="E855" i="6"/>
  <c r="N886" i="3" l="1"/>
  <c r="N889" i="3" s="1"/>
  <c r="N33" i="5" s="1"/>
  <c r="N34" i="5" s="1"/>
  <c r="N844" i="3"/>
  <c r="G856" i="6"/>
  <c r="V852" i="3" s="1"/>
  <c r="N855" i="6"/>
  <c r="J855" i="6"/>
  <c r="M855" i="6"/>
  <c r="G854" i="6"/>
  <c r="N892" i="3" l="1"/>
  <c r="N923" i="3" s="1"/>
  <c r="N39" i="5" s="1"/>
  <c r="N40" i="5" s="1"/>
  <c r="N43" i="5" s="1"/>
  <c r="N46" i="5" s="1"/>
  <c r="Q855" i="6"/>
  <c r="T855" i="6"/>
  <c r="E856" i="6"/>
  <c r="E854" i="6"/>
  <c r="I854" i="6"/>
  <c r="V850" i="3"/>
  <c r="N1220" i="3" l="1"/>
  <c r="N933" i="3"/>
  <c r="N936" i="3" s="1"/>
  <c r="N939" i="3" s="1"/>
  <c r="N1217" i="3"/>
  <c r="I856" i="6"/>
  <c r="J854" i="6"/>
  <c r="N854" i="6"/>
  <c r="M854" i="6"/>
  <c r="W855" i="6"/>
  <c r="AC855" i="6" s="1"/>
  <c r="AE855" i="6" s="1"/>
  <c r="N1224" i="3" l="1"/>
  <c r="N1226" i="3" s="1"/>
  <c r="N1231" i="3" s="1"/>
  <c r="N70" i="5" s="1"/>
  <c r="N71" i="5" s="1"/>
  <c r="N74" i="5" s="1"/>
  <c r="M856" i="6"/>
  <c r="Q854" i="6"/>
  <c r="N856" i="6"/>
  <c r="T854" i="6"/>
  <c r="J856" i="6"/>
  <c r="N1241" i="3" l="1"/>
  <c r="N1238" i="3"/>
  <c r="T856" i="6"/>
  <c r="W854" i="6"/>
  <c r="AC854" i="6" s="1"/>
  <c r="AE854" i="6" s="1"/>
  <c r="Q856" i="6"/>
  <c r="W856" i="6" l="1"/>
  <c r="AC856" i="6" s="1"/>
  <c r="AE856" i="6" s="1"/>
  <c r="AP5" i="594" l="1"/>
  <c r="AP9" i="594" s="1"/>
  <c r="N15" i="594" l="1"/>
  <c r="N20" i="594" l="1"/>
  <c r="Q15" i="594"/>
  <c r="Q20" i="594" s="1"/>
  <c r="R15" i="594"/>
  <c r="D15" i="594" l="1"/>
  <c r="R20" i="594"/>
  <c r="R23" i="594" s="1"/>
  <c r="R25" i="594" l="1"/>
  <c r="R26" i="594"/>
  <c r="D21" i="594"/>
  <c r="F15" i="594"/>
  <c r="F21" i="594" l="1"/>
  <c r="D24" i="594"/>
  <c r="R27" i="594"/>
  <c r="D27" i="594" l="1"/>
  <c r="F27" i="594" s="1"/>
  <c r="O821" i="3" s="1"/>
  <c r="S821" i="3" s="1"/>
  <c r="F24" i="594"/>
  <c r="D26" i="594"/>
  <c r="F26" i="594" s="1"/>
  <c r="O820" i="3" s="1"/>
  <c r="S820" i="3" s="1"/>
  <c r="O822" i="3" l="1"/>
  <c r="O833" i="3" s="1"/>
  <c r="O32" i="5" s="1"/>
  <c r="O34" i="5" s="1"/>
  <c r="O830" i="3"/>
  <c r="O831" i="3"/>
  <c r="S833" i="3" l="1"/>
  <c r="S831" i="3"/>
  <c r="U821" i="3"/>
  <c r="S830" i="3"/>
  <c r="S822" i="3"/>
  <c r="U820" i="3"/>
  <c r="O892" i="3"/>
  <c r="U830" i="3" l="1"/>
  <c r="U822" i="3"/>
  <c r="G821" i="6"/>
  <c r="V820" i="3" s="1"/>
  <c r="U831" i="3"/>
  <c r="G822" i="6"/>
  <c r="V821" i="3" s="1"/>
  <c r="U833" i="3"/>
  <c r="T32" i="5"/>
  <c r="O923" i="3"/>
  <c r="O39" i="5" s="1"/>
  <c r="O40" i="5" s="1"/>
  <c r="O43" i="5" s="1"/>
  <c r="O46" i="5" s="1"/>
  <c r="O1217" i="3"/>
  <c r="I822" i="6" l="1"/>
  <c r="E822" i="6"/>
  <c r="G832" i="6"/>
  <c r="E832" i="6" s="1"/>
  <c r="G831" i="6"/>
  <c r="E831" i="6" s="1"/>
  <c r="E821" i="6"/>
  <c r="G823" i="6"/>
  <c r="V822" i="3" s="1"/>
  <c r="I821" i="6"/>
  <c r="O933" i="3"/>
  <c r="O1220" i="3"/>
  <c r="O1224" i="3" l="1"/>
  <c r="V831" i="3"/>
  <c r="J821" i="6"/>
  <c r="I823" i="6"/>
  <c r="N821" i="6"/>
  <c r="M821" i="6"/>
  <c r="I831" i="6"/>
  <c r="J831" i="6" s="1"/>
  <c r="O936" i="3"/>
  <c r="V830" i="3"/>
  <c r="E823" i="6"/>
  <c r="G834" i="6"/>
  <c r="J822" i="6"/>
  <c r="I832" i="6"/>
  <c r="J832" i="6" s="1"/>
  <c r="M822" i="6"/>
  <c r="N822" i="6"/>
  <c r="O1226" i="3" l="1"/>
  <c r="O1231" i="3" s="1"/>
  <c r="O70" i="5" s="1"/>
  <c r="O71" i="5" s="1"/>
  <c r="O74" i="5" s="1"/>
  <c r="M823" i="6"/>
  <c r="M834" i="6" s="1"/>
  <c r="M831" i="6"/>
  <c r="Q821" i="6"/>
  <c r="N832" i="6"/>
  <c r="T822" i="6"/>
  <c r="T832" i="6" s="1"/>
  <c r="E834" i="6"/>
  <c r="G30" i="2"/>
  <c r="V833" i="3"/>
  <c r="M832" i="6"/>
  <c r="Q822" i="6"/>
  <c r="N823" i="6"/>
  <c r="N834" i="6" s="1"/>
  <c r="N831" i="6"/>
  <c r="T821" i="6"/>
  <c r="I834" i="6"/>
  <c r="J823" i="6"/>
  <c r="O939" i="3"/>
  <c r="O1238" i="3" l="1"/>
  <c r="O1241" i="3"/>
  <c r="N30" i="2"/>
  <c r="W822" i="6"/>
  <c r="AC822" i="6" s="1"/>
  <c r="AE822" i="6" s="1"/>
  <c r="Q832" i="6"/>
  <c r="W832" i="6" s="1"/>
  <c r="AC832" i="6" s="1"/>
  <c r="AE832" i="6" s="1"/>
  <c r="I30" i="2"/>
  <c r="J834" i="6"/>
  <c r="W821" i="6"/>
  <c r="AC821" i="6" s="1"/>
  <c r="AE821" i="6" s="1"/>
  <c r="Q823" i="6"/>
  <c r="Q831" i="6"/>
  <c r="T823" i="6"/>
  <c r="T834" i="6" s="1"/>
  <c r="T831" i="6"/>
  <c r="W831" i="6" l="1"/>
  <c r="AC831" i="6" s="1"/>
  <c r="AE831" i="6" s="1"/>
  <c r="E30" i="2"/>
  <c r="Q834" i="6"/>
  <c r="W823" i="6"/>
  <c r="AC823" i="6" s="1"/>
  <c r="AE823" i="6" s="1"/>
  <c r="M30" i="2"/>
  <c r="W834" i="6" l="1"/>
  <c r="J30" i="2" l="1"/>
  <c r="L30" i="2" s="1"/>
  <c r="AC834" i="6"/>
  <c r="AE834" i="6" s="1"/>
  <c r="R19" i="42" l="1"/>
  <c r="R27" i="42" s="1"/>
  <c r="R29" i="42" s="1"/>
  <c r="J8" i="42" s="1"/>
  <c r="L8" i="42" l="1"/>
  <c r="J10" i="42"/>
  <c r="L10" i="42" l="1"/>
  <c r="J14" i="42"/>
  <c r="J15" i="42"/>
  <c r="L15" i="42" s="1"/>
  <c r="P843" i="3" s="1"/>
  <c r="S843" i="3" s="1"/>
  <c r="P887" i="3" l="1"/>
  <c r="U843" i="3"/>
  <c r="J16" i="42"/>
  <c r="L16" i="42" s="1"/>
  <c r="L14" i="42"/>
  <c r="P842" i="3" s="1"/>
  <c r="S842" i="3" s="1"/>
  <c r="U842" i="3" l="1"/>
  <c r="P844" i="3"/>
  <c r="P886" i="3"/>
  <c r="G845" i="6"/>
  <c r="S844" i="3" l="1"/>
  <c r="U844" i="3" s="1"/>
  <c r="I845" i="6"/>
  <c r="E845" i="6"/>
  <c r="V843" i="3"/>
  <c r="P889" i="3"/>
  <c r="P33" i="5" s="1"/>
  <c r="P34" i="5" s="1"/>
  <c r="G844" i="6"/>
  <c r="G846" i="6" s="1"/>
  <c r="E846" i="6" l="1"/>
  <c r="P892" i="3"/>
  <c r="V844" i="3"/>
  <c r="I844" i="6"/>
  <c r="E844" i="6"/>
  <c r="V842" i="3"/>
  <c r="N845" i="6"/>
  <c r="M845" i="6"/>
  <c r="J845" i="6"/>
  <c r="T845" i="6" l="1"/>
  <c r="Q845" i="6"/>
  <c r="M844" i="6"/>
  <c r="J844" i="6"/>
  <c r="I846" i="6"/>
  <c r="N844" i="6"/>
  <c r="P923" i="3"/>
  <c r="P39" i="5" s="1"/>
  <c r="P40" i="5" s="1"/>
  <c r="P43" i="5" s="1"/>
  <c r="P46" i="5" s="1"/>
  <c r="P1217" i="3"/>
  <c r="Q844" i="6" l="1"/>
  <c r="M846" i="6"/>
  <c r="W845" i="6"/>
  <c r="AC845" i="6" s="1"/>
  <c r="AE845" i="6" s="1"/>
  <c r="N846" i="6"/>
  <c r="T844" i="6"/>
  <c r="P933" i="3"/>
  <c r="P1220" i="3"/>
  <c r="J846" i="6"/>
  <c r="Q846" i="6" l="1"/>
  <c r="W844" i="6"/>
  <c r="AC844" i="6" s="1"/>
  <c r="AE844" i="6" s="1"/>
  <c r="P936" i="3"/>
  <c r="T846" i="6"/>
  <c r="P1224" i="3"/>
  <c r="W846" i="6" l="1"/>
  <c r="AC846" i="6" s="1"/>
  <c r="AE846" i="6" s="1"/>
  <c r="P939" i="3"/>
  <c r="P1226" i="3"/>
  <c r="P1231" i="3" l="1"/>
  <c r="P70" i="5" s="1"/>
  <c r="P71" i="5" s="1"/>
  <c r="P74" i="5" s="1"/>
  <c r="P1241" i="3" l="1"/>
  <c r="P1238" i="3"/>
  <c r="V25" i="33" l="1"/>
  <c r="V17" i="33"/>
  <c r="Y19" i="33" s="1"/>
  <c r="Y20" i="33" s="1"/>
  <c r="Y27" i="33" l="1"/>
  <c r="Z31" i="33"/>
  <c r="Z19" i="33"/>
  <c r="Z27" i="33" l="1"/>
  <c r="Z30" i="33" s="1"/>
  <c r="Z32" i="33" s="1"/>
  <c r="Y28" i="33"/>
  <c r="Z33" i="33"/>
  <c r="Z34" i="33" l="1"/>
  <c r="D15" i="33" s="1"/>
  <c r="F15" i="33" s="1"/>
  <c r="P25" i="33"/>
  <c r="O33" i="33" s="1"/>
  <c r="P33" i="33" s="1"/>
  <c r="D13" i="33" s="1"/>
  <c r="F13" i="33" l="1"/>
  <c r="D18" i="33"/>
  <c r="D20" i="33" l="1"/>
  <c r="F18" i="33"/>
  <c r="D21" i="33"/>
  <c r="F21" i="33" s="1"/>
  <c r="M839" i="3" s="1"/>
  <c r="S839" i="3" s="1"/>
  <c r="M887" i="3" l="1"/>
  <c r="U839" i="3"/>
  <c r="D22" i="33"/>
  <c r="F20" i="33"/>
  <c r="M838" i="3" s="1"/>
  <c r="S838" i="3" s="1"/>
  <c r="S887" i="3" l="1"/>
  <c r="U887" i="3" s="1"/>
  <c r="F22" i="33"/>
  <c r="G840" i="6"/>
  <c r="E840" i="6" l="1"/>
  <c r="G900" i="6"/>
  <c r="I840" i="6"/>
  <c r="M886" i="3"/>
  <c r="S886" i="3" s="1"/>
  <c r="M840" i="3"/>
  <c r="U838" i="3"/>
  <c r="V839" i="3"/>
  <c r="S840" i="3" l="1"/>
  <c r="U840" i="3" s="1"/>
  <c r="G841" i="6" s="1"/>
  <c r="V840" i="3" s="1"/>
  <c r="G839" i="6"/>
  <c r="V838" i="3" s="1"/>
  <c r="I900" i="6"/>
  <c r="J900" i="6" s="1"/>
  <c r="M840" i="6"/>
  <c r="N840" i="6"/>
  <c r="J840" i="6"/>
  <c r="E900" i="6"/>
  <c r="V887" i="3"/>
  <c r="U886" i="3"/>
  <c r="M889" i="3"/>
  <c r="M33" i="5" s="1"/>
  <c r="M34" i="5" s="1"/>
  <c r="S889" i="3" l="1"/>
  <c r="E841" i="6"/>
  <c r="G902" i="6"/>
  <c r="M892" i="3"/>
  <c r="M900" i="6"/>
  <c r="Q840" i="6"/>
  <c r="N900" i="6"/>
  <c r="T840" i="6"/>
  <c r="T900" i="6" s="1"/>
  <c r="G899" i="6"/>
  <c r="E899" i="6" s="1"/>
  <c r="I839" i="6"/>
  <c r="E839" i="6"/>
  <c r="U889" i="3" l="1"/>
  <c r="V889" i="3" s="1"/>
  <c r="T33" i="5"/>
  <c r="V886" i="3"/>
  <c r="G31" i="2"/>
  <c r="E902" i="6"/>
  <c r="W840" i="6"/>
  <c r="Q900" i="6"/>
  <c r="M923" i="3"/>
  <c r="M39" i="5" s="1"/>
  <c r="M40" i="5" s="1"/>
  <c r="M43" i="5" s="1"/>
  <c r="M46" i="5" s="1"/>
  <c r="M1217" i="3"/>
  <c r="M839" i="6"/>
  <c r="N839" i="6"/>
  <c r="I899" i="6"/>
  <c r="J899" i="6" s="1"/>
  <c r="J839" i="6"/>
  <c r="I841" i="6"/>
  <c r="W900" i="6" l="1"/>
  <c r="AC900" i="6" s="1"/>
  <c r="AE900" i="6" s="1"/>
  <c r="AC840" i="6"/>
  <c r="AE840" i="6" s="1"/>
  <c r="M933" i="3"/>
  <c r="M1220" i="3"/>
  <c r="M899" i="6"/>
  <c r="Q839" i="6"/>
  <c r="M841" i="6"/>
  <c r="M902" i="6" s="1"/>
  <c r="N31" i="2"/>
  <c r="N841" i="6"/>
  <c r="N902" i="6" s="1"/>
  <c r="T839" i="6"/>
  <c r="N899" i="6"/>
  <c r="I902" i="6"/>
  <c r="J841" i="6"/>
  <c r="T899" i="6" l="1"/>
  <c r="T841" i="6"/>
  <c r="T902" i="6" s="1"/>
  <c r="T905" i="6" s="1"/>
  <c r="Q899" i="6"/>
  <c r="Q841" i="6"/>
  <c r="W839" i="6"/>
  <c r="M1224" i="3"/>
  <c r="J902" i="6"/>
  <c r="I31" i="2"/>
  <c r="M31" i="2" s="1"/>
  <c r="M936" i="3"/>
  <c r="W899" i="6" l="1"/>
  <c r="AC899" i="6" s="1"/>
  <c r="AE899" i="6" s="1"/>
  <c r="AC839" i="6"/>
  <c r="AE839" i="6" s="1"/>
  <c r="M939" i="3"/>
  <c r="M1226" i="3"/>
  <c r="W841" i="6"/>
  <c r="AC841" i="6" s="1"/>
  <c r="AE841" i="6" s="1"/>
  <c r="Q902" i="6"/>
  <c r="E31" i="2"/>
  <c r="W902" i="6" l="1"/>
  <c r="Q905" i="6"/>
  <c r="M1231" i="3"/>
  <c r="M70" i="5" s="1"/>
  <c r="M71" i="5" s="1"/>
  <c r="M74" i="5" s="1"/>
  <c r="J31" i="2" l="1"/>
  <c r="L31" i="2" s="1"/>
  <c r="AC902" i="6"/>
  <c r="AE902" i="6" s="1"/>
  <c r="M1238" i="3"/>
  <c r="M1241" i="3"/>
  <c r="W905" i="6"/>
  <c r="AC905" i="6" s="1"/>
  <c r="AE905" i="6" s="1"/>
  <c r="D19" i="12"/>
  <c r="J32" i="2" l="1"/>
  <c r="D29" i="12"/>
  <c r="D55" i="12"/>
  <c r="D30" i="12"/>
  <c r="D32" i="12" l="1"/>
  <c r="D59" i="12"/>
  <c r="D33" i="12" l="1"/>
  <c r="D34" i="12" l="1"/>
  <c r="D35" i="12" s="1"/>
  <c r="M936" i="6" l="1"/>
  <c r="M1240" i="6" l="1"/>
  <c r="M950" i="6"/>
  <c r="M953" i="6" s="1"/>
  <c r="Q936" i="6"/>
  <c r="Q950" i="6" l="1"/>
  <c r="Q953" i="6" l="1"/>
  <c r="AC1253" i="6" l="1"/>
  <c r="AE1253" i="6" s="1"/>
  <c r="Q956" i="6"/>
  <c r="AC1263" i="6" l="1"/>
  <c r="AE1263" i="6"/>
  <c r="AC1260" i="6"/>
  <c r="AE1260" i="6"/>
  <c r="I146" i="139" l="1"/>
  <c r="J146" i="139" s="1"/>
  <c r="I54" i="139"/>
  <c r="J54" i="139" s="1"/>
  <c r="I203" i="139"/>
  <c r="J203" i="139" s="1"/>
  <c r="I182" i="139"/>
  <c r="J182" i="139" s="1"/>
  <c r="I88" i="139"/>
  <c r="J88" i="139" s="1"/>
  <c r="I94" i="139"/>
  <c r="J94" i="139" s="1"/>
  <c r="I58" i="139"/>
  <c r="J58" i="139" s="1"/>
  <c r="I388" i="139"/>
  <c r="J388" i="139" s="1"/>
  <c r="I428" i="139"/>
  <c r="J428" i="139" s="1"/>
  <c r="I168" i="139"/>
  <c r="J168" i="139" s="1"/>
  <c r="I244" i="139"/>
  <c r="J244" i="139" s="1"/>
  <c r="I130" i="139"/>
  <c r="I382" i="139"/>
  <c r="J382" i="139" s="1"/>
  <c r="I256" i="139"/>
  <c r="J256" i="139" s="1"/>
  <c r="I261" i="139"/>
  <c r="J261" i="139" s="1"/>
  <c r="I395" i="139"/>
  <c r="J395" i="139" s="1"/>
  <c r="I193" i="139"/>
  <c r="J193" i="139" s="1"/>
  <c r="I326" i="139"/>
  <c r="J326" i="139" s="1"/>
  <c r="I368" i="139"/>
  <c r="J368" i="139" s="1"/>
  <c r="I128" i="139"/>
  <c r="J128" i="139" s="1"/>
  <c r="I156" i="139"/>
  <c r="J156" i="139" s="1"/>
  <c r="I181" i="139"/>
  <c r="J181" i="139" s="1"/>
  <c r="I291" i="139"/>
  <c r="J291" i="139" s="1"/>
  <c r="I227" i="139"/>
  <c r="J227" i="139" s="1"/>
  <c r="I254" i="139"/>
  <c r="J254" i="139" s="1"/>
  <c r="I157" i="139"/>
  <c r="J157" i="139" s="1"/>
  <c r="I45" i="139"/>
  <c r="J45" i="139" s="1"/>
  <c r="I313" i="139"/>
  <c r="J313" i="139" s="1"/>
  <c r="I64" i="139"/>
  <c r="J64" i="139" s="1"/>
  <c r="I222" i="139"/>
  <c r="J222" i="139" s="1"/>
  <c r="I121" i="139"/>
  <c r="J121" i="139" s="1"/>
  <c r="I68" i="139"/>
  <c r="J68" i="139" s="1"/>
  <c r="I109" i="139"/>
  <c r="J109" i="139" s="1"/>
  <c r="I223" i="139"/>
  <c r="J223" i="139" s="1"/>
  <c r="I364" i="139"/>
  <c r="J364" i="139" s="1"/>
  <c r="I56" i="139"/>
  <c r="I22" i="139"/>
  <c r="J22" i="139" s="1"/>
  <c r="I401" i="139"/>
  <c r="J401" i="139" s="1"/>
  <c r="I217" i="139"/>
  <c r="J217" i="139" s="1"/>
  <c r="I377" i="139"/>
  <c r="J377" i="139" s="1"/>
  <c r="I406" i="139"/>
  <c r="J406" i="139" s="1"/>
  <c r="I172" i="139"/>
  <c r="J172" i="139" s="1"/>
  <c r="I369" i="139"/>
  <c r="J369" i="139" s="1"/>
  <c r="I120" i="139"/>
  <c r="J120" i="139" s="1"/>
  <c r="I59" i="139"/>
  <c r="J59" i="139" s="1"/>
  <c r="I141" i="139"/>
  <c r="J141" i="139" s="1"/>
  <c r="I232" i="139"/>
  <c r="J232" i="139" s="1"/>
  <c r="I17" i="139"/>
  <c r="J17" i="139" s="1"/>
  <c r="I26" i="139"/>
  <c r="J26" i="139" s="1"/>
  <c r="I296" i="139"/>
  <c r="J296" i="139" s="1"/>
  <c r="I250" i="139"/>
  <c r="J250" i="139" s="1"/>
  <c r="I237" i="139"/>
  <c r="J237" i="139" s="1"/>
  <c r="I139" i="139"/>
  <c r="J139" i="139" s="1"/>
  <c r="I408" i="139"/>
  <c r="J408" i="139" s="1"/>
  <c r="I114" i="139"/>
  <c r="J114" i="139" s="1"/>
  <c r="I29" i="139"/>
  <c r="I178" i="139"/>
  <c r="J178" i="139" s="1"/>
  <c r="I122" i="139"/>
  <c r="I339" i="139"/>
  <c r="J339" i="139" s="1"/>
  <c r="I212" i="139"/>
  <c r="J212" i="139" s="1"/>
  <c r="I70" i="139"/>
  <c r="J70" i="139" s="1"/>
  <c r="I371" i="139"/>
  <c r="J371" i="139" s="1"/>
  <c r="I16" i="139"/>
  <c r="J16" i="139" s="1"/>
  <c r="I409" i="139"/>
  <c r="J409" i="139" s="1"/>
  <c r="I50" i="139"/>
  <c r="J50" i="139" s="1"/>
  <c r="I341" i="139"/>
  <c r="J341" i="139" s="1"/>
  <c r="I25" i="139"/>
  <c r="I252" i="139"/>
  <c r="I298" i="139"/>
  <c r="J298" i="139" s="1"/>
  <c r="I337" i="139"/>
  <c r="J337" i="139" s="1"/>
  <c r="I367" i="139"/>
  <c r="J367" i="139" s="1"/>
  <c r="I218" i="139"/>
  <c r="J218" i="139" s="1"/>
  <c r="I21" i="139"/>
  <c r="J21" i="139" s="1"/>
  <c r="I148" i="139"/>
  <c r="J148" i="139" s="1"/>
  <c r="I270" i="139"/>
  <c r="J270" i="139" s="1"/>
  <c r="I198" i="139"/>
  <c r="J198" i="139" s="1"/>
  <c r="I305" i="139"/>
  <c r="J305" i="139" s="1"/>
  <c r="I106" i="139"/>
  <c r="I376" i="139"/>
  <c r="J376" i="139" s="1"/>
  <c r="I60" i="139"/>
  <c r="J60" i="139" s="1"/>
  <c r="I74" i="139"/>
  <c r="J74" i="139" s="1"/>
  <c r="I241" i="139"/>
  <c r="J241" i="139" s="1"/>
  <c r="I405" i="139"/>
  <c r="J405" i="139" s="1"/>
  <c r="I187" i="139"/>
  <c r="J187" i="139" s="1"/>
  <c r="I176" i="139"/>
  <c r="J176" i="139" s="1"/>
  <c r="I35" i="139"/>
  <c r="J35" i="139" s="1"/>
  <c r="I161" i="139"/>
  <c r="J161" i="139" s="1"/>
  <c r="I213" i="139"/>
  <c r="J213" i="139" s="1"/>
  <c r="I167" i="139"/>
  <c r="J167" i="139" s="1"/>
  <c r="I333" i="139"/>
  <c r="J333" i="139" s="1"/>
  <c r="I124" i="139"/>
  <c r="J124" i="139" s="1"/>
  <c r="I118" i="139"/>
  <c r="J118" i="139" s="1"/>
  <c r="I152" i="139"/>
  <c r="J152" i="139" s="1"/>
  <c r="I49" i="139"/>
  <c r="J49" i="139" s="1"/>
  <c r="I398" i="139"/>
  <c r="J398" i="139" s="1"/>
  <c r="I319" i="139"/>
  <c r="J319" i="139" s="1"/>
  <c r="I233" i="139"/>
  <c r="J233" i="139" s="1"/>
  <c r="I349" i="139"/>
  <c r="J349" i="139" s="1"/>
  <c r="I324" i="139"/>
  <c r="J324" i="139" s="1"/>
  <c r="I97" i="139"/>
  <c r="I207" i="139"/>
  <c r="J207" i="139" s="1"/>
  <c r="I345" i="139"/>
  <c r="J345" i="139" s="1"/>
  <c r="I243" i="139"/>
  <c r="I272" i="139"/>
  <c r="I373" i="139"/>
  <c r="J373" i="139" s="1"/>
  <c r="I381" i="139"/>
  <c r="J381" i="139" s="1"/>
  <c r="I66" i="139"/>
  <c r="I290" i="139"/>
  <c r="J290" i="139" s="1"/>
  <c r="I140" i="139"/>
  <c r="I251" i="139"/>
  <c r="J251" i="139" s="1"/>
  <c r="I33" i="139"/>
  <c r="J33" i="139" s="1"/>
  <c r="I206" i="139"/>
  <c r="J206" i="139" s="1"/>
  <c r="I73" i="139"/>
  <c r="J73" i="139" s="1"/>
  <c r="I69" i="139"/>
  <c r="J69" i="139" s="1"/>
  <c r="I197" i="139"/>
  <c r="J197" i="139" s="1"/>
  <c r="I153" i="139"/>
  <c r="J153" i="139" s="1"/>
  <c r="I78" i="139"/>
  <c r="J78" i="139" s="1"/>
  <c r="I340" i="139"/>
  <c r="J340" i="139" s="1"/>
  <c r="I372" i="139"/>
  <c r="J372" i="139" s="1"/>
  <c r="I158" i="139"/>
  <c r="J158" i="139" s="1"/>
  <c r="I18" i="139"/>
  <c r="J18" i="139" s="1"/>
  <c r="I24" i="139"/>
  <c r="I62" i="139"/>
  <c r="I105" i="139"/>
  <c r="J105" i="139" s="1"/>
  <c r="I303" i="139"/>
  <c r="J303" i="139" s="1"/>
  <c r="I98" i="139"/>
  <c r="J98" i="139" s="1"/>
  <c r="I91" i="139"/>
  <c r="I286" i="139"/>
  <c r="J286" i="139" s="1"/>
  <c r="I308" i="139"/>
  <c r="J308" i="139" s="1"/>
  <c r="I38" i="139"/>
  <c r="J38" i="139" s="1"/>
  <c r="I221" i="139"/>
  <c r="J221" i="139" s="1"/>
  <c r="I31" i="139"/>
  <c r="J31" i="139" s="1"/>
  <c r="I65" i="139"/>
  <c r="J65" i="139" s="1"/>
  <c r="I40" i="139"/>
  <c r="J40" i="139" s="1"/>
  <c r="I259" i="139"/>
  <c r="J259" i="139" s="1"/>
  <c r="I129" i="139"/>
  <c r="I359" i="139"/>
  <c r="J359" i="139" s="1"/>
  <c r="I188" i="139"/>
  <c r="J188" i="139" s="1"/>
  <c r="I79" i="139"/>
  <c r="J79" i="139" s="1"/>
  <c r="I196" i="139"/>
  <c r="J196" i="139" s="1"/>
  <c r="I101" i="139"/>
  <c r="I242" i="139"/>
  <c r="J242" i="139" s="1"/>
  <c r="I320" i="139"/>
  <c r="J320" i="139" s="1"/>
  <c r="I304" i="139"/>
  <c r="J304" i="139" s="1"/>
  <c r="I276" i="139"/>
  <c r="J276" i="139" s="1"/>
  <c r="I352" i="139"/>
  <c r="J352" i="139" s="1"/>
  <c r="I295" i="139"/>
  <c r="J295" i="139" s="1"/>
  <c r="I347" i="139"/>
  <c r="J347" i="139" s="1"/>
  <c r="I365" i="139"/>
  <c r="J365" i="139"/>
  <c r="I249" i="139"/>
  <c r="J249" i="139" s="1"/>
  <c r="I390" i="139"/>
  <c r="J390" i="139" s="1"/>
  <c r="I34" i="139"/>
  <c r="J34" i="139" s="1"/>
  <c r="I380" i="139"/>
  <c r="J380" i="139" s="1"/>
  <c r="I163" i="139"/>
  <c r="J163" i="139" s="1"/>
  <c r="I275" i="139"/>
  <c r="J275" i="139" s="1"/>
  <c r="I271" i="139"/>
  <c r="J271" i="139" s="1"/>
  <c r="I126" i="139"/>
  <c r="J126" i="139" s="1"/>
  <c r="I123" i="139"/>
  <c r="J123" i="139" s="1"/>
  <c r="I226" i="139"/>
  <c r="J226" i="139" s="1"/>
  <c r="I39" i="139"/>
  <c r="J39" i="139" s="1"/>
  <c r="I75" i="139"/>
  <c r="J75" i="139" s="1"/>
  <c r="I266" i="139"/>
  <c r="J266" i="139" s="1"/>
  <c r="I355" i="139"/>
  <c r="J355" i="139" s="1"/>
  <c r="I67" i="139"/>
  <c r="I310" i="139"/>
  <c r="J310" i="139" s="1"/>
  <c r="I396" i="139"/>
  <c r="J396" i="139" s="1"/>
  <c r="I84" i="139"/>
  <c r="J84" i="139" s="1"/>
  <c r="I173" i="139"/>
  <c r="J173" i="139" s="1"/>
  <c r="I32" i="139"/>
  <c r="J32" i="139" s="1"/>
  <c r="I100" i="139"/>
  <c r="J100" i="139" s="1"/>
  <c r="I231" i="139"/>
  <c r="J231" i="139" s="1"/>
  <c r="I264" i="139"/>
  <c r="J264" i="139" s="1"/>
  <c r="I274" i="139"/>
  <c r="J274" i="139" s="1"/>
  <c r="I216" i="139"/>
  <c r="J216" i="139" s="1"/>
  <c r="I127" i="139"/>
  <c r="J127" i="139" s="1"/>
  <c r="I407" i="139"/>
  <c r="J407" i="139" s="1"/>
  <c r="I36" i="139"/>
  <c r="I357" i="139"/>
  <c r="J357" i="139" s="1"/>
  <c r="I93" i="139"/>
  <c r="J93" i="139" s="1"/>
  <c r="I80" i="139"/>
  <c r="J80" i="139" s="1"/>
  <c r="I335" i="139"/>
  <c r="J335" i="139" s="1"/>
  <c r="I417" i="139"/>
  <c r="J417" i="139" s="1"/>
  <c r="I43" i="139"/>
  <c r="J43" i="139" s="1"/>
  <c r="I331" i="139"/>
  <c r="J331" i="139" s="1"/>
  <c r="I383" i="139"/>
  <c r="J383" i="139" s="1"/>
  <c r="I125" i="139"/>
  <c r="J125" i="139" s="1"/>
  <c r="I255" i="139"/>
  <c r="J255" i="139" s="1"/>
  <c r="I332" i="139"/>
  <c r="J332" i="139" s="1"/>
  <c r="I48" i="139"/>
  <c r="J48" i="139" s="1"/>
  <c r="I314" i="139"/>
  <c r="J314" i="139" s="1"/>
  <c r="I419" i="139"/>
  <c r="J419" i="139" s="1"/>
  <c r="I348" i="139"/>
  <c r="J348" i="139" s="1"/>
  <c r="I236" i="139"/>
  <c r="J236" i="139" s="1"/>
  <c r="I323" i="139"/>
  <c r="J323" i="139" s="1"/>
  <c r="I151" i="139"/>
  <c r="J151" i="139" s="1"/>
  <c r="I132" i="139"/>
  <c r="J132" i="139" s="1"/>
  <c r="I315" i="139"/>
  <c r="J315" i="139" s="1"/>
  <c r="I90" i="139"/>
  <c r="J90" i="139" s="1"/>
  <c r="I389" i="139"/>
  <c r="J389" i="139" s="1"/>
  <c r="I186" i="139"/>
  <c r="J186" i="139" s="1"/>
  <c r="I273" i="139"/>
  <c r="I28" i="139"/>
  <c r="J28" i="139" s="1"/>
  <c r="I318" i="139"/>
  <c r="J318" i="139" s="1"/>
  <c r="I423" i="139"/>
  <c r="J423" i="139" s="1"/>
  <c r="I392" i="139"/>
  <c r="J392" i="139" s="1"/>
  <c r="I57" i="139"/>
  <c r="I102" i="139"/>
  <c r="I116" i="139"/>
  <c r="I99" i="139"/>
  <c r="J99" i="139" s="1"/>
  <c r="I138" i="139"/>
  <c r="J138" i="139" s="1"/>
  <c r="I103" i="139"/>
  <c r="J103" i="139" s="1"/>
  <c r="I351" i="139"/>
  <c r="J351" i="139" s="1"/>
  <c r="I238" i="139"/>
  <c r="J238" i="139" s="1"/>
  <c r="I115" i="139"/>
  <c r="J115" i="139" s="1"/>
  <c r="I95" i="139"/>
  <c r="J95" i="139" s="1"/>
  <c r="I30" i="139"/>
  <c r="I269" i="139"/>
  <c r="J269" i="139" s="1"/>
  <c r="I344" i="139"/>
  <c r="J344" i="139" s="1"/>
  <c r="I400" i="139"/>
  <c r="J400" i="139" s="1"/>
  <c r="I183" i="139"/>
  <c r="J183" i="139" s="1"/>
  <c r="I292" i="139"/>
  <c r="J292" i="139" s="1"/>
  <c r="I147" i="139"/>
  <c r="J147" i="139" s="1"/>
  <c r="I413" i="139"/>
  <c r="J413" i="139" s="1"/>
  <c r="I76" i="139"/>
  <c r="I92" i="139"/>
  <c r="I131" i="139"/>
  <c r="J131" i="139" s="1"/>
  <c r="I46" i="139"/>
  <c r="I119" i="139"/>
  <c r="J119" i="139" s="1"/>
  <c r="I336" i="139"/>
  <c r="J336" i="139" s="1"/>
  <c r="I61" i="139"/>
  <c r="I71" i="139"/>
  <c r="I253" i="139"/>
  <c r="I430" i="139"/>
  <c r="J430" i="139" s="1"/>
  <c r="I19" i="139"/>
  <c r="I86" i="139"/>
  <c r="I171" i="139"/>
  <c r="J171" i="139" s="1"/>
  <c r="I309" i="139"/>
  <c r="J309" i="139" s="1"/>
  <c r="I55" i="139"/>
  <c r="J55" i="139" s="1"/>
  <c r="I228" i="139"/>
  <c r="J228" i="139" s="1"/>
  <c r="I83" i="139"/>
  <c r="J83" i="139" s="1"/>
  <c r="I192" i="139"/>
  <c r="J192" i="139" s="1"/>
  <c r="I72" i="139"/>
  <c r="I211" i="139"/>
  <c r="J211" i="139" s="1"/>
  <c r="I85" i="139"/>
  <c r="J85" i="139" s="1"/>
  <c r="I191" i="139"/>
  <c r="J191" i="139" s="1"/>
  <c r="I53" i="139"/>
  <c r="J53" i="139" s="1"/>
  <c r="I108" i="139"/>
  <c r="J108" i="139" s="1"/>
  <c r="I260" i="139"/>
  <c r="J260" i="139" s="1"/>
  <c r="I117" i="139"/>
  <c r="I411" i="139"/>
  <c r="J411" i="139" s="1"/>
  <c r="I421" i="139"/>
  <c r="J421" i="139" s="1"/>
  <c r="I208" i="139"/>
  <c r="J208" i="139" s="1"/>
  <c r="I104" i="139"/>
  <c r="J104" i="139" s="1"/>
  <c r="I42" i="139"/>
  <c r="I397" i="139"/>
  <c r="J397" i="139" s="1"/>
  <c r="I111" i="139"/>
  <c r="I37" i="139"/>
  <c r="I353" i="139"/>
  <c r="J353" i="139" s="1"/>
  <c r="I96" i="139"/>
  <c r="I356" i="139"/>
  <c r="J356" i="139" s="1"/>
  <c r="I81" i="139"/>
  <c r="I399" i="139"/>
  <c r="J399" i="139" s="1"/>
  <c r="I375" i="139"/>
  <c r="J375" i="139" s="1"/>
  <c r="I425" i="139"/>
  <c r="J425" i="139" s="1"/>
  <c r="I113" i="139"/>
  <c r="J113" i="139" s="1"/>
  <c r="I82" i="139"/>
  <c r="I27" i="139"/>
  <c r="J27" i="139" s="1"/>
  <c r="I23" i="139"/>
  <c r="J23" i="139" s="1"/>
  <c r="I363" i="139"/>
  <c r="J363" i="139" s="1"/>
  <c r="I89" i="139"/>
  <c r="J89" i="139" s="1"/>
  <c r="I44" i="139"/>
  <c r="J44" i="139" s="1"/>
  <c r="I281" i="139"/>
  <c r="J281" i="139" s="1"/>
  <c r="I166" i="139"/>
  <c r="J166" i="139" s="1"/>
  <c r="I391" i="139"/>
  <c r="J391" i="139" s="1"/>
  <c r="I343" i="139"/>
  <c r="J343" i="139" s="1"/>
  <c r="I177" i="139"/>
  <c r="J177" i="139" s="1"/>
  <c r="I279" i="139"/>
  <c r="D24" i="20" s="1"/>
  <c r="I47" i="139"/>
  <c r="I265" i="139"/>
  <c r="J265" i="139" s="1"/>
  <c r="I201" i="139"/>
  <c r="J201" i="139" s="1"/>
  <c r="I41" i="139"/>
  <c r="I361" i="139"/>
  <c r="J361" i="139" s="1"/>
  <c r="I162" i="139"/>
  <c r="J162" i="139" s="1"/>
  <c r="I52" i="139"/>
  <c r="I360" i="139"/>
  <c r="J360" i="139" s="1"/>
  <c r="I280" i="139"/>
  <c r="J280" i="139" s="1"/>
  <c r="I77" i="139"/>
  <c r="I112" i="139"/>
  <c r="I285" i="139"/>
  <c r="J285" i="139" s="1"/>
  <c r="I87" i="139"/>
  <c r="I20" i="139"/>
  <c r="I415" i="139"/>
  <c r="J415" i="139" s="1"/>
  <c r="I107" i="139"/>
  <c r="I202" i="139"/>
  <c r="J202" i="139" s="1"/>
  <c r="I110" i="139"/>
  <c r="J110" i="139" s="1"/>
  <c r="I63" i="139"/>
  <c r="J63" i="139" s="1"/>
  <c r="I51" i="139"/>
  <c r="I284" i="139"/>
  <c r="J284" i="139" s="1"/>
  <c r="I431" i="139" l="1"/>
  <c r="J431" i="139" s="1"/>
  <c r="D25" i="20"/>
  <c r="F25" i="20" s="1"/>
  <c r="L788" i="3" s="1"/>
  <c r="S788" i="3" s="1"/>
  <c r="U788" i="3" s="1"/>
  <c r="G789" i="6" s="1"/>
  <c r="E789" i="6" s="1"/>
  <c r="D30" i="20"/>
  <c r="F30" i="20" s="1"/>
  <c r="L793" i="3" s="1"/>
  <c r="S793" i="3" s="1"/>
  <c r="U793" i="3" s="1"/>
  <c r="G794" i="6" s="1"/>
  <c r="D29" i="20"/>
  <c r="F24" i="20"/>
  <c r="L787" i="3" s="1"/>
  <c r="D26" i="20"/>
  <c r="F26" i="20" s="1"/>
  <c r="J279" i="139"/>
  <c r="I789" i="6" l="1"/>
  <c r="N789" i="6" s="1"/>
  <c r="U789" i="6" s="1"/>
  <c r="V788" i="3"/>
  <c r="D31" i="20"/>
  <c r="F29" i="20"/>
  <c r="L792" i="3" s="1"/>
  <c r="S787" i="3"/>
  <c r="L789" i="3"/>
  <c r="I794" i="6"/>
  <c r="E794" i="6"/>
  <c r="G804" i="6"/>
  <c r="V793" i="3"/>
  <c r="M789" i="6" l="1"/>
  <c r="R789" i="6" s="1"/>
  <c r="J789" i="6"/>
  <c r="L802" i="3"/>
  <c r="S792" i="3"/>
  <c r="S802" i="3" s="1"/>
  <c r="L794" i="3"/>
  <c r="L805" i="3" s="1"/>
  <c r="L31" i="5" s="1"/>
  <c r="L34" i="5" s="1"/>
  <c r="J794" i="6"/>
  <c r="N794" i="6"/>
  <c r="U794" i="6" s="1"/>
  <c r="I804" i="6"/>
  <c r="J804" i="6" s="1"/>
  <c r="M794" i="6"/>
  <c r="R794" i="6" s="1"/>
  <c r="S789" i="3"/>
  <c r="U787" i="3"/>
  <c r="E804" i="6"/>
  <c r="V803" i="3"/>
  <c r="D33" i="20"/>
  <c r="F31" i="20"/>
  <c r="F33" i="20" s="1"/>
  <c r="L892" i="3" l="1"/>
  <c r="U789" i="3"/>
  <c r="G788" i="6"/>
  <c r="V787" i="3" s="1"/>
  <c r="S794" i="3"/>
  <c r="S805" i="3" s="1"/>
  <c r="T31" i="5" s="1"/>
  <c r="T34" i="5" s="1"/>
  <c r="U792" i="3"/>
  <c r="U794" i="3" l="1"/>
  <c r="U805" i="3" s="1"/>
  <c r="G793" i="6"/>
  <c r="U802" i="3"/>
  <c r="S892" i="3"/>
  <c r="U892" i="3" s="1"/>
  <c r="L1217" i="3"/>
  <c r="L923" i="3"/>
  <c r="L39" i="5" s="1"/>
  <c r="L40" i="5" s="1"/>
  <c r="L43" i="5" s="1"/>
  <c r="L46" i="5" s="1"/>
  <c r="I788" i="6"/>
  <c r="G790" i="6"/>
  <c r="E790" i="6" s="1"/>
  <c r="E788" i="6"/>
  <c r="V789" i="3" l="1"/>
  <c r="G795" i="6"/>
  <c r="V794" i="3" s="1"/>
  <c r="E793" i="6"/>
  <c r="I793" i="6"/>
  <c r="G803" i="6"/>
  <c r="E803" i="6" s="1"/>
  <c r="J788" i="6"/>
  <c r="M788" i="6"/>
  <c r="I790" i="6"/>
  <c r="J790" i="6" s="1"/>
  <c r="N788" i="6"/>
  <c r="L933" i="3"/>
  <c r="S923" i="3"/>
  <c r="L1220" i="3"/>
  <c r="S1220" i="3" s="1"/>
  <c r="U1220" i="3" s="1"/>
  <c r="S1217" i="3"/>
  <c r="U1217" i="3" s="1"/>
  <c r="V792" i="3"/>
  <c r="V802" i="3" l="1"/>
  <c r="T39" i="5"/>
  <c r="T40" i="5" s="1"/>
  <c r="T43" i="5" s="1"/>
  <c r="T46" i="5" s="1"/>
  <c r="U923" i="3"/>
  <c r="L936" i="3"/>
  <c r="S933" i="3"/>
  <c r="U933" i="3" s="1"/>
  <c r="I803" i="6"/>
  <c r="J803" i="6" s="1"/>
  <c r="J793" i="6"/>
  <c r="M793" i="6"/>
  <c r="I795" i="6"/>
  <c r="N793" i="6"/>
  <c r="L1224" i="3"/>
  <c r="R788" i="6"/>
  <c r="M790" i="6"/>
  <c r="U788" i="6"/>
  <c r="N790" i="6"/>
  <c r="E795" i="6"/>
  <c r="G806" i="6"/>
  <c r="R793" i="6" l="1"/>
  <c r="R795" i="6" s="1"/>
  <c r="M795" i="6"/>
  <c r="M806" i="6" s="1"/>
  <c r="M905" i="6" s="1"/>
  <c r="U790" i="6"/>
  <c r="R790" i="6"/>
  <c r="S936" i="3"/>
  <c r="U936" i="3" s="1"/>
  <c r="L939" i="3"/>
  <c r="S939" i="3" s="1"/>
  <c r="U939" i="3" s="1"/>
  <c r="S1224" i="3"/>
  <c r="U1224" i="3" s="1"/>
  <c r="L1226" i="3"/>
  <c r="G936" i="6"/>
  <c r="V923" i="3" s="1"/>
  <c r="M803" i="6"/>
  <c r="G905" i="6"/>
  <c r="E806" i="6"/>
  <c r="G29" i="2"/>
  <c r="V805" i="3"/>
  <c r="N795" i="6"/>
  <c r="N806" i="6" s="1"/>
  <c r="N905" i="6" s="1"/>
  <c r="U793" i="6"/>
  <c r="U795" i="6" s="1"/>
  <c r="J795" i="6"/>
  <c r="I806" i="6"/>
  <c r="R803" i="6" l="1"/>
  <c r="U803" i="6"/>
  <c r="U806" i="6"/>
  <c r="U905" i="6" s="1"/>
  <c r="U936" i="6" s="1"/>
  <c r="U950" i="6" s="1"/>
  <c r="U953" i="6" s="1"/>
  <c r="U956" i="6" s="1"/>
  <c r="E905" i="6"/>
  <c r="G1237" i="6"/>
  <c r="V892" i="3"/>
  <c r="J806" i="6"/>
  <c r="I29" i="2"/>
  <c r="I32" i="2" s="1"/>
  <c r="I905" i="6"/>
  <c r="C38" i="12"/>
  <c r="E936" i="6"/>
  <c r="G950" i="6"/>
  <c r="G37" i="2"/>
  <c r="G1240" i="6"/>
  <c r="E19" i="12"/>
  <c r="F19" i="12" s="1"/>
  <c r="L1231" i="3"/>
  <c r="L70" i="5" s="1"/>
  <c r="L71" i="5" s="1"/>
  <c r="L74" i="5" s="1"/>
  <c r="S1226" i="3"/>
  <c r="M1237" i="6"/>
  <c r="M1246" i="6" s="1"/>
  <c r="M1248" i="6" s="1"/>
  <c r="M1253" i="6" s="1"/>
  <c r="M956" i="6"/>
  <c r="N29" i="2"/>
  <c r="G32" i="2"/>
  <c r="R806" i="6"/>
  <c r="R905" i="6" s="1"/>
  <c r="M29" i="2" l="1"/>
  <c r="E29" i="12"/>
  <c r="F29" i="12" s="1"/>
  <c r="E55" i="12"/>
  <c r="E30" i="12"/>
  <c r="F30" i="12" s="1"/>
  <c r="E29" i="2"/>
  <c r="S1231" i="3"/>
  <c r="L1241" i="3"/>
  <c r="S1241" i="3" s="1"/>
  <c r="U1241" i="3" s="1"/>
  <c r="L1238" i="3"/>
  <c r="J905" i="6"/>
  <c r="I1237" i="6"/>
  <c r="C19" i="12"/>
  <c r="G38" i="2"/>
  <c r="M1260" i="6"/>
  <c r="Q1253" i="6"/>
  <c r="M1263" i="6"/>
  <c r="D61" i="12" s="1"/>
  <c r="E1240" i="6"/>
  <c r="V1220" i="3"/>
  <c r="E950" i="6"/>
  <c r="G953" i="6"/>
  <c r="V933" i="3"/>
  <c r="G1246" i="6"/>
  <c r="E1237" i="6"/>
  <c r="V1217" i="3"/>
  <c r="R936" i="6"/>
  <c r="R950" i="6" s="1"/>
  <c r="R953" i="6" s="1"/>
  <c r="R956" i="6" s="1"/>
  <c r="N32" i="2"/>
  <c r="M32" i="2" s="1"/>
  <c r="E32" i="2"/>
  <c r="U1226" i="3"/>
  <c r="S1232" i="3"/>
  <c r="E59" i="12" l="1"/>
  <c r="F59" i="12" s="1"/>
  <c r="F55" i="12"/>
  <c r="J1237" i="6"/>
  <c r="N1237" i="6"/>
  <c r="Q1260" i="6"/>
  <c r="Q1263" i="6"/>
  <c r="C30" i="12"/>
  <c r="C55" i="12"/>
  <c r="C59" i="12" s="1"/>
  <c r="C29" i="12"/>
  <c r="U1232" i="3"/>
  <c r="E953" i="6"/>
  <c r="V936" i="3"/>
  <c r="G956" i="6"/>
  <c r="E32" i="12"/>
  <c r="F32" i="12" s="1"/>
  <c r="D63" i="12"/>
  <c r="E1246" i="6"/>
  <c r="G1248" i="6"/>
  <c r="V1224" i="3"/>
  <c r="G41" i="2"/>
  <c r="T70" i="5"/>
  <c r="T71" i="5" s="1"/>
  <c r="T74" i="5" s="1"/>
  <c r="U1231" i="3"/>
  <c r="S1238" i="3"/>
  <c r="C32" i="12" l="1"/>
  <c r="C33" i="12" s="1"/>
  <c r="E33" i="12"/>
  <c r="D41" i="12"/>
  <c r="G1253" i="6"/>
  <c r="V1231" i="3" s="1"/>
  <c r="U1238" i="3"/>
  <c r="G44" i="2"/>
  <c r="E956" i="6"/>
  <c r="V939" i="3"/>
  <c r="E1248" i="6"/>
  <c r="G1254" i="6"/>
  <c r="E1254" i="6" s="1"/>
  <c r="D65" i="12"/>
  <c r="V1226" i="3"/>
  <c r="C34" i="12" l="1"/>
  <c r="C35" i="12" s="1"/>
  <c r="C39" i="12" s="1"/>
  <c r="H936" i="6" s="1"/>
  <c r="H950" i="6" s="1"/>
  <c r="H953" i="6" s="1"/>
  <c r="H956" i="6" s="1"/>
  <c r="E34" i="12"/>
  <c r="F33" i="12"/>
  <c r="D45" i="12"/>
  <c r="D67" i="12"/>
  <c r="E1253" i="6"/>
  <c r="G69" i="2"/>
  <c r="G1263" i="6"/>
  <c r="G1260" i="6"/>
  <c r="E1260" i="6" s="1"/>
  <c r="V1232" i="3"/>
  <c r="I936" i="6" l="1"/>
  <c r="I950" i="6" s="1"/>
  <c r="H1240" i="6"/>
  <c r="H1246" i="6" s="1"/>
  <c r="H1248" i="6" s="1"/>
  <c r="H1253" i="6" s="1"/>
  <c r="H69" i="2" s="1"/>
  <c r="H70" i="2" s="1"/>
  <c r="H73" i="2" s="1"/>
  <c r="H37" i="2"/>
  <c r="H38" i="2" s="1"/>
  <c r="E35" i="12"/>
  <c r="F34" i="12"/>
  <c r="E1263" i="6"/>
  <c r="V1241" i="3"/>
  <c r="D47" i="12"/>
  <c r="G70" i="2"/>
  <c r="V1238" i="3"/>
  <c r="D69" i="12"/>
  <c r="I37" i="2" l="1"/>
  <c r="I38" i="2" s="1"/>
  <c r="I41" i="2" s="1"/>
  <c r="I44" i="2" s="1"/>
  <c r="J936" i="6"/>
  <c r="H1260" i="6"/>
  <c r="N37" i="2"/>
  <c r="H1263" i="6"/>
  <c r="I1240" i="6"/>
  <c r="J1240" i="6" s="1"/>
  <c r="N936" i="6"/>
  <c r="F35" i="12"/>
  <c r="N69" i="2"/>
  <c r="G73" i="2"/>
  <c r="N73" i="2" s="1"/>
  <c r="N70" i="2"/>
  <c r="I953" i="6"/>
  <c r="J950" i="6"/>
  <c r="D71" i="12"/>
  <c r="H41" i="2"/>
  <c r="N38" i="2"/>
  <c r="E38" i="2" l="1"/>
  <c r="M37" i="2"/>
  <c r="M38" i="2"/>
  <c r="E37" i="2"/>
  <c r="I1246" i="6"/>
  <c r="I1248" i="6" s="1"/>
  <c r="N1240" i="6"/>
  <c r="N1246" i="6" s="1"/>
  <c r="N1248" i="6" s="1"/>
  <c r="N1253" i="6" s="1"/>
  <c r="T936" i="6"/>
  <c r="N950" i="6"/>
  <c r="N953" i="6" s="1"/>
  <c r="N956" i="6" s="1"/>
  <c r="J953" i="6"/>
  <c r="I956" i="6"/>
  <c r="J956" i="6" s="1"/>
  <c r="D75" i="12"/>
  <c r="H44" i="2"/>
  <c r="N41" i="2"/>
  <c r="M41" i="2" s="1"/>
  <c r="E41" i="2"/>
  <c r="J1246" i="6" l="1"/>
  <c r="T950" i="6"/>
  <c r="W936" i="6"/>
  <c r="N1260" i="6"/>
  <c r="N1263" i="6"/>
  <c r="T1253" i="6"/>
  <c r="N44" i="2"/>
  <c r="M44" i="2" s="1"/>
  <c r="E44" i="2"/>
  <c r="E75" i="2" s="1"/>
  <c r="I1253" i="6"/>
  <c r="J1248" i="6"/>
  <c r="W1253" i="6" l="1"/>
  <c r="J69" i="2" s="1"/>
  <c r="T1260" i="6"/>
  <c r="W1260" i="6" s="1"/>
  <c r="T1263" i="6"/>
  <c r="J37" i="2"/>
  <c r="AC936" i="6"/>
  <c r="AE936" i="6" s="1"/>
  <c r="T953" i="6"/>
  <c r="W950" i="6"/>
  <c r="AC950" i="6" s="1"/>
  <c r="AE950" i="6" s="1"/>
  <c r="I1260" i="6"/>
  <c r="J1260" i="6" s="1"/>
  <c r="I69" i="2"/>
  <c r="J1253" i="6"/>
  <c r="I1263" i="6"/>
  <c r="J38" i="2" l="1"/>
  <c r="J41" i="2" s="1"/>
  <c r="J44" i="2" s="1"/>
  <c r="T956" i="6"/>
  <c r="W953" i="6"/>
  <c r="AC953" i="6" s="1"/>
  <c r="AE953" i="6" s="1"/>
  <c r="W1263" i="6"/>
  <c r="E61" i="12"/>
  <c r="E41" i="12"/>
  <c r="J70" i="2"/>
  <c r="J73" i="2" s="1"/>
  <c r="L69" i="2"/>
  <c r="L70" i="2" s="1"/>
  <c r="L73" i="2" s="1"/>
  <c r="L44" i="2" s="1"/>
  <c r="I70" i="2"/>
  <c r="M69" i="2"/>
  <c r="J1263" i="6"/>
  <c r="C61" i="12"/>
  <c r="C63" i="12" s="1"/>
  <c r="C65" i="12" s="1"/>
  <c r="C41" i="12"/>
  <c r="J76" i="2" l="1"/>
  <c r="J78" i="2" s="1"/>
  <c r="F4" i="1" s="1"/>
  <c r="K44" i="2"/>
  <c r="K13" i="2" s="1"/>
  <c r="K29" i="2" s="1"/>
  <c r="F41" i="12"/>
  <c r="E45" i="12"/>
  <c r="E63" i="12"/>
  <c r="F61" i="12"/>
  <c r="E43" i="12"/>
  <c r="W956" i="6"/>
  <c r="C45" i="12"/>
  <c r="C47" i="12" s="1"/>
  <c r="C67" i="12"/>
  <c r="C69" i="12" s="1"/>
  <c r="C71" i="12" s="1"/>
  <c r="C75" i="12" s="1"/>
  <c r="I73" i="2"/>
  <c r="M70" i="2"/>
  <c r="L13" i="2" l="1"/>
  <c r="L18" i="2" s="1"/>
  <c r="F2" i="1"/>
  <c r="K18" i="2"/>
  <c r="E42" i="12"/>
  <c r="D43" i="12"/>
  <c r="F43" i="12" s="1"/>
  <c r="AC956" i="6"/>
  <c r="AE956" i="6" s="1"/>
  <c r="E65" i="12"/>
  <c r="F63" i="12"/>
  <c r="E47" i="12"/>
  <c r="F45" i="12"/>
  <c r="K37" i="2"/>
  <c r="L29" i="2"/>
  <c r="L32" i="2" s="1"/>
  <c r="K32" i="2"/>
  <c r="I76" i="2"/>
  <c r="M73" i="2"/>
  <c r="E4" i="2"/>
  <c r="C9" i="1"/>
  <c r="E49" i="12" l="1"/>
  <c r="F47" i="12"/>
  <c r="F65" i="12"/>
  <c r="E67" i="12"/>
  <c r="D42" i="12"/>
  <c r="F42" i="12" s="1"/>
  <c r="D49" i="12"/>
  <c r="D51" i="12" s="1"/>
  <c r="K38" i="2"/>
  <c r="K41" i="2" s="1"/>
  <c r="L37" i="2"/>
  <c r="L38" i="2" s="1"/>
  <c r="L41" i="2" s="1"/>
  <c r="I78" i="2"/>
  <c r="M78" i="2" s="1"/>
  <c r="C42" i="12"/>
  <c r="C43" i="12" s="1"/>
  <c r="C49" i="12" s="1"/>
  <c r="C51" i="12" s="1"/>
  <c r="M76" i="2"/>
  <c r="E69" i="12" l="1"/>
  <c r="F67" i="12"/>
  <c r="E51" i="12"/>
  <c r="F51" i="12" s="1"/>
  <c r="F49" i="12"/>
  <c r="E71" i="12" l="1"/>
  <c r="F69" i="12"/>
  <c r="E75" i="12" l="1"/>
  <c r="F75" i="12" s="1"/>
  <c r="F71" i="12"/>
</calcChain>
</file>

<file path=xl/comments1.xml><?xml version="1.0" encoding="utf-8"?>
<comments xmlns="http://schemas.openxmlformats.org/spreadsheetml/2006/main">
  <authors>
    <author>WIL0824</author>
  </authors>
  <commentList>
    <comment ref="T181" authorId="0" shapeId="0">
      <text>
        <r>
          <rPr>
            <b/>
            <sz val="9"/>
            <color indexed="81"/>
            <rFont val="Tahoma"/>
            <family val="2"/>
          </rPr>
          <t>WIL0824:</t>
        </r>
        <r>
          <rPr>
            <sz val="9"/>
            <color indexed="81"/>
            <rFont val="Tahoma"/>
            <family val="2"/>
          </rPr>
          <t xml:space="preserve">
Added acct 254000 Reg Liab Tax Reform</t>
        </r>
      </text>
    </comment>
  </commentList>
</comments>
</file>

<file path=xl/comments2.xml><?xml version="1.0" encoding="utf-8"?>
<comments xmlns="http://schemas.openxmlformats.org/spreadsheetml/2006/main">
  <authors>
    <author>07543</author>
    <author>Jordan Stephenson</author>
  </authors>
  <commentList>
    <comment ref="AT1" authorId="0" shapeId="0">
      <text>
        <r>
          <rPr>
            <b/>
            <sz val="8"/>
            <color indexed="81"/>
            <rFont val="Tahoma"/>
            <family val="2"/>
          </rPr>
          <t>07543:</t>
        </r>
        <r>
          <rPr>
            <sz val="8"/>
            <color indexed="81"/>
            <rFont val="Tahoma"/>
            <family val="2"/>
          </rPr>
          <t xml:space="preserve">
Query Rates_CorpGovAffairs </t>
        </r>
      </text>
    </comment>
    <comment ref="BB19" authorId="1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updated AGA Dues invoice (last year was Loni Reed, find new contact)</t>
        </r>
      </text>
    </comment>
  </commentList>
</comments>
</file>

<file path=xl/comments3.xml><?xml version="1.0" encoding="utf-8"?>
<comments xmlns="http://schemas.openxmlformats.org/spreadsheetml/2006/main">
  <authors>
    <author>Jordan Stephenson</author>
  </authors>
  <commentList>
    <comment ref="AT1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Use RATES_QGC_INCENTIVE, include 402 and 403 transaction, run for QGC and CORP, paste results to appropriate location</t>
        </r>
      </text>
    </comment>
    <comment ref="AH52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Investigate payout % related to financial goals under 2017 payment plan.</t>
        </r>
      </text>
    </comment>
    <comment ref="AN57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table for 2018 from Donna Page</t>
        </r>
      </text>
    </comment>
  </commentList>
</comments>
</file>

<file path=xl/comments4.xml><?xml version="1.0" encoding="utf-8"?>
<comments xmlns="http://schemas.openxmlformats.org/spreadsheetml/2006/main">
  <authors>
    <author>Jordan Stephenson</author>
  </authors>
  <commentList>
    <comment ref="Q39" authorId="0" shapeId="0">
      <text>
        <r>
          <rPr>
            <b/>
            <sz val="9"/>
            <color indexed="81"/>
            <rFont val="Tahoma"/>
            <family val="2"/>
          </rPr>
          <t>Jordan Stephenson:</t>
        </r>
        <r>
          <rPr>
            <sz val="9"/>
            <color indexed="81"/>
            <rFont val="Tahoma"/>
            <family val="2"/>
          </rPr>
          <t xml:space="preserve">
Get new ticket count from Michelle Bryson.</t>
        </r>
      </text>
    </comment>
  </commentList>
</comments>
</file>

<file path=xl/sharedStrings.xml><?xml version="1.0" encoding="utf-8"?>
<sst xmlns="http://schemas.openxmlformats.org/spreadsheetml/2006/main" count="11903" uniqueCount="1636">
  <si>
    <t>904.0</t>
  </si>
  <si>
    <t>904.1</t>
  </si>
  <si>
    <t>904.2</t>
  </si>
  <si>
    <t>State Tax Rates</t>
  </si>
  <si>
    <t>F-4</t>
  </si>
  <si>
    <t>INC</t>
  </si>
  <si>
    <t>Advertising</t>
  </si>
  <si>
    <t>Account</t>
  </si>
  <si>
    <t>Calculation of Allocation Factors</t>
  </si>
  <si>
    <t>Incentive Compensation</t>
  </si>
  <si>
    <t>FT-E</t>
  </si>
  <si>
    <t>Tax &amp; Bad Debt Gross-Up Factor = 1 / (1 - (Tax Rate + (Bad Debt Rate * (1 - Tax Rate))))</t>
  </si>
  <si>
    <t>TARIFF DTH SALES AND REVENUE</t>
  </si>
  <si>
    <t>Utah</t>
  </si>
  <si>
    <t>GS-1</t>
  </si>
  <si>
    <t>Distribution Non-Gas Rev</t>
  </si>
  <si>
    <t>Supplier Non-Gas Revenue</t>
  </si>
  <si>
    <t>Commodity Revenue</t>
  </si>
  <si>
    <t>Total Revenue</t>
  </si>
  <si>
    <t>Total Dth</t>
  </si>
  <si>
    <t>Utah Foundation</t>
  </si>
  <si>
    <t>Uncollectible Accounts - DNG</t>
  </si>
  <si>
    <t>Uncollectible Accounts - SNG</t>
  </si>
  <si>
    <t>Uncollectible Accounts - Commodity</t>
  </si>
  <si>
    <t>Wyoming</t>
  </si>
  <si>
    <t>IC</t>
  </si>
  <si>
    <t>I-T</t>
  </si>
  <si>
    <t>Total Wyoming Revenue</t>
  </si>
  <si>
    <t>Total Wyoming Dth</t>
  </si>
  <si>
    <t>Colorado</t>
  </si>
  <si>
    <t>Total Colorado Revenue</t>
  </si>
  <si>
    <t>Total Colorado Dth</t>
  </si>
  <si>
    <t>System Total Tariff Sales and Revenue</t>
  </si>
  <si>
    <t>SystemTotal Dth</t>
  </si>
  <si>
    <t>Accum Deferred Income Taxes</t>
  </si>
  <si>
    <t>Total Deductions From Rate Base</t>
  </si>
  <si>
    <t>FT1-L</t>
  </si>
  <si>
    <t>RETURN ON EQUITY</t>
  </si>
  <si>
    <t>Adjustments</t>
  </si>
  <si>
    <t>Imputed</t>
  </si>
  <si>
    <t>Tax</t>
  </si>
  <si>
    <t>Adjustment</t>
  </si>
  <si>
    <t>Adjusted</t>
  </si>
  <si>
    <t>System</t>
  </si>
  <si>
    <t>(B)</t>
  </si>
  <si>
    <t>(C)</t>
  </si>
  <si>
    <t>Jurisdiction</t>
  </si>
  <si>
    <t>Deficiency</t>
  </si>
  <si>
    <t>DNG Related</t>
  </si>
  <si>
    <t>Actual</t>
  </si>
  <si>
    <t>Weighted</t>
  </si>
  <si>
    <t>Weight</t>
  </si>
  <si>
    <t>Cost</t>
  </si>
  <si>
    <t>Long Term Debt</t>
  </si>
  <si>
    <t>Common Equity</t>
  </si>
  <si>
    <t>Dist - Wy - Mains - SD</t>
  </si>
  <si>
    <t>Dth Sales by State (Excluding Transportation)</t>
  </si>
  <si>
    <t>Sales Dth</t>
  </si>
  <si>
    <t>Transportation Dth</t>
  </si>
  <si>
    <t>Utah &amp; Idaho</t>
  </si>
  <si>
    <t>Wyo &amp; Co</t>
  </si>
  <si>
    <t>Gross Plant By State and Function</t>
  </si>
  <si>
    <t>Subtotal with Production Allocated to States</t>
  </si>
  <si>
    <t>Adjusted System Total Rate Base</t>
  </si>
  <si>
    <t>Allocation of General by Gross Plant</t>
  </si>
  <si>
    <t>Subtotal with Production and General Allocated</t>
  </si>
  <si>
    <t>Wages</t>
  </si>
  <si>
    <t>% Average</t>
  </si>
  <si>
    <t>Workpaper B</t>
  </si>
  <si>
    <t>Questar Gas</t>
  </si>
  <si>
    <t>Questar Pipeline</t>
  </si>
  <si>
    <t>Wexpro Plant Adjustment</t>
  </si>
  <si>
    <t>Underground Storage</t>
  </si>
  <si>
    <t>Advertising Adjustment</t>
  </si>
  <si>
    <t>Revenue</t>
  </si>
  <si>
    <t>Total Sales Dth</t>
  </si>
  <si>
    <t>E-1</t>
  </si>
  <si>
    <t>P-I</t>
  </si>
  <si>
    <t>IS-2</t>
  </si>
  <si>
    <t>IS-4</t>
  </si>
  <si>
    <t>I-2</t>
  </si>
  <si>
    <t>I-4</t>
  </si>
  <si>
    <t>IT</t>
  </si>
  <si>
    <t>IT-S</t>
  </si>
  <si>
    <t>FT-1</t>
  </si>
  <si>
    <t>FT-2</t>
  </si>
  <si>
    <t>GSR</t>
  </si>
  <si>
    <t>GSC</t>
  </si>
  <si>
    <t>Distribution Non-Gas Revenue</t>
  </si>
  <si>
    <t>CASE</t>
  </si>
  <si>
    <t>Line Descr</t>
  </si>
  <si>
    <t>Date</t>
  </si>
  <si>
    <t>Unit</t>
  </si>
  <si>
    <t>Year</t>
  </si>
  <si>
    <t>DNG</t>
  </si>
  <si>
    <t>SNG</t>
  </si>
  <si>
    <t>TOTAL UTAH FIRM</t>
  </si>
  <si>
    <t>TOTAL UTAH INTERRUPTIBLE</t>
  </si>
  <si>
    <t>TOTAL UTAH TRANSPORTATION</t>
  </si>
  <si>
    <t>TOTAL WYOMING FIRM</t>
  </si>
  <si>
    <t>TOTAL WYOMING INTERRUPTIBLE</t>
  </si>
  <si>
    <t>TOTAL WYOMING TRANSPORTATION</t>
  </si>
  <si>
    <t>Period</t>
  </si>
  <si>
    <t>DTH</t>
  </si>
  <si>
    <t>Direct</t>
  </si>
  <si>
    <t>Charges</t>
  </si>
  <si>
    <t>Type</t>
  </si>
  <si>
    <t>DSM</t>
  </si>
  <si>
    <t>Financial Advertising</t>
  </si>
  <si>
    <t>Total LT &amp; ST Debt</t>
  </si>
  <si>
    <t>LONG-TERM DEBT</t>
  </si>
  <si>
    <t>LONG TERM DEBT COSTS</t>
  </si>
  <si>
    <t>TOTAL LONG-TERM DEBT</t>
  </si>
  <si>
    <t>TOTAL LONG TERM DEBT COSTS</t>
  </si>
  <si>
    <t xml:space="preserve">Total AMIP </t>
  </si>
  <si>
    <t>TOTAL PIPE</t>
  </si>
  <si>
    <t>Weights</t>
  </si>
  <si>
    <t>Costs (Rates)</t>
  </si>
  <si>
    <t>FT-2C</t>
  </si>
  <si>
    <t>Utah Allocation</t>
  </si>
  <si>
    <t>Wyoming Allocation</t>
  </si>
  <si>
    <t>Ledger</t>
  </si>
  <si>
    <t>ACTUALS</t>
  </si>
  <si>
    <t>Expense</t>
  </si>
  <si>
    <t>Workpaper 2</t>
  </si>
  <si>
    <t>Donations and Memberships Adjustment</t>
  </si>
  <si>
    <t>O&amp;M Goals</t>
  </si>
  <si>
    <t>Total AMIP Dollar Payout</t>
  </si>
  <si>
    <t>Total PIPE % Payout</t>
  </si>
  <si>
    <t>% Payout</t>
  </si>
  <si>
    <t xml:space="preserve"> $ Payout</t>
  </si>
  <si>
    <t>427</t>
  </si>
  <si>
    <t>221</t>
  </si>
  <si>
    <t>189</t>
  </si>
  <si>
    <t>181</t>
  </si>
  <si>
    <t>428</t>
  </si>
  <si>
    <t>201</t>
  </si>
  <si>
    <t>207</t>
  </si>
  <si>
    <t>216</t>
  </si>
  <si>
    <t>UTAH</t>
  </si>
  <si>
    <t>Industry Associations</t>
  </si>
  <si>
    <t xml:space="preserve">Tax Executives Institute </t>
  </si>
  <si>
    <t>System Total Dth Throughput</t>
  </si>
  <si>
    <t xml:space="preserve">Utah Taxpayers Association </t>
  </si>
  <si>
    <t>930200</t>
  </si>
  <si>
    <t>Commodity</t>
  </si>
  <si>
    <t>Accum Deferred IncomeTaxes(QRS&amp; Sec 29 Cr)</t>
  </si>
  <si>
    <t>282-6-8</t>
  </si>
  <si>
    <t>ADJUSTMENT CALCULATION</t>
  </si>
  <si>
    <t>Capital Structure</t>
  </si>
  <si>
    <t>Company and Allocation Amounts</t>
  </si>
  <si>
    <t>Calculations</t>
  </si>
  <si>
    <t>NET CHARGE OFFS</t>
  </si>
  <si>
    <t>Average Bad Debt Removal</t>
  </si>
  <si>
    <t>400</t>
  </si>
  <si>
    <t>RESERVE ACCRUAL</t>
  </si>
  <si>
    <t>Incentives</t>
  </si>
  <si>
    <t>OTHER OPERATING REVENUE</t>
  </si>
  <si>
    <t>Utah % of Sales Dth from 191 Acct ===&gt;</t>
  </si>
  <si>
    <t>Sales For Resale \2</t>
  </si>
  <si>
    <t>Total</t>
  </si>
  <si>
    <t>Deferred Fed &amp; State Taxes-QRS Transf</t>
  </si>
  <si>
    <t>282_108_008</t>
  </si>
  <si>
    <t>Interest on Past Due Accounts</t>
  </si>
  <si>
    <t>See Workpaper A</t>
  </si>
  <si>
    <t>Operating Goals</t>
  </si>
  <si>
    <t>See Workpaper B</t>
  </si>
  <si>
    <t>OTHER RATE BASE ACCOUNTS</t>
  </si>
  <si>
    <t>Go To Adjustment</t>
  </si>
  <si>
    <t xml:space="preserve">Utah </t>
  </si>
  <si>
    <t>Bad Debt Ratio</t>
  </si>
  <si>
    <t>RATE BASE SUMMARY</t>
  </si>
  <si>
    <t>Total Net Utility Plant</t>
  </si>
  <si>
    <t>Total Other Rate Base Accounts</t>
  </si>
  <si>
    <t>Utility Operating Revenue</t>
  </si>
  <si>
    <t>Utility Operating Expenses</t>
  </si>
  <si>
    <t>Other Rate Base Accounts</t>
  </si>
  <si>
    <t>FINANCIAL ADVERTISING ADJUSTMENT</t>
  </si>
  <si>
    <t>(B+D)</t>
  </si>
  <si>
    <t>3 Year Average</t>
  </si>
  <si>
    <t xml:space="preserve">Bad Debt </t>
  </si>
  <si>
    <t>Ratio</t>
  </si>
  <si>
    <t>RATE BASE</t>
  </si>
  <si>
    <t>488011</t>
  </si>
  <si>
    <t>488012</t>
  </si>
  <si>
    <t>488013</t>
  </si>
  <si>
    <t>Allocation</t>
  </si>
  <si>
    <t>Acct # and Description</t>
  </si>
  <si>
    <t>Amount  \1</t>
  </si>
  <si>
    <t>Factor  \2</t>
  </si>
  <si>
    <t>Amount  \3</t>
  </si>
  <si>
    <t>101</t>
  </si>
  <si>
    <t>105</t>
  </si>
  <si>
    <t>106</t>
  </si>
  <si>
    <t>154</t>
  </si>
  <si>
    <t>164.1</t>
  </si>
  <si>
    <t>165</t>
  </si>
  <si>
    <t>108</t>
  </si>
  <si>
    <t>111</t>
  </si>
  <si>
    <t>235.1</t>
  </si>
  <si>
    <t>253.1</t>
  </si>
  <si>
    <t>Required Inputs and Factors</t>
  </si>
  <si>
    <t>Institutional Advertising</t>
  </si>
  <si>
    <t>Intangible Plant</t>
  </si>
  <si>
    <t>302</t>
  </si>
  <si>
    <t>Franchises &amp; Consents</t>
  </si>
  <si>
    <t>Total Intangible Plant</t>
  </si>
  <si>
    <t>Production &amp; Gathering Plant</t>
  </si>
  <si>
    <t>325</t>
  </si>
  <si>
    <t>Land &amp; Land Rights</t>
  </si>
  <si>
    <t>326...9</t>
  </si>
  <si>
    <t>Structures</t>
  </si>
  <si>
    <t>330</t>
  </si>
  <si>
    <t>Gas Wells - Construction</t>
  </si>
  <si>
    <t>331</t>
  </si>
  <si>
    <t>Gas Wells - Equipment</t>
  </si>
  <si>
    <t>332...4</t>
  </si>
  <si>
    <t>Field Lines &amp; Comp, Meas &amp; Reg St Eqpt</t>
  </si>
  <si>
    <t>336</t>
  </si>
  <si>
    <t>Purification Equipment</t>
  </si>
  <si>
    <t>337</t>
  </si>
  <si>
    <t>Other Equipment</t>
  </si>
  <si>
    <t>Total Production &amp; Gathering Plant</t>
  </si>
  <si>
    <t>Distribution Plant</t>
  </si>
  <si>
    <t>374</t>
  </si>
  <si>
    <t>375</t>
  </si>
  <si>
    <t>Structures &amp; Improvements</t>
  </si>
  <si>
    <t>Total Pre-tax Rate of Return (Line 6+Line 7)</t>
  </si>
  <si>
    <t>Pre-Tax Equity Return (Line 4/(1-Line 5)</t>
  </si>
  <si>
    <t xml:space="preserve">Federal Tax Rate </t>
  </si>
  <si>
    <t>376</t>
  </si>
  <si>
    <t>Mains</t>
  </si>
  <si>
    <t>377</t>
  </si>
  <si>
    <t>GS-C</t>
  </si>
  <si>
    <t>Compressor Station Equipment</t>
  </si>
  <si>
    <t>378</t>
  </si>
  <si>
    <t>Measuring &amp; Regulation Station Equip</t>
  </si>
  <si>
    <t>380</t>
  </si>
  <si>
    <t>381...2</t>
  </si>
  <si>
    <t>Meters &amp; Meter Installation</t>
  </si>
  <si>
    <t>383...4</t>
  </si>
  <si>
    <t>House Regulators &amp; Reg Installations</t>
  </si>
  <si>
    <t>387</t>
  </si>
  <si>
    <t>Total Distribution Plant</t>
  </si>
  <si>
    <t>389</t>
  </si>
  <si>
    <t>390</t>
  </si>
  <si>
    <t>391</t>
  </si>
  <si>
    <t>Office Furniture &amp; Equipment</t>
  </si>
  <si>
    <t>392</t>
  </si>
  <si>
    <t>Transportation Equipment</t>
  </si>
  <si>
    <t>393</t>
  </si>
  <si>
    <t>Stores Equipment</t>
  </si>
  <si>
    <t>394</t>
  </si>
  <si>
    <t>Tools, Shop &amp; Garage Equipment</t>
  </si>
  <si>
    <t>395</t>
  </si>
  <si>
    <t>Laboratory Equipment</t>
  </si>
  <si>
    <t>396</t>
  </si>
  <si>
    <t>Power Operated Equipment</t>
  </si>
  <si>
    <t>397</t>
  </si>
  <si>
    <t>Communication Equipment</t>
  </si>
  <si>
    <t>398</t>
  </si>
  <si>
    <t>Miscellaneous Equipment</t>
  </si>
  <si>
    <t>Total General Plant</t>
  </si>
  <si>
    <t>Disallow</t>
  </si>
  <si>
    <t>Contributions in Aid  of Construction</t>
  </si>
  <si>
    <t>This Scenario</t>
  </si>
  <si>
    <t>Earn Code</t>
  </si>
  <si>
    <t>AM1</t>
  </si>
  <si>
    <t>TOTAL O &amp; M</t>
  </si>
  <si>
    <t>SYSTEM TOTAL RATE BASE</t>
  </si>
  <si>
    <t>Depreciation, Depletion, Amortization</t>
  </si>
  <si>
    <t>1641</t>
  </si>
  <si>
    <t>Utah Interruptible Transportation</t>
  </si>
  <si>
    <t>Utah Interruptible Sales</t>
  </si>
  <si>
    <t>Value of Gas Purchased During Interruption</t>
  </si>
  <si>
    <t>Capacity Release Revenues (Utah 10%)</t>
  </si>
  <si>
    <t>Net Utility Plant</t>
  </si>
  <si>
    <t>Total Other Rate Base</t>
  </si>
  <si>
    <t>Holland and Hart</t>
  </si>
  <si>
    <t>Demand</t>
  </si>
  <si>
    <t>Line #</t>
  </si>
  <si>
    <t>South Georgia Amortization</t>
  </si>
  <si>
    <t>Section 29 Tax Credits</t>
  </si>
  <si>
    <t>UTILITY RATE BASE</t>
  </si>
  <si>
    <t>Gas Plant In Service</t>
  </si>
  <si>
    <t>Gas Plant Held For Future Use</t>
  </si>
  <si>
    <t>Accum Prov For Amort &amp; Depl - Gas Plant In Svc</t>
  </si>
  <si>
    <t>Amount Expensed to 921 Account</t>
  </si>
  <si>
    <t>NET UTILITY PLANT</t>
  </si>
  <si>
    <t>190008</t>
  </si>
  <si>
    <t>190009</t>
  </si>
  <si>
    <t>Accum Deferred Income Tax Federal</t>
  </si>
  <si>
    <t>Accum Deferred Income Tax State</t>
  </si>
  <si>
    <t>WORKING CAPITAL</t>
  </si>
  <si>
    <t>Plant Materials &amp; Operating Supplies</t>
  </si>
  <si>
    <t>Gas Stored Underground</t>
  </si>
  <si>
    <t>Prepayments</t>
  </si>
  <si>
    <t>Customer Deposits</t>
  </si>
  <si>
    <t>Unclaimed Customer Deposits</t>
  </si>
  <si>
    <t>Deferred Investment Tax Credits</t>
  </si>
  <si>
    <t>NGV Equipment Leases Revenue</t>
  </si>
  <si>
    <t>NGV Revenue - Repairs to NGV</t>
  </si>
  <si>
    <t>NGV Revenue - Sales of NGV Equipment</t>
  </si>
  <si>
    <t>Fees for Connecting Gas Service</t>
  </si>
  <si>
    <t>New Premises Fees</t>
  </si>
  <si>
    <t>Fees for Processing Bad Checks</t>
  </si>
  <si>
    <t>Contributions - Mains</t>
  </si>
  <si>
    <t>Refunds of Contributions - Mains</t>
  </si>
  <si>
    <t>GS</t>
  </si>
  <si>
    <t>Service Line Contributions - 1/2 Inch</t>
  </si>
  <si>
    <t>Service Line Contributions - 3/4 Inch</t>
  </si>
  <si>
    <t>Service Line Contributions - 1 1/4 Inch</t>
  </si>
  <si>
    <t>Misc Customer Service Revenue</t>
  </si>
  <si>
    <t>Capacity Release Revenues (Utah-20%)</t>
  </si>
  <si>
    <t>Incidental Plant Production Sales \2</t>
  </si>
  <si>
    <t>Rev from Gas Processed by Others \2</t>
  </si>
  <si>
    <t>Incidental Oil Sales \2</t>
  </si>
  <si>
    <t>Rent From Gas Property \2</t>
  </si>
  <si>
    <t>Utah Administrative &amp; General Expense</t>
  </si>
  <si>
    <t>WyomingAdministrative &amp; General Expense</t>
  </si>
  <si>
    <t>Other Gas Revenues \2</t>
  </si>
  <si>
    <t>Overriding Royalties from Celsius \2</t>
  </si>
  <si>
    <t>Oil Revenues received from Wexpro \2</t>
  </si>
  <si>
    <t>N</t>
  </si>
  <si>
    <t>Return On Equity</t>
  </si>
  <si>
    <t xml:space="preserve">Balance </t>
  </si>
  <si>
    <t>Standby Charges</t>
  </si>
  <si>
    <t>TOTAL UTILITY OPERATING REVENUE</t>
  </si>
  <si>
    <t>UTILITY OPERATING EXPENSES</t>
  </si>
  <si>
    <t>GAS PURCHASE EXPENSES</t>
  </si>
  <si>
    <t>Gas Well Royalties</t>
  </si>
  <si>
    <t>Gas Well Royalties - Other</t>
  </si>
  <si>
    <t>1010</t>
  </si>
  <si>
    <t>Gathering by Others, GRI &amp; ACA  -  Gas Cost</t>
  </si>
  <si>
    <t>Gathering by Others - SNG Cost</t>
  </si>
  <si>
    <t>Natural Gas Well Head Purchases</t>
  </si>
  <si>
    <t>Natural Gas Field Line Purchases</t>
  </si>
  <si>
    <t>Natural Gas Gasoline Plant Outlet Purchase</t>
  </si>
  <si>
    <t>Natural Gas Transmission Line - Purchases</t>
  </si>
  <si>
    <t>Journal ID</t>
  </si>
  <si>
    <t>Natural Gas City Gate Purchases - Resources</t>
  </si>
  <si>
    <t>Natural Gas City Gate Purchases - Other</t>
  </si>
  <si>
    <t>Government Relations Dept - A&amp;G</t>
  </si>
  <si>
    <t>Purchased Gas Cost Adjustments - Other</t>
  </si>
  <si>
    <t>Purchased Gas Cost Adjustments - Utah</t>
  </si>
  <si>
    <t>Exchange Gas</t>
  </si>
  <si>
    <t>Gas Withdrawn from Underground Storage</t>
  </si>
  <si>
    <t>Gas Delivered to Underground Storage</t>
  </si>
  <si>
    <t>Other Gas Supply Expenses - Gas Cost</t>
  </si>
  <si>
    <t>Other Gas Supply Expenses - SNG Cost</t>
  </si>
  <si>
    <t>CO2 Processing Expenses</t>
  </si>
  <si>
    <t>Transportation GRI &amp; ACA - Gas Cost</t>
  </si>
  <si>
    <t>Trans &amp; Comp of Gas by Others - SNG Cost</t>
  </si>
  <si>
    <t>OPERATION AND MAINTENANCE EXPENSES</t>
  </si>
  <si>
    <t>Production Expenses</t>
  </si>
  <si>
    <t>Gas Used for Compressor Station Fuel</t>
  </si>
  <si>
    <t>AVERAGE INCENTIVE CALCULATION</t>
  </si>
  <si>
    <t>Gas Used for Other Utility Operations</t>
  </si>
  <si>
    <t>Total Production Expenses</t>
  </si>
  <si>
    <t>Distribution Operations &amp; Maintenance Expenses</t>
  </si>
  <si>
    <t>Operation Supervision &amp; Engineering</t>
  </si>
  <si>
    <t>Distribution Load Dispatching</t>
  </si>
  <si>
    <t>Test Period Production Rate Base</t>
  </si>
  <si>
    <t>Compressor Station Labor &amp; Expenses</t>
  </si>
  <si>
    <t>Compressor Station Fuel &amp; Power</t>
  </si>
  <si>
    <t>Mains &amp; Service Expenses</t>
  </si>
  <si>
    <t>Measuring &amp; Regulating Station Expenses</t>
  </si>
  <si>
    <t>Meter &amp; House Regulator Expenses</t>
  </si>
  <si>
    <t>Customer Installations Expenses</t>
  </si>
  <si>
    <t>Other Expenses</t>
  </si>
  <si>
    <t>Rents</t>
  </si>
  <si>
    <t>Maintenance Supervision &amp; Engineering</t>
  </si>
  <si>
    <t>Maintenance of Structures &amp; Improvements</t>
  </si>
  <si>
    <t>Maintenance of Mains</t>
  </si>
  <si>
    <t>Maint of Compressor Station Equipment</t>
  </si>
  <si>
    <t>Maint of Meas. &amp; Reg. Station Equipment</t>
  </si>
  <si>
    <t>Maintenance of Services</t>
  </si>
  <si>
    <t>0011</t>
  </si>
  <si>
    <t>Maintenance of Meters &amp; House Regulators</t>
  </si>
  <si>
    <t>Revenues are lagging the Charge Offs by 6 Months.</t>
  </si>
  <si>
    <t>Maintenance of Communication Equipment</t>
  </si>
  <si>
    <t>Adjusted % of Uncollectible Accounts to Total Revenues</t>
  </si>
  <si>
    <t>Maintenance of Other Equipment</t>
  </si>
  <si>
    <t>Customer Accounts Expense</t>
  </si>
  <si>
    <t>2/</t>
  </si>
  <si>
    <t>Supervision</t>
  </si>
  <si>
    <t>Meter Reading Expense</t>
  </si>
  <si>
    <t>Customer Records Expense</t>
  </si>
  <si>
    <t>Collection Expense</t>
  </si>
  <si>
    <t>Interest Exp - Customer Security Deposits</t>
  </si>
  <si>
    <t>NES Inc</t>
  </si>
  <si>
    <t>Uncollectible Accounts</t>
  </si>
  <si>
    <t>Miscellaneous Expense</t>
  </si>
  <si>
    <t>Customer Service &amp; Information Expense</t>
  </si>
  <si>
    <t>Customer Assistance Expense</t>
  </si>
  <si>
    <t>488001</t>
  </si>
  <si>
    <t>488002</t>
  </si>
  <si>
    <t>488003</t>
  </si>
  <si>
    <t>488004</t>
  </si>
  <si>
    <t>BLANK</t>
  </si>
  <si>
    <t>488005</t>
  </si>
  <si>
    <t>488006</t>
  </si>
  <si>
    <t>488007</t>
  </si>
  <si>
    <t>488008</t>
  </si>
  <si>
    <t>488009</t>
  </si>
  <si>
    <t>488010</t>
  </si>
  <si>
    <t>(A)</t>
  </si>
  <si>
    <t>Info &amp; Instructional Advertising Expense</t>
  </si>
  <si>
    <t>Misc Customer Service &amp; Info Expense</t>
  </si>
  <si>
    <t>Administrative &amp; General Expense</t>
  </si>
  <si>
    <t>Administrative &amp; General Salaries</t>
  </si>
  <si>
    <t>Office Supplies &amp; Expenses</t>
  </si>
  <si>
    <t>Administrative Expenses Transferred</t>
  </si>
  <si>
    <t>Outside Services Employed</t>
  </si>
  <si>
    <t>Property Insurance</t>
  </si>
  <si>
    <t>Injuries &amp; Damages</t>
  </si>
  <si>
    <t>Employee Pensions &amp; Benefits</t>
  </si>
  <si>
    <t>General Advertising Expenses</t>
  </si>
  <si>
    <t xml:space="preserve">Sales For Resale </t>
  </si>
  <si>
    <t>Miscellaneous General Expenses</t>
  </si>
  <si>
    <t>Maintenance of General Plant</t>
  </si>
  <si>
    <t>Total Administrative &amp; General Expense</t>
  </si>
  <si>
    <t>OTHER UTILITY OPERATING EXPENSES</t>
  </si>
  <si>
    <t>Depreciation, Amortization, &amp; Other Taxes</t>
  </si>
  <si>
    <t>CORP AMIP (Financial Goals)</t>
  </si>
  <si>
    <t>CORP AMIP (O&amp;M Goals)</t>
  </si>
  <si>
    <t>Depreciation Expense</t>
  </si>
  <si>
    <t>Production</t>
  </si>
  <si>
    <t>255</t>
  </si>
  <si>
    <t>282.0</t>
  </si>
  <si>
    <t>282.1</t>
  </si>
  <si>
    <t xml:space="preserve"> \1</t>
  </si>
  <si>
    <t xml:space="preserve"> \2</t>
  </si>
  <si>
    <t>See Wexpro Stipulation and Agreement, Exhibit E, Section 5(b).</t>
  </si>
  <si>
    <t xml:space="preserve"> \3</t>
  </si>
  <si>
    <t>Column B x Column C.</t>
  </si>
  <si>
    <t>Month</t>
  </si>
  <si>
    <t>Balance</t>
  </si>
  <si>
    <t>Monthly</t>
  </si>
  <si>
    <t>1/</t>
  </si>
  <si>
    <t>Workpaper A</t>
  </si>
  <si>
    <t>Total Utah Revenue</t>
  </si>
  <si>
    <t>Total Utah Dth</t>
  </si>
  <si>
    <t>Idaho</t>
  </si>
  <si>
    <t>Total Idaho Revenue</t>
  </si>
  <si>
    <t>Total Idaho Dth</t>
  </si>
  <si>
    <t xml:space="preserve"> (To Commodity Costs) </t>
  </si>
  <si>
    <t>Workpaper 1</t>
  </si>
  <si>
    <t>WY</t>
  </si>
  <si>
    <t>CO</t>
  </si>
  <si>
    <t xml:space="preserve">Wyoming Taxpayers Association </t>
  </si>
  <si>
    <t>Depreciation, Deplection, Amortization</t>
  </si>
  <si>
    <t>(To Commodity Costs)</t>
  </si>
  <si>
    <t>Wyoming Dist</t>
  </si>
  <si>
    <t>Utah Dist</t>
  </si>
  <si>
    <t>Accounts 101 &amp; 106 Non Gen Plant</t>
  </si>
  <si>
    <t>Allocation of Production by Dth Sales</t>
  </si>
  <si>
    <t>Rate Base Allocation Method</t>
  </si>
  <si>
    <t>Gross Plant</t>
  </si>
  <si>
    <t>Dth Sales By State</t>
  </si>
  <si>
    <t>Allocation Base #3 - Sales</t>
  </si>
  <si>
    <t>Golf Tournament</t>
  </si>
  <si>
    <t>Salt Lake Chamber of Commerce</t>
  </si>
  <si>
    <t>Adjustment (Accrual Less 5 Yr Average Actual Payments)</t>
  </si>
  <si>
    <t>Accum Deferred Income Taxes - Federal</t>
  </si>
  <si>
    <t>Accum Deferred Income Taxes - State</t>
  </si>
  <si>
    <t>Co</t>
  </si>
  <si>
    <t>Cost of Service - Including Gas Costs</t>
  </si>
  <si>
    <t>Gas Purchase Expenses</t>
  </si>
  <si>
    <t>Operation &amp; Maintenance Expenses</t>
  </si>
  <si>
    <t>Taxes - Excluding Income Taxes</t>
  </si>
  <si>
    <t>Reserve Accrual HISTORICAL</t>
  </si>
  <si>
    <t>Income Taxes - Federal &amp; State</t>
  </si>
  <si>
    <t>Working Capital - Cash Factor</t>
  </si>
  <si>
    <t>NET INCOME SUMMARY</t>
  </si>
  <si>
    <t>System Distribution Non-Gas Revenue</t>
  </si>
  <si>
    <t>System Supplier Non-Gas Revenue</t>
  </si>
  <si>
    <t>System Commodity Revenue</t>
  </si>
  <si>
    <t>Pass-Through Related Other Revenue</t>
  </si>
  <si>
    <t>General Related Other Revenue</t>
  </si>
  <si>
    <t>Misc Customer Credits</t>
  </si>
  <si>
    <t>Removed</t>
  </si>
  <si>
    <t>From Corp</t>
  </si>
  <si>
    <t>% of Uncollectible Accounts to Total Revenues</t>
  </si>
  <si>
    <t>Total Utility Operating Revenue</t>
  </si>
  <si>
    <t>Total Gas Purchase Expenses</t>
  </si>
  <si>
    <t>O&amp;M Expenses</t>
  </si>
  <si>
    <t>Distribution</t>
  </si>
  <si>
    <t>Customer Accounts</t>
  </si>
  <si>
    <t>Customer Service &amp; Information</t>
  </si>
  <si>
    <t>Administrative &amp; General</t>
  </si>
  <si>
    <t>Total O&amp;M Expense</t>
  </si>
  <si>
    <t>Other Operating Expenses</t>
  </si>
  <si>
    <t>ROE</t>
  </si>
  <si>
    <t>CHARGE OFFS (ACC 144004) Dec of Each Year</t>
  </si>
  <si>
    <t>COLLECTED (ACC 144005) Dec of Each Year</t>
  </si>
  <si>
    <t>FS</t>
  </si>
  <si>
    <t>HISTORICAL BOOKED SYSTEM REVENUES (GREY BACK) June of Each Year</t>
  </si>
  <si>
    <t>6 Months af aging is required from time of billing to Charge Off.</t>
  </si>
  <si>
    <t>Total Other Operating Expenses</t>
  </si>
  <si>
    <t>Total Utility Operating Expenses</t>
  </si>
  <si>
    <t>NET OPERATING INCOME</t>
  </si>
  <si>
    <t>ADDITIONS TO RATE BASE</t>
  </si>
  <si>
    <t>Completed Construction Not Classified</t>
  </si>
  <si>
    <t>Materials &amp; Supplies</t>
  </si>
  <si>
    <t>Working Capital - Cash</t>
  </si>
  <si>
    <t>Total Additions To Rate Base</t>
  </si>
  <si>
    <t>DEDUCTIONS FROM RATE BASE</t>
  </si>
  <si>
    <t>Accumulated Depreciation</t>
  </si>
  <si>
    <t>Accumulated Amort &amp; Depletion</t>
  </si>
  <si>
    <t>Total Corporate Financial Advertising</t>
  </si>
  <si>
    <t>CORP AMIP (Financial Goals) %</t>
  </si>
  <si>
    <t>CORP AMIP (O&amp;M Goals) %</t>
  </si>
  <si>
    <t xml:space="preserve"> Disallowed Allocation</t>
  </si>
  <si>
    <t>SWITCH</t>
  </si>
  <si>
    <t>AVERAGE (1)</t>
  </si>
  <si>
    <t>ACTUAL(2)</t>
  </si>
  <si>
    <t>3-YR Average</t>
  </si>
  <si>
    <t>Promotional Advertising-Dealer</t>
  </si>
  <si>
    <t>LONG-TERM DEBIT COST %</t>
  </si>
  <si>
    <t>Customers</t>
  </si>
  <si>
    <t>Dist - Wy - Mains - LD</t>
  </si>
  <si>
    <t>Dist - Wy - Mains - Feeders</t>
  </si>
  <si>
    <t>Total Wyoming</t>
  </si>
  <si>
    <t>Dist - Ut - Mains - SD</t>
  </si>
  <si>
    <t>Dist - Ut - Mains - LD</t>
  </si>
  <si>
    <t>Dist - Ut - Mains - Feeders</t>
  </si>
  <si>
    <t>Total Utah</t>
  </si>
  <si>
    <t>Gross-Up Factor</t>
  </si>
  <si>
    <t>164-1</t>
  </si>
  <si>
    <t>235-1</t>
  </si>
  <si>
    <t>253-1</t>
  </si>
  <si>
    <t>Utah Totals</t>
  </si>
  <si>
    <t>Idaho Totals</t>
  </si>
  <si>
    <t>Wyoming Totals</t>
  </si>
  <si>
    <t>To Commodity Costs)</t>
  </si>
  <si>
    <t>Colorado Totals</t>
  </si>
  <si>
    <t>Non-Core DNG Revenue Credits</t>
  </si>
  <si>
    <t>System Total Other Revenues</t>
  </si>
  <si>
    <t>(A - B)</t>
  </si>
  <si>
    <t>ADJUSTMENT</t>
  </si>
  <si>
    <t>Utah Other Revenues</t>
  </si>
  <si>
    <t>Pass-Through Other Revenues</t>
  </si>
  <si>
    <t>General Other Revenues</t>
  </si>
  <si>
    <t>Utah Total Other Revenues</t>
  </si>
  <si>
    <t>Wyoming Other Revenues</t>
  </si>
  <si>
    <t>Wyoming Total Other Revenues</t>
  </si>
  <si>
    <t>System Total Other Revenue</t>
  </si>
  <si>
    <t>PT</t>
  </si>
  <si>
    <t>G</t>
  </si>
  <si>
    <t>System Total Gas Purchase Expenses</t>
  </si>
  <si>
    <t>Utah Distribution O&amp;M Expenses</t>
  </si>
  <si>
    <t>Wyoming Distribution O&amp;M Expenses</t>
  </si>
  <si>
    <t>System Total Distribution O&amp;M Expenses</t>
  </si>
  <si>
    <t>UT</t>
  </si>
  <si>
    <t>FT2C</t>
  </si>
  <si>
    <t>FT1L</t>
  </si>
  <si>
    <t>Federal Income Tax Rate</t>
  </si>
  <si>
    <t>State Income Tax Rate</t>
  </si>
  <si>
    <t>Weight of Debt in Capital Structure</t>
  </si>
  <si>
    <t>Cost of Debt</t>
  </si>
  <si>
    <t>Net Lead Lag Days</t>
  </si>
  <si>
    <t>Gas Expenses</t>
  </si>
  <si>
    <t xml:space="preserve">Depreciation </t>
  </si>
  <si>
    <t>Amortization</t>
  </si>
  <si>
    <t>Non-Income Taxes</t>
  </si>
  <si>
    <t>Rate Base excluding CWC</t>
  </si>
  <si>
    <t>Deferred Income Taxes - Credit</t>
  </si>
  <si>
    <t>CWC = CWC* + (NLD/365)∙IT</t>
  </si>
  <si>
    <t>CWC is a function of IT, and</t>
  </si>
  <si>
    <r>
      <t>IT = IT* - (t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+t</t>
    </r>
    <r>
      <rPr>
        <vertAlign val="subscript"/>
        <sz val="8"/>
        <rFont val="Arial"/>
        <family val="2"/>
      </rPr>
      <t>F</t>
    </r>
    <r>
      <rPr>
        <sz val="10"/>
        <rFont val="Arial"/>
        <family val="2"/>
      </rPr>
      <t>∙(1-t</t>
    </r>
    <r>
      <rPr>
        <vertAlign val="subscript"/>
        <sz val="8"/>
        <rFont val="Arial"/>
        <family val="2"/>
      </rPr>
      <t>S</t>
    </r>
    <r>
      <rPr>
        <sz val="10"/>
        <rFont val="Arial"/>
        <family val="2"/>
      </rPr>
      <t>))∙r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∙w</t>
    </r>
    <r>
      <rPr>
        <vertAlign val="subscript"/>
        <sz val="8"/>
        <rFont val="Arial"/>
        <family val="2"/>
      </rPr>
      <t>D</t>
    </r>
    <r>
      <rPr>
        <sz val="10"/>
        <rFont val="Arial"/>
        <family val="2"/>
      </rPr>
      <t>∙CWC</t>
    </r>
  </si>
  <si>
    <t>IT is a function of CWC</t>
  </si>
  <si>
    <t>where IT = SIT + FIT + DIT + DITCr, and</t>
  </si>
  <si>
    <r>
      <t>CWC*</t>
    </r>
    <r>
      <rPr>
        <sz val="8"/>
        <rFont val="Arial"/>
        <family val="2"/>
      </rPr>
      <t xml:space="preserve"> =</t>
    </r>
  </si>
  <si>
    <t>IT* =</t>
  </si>
  <si>
    <t>Solution:</t>
  </si>
  <si>
    <t>CWC =</t>
  </si>
  <si>
    <t>SIT =</t>
  </si>
  <si>
    <t>FIT =</t>
  </si>
  <si>
    <t>IT =</t>
  </si>
  <si>
    <t>Tax &amp; Bad Debt Factor</t>
  </si>
  <si>
    <t>Distribution - Wyoming</t>
  </si>
  <si>
    <t>Distribution - Utah</t>
  </si>
  <si>
    <t>Allowed $</t>
  </si>
  <si>
    <t>General</t>
  </si>
  <si>
    <t>Total Depreciation Expense</t>
  </si>
  <si>
    <t>Amortization and Depletion</t>
  </si>
  <si>
    <t>Total Amortization Expense</t>
  </si>
  <si>
    <t>Taxes Other Than Income Taxes</t>
  </si>
  <si>
    <t>Total Other Taxes</t>
  </si>
  <si>
    <t>Income Taxes</t>
  </si>
  <si>
    <t>Income Taxes - Federal</t>
  </si>
  <si>
    <t>Income Taxes - State</t>
  </si>
  <si>
    <t>Deferred Income Taxes</t>
  </si>
  <si>
    <t>Deferred Income Tax Credit</t>
  </si>
  <si>
    <t>Investment Tax Credit Adjustment</t>
  </si>
  <si>
    <t>ALGEBRAIC METHOD - SOLVING FOR TWO UNKNOWNS</t>
  </si>
  <si>
    <t>RATE BASE METHOD</t>
  </si>
  <si>
    <r>
      <t>t</t>
    </r>
    <r>
      <rPr>
        <vertAlign val="subscript"/>
        <sz val="8"/>
        <rFont val="Arial"/>
        <family val="2"/>
      </rPr>
      <t>F</t>
    </r>
  </si>
  <si>
    <r>
      <t>t</t>
    </r>
    <r>
      <rPr>
        <vertAlign val="subscript"/>
        <sz val="8"/>
        <rFont val="Arial"/>
        <family val="2"/>
      </rPr>
      <t>S</t>
    </r>
  </si>
  <si>
    <r>
      <t>w</t>
    </r>
    <r>
      <rPr>
        <vertAlign val="subscript"/>
        <sz val="8"/>
        <rFont val="Arial"/>
        <family val="2"/>
      </rPr>
      <t>D</t>
    </r>
  </si>
  <si>
    <r>
      <t>r</t>
    </r>
    <r>
      <rPr>
        <vertAlign val="subscript"/>
        <sz val="8"/>
        <rFont val="Arial"/>
        <family val="2"/>
      </rPr>
      <t>D</t>
    </r>
  </si>
  <si>
    <t>NLD</t>
  </si>
  <si>
    <t>R</t>
  </si>
  <si>
    <t>GAS</t>
  </si>
  <si>
    <t>O&amp;M</t>
  </si>
  <si>
    <t>DEPR</t>
  </si>
  <si>
    <t>AMORT</t>
  </si>
  <si>
    <t>NIT</t>
  </si>
  <si>
    <t>RB*</t>
  </si>
  <si>
    <t>DIT</t>
  </si>
  <si>
    <t>DITCr</t>
  </si>
  <si>
    <t>OPERATING INCOME METHOD</t>
  </si>
  <si>
    <t>Depreciation</t>
  </si>
  <si>
    <t>Taxes Other Than Income</t>
  </si>
  <si>
    <t>Net Utility Income Before Tax</t>
  </si>
  <si>
    <t>Proposed Weighted Cost of Debt</t>
  </si>
  <si>
    <t>Imputed Interest</t>
  </si>
  <si>
    <t>State Taxable Income</t>
  </si>
  <si>
    <t>State Income Tax</t>
  </si>
  <si>
    <t>Federal Taxable Income</t>
  </si>
  <si>
    <t>Federal Income Tax</t>
  </si>
  <si>
    <t>Total Income Tax</t>
  </si>
  <si>
    <t>ADJ From Avg</t>
  </si>
  <si>
    <t>FORMULA</t>
  </si>
  <si>
    <t>Reserve Accrual</t>
  </si>
  <si>
    <t>Removal of Financial Based Payouts</t>
  </si>
  <si>
    <t>Payout</t>
  </si>
  <si>
    <t>TOTAL WEXPRO PLANT ADJUSTMENT</t>
  </si>
  <si>
    <t>Utah Adjustment</t>
  </si>
  <si>
    <t>Wyoming Adjustment</t>
  </si>
  <si>
    <t>Dept</t>
  </si>
  <si>
    <t>Sporting Events</t>
  </si>
  <si>
    <t>5 Year Average</t>
  </si>
  <si>
    <t>System Total Customer Accounts Exp</t>
  </si>
  <si>
    <t>Utah Customer Accounts Expenses</t>
  </si>
  <si>
    <t>REPORT CHECK: MUST BE (0) ======&gt;</t>
  </si>
  <si>
    <t>Wyoming Customer Accounts Expenses</t>
  </si>
  <si>
    <t>System Total Cust Service &amp; Info Exp</t>
  </si>
  <si>
    <t>Utah Total Cust Service &amp; Info Exp</t>
  </si>
  <si>
    <t>Wyoming Total Cust Service &amp; Info Exp</t>
  </si>
  <si>
    <t>Total Utility O&amp;M Expenses</t>
  </si>
  <si>
    <t>SYSTEM TOTAL UTILITY OPERATING EXPENSES</t>
  </si>
  <si>
    <t>Total Utility Other Operating Expenses</t>
  </si>
  <si>
    <t>Total Depreciation, Deplec &amp; Amort</t>
  </si>
  <si>
    <t>Tax Expenses</t>
  </si>
  <si>
    <t>Total Tax Expenses</t>
  </si>
  <si>
    <t>SystemTotal Tariff Revenue</t>
  </si>
  <si>
    <t>Gas Plant in Service</t>
  </si>
  <si>
    <t>Complete Construction Not Yet Classified</t>
  </si>
  <si>
    <t>Accum Prov For Deprec - Gas Plant In Svc</t>
  </si>
  <si>
    <t>System Net Utility Plant</t>
  </si>
  <si>
    <t>System Working Capital (W/O WC Cash)</t>
  </si>
  <si>
    <t>Deprec, Depl, &amp; Amort</t>
  </si>
  <si>
    <t xml:space="preserve">Percent </t>
  </si>
  <si>
    <t>Amount</t>
  </si>
  <si>
    <t>CAPITAL STRUCTURE</t>
  </si>
  <si>
    <t>Other Revenues</t>
  </si>
  <si>
    <t>Daily Cost of Service</t>
  </si>
  <si>
    <t>System Average Rate Base</t>
  </si>
  <si>
    <t>Adj System Return On Rate Base</t>
  </si>
  <si>
    <t>Allowed Return</t>
  </si>
  <si>
    <t>System Weighted Cost Of Debt</t>
  </si>
  <si>
    <t>Imputed Interest Cost</t>
  </si>
  <si>
    <t>Taxable Return</t>
  </si>
  <si>
    <t>Tax Factor (Tax Rate/(1-Tax Rate))</t>
  </si>
  <si>
    <t>IS</t>
  </si>
  <si>
    <t>TS</t>
  </si>
  <si>
    <t>Income Tax on Return</t>
  </si>
  <si>
    <t>Historically Adjusted Income Taxes</t>
  </si>
  <si>
    <t>Tax Adjustment</t>
  </si>
  <si>
    <t>Blank</t>
  </si>
  <si>
    <t>Wexpro</t>
  </si>
  <si>
    <t>RATE BASE (W/O Working Cap. Cash)</t>
  </si>
  <si>
    <t>(D)</t>
  </si>
  <si>
    <t>(E)</t>
  </si>
  <si>
    <t>CET</t>
  </si>
  <si>
    <t>WORKING CAPITAL - CASH (General Plant)</t>
  </si>
  <si>
    <t>MT</t>
  </si>
  <si>
    <t>Sales</t>
  </si>
  <si>
    <t>Trans</t>
  </si>
  <si>
    <t>813.5</t>
  </si>
  <si>
    <t>Utah General Gas Purchase Exp</t>
  </si>
  <si>
    <t>Utah Pass Through Gas Purchase Exp</t>
  </si>
  <si>
    <t>Utah Timing Differences</t>
  </si>
  <si>
    <t>Wyoming Timing Differences</t>
  </si>
  <si>
    <t>Wyoming General Gas Purchase Exp</t>
  </si>
  <si>
    <t>Wyoming Pass Through Gas Purch Exp</t>
  </si>
  <si>
    <t>7581</t>
  </si>
  <si>
    <t>8041</t>
  </si>
  <si>
    <t>8051</t>
  </si>
  <si>
    <t>8081</t>
  </si>
  <si>
    <t>8082</t>
  </si>
  <si>
    <t>8083</t>
  </si>
  <si>
    <t>8135</t>
  </si>
  <si>
    <t>Trans &amp; Comp by Others - SNG Cost</t>
  </si>
  <si>
    <t>Natural Gas Trans Line - Purchases</t>
  </si>
  <si>
    <t>Y</t>
  </si>
  <si>
    <t>Natural Gas City Gate Purch - Resources</t>
  </si>
  <si>
    <t>Total Mains</t>
  </si>
  <si>
    <t>General Plant</t>
  </si>
  <si>
    <t>101  Gas Plant In Service</t>
  </si>
  <si>
    <t>FERC</t>
  </si>
  <si>
    <t>YEAR</t>
  </si>
  <si>
    <t>Natural Gas City Gate Purch - Other</t>
  </si>
  <si>
    <t>Average</t>
  </si>
  <si>
    <t>13 Month</t>
  </si>
  <si>
    <t>Purchased Gas Cost Adj - Other</t>
  </si>
  <si>
    <t>Government Relations Dept - Labor &amp; Overhead</t>
  </si>
  <si>
    <t>AM4</t>
  </si>
  <si>
    <t>Purchased Gas Cost Adj - Utah</t>
  </si>
  <si>
    <t>Gas Withdrawn Underground Storage</t>
  </si>
  <si>
    <t>Natural Gas Gasoline Plant Outlet Purch</t>
  </si>
  <si>
    <t>Gath by Others, GRI &amp; ACA  -  Gas Cost</t>
  </si>
  <si>
    <t>Utah Gas Purchase Exp</t>
  </si>
  <si>
    <t>Wyoming Gas Purchase Exp</t>
  </si>
  <si>
    <t>Utah Gathering &amp; CO2</t>
  </si>
  <si>
    <t>Wyoming Gathering &amp; CO2</t>
  </si>
  <si>
    <t>Total Gathering &amp; CO2</t>
  </si>
  <si>
    <t>Bonds - Long Term</t>
  </si>
  <si>
    <t>Unamort Loss on Reacq Debt</t>
  </si>
  <si>
    <t>Unamortized Debt Expense</t>
  </si>
  <si>
    <t>Interest - Long term Debt</t>
  </si>
  <si>
    <t>Amortization of Debt Discount &amp; Expense</t>
  </si>
  <si>
    <t>COMMON EQUITY</t>
  </si>
  <si>
    <t>Common Stock Issued</t>
  </si>
  <si>
    <t>Premium on Common Stock</t>
  </si>
  <si>
    <t>Unappropriated Ret. Earnings</t>
  </si>
  <si>
    <t>TOTAL COMMON EQUITY</t>
  </si>
  <si>
    <t>TOTAL CAPITAL</t>
  </si>
  <si>
    <t>Rate Base</t>
  </si>
  <si>
    <t>Jurisdictional Allocation Base Summary</t>
  </si>
  <si>
    <t>#1</t>
  </si>
  <si>
    <t>#2</t>
  </si>
  <si>
    <t>#3</t>
  </si>
  <si>
    <t>#4</t>
  </si>
  <si>
    <t>#5</t>
  </si>
  <si>
    <t>PT = Pass Through Item</t>
  </si>
  <si>
    <t>Wyoming Method &amp; Allocations</t>
  </si>
  <si>
    <t>Scenario Title 1</t>
  </si>
  <si>
    <t>Scenario Title 2</t>
  </si>
  <si>
    <t>Utah Method &amp; Allocations</t>
  </si>
  <si>
    <t>Gross Plant Allocation Formulas</t>
  </si>
  <si>
    <t>Dth Sales Allocation Formulas</t>
  </si>
  <si>
    <t>Allocation Base # 1 - Gross Plant</t>
  </si>
  <si>
    <t>Allocation Base #2 - Rate Base</t>
  </si>
  <si>
    <t>Note: Allocation based on sales by state including interruptible sales.  May want to change to just include Firm Sales</t>
  </si>
  <si>
    <t>Rate Base Allocation Formulas</t>
  </si>
  <si>
    <t>Alloc Base</t>
  </si>
  <si>
    <t>Allocated</t>
  </si>
  <si>
    <t>TOTAL</t>
  </si>
  <si>
    <t>FTE</t>
  </si>
  <si>
    <t>GSW</t>
  </si>
  <si>
    <t>H</t>
  </si>
  <si>
    <t>(G)</t>
  </si>
  <si>
    <t>Wyo Non-Core DNG Revenue Credits</t>
  </si>
  <si>
    <t>HOT</t>
  </si>
  <si>
    <t>920000</t>
  </si>
  <si>
    <t>921000</t>
  </si>
  <si>
    <t>923000</t>
  </si>
  <si>
    <t>3 YR AVERAGE</t>
  </si>
  <si>
    <t xml:space="preserve">12 MONTHS </t>
  </si>
  <si>
    <t>Weighted Cost of Capital</t>
  </si>
  <si>
    <t>PRE TAX RATE OF RETURN</t>
  </si>
  <si>
    <t>Effective Tax Rate</t>
  </si>
  <si>
    <t>Total Adjustment</t>
  </si>
  <si>
    <t>E</t>
  </si>
  <si>
    <t>F</t>
  </si>
  <si>
    <t>Services</t>
  </si>
  <si>
    <t>Short Term Debt</t>
  </si>
  <si>
    <t>Montana</t>
  </si>
  <si>
    <t>Nevada</t>
  </si>
  <si>
    <t>New Mexico</t>
  </si>
  <si>
    <t>Gross Receipts</t>
  </si>
  <si>
    <t>CORP PIPE (O&amp;M Goals)</t>
  </si>
  <si>
    <t>CORP PIPE FINANCIAL GOALS</t>
  </si>
  <si>
    <t>CORP PIPE FINANCIAL GOALS %</t>
  </si>
  <si>
    <t>CORP PIPE (O&amp;M Goals) %</t>
  </si>
  <si>
    <t>Total Gas Plant In Service</t>
  </si>
  <si>
    <t>07</t>
  </si>
  <si>
    <t>01</t>
  </si>
  <si>
    <t>Sum Amount</t>
  </si>
  <si>
    <t>(F)</t>
  </si>
  <si>
    <t>Revenues</t>
  </si>
  <si>
    <t>A</t>
  </si>
  <si>
    <t>B</t>
  </si>
  <si>
    <t>C</t>
  </si>
  <si>
    <t>D</t>
  </si>
  <si>
    <t>RETURN ON RATE BASE</t>
  </si>
  <si>
    <t>DEFICIENCY</t>
  </si>
  <si>
    <t>TOTAL RATE BASE</t>
  </si>
  <si>
    <t>Imputed Tax Adjustment</t>
  </si>
  <si>
    <t>231</t>
  </si>
  <si>
    <t>Notes Paybles-Outside Companies</t>
  </si>
  <si>
    <t>CAPITAL COMPONENT</t>
  </si>
  <si>
    <t xml:space="preserve">     Cost</t>
  </si>
  <si>
    <t>GSS</t>
  </si>
  <si>
    <t>F-1</t>
  </si>
  <si>
    <t>NGV</t>
  </si>
  <si>
    <t>F-3</t>
  </si>
  <si>
    <t>Supplier Non-Gas Demand Revenue</t>
  </si>
  <si>
    <t>Commodity Tariff Revenue</t>
  </si>
  <si>
    <t>Commodity Demand Revenue</t>
  </si>
  <si>
    <t>Junior Achievement</t>
  </si>
  <si>
    <t>3 YR BAD DEBT AVG FACTOR</t>
  </si>
  <si>
    <t>SYSTEM ADJUSTMENT</t>
  </si>
  <si>
    <t>System Adjustment</t>
  </si>
  <si>
    <t>Vendor</t>
  </si>
  <si>
    <t>Employee</t>
  </si>
  <si>
    <t>Recognition</t>
  </si>
  <si>
    <t>Pub. Relations</t>
  </si>
  <si>
    <t>Total Tickets</t>
  </si>
  <si>
    <t>Lead-Lag Factor</t>
  </si>
  <si>
    <t xml:space="preserve">DISTRIGAS  ALLOCATION </t>
  </si>
  <si>
    <t>928</t>
  </si>
  <si>
    <t>Regulatory Expense</t>
  </si>
  <si>
    <t>935</t>
  </si>
  <si>
    <t>Utah Administrative &amp; General Exp</t>
  </si>
  <si>
    <t>Wyoming Administrative &amp; General Exp</t>
  </si>
  <si>
    <t>System Total Administrative &amp; General Exp</t>
  </si>
  <si>
    <t>All Accounts</t>
  </si>
  <si>
    <t>Account 164 - Underground Storage</t>
  </si>
  <si>
    <t>3-Wexpro'!A1</t>
  </si>
  <si>
    <t>Rate Class</t>
  </si>
  <si>
    <t>Grand Total</t>
  </si>
  <si>
    <t xml:space="preserve"> </t>
  </si>
  <si>
    <t>Historical</t>
  </si>
  <si>
    <t>12 Months</t>
  </si>
  <si>
    <t>FERC Acct</t>
  </si>
  <si>
    <t>Description</t>
  </si>
  <si>
    <t>UTILITY OPERATING REVENUE</t>
  </si>
  <si>
    <t>Weighting of states</t>
  </si>
  <si>
    <t>Gross-Up Factors</t>
  </si>
  <si>
    <t>Tax Factor</t>
  </si>
  <si>
    <t>Calculation of Effective Income Tax Rate and Gross-Up Factors</t>
  </si>
  <si>
    <t>Combined Rate = Average State Rate + (Federal Rate * (1 - Average State Rate))</t>
  </si>
  <si>
    <t>Tax &amp; Bad Debt Gross-Up Factor</t>
  </si>
  <si>
    <t>Combined Federal &amp; State Tax Rate</t>
  </si>
  <si>
    <t>Tax Factor = (Tax Rate/(1 - Tax Rate))</t>
  </si>
  <si>
    <t>Gross-Up Factor = 1 / (1 - Tax Rate))</t>
  </si>
  <si>
    <t>Adjustment to Reflect change in Security Deposits</t>
  </si>
  <si>
    <t>BOOKED</t>
  </si>
  <si>
    <t>to Vear End</t>
  </si>
  <si>
    <t>ACTUAL</t>
  </si>
  <si>
    <t>909004 Total</t>
  </si>
  <si>
    <t>909005 Total</t>
  </si>
  <si>
    <t>921000 Total</t>
  </si>
  <si>
    <t>923000 Total</t>
  </si>
  <si>
    <t>930102 Total</t>
  </si>
  <si>
    <t>930101 Total</t>
  </si>
  <si>
    <t>930100 Total</t>
  </si>
  <si>
    <t>Prepaid AGA</t>
  </si>
  <si>
    <t>628</t>
  </si>
  <si>
    <t>ASSOCIATION FOR FINANCIAL PROF</t>
  </si>
  <si>
    <t>510</t>
  </si>
  <si>
    <t>SOCIETY OF CIC</t>
  </si>
  <si>
    <t>SOCIETY OF CORPORATE SECRETARI</t>
  </si>
  <si>
    <t>UTAH TAXPAYERS ASSOCIATION</t>
  </si>
  <si>
    <t>AMERICAN SOCIETY OF SA</t>
  </si>
  <si>
    <t>ASQ ECOMMERCE</t>
  </si>
  <si>
    <t>Corp Government affairs</t>
  </si>
  <si>
    <t>LABOR OVERHEAD</t>
  </si>
  <si>
    <t>925000</t>
  </si>
  <si>
    <t>920</t>
  </si>
  <si>
    <t>926000</t>
  </si>
  <si>
    <t>Time and Labor Data</t>
  </si>
  <si>
    <t>Voucher</t>
  </si>
  <si>
    <t>ShortName</t>
  </si>
  <si>
    <t>UTAHJAZZ-001</t>
  </si>
  <si>
    <t>SYSTEM Distribution Non-Gas Rev</t>
  </si>
  <si>
    <t>TOTAL Commodity Revenue</t>
  </si>
  <si>
    <t>13 Month Average</t>
  </si>
  <si>
    <t>Structures &amp; Improyements</t>
  </si>
  <si>
    <t>Deferred Inyestment Tax Credits</t>
  </si>
  <si>
    <t>Accum Proy For Deprec - Gas Plant In Svc</t>
  </si>
  <si>
    <t>Total 904</t>
  </si>
  <si>
    <t xml:space="preserve">Rate Base </t>
  </si>
  <si>
    <t>EXPENSES</t>
  </si>
  <si>
    <t>SNG and Commodity of acc 904 Removal</t>
  </si>
  <si>
    <t>Reserve Accrual Adjustment</t>
  </si>
  <si>
    <t>(H)</t>
  </si>
  <si>
    <t>REVENUE CHANGE</t>
  </si>
  <si>
    <t>GS-R</t>
  </si>
  <si>
    <t>COMMODITY</t>
  </si>
  <si>
    <t>SYSTEM NON GS</t>
  </si>
  <si>
    <t>SYSTEM FIRM SALES</t>
  </si>
  <si>
    <t>SYSTEM TRANSPORTATION</t>
  </si>
  <si>
    <t>F-S</t>
  </si>
  <si>
    <t>0000002923</t>
  </si>
  <si>
    <t>NARUC</t>
  </si>
  <si>
    <t>Labor Annualization</t>
  </si>
  <si>
    <t>Labor Adjustment</t>
  </si>
  <si>
    <t>CHECKS MUST BE (0)</t>
  </si>
  <si>
    <t>RESULTING TOTAL</t>
  </si>
  <si>
    <t>FILLED  AND EXTERNAL PARTY ADJUSTMENTS</t>
  </si>
  <si>
    <t>UT SUBTOTALS FROM PRN</t>
  </si>
  <si>
    <t xml:space="preserve">UTAH TOTAL </t>
  </si>
  <si>
    <t>UTAH CHECK</t>
  </si>
  <si>
    <t>WYO</t>
  </si>
  <si>
    <t>FT1</t>
  </si>
  <si>
    <t>410</t>
  </si>
  <si>
    <t>414</t>
  </si>
  <si>
    <t>Less Booked System UT DNG Bad Debt</t>
  </si>
  <si>
    <t>Less Booked System WY DNG Bad Debt</t>
  </si>
  <si>
    <t>3YR Average UT DNG Bad Debt</t>
  </si>
  <si>
    <t>UT Distribution Non Gas Rev</t>
  </si>
  <si>
    <t>WY Distribution Non Gas Rev</t>
  </si>
  <si>
    <t>3 YR Average WY DNG Bad Debt</t>
  </si>
  <si>
    <t>Bad Debt %</t>
  </si>
  <si>
    <t>TSP</t>
  </si>
  <si>
    <t>Donations</t>
  </si>
  <si>
    <t>Energy Solutions Arena</t>
  </si>
  <si>
    <t>Utah Jazz</t>
  </si>
  <si>
    <t>DELTA</t>
  </si>
  <si>
    <t>Query: Corp_Advertising</t>
  </si>
  <si>
    <t>AMIP Incentive</t>
  </si>
  <si>
    <t>AMIP II Incentive</t>
  </si>
  <si>
    <t>Incentive Paid_Less Safety</t>
  </si>
  <si>
    <t>INS</t>
  </si>
  <si>
    <t>Incentive Paid_Safety Only</t>
  </si>
  <si>
    <t>Total Incentive Expense</t>
  </si>
  <si>
    <t>Total AMIP Expense</t>
  </si>
  <si>
    <t xml:space="preserve">Total PIPE </t>
  </si>
  <si>
    <t>Oper Unit</t>
  </si>
  <si>
    <t xml:space="preserve">SCHEDULE I </t>
  </si>
  <si>
    <t>QUESTAR CORPORATION</t>
  </si>
  <si>
    <t>ALLOCATION PERCENTAGES FOR CORPORATE CHARGES</t>
  </si>
  <si>
    <t>DISTRIGAS FORMULA</t>
  </si>
  <si>
    <t>(Dollars in thousands)</t>
  </si>
  <si>
    <t>Gross Revenues</t>
  </si>
  <si>
    <t>DISTRIGAS</t>
  </si>
  <si>
    <t>less Product Costs  *</t>
  </si>
  <si>
    <t>Gross Payroll</t>
  </si>
  <si>
    <t>PERCENTAGES</t>
  </si>
  <si>
    <t>Excludes Questar Corp. - parent</t>
  </si>
  <si>
    <t>(a)</t>
  </si>
  <si>
    <t>(b)</t>
  </si>
  <si>
    <t>(c)</t>
  </si>
  <si>
    <t>(d)</t>
  </si>
  <si>
    <t>(e)</t>
  </si>
  <si>
    <t>(f)</t>
  </si>
  <si>
    <t>(g)</t>
  </si>
  <si>
    <t>1.</t>
  </si>
  <si>
    <t>2.</t>
  </si>
  <si>
    <t>3.</t>
  </si>
  <si>
    <t>4.</t>
  </si>
  <si>
    <t>5.</t>
  </si>
  <si>
    <t>Questar InfoComm</t>
  </si>
  <si>
    <t xml:space="preserve">   Total</t>
  </si>
  <si>
    <t>*  Product Costs include:  natural gas and other product purchases, cost of goods sold, and plant and gathering shrinkage.</t>
  </si>
  <si>
    <t>SCHEDULE II</t>
  </si>
  <si>
    <t>Bad Debt</t>
  </si>
  <si>
    <t>Column E Less</t>
  </si>
  <si>
    <t>Percentage</t>
  </si>
  <si>
    <t>Total Incentives</t>
  </si>
  <si>
    <t>Event Tickets</t>
  </si>
  <si>
    <t/>
  </si>
  <si>
    <t>Total Expenses</t>
  </si>
  <si>
    <t xml:space="preserve">Escalation Factor </t>
  </si>
  <si>
    <t>Wyoming Adjusment</t>
  </si>
  <si>
    <t>Utah - Average Adjusted Results Of Operations</t>
  </si>
  <si>
    <t>SPORTING EVENT TICKETS</t>
  </si>
  <si>
    <t>Allocated from Corp</t>
  </si>
  <si>
    <t>Allocated from</t>
  </si>
  <si>
    <t xml:space="preserve">Based on </t>
  </si>
  <si>
    <t>Mkting</t>
  </si>
  <si>
    <t>Corp</t>
  </si>
  <si>
    <t>PR</t>
  </si>
  <si>
    <t xml:space="preserve">     Total</t>
  </si>
  <si>
    <t>1070</t>
  </si>
  <si>
    <t>Energy Efficiency Accounting Adjustment</t>
  </si>
  <si>
    <t>Energy Efficiency Services Adjustment</t>
  </si>
  <si>
    <t>3 Factor</t>
  </si>
  <si>
    <t>Combined</t>
  </si>
  <si>
    <t>Ave Investment</t>
  </si>
  <si>
    <t>Ave State Rate</t>
  </si>
  <si>
    <t>Total Corporate Payout</t>
  </si>
  <si>
    <t>Excluded amount</t>
  </si>
  <si>
    <t>CORP DUES AND DONATIONS</t>
  </si>
  <si>
    <t>ALLOCATED SHARED SERVICES</t>
  </si>
  <si>
    <t>INSTITUTE OF INDUSTRIAL ENGINE</t>
  </si>
  <si>
    <t>INST OF CERTIFIED MGMT</t>
  </si>
  <si>
    <t>ALTA CLUB</t>
  </si>
  <si>
    <t>INTERNATIONAL RISK</t>
  </si>
  <si>
    <t>AMERICAN GAS ASSOCIATION</t>
  </si>
  <si>
    <t>LEXIS-NEXIS</t>
  </si>
  <si>
    <t>531</t>
  </si>
  <si>
    <t>USGOVT PRINT OFC 32</t>
  </si>
  <si>
    <t>LEGISLATIVE PRINTING</t>
  </si>
  <si>
    <t>A M BEST COMPANY</t>
  </si>
  <si>
    <t>AGA Expenses relating to Lobbying</t>
  </si>
  <si>
    <t>Real Salt Lake</t>
  </si>
  <si>
    <t>Jazz Tickets</t>
  </si>
  <si>
    <t>Total Percentage:</t>
  </si>
  <si>
    <t>FIRM</t>
  </si>
  <si>
    <t>sales</t>
  </si>
  <si>
    <t># of Customers</t>
  </si>
  <si>
    <t>F1_FS_F1A_F1B</t>
  </si>
  <si>
    <t>INTERRUPTIBLE</t>
  </si>
  <si>
    <t>I-4_I4A_I4B</t>
  </si>
  <si>
    <t>IS_IS-2</t>
  </si>
  <si>
    <t>P1</t>
  </si>
  <si>
    <t>TRANSPORTATION</t>
  </si>
  <si>
    <t>FT_FT-1</t>
  </si>
  <si>
    <t>trans</t>
  </si>
  <si>
    <t>FT2</t>
  </si>
  <si>
    <t>FTE_FT1L</t>
  </si>
  <si>
    <t>IT_TS_ITA_ITB</t>
  </si>
  <si>
    <t>TSP_ITS</t>
  </si>
  <si>
    <t>F1_FS_F1A_F1B_F1C</t>
  </si>
  <si>
    <t>I-S_I-2</t>
  </si>
  <si>
    <t>I-T_TS_ITA_ITB</t>
  </si>
  <si>
    <t>IC-IC1-IC2</t>
  </si>
  <si>
    <t># OF CUST CHECK (MUST BE (0)</t>
  </si>
  <si>
    <t>ENDING CUST</t>
  </si>
  <si>
    <t>TOTAL CET AND DSM</t>
  </si>
  <si>
    <t>UTAH GRAND TOTAL</t>
  </si>
  <si>
    <t>WYOMING</t>
  </si>
  <si>
    <t>GS1</t>
  </si>
  <si>
    <t>I4</t>
  </si>
  <si>
    <t>IC+IC1</t>
  </si>
  <si>
    <t>WYOMING GRAND TOTAL</t>
  </si>
  <si>
    <t>SYSTEM+TRANSPORTATION</t>
  </si>
  <si>
    <t>SYSTEM GENERAL SERVICE</t>
  </si>
  <si>
    <t>SYSTEM INTERRUPTIBLE</t>
  </si>
  <si>
    <t>SYSTEM CET</t>
  </si>
  <si>
    <t>SYSTEM DSM</t>
  </si>
  <si>
    <t>UTAH TOTAL</t>
  </si>
  <si>
    <t>WYOMING TOTALS</t>
  </si>
  <si>
    <t>SYSTEM GRAND TOTALS</t>
  </si>
  <si>
    <t>AVG CUST</t>
  </si>
  <si>
    <t xml:space="preserve">12-Month Total </t>
  </si>
  <si>
    <t>OR Average</t>
  </si>
  <si>
    <t>TOTAL  REVENUE</t>
  </si>
  <si>
    <t>402</t>
  </si>
  <si>
    <t>Sum of Oth Earns 2011</t>
  </si>
  <si>
    <t>GRAND TOTAL</t>
  </si>
  <si>
    <t>870000</t>
  </si>
  <si>
    <t>4263</t>
  </si>
  <si>
    <t>4420</t>
  </si>
  <si>
    <t>KEMMERER GAZETTE</t>
  </si>
  <si>
    <t>RMGA      ROCKY MOUNTAIN GAS A</t>
  </si>
  <si>
    <t>ROCKET MINER NEWSPAPER</t>
  </si>
  <si>
    <t>UINTA COUNTY HERALD</t>
  </si>
  <si>
    <t>RAWLINS DAILY TIMES</t>
  </si>
  <si>
    <t>PINEDALE ROUNDUP</t>
  </si>
  <si>
    <t>JUNIOR ACHIEVEMENT OF UTAH INC</t>
  </si>
  <si>
    <t>930101</t>
  </si>
  <si>
    <t>WOLTERS KLUWER LAW &amp; BUSINESS</t>
  </si>
  <si>
    <t>WWW.MEPS.CO.UK</t>
  </si>
  <si>
    <t>AICPA  *AICPA</t>
  </si>
  <si>
    <t>NEW YORK TIMES DIGITAL</t>
  </si>
  <si>
    <t>SHARED SERVICE CHARGE</t>
  </si>
  <si>
    <t>INT'L CODE COUNCIL INC</t>
  </si>
  <si>
    <t>ASME</t>
  </si>
  <si>
    <t>874000</t>
  </si>
  <si>
    <t>NACE INTERNATIONAL</t>
  </si>
  <si>
    <t>CHAMBER OF COMMERCE  OGDEN/WEB</t>
  </si>
  <si>
    <t>GREEN RIVER CHAMBER OF COMMERC</t>
  </si>
  <si>
    <t>UTAH MANUFACTURERS ASSOCIATION</t>
  </si>
  <si>
    <t>UTAH FOUNDATION</t>
  </si>
  <si>
    <t>ENERGY SOLUTIONS CENTER</t>
  </si>
  <si>
    <t>AMER SOC CIVIL ENGINEE</t>
  </si>
  <si>
    <t>PROJECT MANAGEMENT INS</t>
  </si>
  <si>
    <t>CHAMBER OF COMMERCE EVANSTON</t>
  </si>
  <si>
    <t>CHAMBERWEST</t>
  </si>
  <si>
    <t>AVG CAP STR</t>
  </si>
  <si>
    <t>YE CAP STR</t>
  </si>
  <si>
    <t>Energy Efficiency Adj</t>
  </si>
  <si>
    <t>1/ See Page 2, Column E, line 25</t>
  </si>
  <si>
    <t>Adv Exp - Parade of Homes</t>
  </si>
  <si>
    <t>Complete Construction Not yet Classified</t>
  </si>
  <si>
    <t xml:space="preserve">Base Pay </t>
  </si>
  <si>
    <t xml:space="preserve">Actual </t>
  </si>
  <si>
    <t>Including Allowed Time</t>
  </si>
  <si>
    <t>Total Labor</t>
  </si>
  <si>
    <t>Overhead Components</t>
  </si>
  <si>
    <t>Pension Plan</t>
  </si>
  <si>
    <t>Total Overhead</t>
  </si>
  <si>
    <t>Expense / Capitalization Ratio</t>
  </si>
  <si>
    <t>909003 Total</t>
  </si>
  <si>
    <t>880000</t>
  </si>
  <si>
    <t>`````</t>
  </si>
  <si>
    <t>Sum of Oth Earns2012</t>
  </si>
  <si>
    <t>Actual 2012</t>
  </si>
  <si>
    <t>510B</t>
  </si>
  <si>
    <t>CORP PIPE</t>
  </si>
  <si>
    <t>Line Description</t>
  </si>
  <si>
    <t>Line</t>
  </si>
  <si>
    <t>Less Column B</t>
  </si>
  <si>
    <t>2013 Legal Payment</t>
  </si>
  <si>
    <t>% Related to Lobbying</t>
  </si>
  <si>
    <t>BUTCHER,REY</t>
  </si>
  <si>
    <t>SO UT HOME BUILDERS</t>
  </si>
  <si>
    <t>CACHE CHAMBER OF COMME</t>
  </si>
  <si>
    <t>UTAH VALLEY CHAMBER OF COMMERC</t>
  </si>
  <si>
    <t>INTERNATIONAL RIGHT OF WAY</t>
  </si>
  <si>
    <t>PLATTS</t>
  </si>
  <si>
    <t>INSTITUTE OF INDUSTRIA</t>
  </si>
  <si>
    <t>CHAMBER OF COMMERCE SANDY</t>
  </si>
  <si>
    <t>UTAH ALLIANCE OF ECONOMIC DEVE</t>
  </si>
  <si>
    <t>CHAMBER OF COMMERCE-VERNAL</t>
  </si>
  <si>
    <t>ADMINISTRATIVE OFFICE OF THE C</t>
  </si>
  <si>
    <t>4000</t>
  </si>
  <si>
    <t>Regular incentive program is transaction 402.</t>
  </si>
  <si>
    <t>Other incentives are transaction 403.</t>
  </si>
  <si>
    <t>520</t>
  </si>
  <si>
    <t>Actual 2013</t>
  </si>
  <si>
    <t>From Donna P</t>
  </si>
  <si>
    <t>Payments in 2014 for 2013 Incentive</t>
  </si>
  <si>
    <t>254</t>
  </si>
  <si>
    <t>Other Regulatory Liabilities</t>
  </si>
  <si>
    <t>Other Regulatory Liabilities ARC</t>
  </si>
  <si>
    <t>Total AMIP and PIPE Allowed with Overheads (Line 6 + Line 14)</t>
  </si>
  <si>
    <t>Payments in 2015 for 2014 Incentive</t>
  </si>
  <si>
    <t>Actual 2014</t>
  </si>
  <si>
    <t>5140</t>
  </si>
  <si>
    <t>1465</t>
  </si>
  <si>
    <t>EXORO GROUP</t>
  </si>
  <si>
    <t>UTAH BUSINESS COALITION</t>
  </si>
  <si>
    <t>IN *CEDAR CITY ROTARY</t>
  </si>
  <si>
    <t>CHAMBER OF COMMERCE  - MOAB AR</t>
  </si>
  <si>
    <t>UTAH SAFETY COUNCIL</t>
  </si>
  <si>
    <t>TECHSTREET</t>
  </si>
  <si>
    <t>WASHINGTON COUNTY</t>
  </si>
  <si>
    <t>SALVATION ARMY</t>
  </si>
  <si>
    <t>PACER SERVICE CENTER</t>
  </si>
  <si>
    <t>THOMSON REUTERS</t>
  </si>
  <si>
    <t>UTAH INTERACTIVE LLC</t>
  </si>
  <si>
    <t>HDI-HELP DESK INSTITUTE</t>
  </si>
  <si>
    <t>WESTERN ENERGY INSTITUTE</t>
  </si>
  <si>
    <t>2014 Legal Payment</t>
  </si>
  <si>
    <t>Labor Annualization Calculations</t>
  </si>
  <si>
    <t>Capital</t>
  </si>
  <si>
    <t>Intercompany &amp; Allocated Charges</t>
  </si>
  <si>
    <t>Other</t>
  </si>
  <si>
    <t>Total Base Labor</t>
  </si>
  <si>
    <t>Incentive Accrual Expense</t>
  </si>
  <si>
    <t>Total Base Labor Expensed</t>
  </si>
  <si>
    <t>Other Than Payroll Taxes</t>
  </si>
  <si>
    <t>Heathcare</t>
  </si>
  <si>
    <t>401K</t>
  </si>
  <si>
    <t>Post Retirement</t>
  </si>
  <si>
    <t>Allowed Time</t>
  </si>
  <si>
    <t>Overhead Expensed</t>
  </si>
  <si>
    <t xml:space="preserve">Total Labor &amp; Overhead </t>
  </si>
  <si>
    <t>Total Labor &amp; Overhead Expensed</t>
  </si>
  <si>
    <t>Utah O&amp;M %</t>
  </si>
  <si>
    <t>Wyoming O&amp;M %</t>
  </si>
  <si>
    <t>Distrigas &amp; Pretax</t>
  </si>
  <si>
    <t>Distrigas 2015</t>
  </si>
  <si>
    <t>Distrigas 2014</t>
  </si>
  <si>
    <t>Questar Fueling</t>
  </si>
  <si>
    <t>Allocated Through Distrigas</t>
  </si>
  <si>
    <t>ORDERED CAP STR 13-057-05</t>
  </si>
  <si>
    <t>13-057-05 Ordered CAP STR</t>
  </si>
  <si>
    <t>CORP - Performance Share &amp; Cash (Transaction 403)</t>
  </si>
  <si>
    <t>CORP Bonus (Transaction 402)</t>
  </si>
  <si>
    <t>2015 Legal Payment</t>
  </si>
  <si>
    <t>SLC INTERNATIONAL AIRPORT</t>
  </si>
  <si>
    <t>413</t>
  </si>
  <si>
    <t>5300</t>
  </si>
  <si>
    <t>5275</t>
  </si>
  <si>
    <t>5390</t>
  </si>
  <si>
    <t>620</t>
  </si>
  <si>
    <t>5060</t>
  </si>
  <si>
    <t>1730</t>
  </si>
  <si>
    <t>5162</t>
  </si>
  <si>
    <t>5400</t>
  </si>
  <si>
    <t>1600</t>
  </si>
  <si>
    <t>5057</t>
  </si>
  <si>
    <t>5200</t>
  </si>
  <si>
    <t>5900</t>
  </si>
  <si>
    <t>5560</t>
  </si>
  <si>
    <t>5056</t>
  </si>
  <si>
    <t>5361</t>
  </si>
  <si>
    <t>5062</t>
  </si>
  <si>
    <t>5058</t>
  </si>
  <si>
    <t>5460</t>
  </si>
  <si>
    <t>880001</t>
  </si>
  <si>
    <t>1123</t>
  </si>
  <si>
    <t>1496</t>
  </si>
  <si>
    <t>1300</t>
  </si>
  <si>
    <t>5000</t>
  </si>
  <si>
    <t>5910</t>
  </si>
  <si>
    <t>UTAH ASSOCIATION OF ENERGY USE</t>
  </si>
  <si>
    <t>4260</t>
  </si>
  <si>
    <t>5163</t>
  </si>
  <si>
    <t>CHAMBER OF COMMERCE-DAVIS</t>
  </si>
  <si>
    <t>1566</t>
  </si>
  <si>
    <t>4310</t>
  </si>
  <si>
    <t>CORP G&amp;A ALLOCATION-HR</t>
  </si>
  <si>
    <t>0362</t>
  </si>
  <si>
    <t>1716</t>
  </si>
  <si>
    <t>5960</t>
  </si>
  <si>
    <t>Western Energy</t>
  </si>
  <si>
    <t>5040</t>
  </si>
  <si>
    <t>SINGLE PAYMENT VENDOR</t>
  </si>
  <si>
    <t>4250</t>
  </si>
  <si>
    <t>4261</t>
  </si>
  <si>
    <t>UTAH MEDIA GROUP</t>
  </si>
  <si>
    <t>1550</t>
  </si>
  <si>
    <t>0040</t>
  </si>
  <si>
    <t>1460</t>
  </si>
  <si>
    <t>0112</t>
  </si>
  <si>
    <t>1330</t>
  </si>
  <si>
    <t>0170</t>
  </si>
  <si>
    <t>1380</t>
  </si>
  <si>
    <t>1560</t>
  </si>
  <si>
    <t>0066</t>
  </si>
  <si>
    <t>0005</t>
  </si>
  <si>
    <t>0620</t>
  </si>
  <si>
    <t>0600</t>
  </si>
  <si>
    <t>ISSUER DIRECT</t>
  </si>
  <si>
    <t>0363</t>
  </si>
  <si>
    <t>0450</t>
  </si>
  <si>
    <t>BNA COMMUNICATIONS</t>
  </si>
  <si>
    <t>BOARD CERT SAFE PRO</t>
  </si>
  <si>
    <t>1451</t>
  </si>
  <si>
    <t>0630</t>
  </si>
  <si>
    <t>0361</t>
  </si>
  <si>
    <t>LEGAL EAGLE DIRECTORY</t>
  </si>
  <si>
    <t>1564</t>
  </si>
  <si>
    <t>SALT LAKE CHAMBER OF C</t>
  </si>
  <si>
    <t>0369</t>
  </si>
  <si>
    <t>PROJECT MANAGEMENT INSTITUTE</t>
  </si>
  <si>
    <t>0020</t>
  </si>
  <si>
    <t>SOCIETY FOR HUMAN RESOURCE MAN</t>
  </si>
  <si>
    <t>930209</t>
  </si>
  <si>
    <t>World Trade Center</t>
  </si>
  <si>
    <t>CORP G&amp;A ALLOCATION-DISTRIGAS</t>
  </si>
  <si>
    <t>CORP G&amp;A ALLOCATION-NEW DISGAS</t>
  </si>
  <si>
    <t>2015</t>
  </si>
  <si>
    <t>At 12/31/14</t>
  </si>
  <si>
    <t>12 months ended 12/31/14</t>
  </si>
  <si>
    <t>6</t>
  </si>
  <si>
    <t>7</t>
  </si>
  <si>
    <t>8</t>
  </si>
  <si>
    <t>Wexpro II</t>
  </si>
  <si>
    <t>Wexpro Development</t>
  </si>
  <si>
    <t>Questar Pipeline Company-Consolidated (less QIC)</t>
  </si>
  <si>
    <t>QUESTAR</t>
  </si>
  <si>
    <t>9</t>
  </si>
  <si>
    <t>Questar Corp</t>
  </si>
  <si>
    <t>Actual 2015</t>
  </si>
  <si>
    <t>1/ 100% of PIPE is based on operating goals.</t>
  </si>
  <si>
    <t>Payments in 2016 for 2015 Incentive</t>
  </si>
  <si>
    <t>2016 Legal Payment</t>
  </si>
  <si>
    <t>Legal Accruals for 12 Months Ended Dec 2016</t>
  </si>
  <si>
    <t>UTAH'S ORIGINAL BREW PUB</t>
  </si>
  <si>
    <t>WYOMING TAXPAYERS ASSOCIATION</t>
  </si>
  <si>
    <t>505</t>
  </si>
  <si>
    <t>HOLLAND &amp; HART LLP</t>
  </si>
  <si>
    <t>D J</t>
  </si>
  <si>
    <t>SALTLAKESHR</t>
  </si>
  <si>
    <t>GUIDESPARK INC</t>
  </si>
  <si>
    <t>UTAH STATE BAR</t>
  </si>
  <si>
    <t>ASIS INTL ONLINE</t>
  </si>
  <si>
    <t>SAGE PUBLICATIONS</t>
  </si>
  <si>
    <t>UT ORACLE USRS GRP</t>
  </si>
  <si>
    <t>AIR &amp; WASTE MGMT ASSO</t>
  </si>
  <si>
    <t>WESTERN ENERGY ALLIANCE</t>
  </si>
  <si>
    <t>Corporate Executive Board</t>
  </si>
  <si>
    <t>EDC Utah Economic Dev - Rev</t>
  </si>
  <si>
    <t>UNITED STATES DISTRICT COURT</t>
  </si>
  <si>
    <t>921100</t>
  </si>
  <si>
    <t>921101</t>
  </si>
  <si>
    <t>SHARED SERVICE CHARGES</t>
  </si>
  <si>
    <t>PAYPAL</t>
  </si>
  <si>
    <t>EASYTESTMAKER.COM</t>
  </si>
  <si>
    <t>AMGAS SUBSCRIPTION</t>
  </si>
  <si>
    <t>5065</t>
  </si>
  <si>
    <t>5525</t>
  </si>
  <si>
    <t>5510</t>
  </si>
  <si>
    <t>ENTERPRISE WIRELESS ALLIANCE I</t>
  </si>
  <si>
    <t>1643</t>
  </si>
  <si>
    <t>WEST JORDAN CITY</t>
  </si>
  <si>
    <t>HYLAND SOFTWARE, INC.</t>
  </si>
  <si>
    <t>1497</t>
  </si>
  <si>
    <t>WOLF CREEK FOUNDATION</t>
  </si>
  <si>
    <t>LOGAN DOWNTOWN ALLIANCE</t>
  </si>
  <si>
    <t>CHAMBER OF COMMERCE ROCK SPRIN</t>
  </si>
  <si>
    <t>930100</t>
  </si>
  <si>
    <t>SUBLETTE EXAMINER</t>
  </si>
  <si>
    <t>UTAH BUSINESS MAGAZINE</t>
  </si>
  <si>
    <t>Payments in 2017 for 2016 Incentive</t>
  </si>
  <si>
    <t>Actual 2016</t>
  </si>
  <si>
    <t>Distrigas 2016</t>
  </si>
  <si>
    <t>224</t>
  </si>
  <si>
    <t>Notes - Long Term</t>
  </si>
  <si>
    <t>2016 Data</t>
  </si>
  <si>
    <t>ORDERED CAP STR 30010-135-GR-14</t>
  </si>
  <si>
    <t>Transition Costs</t>
  </si>
  <si>
    <t>Transition Costs - GL Account 930205</t>
  </si>
  <si>
    <t>Retention</t>
  </si>
  <si>
    <t>Voluntary severance program</t>
  </si>
  <si>
    <t>Total Transition Costs</t>
  </si>
  <si>
    <t>Costs include directly assignable costs and allocated corporate costs.</t>
  </si>
  <si>
    <t>Rev booked Jun 2017</t>
  </si>
  <si>
    <t>Dec 2017 Unadjusted Avg Results</t>
  </si>
  <si>
    <t>Dec 2017 Adjusted Avg Results</t>
  </si>
  <si>
    <t>Distrigas 2017</t>
  </si>
  <si>
    <t>YE RB DEC 2017</t>
  </si>
  <si>
    <t>AVG RB DEC 2017</t>
  </si>
  <si>
    <t>WY AVG RB DEC 2017</t>
  </si>
  <si>
    <t>WY RB DEC 2017</t>
  </si>
  <si>
    <t>Leave this section the same</t>
  </si>
  <si>
    <t>2017 Legal Payment</t>
  </si>
  <si>
    <t>2017-01-31</t>
  </si>
  <si>
    <t>2017-03-31</t>
  </si>
  <si>
    <t>2017-02-28</t>
  </si>
  <si>
    <t>2017-04-30</t>
  </si>
  <si>
    <t>2017-05-31</t>
  </si>
  <si>
    <t>2017-06-30</t>
  </si>
  <si>
    <t>2017-07-31</t>
  </si>
  <si>
    <t>2017-08-31</t>
  </si>
  <si>
    <t>2017-09-30</t>
  </si>
  <si>
    <t>2017-10-31</t>
  </si>
  <si>
    <t>2017-11-30</t>
  </si>
  <si>
    <t>2017-12-31</t>
  </si>
  <si>
    <t>lum</t>
  </si>
  <si>
    <t>UBER</t>
  </si>
  <si>
    <t>EXXON</t>
  </si>
  <si>
    <t>NATIONAL</t>
  </si>
  <si>
    <t>AGENT FEE</t>
  </si>
  <si>
    <t>HITCH CAB</t>
  </si>
  <si>
    <t>YELLOW CAB</t>
  </si>
  <si>
    <t>AGENT FEE 89</t>
  </si>
  <si>
    <t>ALFREDO PEREZ</t>
  </si>
  <si>
    <t>PADRE HOTEL LP</t>
  </si>
  <si>
    <t>ARIZONA BILTMORE</t>
  </si>
  <si>
    <t>DENVER SIMO LIMO</t>
  </si>
  <si>
    <t>Interco Estimate</t>
  </si>
  <si>
    <t>AMERICAN AIRLINES</t>
  </si>
  <si>
    <t>COURTYARD MARRIOTT</t>
  </si>
  <si>
    <t>HOTEL DEL CORONADO</t>
  </si>
  <si>
    <t>KIMPTON THE GEORGE</t>
  </si>
  <si>
    <t>MILE HIGH TAXI RIDE</t>
  </si>
  <si>
    <t>NATIONAL CAR RENTAL</t>
  </si>
  <si>
    <t>SD CITY CAR SERVICE</t>
  </si>
  <si>
    <t>THE FIREBRAND HOTEL</t>
  </si>
  <si>
    <t>ALEXANDRIA UNION CAB</t>
  </si>
  <si>
    <t>AIRPORT TAXI RICHMOND</t>
  </si>
  <si>
    <t>HAMPTON INN &amp; SUITES RICHMOND</t>
  </si>
  <si>
    <t>HILTON SCOTTSDALE RESORT &amp; VIL</t>
  </si>
  <si>
    <t>SALT LAKE CITY INTERNATIONAL A</t>
  </si>
  <si>
    <t>AGA STATE AFFAIRS COMMITTEE ME</t>
  </si>
  <si>
    <t>ALAMEXO</t>
  </si>
  <si>
    <t>CURRENT</t>
  </si>
  <si>
    <t>TAKASHI</t>
  </si>
  <si>
    <t>RED ROCK</t>
  </si>
  <si>
    <t>BISTRO BIS</t>
  </si>
  <si>
    <t>FUEL PIZZA</t>
  </si>
  <si>
    <t>BLUE IGUANA</t>
  </si>
  <si>
    <t>UFOOD GRILL</t>
  </si>
  <si>
    <t>BUFFALO CAFE</t>
  </si>
  <si>
    <t>TGI FRIDAY'S</t>
  </si>
  <si>
    <t>TUPELO GRILLE</t>
  </si>
  <si>
    <t>R &amp; R BARBEQUE</t>
  </si>
  <si>
    <t>TORTILLA COAST</t>
  </si>
  <si>
    <t>610 16TH STREET</t>
  </si>
  <si>
    <t>CAPITAL ALE HOUSE</t>
  </si>
  <si>
    <t>RICHMOND MARRIOTT</t>
  </si>
  <si>
    <t>RED ROCK BREWING CO.</t>
  </si>
  <si>
    <t>SEQUOIA SANDWICH CO.</t>
  </si>
  <si>
    <t>MCDONALD'S RESTAURANT</t>
  </si>
  <si>
    <t>HOTEL - BELVEDERE ROOM</t>
  </si>
  <si>
    <t>THE VINEYARD RESTAURANT</t>
  </si>
  <si>
    <t>HOTEL - THE FARMACY CAFE</t>
  </si>
  <si>
    <t>MAXELLS EAST COAST EATERY</t>
  </si>
  <si>
    <t>CIEN AGAVES TACO &amp; TEQUILA</t>
  </si>
  <si>
    <t>ARISTO'S GREEK RESTAURANT AND</t>
  </si>
  <si>
    <t>BLUEFIRE GRILLE AT THE HILTON</t>
  </si>
  <si>
    <t>HOTEL DEL CORONADO, SUN DECK B</t>
  </si>
  <si>
    <t>QUIZNOS/LAVAZZA/BLUESKYBAR - A</t>
  </si>
  <si>
    <t>SSP AMERICA - PHOENIX INTERN.</t>
  </si>
  <si>
    <t>STRIP MARKET PITTSBURGH INTERN</t>
  </si>
  <si>
    <t>T3 N TEQUILERIA - SKY HARBOR I</t>
  </si>
  <si>
    <t>THE WRIGHT BAR - ARIZONA BILTM</t>
  </si>
  <si>
    <t>UNION STATION - JOHNNY ROCKETS</t>
  </si>
  <si>
    <t>Republican Governors - Reverse</t>
  </si>
  <si>
    <t>STATE OF WYOMING</t>
  </si>
  <si>
    <t>PMI - MEMBERSHIP</t>
  </si>
  <si>
    <t>3050</t>
  </si>
  <si>
    <t>AMERICAN GAS ASSOCIATI</t>
  </si>
  <si>
    <t>5573</t>
  </si>
  <si>
    <t>CACHE VALLEY SUBSCRIPT</t>
  </si>
  <si>
    <t>INT*IN *CEDAR CITY ROT</t>
  </si>
  <si>
    <t>ST GEORGE CHAMBER OF C</t>
  </si>
  <si>
    <t>WESTERN ENERGY INSTITU</t>
  </si>
  <si>
    <t>GRUBS DRIVE IN</t>
  </si>
  <si>
    <t>MIDVALE CITY CORPORATION</t>
  </si>
  <si>
    <t>ALL-AMERICAN PUBLISHING LLC</t>
  </si>
  <si>
    <t>AWS E-COMMERCE</t>
  </si>
  <si>
    <t>MOAB ELK'S LODGE 2021</t>
  </si>
  <si>
    <t>TELECOM TECH SUPPORT</t>
  </si>
  <si>
    <t>880005</t>
  </si>
  <si>
    <t>887000</t>
  </si>
  <si>
    <t>AM PETROLEUM INSTITUTE</t>
  </si>
  <si>
    <t>903002</t>
  </si>
  <si>
    <t>INTERMOUNTAIN COMMERCIAL RECOR</t>
  </si>
  <si>
    <t>5026</t>
  </si>
  <si>
    <t>908003</t>
  </si>
  <si>
    <t>PP*SOUTHWESTVA</t>
  </si>
  <si>
    <t>SAUL EWING LLP</t>
  </si>
  <si>
    <t>EST CORP CHARGE</t>
  </si>
  <si>
    <t>1555</t>
  </si>
  <si>
    <t>5168</t>
  </si>
  <si>
    <t>CO DORA PROFESSION</t>
  </si>
  <si>
    <t>UT PROF LIC ONLINE</t>
  </si>
  <si>
    <t>5164</t>
  </si>
  <si>
    <t>UTAH COURTS ADMIN.</t>
  </si>
  <si>
    <t>PMI - CERTIFICATION</t>
  </si>
  <si>
    <t>CEDAR CITY CORPORATION</t>
  </si>
  <si>
    <t>1515</t>
  </si>
  <si>
    <t>1360</t>
  </si>
  <si>
    <t>1470</t>
  </si>
  <si>
    <t>CHAMBER OF COMMERCE DUCHESNE</t>
  </si>
  <si>
    <t>NATURAL GAS TRAINING COUNCIL</t>
  </si>
  <si>
    <t>3016</t>
  </si>
  <si>
    <t>1122</t>
  </si>
  <si>
    <t>CHAMBER OF COMMERCE CEDAR CITY</t>
  </si>
  <si>
    <t>NATIONAL COMPLIANCE MANAGEMENT</t>
  </si>
  <si>
    <t>SALT LAKE HOME BUILDERS ASSOCI</t>
  </si>
  <si>
    <t>AFP</t>
  </si>
  <si>
    <t>BLR</t>
  </si>
  <si>
    <t>WEB</t>
  </si>
  <si>
    <t>IABTI</t>
  </si>
  <si>
    <t>PAYMENT</t>
  </si>
  <si>
    <t>ABIH.ORG</t>
  </si>
  <si>
    <t>EDC Utah</t>
  </si>
  <si>
    <t>SERVICES</t>
  </si>
  <si>
    <t>ROLL CALL</t>
  </si>
  <si>
    <t>AMAZON.COM</t>
  </si>
  <si>
    <t>SAMSCLUB.COM</t>
  </si>
  <si>
    <t>SLCOHD - FOOD</t>
  </si>
  <si>
    <t>WELCOA ONLINE</t>
  </si>
  <si>
    <t>INTRALINKS INC</t>
  </si>
  <si>
    <t>THE ENTERPRISE</t>
  </si>
  <si>
    <t>KIPLINGER LETTER</t>
  </si>
  <si>
    <t>DUPLICATE PAYMENT</t>
  </si>
  <si>
    <t>SALT LAKE CHAMBER</t>
  </si>
  <si>
    <t>TNT GUNS AND RANGE</t>
  </si>
  <si>
    <t>THE BUSINESS SOURCE</t>
  </si>
  <si>
    <t>Expense Distribution</t>
  </si>
  <si>
    <t>SHRM*MEMBER600625469</t>
  </si>
  <si>
    <t>SHRM*MEMBER600750010</t>
  </si>
  <si>
    <t>SHRM*MEMBER600758753</t>
  </si>
  <si>
    <t>SHRM*MEMBER600758773</t>
  </si>
  <si>
    <t>ALLIANCE OF HAZARDOUS</t>
  </si>
  <si>
    <t>INSTITUTE SUPPLY MGMT</t>
  </si>
  <si>
    <t>AMERICAN INDUSTRIAL HY</t>
  </si>
  <si>
    <t>ENERGY BAR ASSOCIATION</t>
  </si>
  <si>
    <t>NATIONAL ASSOC OF COLL</t>
  </si>
  <si>
    <t>SL Chamber of Commerce</t>
  </si>
  <si>
    <t>SOCIETY FOR HUMAN RESO</t>
  </si>
  <si>
    <t>TREEHOUSE ISLAND, INC.</t>
  </si>
  <si>
    <t>FIN CHARGES AND PAST DUE</t>
  </si>
  <si>
    <t>S&amp;P Global Platts - 0005</t>
  </si>
  <si>
    <t>S&amp;P Global Platts - 0066</t>
  </si>
  <si>
    <t>S&amp;P Global Platts - 1300</t>
  </si>
  <si>
    <t>TAX EXECUTIVES INSTITUTE</t>
  </si>
  <si>
    <t>NATIONAL ENERGY FOUNDATION</t>
  </si>
  <si>
    <t>PAYFLOW-SUPPORT@PAYPAL.COM</t>
  </si>
  <si>
    <t>SALT LAKE CITY CORPORATION</t>
  </si>
  <si>
    <t>UTAH PARALEGAL ASSOCIATION</t>
  </si>
  <si>
    <t>BRYON J BENEVENTO (ACTL CLE)</t>
  </si>
  <si>
    <t>AMERICAN ADVERTISING FEDERATIO</t>
  </si>
  <si>
    <t>EMPLOYERS COUNCIL SERVICES INC</t>
  </si>
  <si>
    <t>INSTITUE OF MANAGEMENT ACCOUNT</t>
  </si>
  <si>
    <t>LEXISNEXIS RISK SOLUTIONS FL I</t>
  </si>
  <si>
    <t>MCGRIFF SEIBELS &amp; WILLIAMS INC</t>
  </si>
  <si>
    <t>ONEOK ENERGY MARKETING &amp; TRADI</t>
  </si>
  <si>
    <t>RURAL WATER ASSOCIATION OF UTA</t>
  </si>
  <si>
    <t>SHRM OF SALT LAKE PROFESSIONAL</t>
  </si>
  <si>
    <t>Total invoice amount represent</t>
  </si>
  <si>
    <t>UTAH STATE BOARD OF CONTINUING</t>
  </si>
  <si>
    <t>CHILI'S SLC DOWNTOWN</t>
  </si>
  <si>
    <t>WICK COMMUNICATIONS CO</t>
  </si>
  <si>
    <t>MILLS PUBLISHING INC</t>
  </si>
  <si>
    <t>PAULA BELL COMMUNICATIONS</t>
  </si>
  <si>
    <t>UTAH JAZZ</t>
  </si>
  <si>
    <t>TALENT MANAGEMENT GROUP INC</t>
  </si>
  <si>
    <t>909004</t>
  </si>
  <si>
    <t>909005</t>
  </si>
  <si>
    <t>BENNETT COMMUNICATIONS</t>
  </si>
  <si>
    <t>FAKTORY, INC.</t>
  </si>
  <si>
    <t>EVANSTON URBAN RENEWAL AGENCY</t>
  </si>
  <si>
    <t>CANYONLANDS PRCA RODEO COMMITT</t>
  </si>
  <si>
    <t>CORP  ADVERTISING JAN TO DEC 2017</t>
  </si>
  <si>
    <t>Per Mike Rawlins, there were none in 2017.</t>
  </si>
  <si>
    <t>AIP</t>
  </si>
  <si>
    <t>520C</t>
  </si>
  <si>
    <t>17 Bonus Accrual</t>
  </si>
  <si>
    <t>510F</t>
  </si>
  <si>
    <t>Pushdown Corp AIP accrual</t>
  </si>
  <si>
    <t>CORP JAN TO DEC 2017</t>
  </si>
  <si>
    <t>00095732</t>
  </si>
  <si>
    <t>00096933</t>
  </si>
  <si>
    <t>Short Name</t>
  </si>
  <si>
    <t>Supplier</t>
  </si>
  <si>
    <t>Tickets Used for Employee Recognition - % Calculation 2017</t>
  </si>
  <si>
    <t>March</t>
  </si>
  <si>
    <t>Annualized</t>
  </si>
  <si>
    <t>Corp Overhead Adj</t>
  </si>
  <si>
    <t>Corp Overhead Adj'!A1</t>
  </si>
  <si>
    <t>Jan to March 2018</t>
  </si>
  <si>
    <t>YTD</t>
  </si>
  <si>
    <t>Accounts</t>
  </si>
  <si>
    <t>Budget</t>
  </si>
  <si>
    <t>Variance</t>
  </si>
  <si>
    <t>YTD Actual</t>
  </si>
  <si>
    <t xml:space="preserve">            8504081  Allocate-Payroll Ta</t>
  </si>
  <si>
    <t xml:space="preserve">            8504083  Allocate-Taxes-Othe</t>
  </si>
  <si>
    <t xml:space="preserve">            8504210  Allocat-Other Incom</t>
  </si>
  <si>
    <t xml:space="preserve">            8504261  Allocated-Donations</t>
  </si>
  <si>
    <t xml:space="preserve">            8504262  Alloc-Life Insuranc</t>
  </si>
  <si>
    <t xml:space="preserve">            8504264  Alloc-Civic/PoltcAc</t>
  </si>
  <si>
    <t xml:space="preserve">            8504265  Alloc-Aviation Cost</t>
  </si>
  <si>
    <t xml:space="preserve">            8504310  Alloc-Interest-Othe</t>
  </si>
  <si>
    <t xml:space="preserve">            8509200  Allocat-A&amp;G-Salarie</t>
  </si>
  <si>
    <t xml:space="preserve">            8509210  Alloc-A&amp;G-Off Suppl</t>
  </si>
  <si>
    <t xml:space="preserve">            8509211  Alloc-A&amp;G-Interest</t>
  </si>
  <si>
    <t xml:space="preserve">            8509213  Alloc-A&amp;G-Soft Pool</t>
  </si>
  <si>
    <t xml:space="preserve">            8509230  Alloc-A&amp;G-Outsd Ser</t>
  </si>
  <si>
    <t xml:space="preserve">            8509301  Alloc-AG-MiscGen Ad</t>
  </si>
  <si>
    <t xml:space="preserve">            8509302  Allocat-A&amp;G-Misc Ex</t>
  </si>
  <si>
    <t xml:space="preserve">            8509310  Alloc-Facilits Cost</t>
  </si>
  <si>
    <t xml:space="preserve">            8509350  Allocated-A&amp;G-Rents</t>
  </si>
  <si>
    <t xml:space="preserve">            5404030  Allocated-Deprec Ex</t>
  </si>
  <si>
    <t xml:space="preserve">            5404040  Allocat-Amortztn Ex</t>
  </si>
  <si>
    <t xml:space="preserve">            5404081  Allocate-Payroll Ta</t>
  </si>
  <si>
    <t xml:space="preserve">            5404083  Allocate-Taxes-Othe</t>
  </si>
  <si>
    <t xml:space="preserve">            5404261  Allocated-Donations</t>
  </si>
  <si>
    <t xml:space="preserve">            5404262  Alloc-Life Insuranc</t>
  </si>
  <si>
    <t xml:space="preserve">            5404264  Alloc-Civic/PoltcAc</t>
  </si>
  <si>
    <t xml:space="preserve">            5409201  Alloc-Vacation Liab</t>
  </si>
  <si>
    <t xml:space="preserve">            5409202  Alloc-Annl Incentiv</t>
  </si>
  <si>
    <t xml:space="preserve">            5409203  Allc-LTIP/RstrStkGr</t>
  </si>
  <si>
    <t xml:space="preserve">            5409210  Alloc-A&amp;G-Off Suppl</t>
  </si>
  <si>
    <t xml:space="preserve">            5409230  Alloc-A&amp;G-Outsd Ser</t>
  </si>
  <si>
    <t xml:space="preserve">            5409250  Alloc-A&amp;G-Injrs&amp;Dmg</t>
  </si>
  <si>
    <t xml:space="preserve">            5409261  Alloc-Empl Bens-Med</t>
  </si>
  <si>
    <t xml:space="preserve">            5409262  Alloc-Empl Ben-Othe</t>
  </si>
  <si>
    <t xml:space="preserve">            5409263  Allocated-OPEB Cost</t>
  </si>
  <si>
    <t xml:space="preserve">            5409264  Alloc-Pension Costs</t>
  </si>
  <si>
    <t xml:space="preserve">            5409265  Alloc-ExcSup Cmp Pr</t>
  </si>
  <si>
    <t xml:space="preserve">            5409301  Alloc-AG-MiscGen Ad</t>
  </si>
  <si>
    <t xml:space="preserve">            5409302  Allocat-A&amp;G-Misc Ex</t>
  </si>
  <si>
    <t xml:space="preserve">            5409350  Allocated-A&amp;G-Rents</t>
  </si>
  <si>
    <t xml:space="preserve">            5409999  Alloc-Labor Resid T</t>
  </si>
  <si>
    <t xml:space="preserve">            5410001  TXR-QGAS Fleet</t>
  </si>
  <si>
    <t xml:space="preserve">            5410002  TXR-QGAS Facilities</t>
  </si>
  <si>
    <t xml:space="preserve">            5410004  TXR-QGAS Warehouse</t>
  </si>
  <si>
    <t xml:space="preserve">            8100105  QGAS Juris Cost</t>
  </si>
  <si>
    <t xml:space="preserve">            8209000  DES Labor</t>
  </si>
  <si>
    <t>*           InterComp Operating Exp &amp; In</t>
  </si>
  <si>
    <t>Less: Incentives</t>
  </si>
  <si>
    <t>Net Corporate Overhead Expense</t>
  </si>
  <si>
    <t>Total 3 months DES overhead expense</t>
  </si>
  <si>
    <t>Total Allocated Corporate Expense Jan-March 2018</t>
  </si>
  <si>
    <t>From Mike Rawlins</t>
  </si>
  <si>
    <t>Dominion Energy</t>
  </si>
  <si>
    <t xml:space="preserve"> Incentives</t>
  </si>
  <si>
    <t xml:space="preserve"> Sporting Events </t>
  </si>
  <si>
    <t xml:space="preserve"> Advertising </t>
  </si>
  <si>
    <t xml:space="preserve"> Don &amp; Membership </t>
  </si>
  <si>
    <t xml:space="preserve"> Reserve accrual </t>
  </si>
  <si>
    <t xml:space="preserve"> Labor Adj </t>
  </si>
  <si>
    <t>TOTAL  ADJUSTMENTS</t>
  </si>
  <si>
    <t xml:space="preserve"> Expense Dec 2017</t>
  </si>
  <si>
    <t xml:space="preserve"> Energy Efficiency Adjustment</t>
  </si>
  <si>
    <t xml:space="preserve"> DUES AND DONATIONS</t>
  </si>
  <si>
    <t xml:space="preserve"> AGA DUES</t>
  </si>
  <si>
    <t xml:space="preserve">% Applicable to </t>
  </si>
  <si>
    <t xml:space="preserve">Allocated to </t>
  </si>
  <si>
    <t xml:space="preserve">     Percent to </t>
  </si>
  <si>
    <t xml:space="preserve">     Total to </t>
  </si>
  <si>
    <t xml:space="preserve"> ALLOCATED CHARGES</t>
  </si>
  <si>
    <t xml:space="preserve"> DIRECT ADVERTISING JAN TO DEC 2017</t>
  </si>
  <si>
    <t>Query:  Direct Advertising</t>
  </si>
  <si>
    <t xml:space="preserve">To </t>
  </si>
  <si>
    <t xml:space="preserve"> Incentive Accrual (Transaction 402)</t>
  </si>
  <si>
    <t xml:space="preserve"> - Performance Share &amp; Cash (Transaction 403)</t>
  </si>
  <si>
    <t>Accrue  Incentive</t>
  </si>
  <si>
    <t xml:space="preserve">  Management Incentive Plan (AMIP)</t>
  </si>
  <si>
    <t>Bonus related to  Financial Goals &amp; Affiliates</t>
  </si>
  <si>
    <t>Adjust  Incentive</t>
  </si>
  <si>
    <t xml:space="preserve">Bonus related to  O&amp;M Goals </t>
  </si>
  <si>
    <t>PIPE Bonus related to  Financial Goals &amp; Affiliates</t>
  </si>
  <si>
    <t xml:space="preserve">PIPE Bonus related to  O&amp;M Goals </t>
  </si>
  <si>
    <t xml:space="preserve"> Employee Incentive Plan (PIPE)</t>
  </si>
  <si>
    <t xml:space="preserve"> AMIP (Financial Goals)</t>
  </si>
  <si>
    <t xml:space="preserve"> AMIP (O&amp;M Goals)</t>
  </si>
  <si>
    <t xml:space="preserve"> AMIP (Financial Goals)%</t>
  </si>
  <si>
    <t xml:space="preserve"> AMIP (O&amp;M Goals)%</t>
  </si>
  <si>
    <t xml:space="preserve"> PIPE (Financial Goals)</t>
  </si>
  <si>
    <t xml:space="preserve"> PIPE (O&amp;M Goals)</t>
  </si>
  <si>
    <t xml:space="preserve"> PIPE (Financial Goals)%</t>
  </si>
  <si>
    <t xml:space="preserve"> PIPE (O&amp;M Goals)%</t>
  </si>
  <si>
    <t>Total related to  O&amp;M Goals</t>
  </si>
  <si>
    <t xml:space="preserve"> PIPE (FINANCIAL GOALS PAYOUT)%</t>
  </si>
  <si>
    <t xml:space="preserve"> PIPE (OPERATIONAL GOALS PAYOUT)%</t>
  </si>
  <si>
    <t>TOTAL  PIPE (GOALS PAYOUT)%</t>
  </si>
  <si>
    <t xml:space="preserve"> JAN TO DEC 2017</t>
  </si>
  <si>
    <t xml:space="preserve"> Direct</t>
  </si>
  <si>
    <t>Total Disallowed  Sporting Events Expense</t>
  </si>
  <si>
    <t xml:space="preserve"> Other Rev Jun 2017</t>
  </si>
  <si>
    <t xml:space="preserve"> Cost Of Capital Scenarios</t>
  </si>
  <si>
    <t>Total Disallowed Corp Sporting Events Expense</t>
  </si>
  <si>
    <t>CORP to</t>
  </si>
  <si>
    <t>Dominion Energy Utah/Wyoming</t>
  </si>
  <si>
    <t xml:space="preserve">Billed From Corp to </t>
  </si>
  <si>
    <t>Total Corp General Advertising Expenses</t>
  </si>
  <si>
    <t>Total Corp Outside Services</t>
  </si>
  <si>
    <t>Total Corp Institutional Advertising</t>
  </si>
  <si>
    <t>To Corp</t>
  </si>
  <si>
    <t>\2 Actual 12 Months Ending Dec 2017 Capitalization Ratio</t>
  </si>
  <si>
    <t>\1 Average 12 Months Ending Dec 2013-Dec 2017 Capitalization Ratio</t>
  </si>
  <si>
    <t>Corporation Allocated</t>
  </si>
  <si>
    <t>Company</t>
  </si>
  <si>
    <t xml:space="preserve"> Corporation Incentive Pay Adjustment</t>
  </si>
  <si>
    <t>Corporation</t>
  </si>
  <si>
    <t>Corp Management and Employee Incentive Plans</t>
  </si>
  <si>
    <t>Total Corp AMIP and PIPE Plan Disallowed</t>
  </si>
  <si>
    <t>DES charges to Company</t>
  </si>
  <si>
    <t>Company Incentive Pay Adjustment</t>
  </si>
  <si>
    <t>(Updated Dec 2017)</t>
  </si>
  <si>
    <t>(Updated Oct 2017)</t>
  </si>
  <si>
    <t>Actual Payout for 2017 (Paid in Feb 2018)</t>
  </si>
  <si>
    <t>12 Mos. Ending  Dec. 2017</t>
  </si>
  <si>
    <t>Long Term Incentive Plan (2017)</t>
  </si>
  <si>
    <t>1/ In 2017, event tickets were not used for promotional/marketing purposes, thus no adjustment is necessary.</t>
  </si>
  <si>
    <t>Allocated to Company</t>
  </si>
  <si>
    <t xml:space="preserve">     Percent to Company</t>
  </si>
  <si>
    <t xml:space="preserve">     Total to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</si>
</sst>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.00000%"/>
    <numFmt numFmtId="169" formatCode="0.000000%"/>
    <numFmt numFmtId="170" formatCode="#,##0.000_);\(#,##0.000\)"/>
    <numFmt numFmtId="171" formatCode="0.000_);\(0.000\)"/>
    <numFmt numFmtId="172" formatCode="0_);\(0\)"/>
    <numFmt numFmtId="173" formatCode="mmm\-yy_)"/>
    <numFmt numFmtId="174" formatCode="#,##0.0000000_);\(#,##0.0000000\)"/>
    <numFmt numFmtId="175" formatCode="mmmm\-yy"/>
    <numFmt numFmtId="176" formatCode="#,##0.000000_);\(#,##0.000000\)"/>
    <numFmt numFmtId="177" formatCode="&quot;$&quot;#,##0"/>
    <numFmt numFmtId="178" formatCode="mmmm\ d\,\ yyyy\ \ \ h:mm\ AM/PM"/>
    <numFmt numFmtId="179" formatCode="0.0000000%"/>
    <numFmt numFmtId="180" formatCode="[$-409]mmm\-yy;@"/>
    <numFmt numFmtId="181" formatCode="#,##0.00000"/>
    <numFmt numFmtId="182" formatCode="dd\-mmm\-yy_)"/>
    <numFmt numFmtId="183" formatCode="General_)"/>
    <numFmt numFmtId="184" formatCode="[$-409]dd\-mmm\-yy;@"/>
    <numFmt numFmtId="185" formatCode="_(* #,##0.000000_);_(* \(#,##0.000000\);_(* &quot;-&quot;??_);_(@_)"/>
    <numFmt numFmtId="186" formatCode="0.000"/>
    <numFmt numFmtId="187" formatCode="_(&quot;$&quot;* #,##0_);_(&quot;$&quot;* \(#,##0\);_(&quot;$&quot;* &quot;-&quot;??_);_(@_)"/>
    <numFmt numFmtId="188" formatCode="#,##0_);\(#,##0\);&quot; &quot;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OAK"/>
    </font>
    <font>
      <b/>
      <sz val="10"/>
      <name val="OAK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  <charset val="161"/>
    </font>
    <font>
      <sz val="10"/>
      <name val="Arial Unicode MS"/>
      <family val="2"/>
    </font>
    <font>
      <b/>
      <sz val="16"/>
      <name val="Arial"/>
      <family val="2"/>
    </font>
    <font>
      <b/>
      <sz val="10"/>
      <color indexed="8"/>
      <name val="Arial"/>
      <family val="2"/>
      <charset val="161"/>
    </font>
    <font>
      <u/>
      <sz val="10"/>
      <name val="Arial"/>
      <family val="2"/>
    </font>
    <font>
      <b/>
      <sz val="10"/>
      <name val="PrOJECTED_EXPENSES"/>
    </font>
    <font>
      <sz val="10"/>
      <name val="PrOJECTED_EXPENSES"/>
    </font>
    <font>
      <b/>
      <sz val="10"/>
      <name val="Forecasted_Expenses"/>
    </font>
    <font>
      <sz val="10"/>
      <name val="Forecasted_Expenses"/>
    </font>
    <font>
      <sz val="10"/>
      <name val="Arial"/>
      <family val="2"/>
    </font>
    <font>
      <b/>
      <sz val="14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bscript"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MS Sans Serif"/>
      <family val="2"/>
    </font>
    <font>
      <b/>
      <sz val="8"/>
      <name val="MS Sans Serif"/>
      <family val="2"/>
    </font>
    <font>
      <b/>
      <u/>
      <sz val="8"/>
      <name val="MS Sans Serif"/>
      <family val="2"/>
    </font>
    <font>
      <b/>
      <sz val="8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rgb="FF000000"/>
      <name val="Verdana"/>
      <family val="2"/>
    </font>
    <font>
      <sz val="8"/>
      <color rgb="FF0066CC"/>
      <name val="MS Sans Serif"/>
      <family val="2"/>
    </font>
    <font>
      <sz val="12"/>
      <color rgb="FF1F497D"/>
      <name val="Calibri"/>
      <family val="2"/>
    </font>
    <font>
      <b/>
      <sz val="12"/>
      <color rgb="FF1F497D"/>
      <name val="Calibri"/>
      <family val="2"/>
    </font>
    <font>
      <b/>
      <sz val="10"/>
      <color rgb="FF00000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rgb="FF1F497D"/>
      <name val="Calibri"/>
      <family val="2"/>
    </font>
    <font>
      <b/>
      <sz val="12"/>
      <color rgb="FF33333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6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1">
    <xf numFmtId="0" fontId="0" fillId="0" borderId="0"/>
    <xf numFmtId="43" fontId="2" fillId="0" borderId="0" applyFont="0" applyFill="0" applyBorder="0" applyProtection="0"/>
    <xf numFmtId="43" fontId="7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182" fontId="6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0" fontId="70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15" fontId="70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18" fillId="0" borderId="1">
      <alignment horizontal="center"/>
    </xf>
    <xf numFmtId="0" fontId="71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70" fillId="2" borderId="0" applyNumberFormat="0" applyFont="0" applyBorder="0" applyAlignment="0" applyProtection="0"/>
    <xf numFmtId="0" fontId="80" fillId="0" borderId="0"/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81" fillId="0" borderId="1">
      <alignment horizontal="center"/>
    </xf>
    <xf numFmtId="3" fontId="80" fillId="0" borderId="0" applyFont="0" applyFill="0" applyBorder="0" applyAlignment="0" applyProtection="0"/>
    <xf numFmtId="0" fontId="80" fillId="2" borderId="0" applyNumberFormat="0" applyFont="0" applyBorder="0" applyAlignment="0" applyProtection="0"/>
    <xf numFmtId="40" fontId="17" fillId="0" borderId="0" applyFont="0" applyFill="0" applyBorder="0" applyAlignment="0" applyProtection="0"/>
    <xf numFmtId="0" fontId="84" fillId="0" borderId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85" fillId="0" borderId="1">
      <alignment horizontal="center"/>
    </xf>
    <xf numFmtId="3" fontId="84" fillId="0" borderId="0" applyFont="0" applyFill="0" applyBorder="0" applyAlignment="0" applyProtection="0"/>
    <xf numFmtId="0" fontId="84" fillId="2" borderId="0" applyNumberFormat="0" applyFont="0" applyBorder="0" applyAlignment="0" applyProtection="0"/>
    <xf numFmtId="0" fontId="2" fillId="0" borderId="0"/>
    <xf numFmtId="43" fontId="2" fillId="0" borderId="0" applyFont="0" applyFill="0" applyBorder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ont="0" applyFill="0" applyBorder="0" applyAlignment="0" applyProtection="0">
      <alignment horizontal="left"/>
    </xf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0" fontId="18" fillId="0" borderId="1">
      <alignment horizontal="center"/>
    </xf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0" fontId="18" fillId="0" borderId="1">
      <alignment horizontal="center"/>
    </xf>
    <xf numFmtId="3" fontId="17" fillId="0" borderId="0" applyFont="0" applyFill="0" applyBorder="0" applyAlignment="0" applyProtection="0"/>
    <xf numFmtId="0" fontId="17" fillId="2" borderId="0" applyNumberFormat="0" applyFont="0" applyBorder="0" applyAlignment="0" applyProtection="0"/>
    <xf numFmtId="0" fontId="18" fillId="0" borderId="51">
      <alignment horizontal="center"/>
    </xf>
    <xf numFmtId="0" fontId="90" fillId="0" borderId="0"/>
    <xf numFmtId="44" fontId="91" fillId="0" borderId="0" applyFont="0" applyFill="0" applyBorder="0" applyAlignment="0" applyProtection="0"/>
  </cellStyleXfs>
  <cellXfs count="1449">
    <xf numFmtId="0" fontId="0" fillId="0" borderId="0" xfId="0"/>
    <xf numFmtId="37" fontId="0" fillId="0" borderId="0" xfId="0" applyNumberFormat="1"/>
    <xf numFmtId="0" fontId="0" fillId="0" borderId="0" xfId="0" applyFill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left"/>
    </xf>
    <xf numFmtId="37" fontId="0" fillId="0" borderId="0" xfId="0" applyNumberFormat="1" applyFill="1"/>
    <xf numFmtId="37" fontId="3" fillId="0" borderId="0" xfId="1" quotePrefix="1" applyNumberFormat="1" applyFont="1" applyFill="1" applyBorder="1" applyAlignment="1">
      <alignment horizontal="center"/>
    </xf>
    <xf numFmtId="37" fontId="0" fillId="0" borderId="0" xfId="1" applyNumberFormat="1" applyFont="1" applyFill="1" applyBorder="1"/>
    <xf numFmtId="37" fontId="0" fillId="0" borderId="0" xfId="1" quotePrefix="1" applyNumberFormat="1" applyFont="1" applyFill="1" applyBorder="1" applyAlignment="1">
      <alignment horizontal="right"/>
    </xf>
    <xf numFmtId="37" fontId="0" fillId="0" borderId="0" xfId="1" applyNumberFormat="1" applyFont="1" applyFill="1" applyBorder="1" applyAlignment="1">
      <alignment horizontal="right"/>
    </xf>
    <xf numFmtId="164" fontId="0" fillId="0" borderId="0" xfId="0" applyNumberFormat="1" applyFill="1"/>
    <xf numFmtId="0" fontId="0" fillId="0" borderId="0" xfId="0" quotePrefix="1" applyFill="1" applyAlignment="1">
      <alignment horizontal="left"/>
    </xf>
    <xf numFmtId="164" fontId="3" fillId="0" borderId="0" xfId="1" applyNumberFormat="1" applyFont="1" applyFill="1" applyAlignment="1">
      <alignment horizontal="left"/>
    </xf>
    <xf numFmtId="37" fontId="3" fillId="0" borderId="0" xfId="1" applyNumberFormat="1" applyFont="1" applyFill="1"/>
    <xf numFmtId="37" fontId="0" fillId="0" borderId="0" xfId="1" applyNumberFormat="1" applyFont="1" applyFill="1" applyAlignment="1">
      <alignment horizontal="left"/>
    </xf>
    <xf numFmtId="37" fontId="0" fillId="0" borderId="0" xfId="1" applyNumberFormat="1" applyFont="1" applyFill="1"/>
    <xf numFmtId="37" fontId="3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center"/>
    </xf>
    <xf numFmtId="172" fontId="0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17" fontId="3" fillId="0" borderId="1" xfId="1" applyNumberFormat="1" applyFont="1" applyFill="1" applyBorder="1" applyAlignment="1">
      <alignment horizontal="center"/>
    </xf>
    <xf numFmtId="37" fontId="0" fillId="0" borderId="0" xfId="1" applyNumberFormat="1" applyFont="1" applyFill="1" applyAlignment="1">
      <alignment horizontal="right"/>
    </xf>
    <xf numFmtId="37" fontId="0" fillId="0" borderId="0" xfId="1" quotePrefix="1" applyNumberFormat="1" applyFont="1" applyFill="1" applyAlignment="1">
      <alignment horizontal="right"/>
    </xf>
    <xf numFmtId="37" fontId="0" fillId="0" borderId="3" xfId="1" applyNumberFormat="1" applyFont="1" applyFill="1" applyBorder="1"/>
    <xf numFmtId="37" fontId="0" fillId="0" borderId="4" xfId="1" applyNumberFormat="1" applyFont="1" applyFill="1" applyBorder="1"/>
    <xf numFmtId="37" fontId="5" fillId="0" borderId="0" xfId="1" applyNumberFormat="1" applyFont="1" applyFill="1"/>
    <xf numFmtId="37" fontId="3" fillId="0" borderId="0" xfId="1" quotePrefix="1" applyNumberFormat="1" applyFont="1" applyFill="1" applyAlignment="1">
      <alignment horizontal="left"/>
    </xf>
    <xf numFmtId="10" fontId="3" fillId="0" borderId="0" xfId="17" applyNumberFormat="1" applyFont="1" applyFill="1"/>
    <xf numFmtId="0" fontId="5" fillId="0" borderId="0" xfId="0" applyFont="1" applyFill="1"/>
    <xf numFmtId="37" fontId="0" fillId="0" borderId="0" xfId="1" quotePrefix="1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/>
    </xf>
    <xf numFmtId="0" fontId="11" fillId="0" borderId="0" xfId="0" applyNumberFormat="1" applyFont="1" applyFill="1"/>
    <xf numFmtId="0" fontId="10" fillId="0" borderId="0" xfId="0" applyNumberFormat="1" applyFont="1" applyFill="1"/>
    <xf numFmtId="0" fontId="11" fillId="0" borderId="0" xfId="0" applyNumberFormat="1" applyFont="1" applyFill="1" applyAlignment="1">
      <alignment horizontal="center"/>
    </xf>
    <xf numFmtId="0" fontId="11" fillId="0" borderId="5" xfId="0" applyNumberFormat="1" applyFont="1" applyFill="1" applyBorder="1"/>
    <xf numFmtId="37" fontId="11" fillId="0" borderId="5" xfId="0" applyNumberFormat="1" applyFont="1" applyFill="1" applyBorder="1" applyAlignment="1">
      <alignment horizontal="centerContinuous"/>
    </xf>
    <xf numFmtId="37" fontId="11" fillId="0" borderId="5" xfId="0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centerContinuous"/>
    </xf>
    <xf numFmtId="37" fontId="11" fillId="0" borderId="0" xfId="0" applyNumberFormat="1" applyFont="1" applyFill="1" applyAlignment="1">
      <alignment horizontal="left"/>
    </xf>
    <xf numFmtId="10" fontId="10" fillId="0" borderId="0" xfId="0" applyNumberFormat="1" applyFont="1" applyFill="1"/>
    <xf numFmtId="10" fontId="10" fillId="0" borderId="6" xfId="0" applyNumberFormat="1" applyFont="1" applyFill="1" applyBorder="1"/>
    <xf numFmtId="0" fontId="10" fillId="0" borderId="5" xfId="0" applyNumberFormat="1" applyFont="1" applyFill="1" applyBorder="1"/>
    <xf numFmtId="10" fontId="0" fillId="0" borderId="0" xfId="17" applyNumberFormat="1" applyFont="1" applyFill="1"/>
    <xf numFmtId="0" fontId="5" fillId="0" borderId="0" xfId="0" quotePrefix="1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quotePrefix="1" applyFont="1" applyFill="1" applyAlignment="1">
      <alignment horizontal="left"/>
    </xf>
    <xf numFmtId="37" fontId="0" fillId="0" borderId="7" xfId="0" applyNumberFormat="1" applyFill="1" applyBorder="1"/>
    <xf numFmtId="164" fontId="0" fillId="0" borderId="0" xfId="1" applyNumberFormat="1" applyFont="1" applyFill="1"/>
    <xf numFmtId="37" fontId="3" fillId="0" borderId="0" xfId="1" applyNumberFormat="1" applyFont="1" applyFill="1" applyAlignment="1">
      <alignment horizontal="left"/>
    </xf>
    <xf numFmtId="0" fontId="3" fillId="0" borderId="0" xfId="0" applyFont="1" applyFill="1" applyBorder="1" applyAlignment="1">
      <alignment horizontal="center"/>
    </xf>
    <xf numFmtId="164" fontId="0" fillId="0" borderId="0" xfId="1" applyNumberFormat="1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0" fillId="0" borderId="0" xfId="0" applyFill="1" applyBorder="1"/>
    <xf numFmtId="17" fontId="3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/>
    <xf numFmtId="164" fontId="3" fillId="0" borderId="0" xfId="1" applyNumberFormat="1" applyFont="1" applyFill="1"/>
    <xf numFmtId="37" fontId="16" fillId="0" borderId="8" xfId="0" applyNumberFormat="1" applyFont="1" applyFill="1" applyBorder="1" applyAlignment="1" applyProtection="1">
      <alignment horizontal="centerContinuous"/>
    </xf>
    <xf numFmtId="37" fontId="16" fillId="0" borderId="8" xfId="0" applyNumberFormat="1" applyFont="1" applyFill="1" applyBorder="1" applyAlignment="1" applyProtection="1">
      <alignment horizontal="center"/>
    </xf>
    <xf numFmtId="37" fontId="11" fillId="0" borderId="0" xfId="0" applyNumberFormat="1" applyFont="1" applyFill="1" applyProtection="1"/>
    <xf numFmtId="10" fontId="16" fillId="0" borderId="0" xfId="0" applyNumberFormat="1" applyFont="1" applyFill="1" applyProtection="1"/>
    <xf numFmtId="37" fontId="10" fillId="0" borderId="0" xfId="0" applyNumberFormat="1" applyFont="1" applyFill="1" applyProtection="1"/>
    <xf numFmtId="37" fontId="16" fillId="0" borderId="6" xfId="0" applyNumberFormat="1" applyFont="1" applyFill="1" applyBorder="1" applyProtection="1"/>
    <xf numFmtId="37" fontId="16" fillId="0" borderId="9" xfId="0" applyNumberFormat="1" applyFont="1" applyFill="1" applyBorder="1" applyProtection="1"/>
    <xf numFmtId="37" fontId="16" fillId="0" borderId="0" xfId="0" applyNumberFormat="1" applyFont="1" applyFill="1" applyAlignment="1" applyProtection="1">
      <alignment horizontal="center"/>
    </xf>
    <xf numFmtId="37" fontId="16" fillId="0" borderId="0" xfId="0" applyNumberFormat="1" applyFont="1" applyFill="1" applyProtection="1"/>
    <xf numFmtId="0" fontId="2" fillId="0" borderId="0" xfId="0" applyFont="1" applyFill="1"/>
    <xf numFmtId="37" fontId="3" fillId="0" borderId="0" xfId="1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37" fontId="11" fillId="0" borderId="0" xfId="0" quotePrefix="1" applyNumberFormat="1" applyFont="1" applyFill="1" applyAlignment="1" applyProtection="1">
      <alignment horizontal="left"/>
    </xf>
    <xf numFmtId="37" fontId="16" fillId="0" borderId="0" xfId="0" applyNumberFormat="1" applyFont="1" applyFill="1" applyBorder="1" applyProtection="1"/>
    <xf numFmtId="37" fontId="16" fillId="0" borderId="10" xfId="0" applyNumberFormat="1" applyFont="1" applyFill="1" applyBorder="1" applyAlignment="1" applyProtection="1">
      <alignment horizontal="center"/>
    </xf>
    <xf numFmtId="37" fontId="16" fillId="0" borderId="10" xfId="0" applyNumberFormat="1" applyFont="1" applyFill="1" applyBorder="1" applyProtection="1"/>
    <xf numFmtId="37" fontId="16" fillId="0" borderId="0" xfId="0" applyNumberFormat="1" applyFont="1" applyFill="1" applyAlignment="1" applyProtection="1">
      <alignment horizontal="left"/>
    </xf>
    <xf numFmtId="0" fontId="3" fillId="0" borderId="0" xfId="0" applyFont="1" applyFill="1" applyAlignment="1">
      <alignment horizontal="right"/>
    </xf>
    <xf numFmtId="0" fontId="3" fillId="0" borderId="0" xfId="0" applyFont="1" applyFill="1"/>
    <xf numFmtId="0" fontId="5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17" fontId="0" fillId="0" borderId="0" xfId="0" applyNumberFormat="1" applyFill="1"/>
    <xf numFmtId="5" fontId="0" fillId="0" borderId="0" xfId="0" applyNumberFormat="1" applyFill="1"/>
    <xf numFmtId="0" fontId="0" fillId="0" borderId="1" xfId="0" applyFill="1" applyBorder="1"/>
    <xf numFmtId="0" fontId="0" fillId="0" borderId="11" xfId="0" applyFill="1" applyBorder="1"/>
    <xf numFmtId="0" fontId="0" fillId="0" borderId="0" xfId="0" applyFill="1" applyAlignment="1">
      <alignment horizontal="right"/>
    </xf>
    <xf numFmtId="0" fontId="0" fillId="0" borderId="0" xfId="0" applyFill="1" applyAlignment="1"/>
    <xf numFmtId="43" fontId="0" fillId="0" borderId="0" xfId="0" applyNumberFormat="1" applyFill="1"/>
    <xf numFmtId="0" fontId="0" fillId="0" borderId="4" xfId="0" applyFill="1" applyBorder="1"/>
    <xf numFmtId="43" fontId="0" fillId="0" borderId="0" xfId="1" applyFont="1" applyFill="1"/>
    <xf numFmtId="10" fontId="0" fillId="0" borderId="0" xfId="0" applyNumberFormat="1" applyFill="1"/>
    <xf numFmtId="37" fontId="19" fillId="0" borderId="0" xfId="0" quotePrefix="1" applyNumberFormat="1" applyFont="1" applyFill="1" applyAlignment="1">
      <alignment horizontal="left"/>
    </xf>
    <xf numFmtId="5" fontId="19" fillId="0" borderId="0" xfId="0" applyNumberFormat="1" applyFont="1" applyFill="1"/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/>
    <xf numFmtId="37" fontId="3" fillId="0" borderId="0" xfId="1" quotePrefix="1" applyNumberFormat="1" applyFont="1" applyFill="1" applyAlignment="1">
      <alignment horizontal="right"/>
    </xf>
    <xf numFmtId="0" fontId="16" fillId="0" borderId="0" xfId="0" applyNumberFormat="1" applyFont="1" applyFill="1"/>
    <xf numFmtId="0" fontId="11" fillId="0" borderId="0" xfId="0" applyNumberFormat="1" applyFont="1" applyFill="1" applyAlignment="1">
      <alignment horizontal="centerContinuous"/>
    </xf>
    <xf numFmtId="0" fontId="16" fillId="0" borderId="4" xfId="0" applyNumberFormat="1" applyFont="1" applyFill="1" applyBorder="1"/>
    <xf numFmtId="5" fontId="10" fillId="0" borderId="0" xfId="0" applyNumberFormat="1" applyFont="1" applyFill="1"/>
    <xf numFmtId="37" fontId="20" fillId="0" borderId="0" xfId="0" applyNumberFormat="1" applyFont="1" applyFill="1" applyAlignment="1">
      <alignment horizontal="right"/>
    </xf>
    <xf numFmtId="164" fontId="0" fillId="0" borderId="7" xfId="1" applyNumberFormat="1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37" fontId="3" fillId="0" borderId="0" xfId="0" applyNumberFormat="1" applyFont="1" applyFill="1" applyAlignment="1">
      <alignment horizontal="center"/>
    </xf>
    <xf numFmtId="10" fontId="5" fillId="0" borderId="0" xfId="17" applyNumberFormat="1" applyFont="1" applyFill="1"/>
    <xf numFmtId="37" fontId="0" fillId="0" borderId="1" xfId="0" applyNumberFormat="1" applyFill="1" applyBorder="1"/>
    <xf numFmtId="37" fontId="3" fillId="0" borderId="1" xfId="0" applyNumberFormat="1" applyFont="1" applyFill="1" applyBorder="1" applyAlignment="1">
      <alignment horizontal="center"/>
    </xf>
    <xf numFmtId="37" fontId="0" fillId="0" borderId="11" xfId="0" applyNumberFormat="1" applyFill="1" applyBorder="1"/>
    <xf numFmtId="37" fontId="0" fillId="0" borderId="4" xfId="0" applyNumberFormat="1" applyFill="1" applyBorder="1"/>
    <xf numFmtId="0" fontId="3" fillId="0" borderId="0" xfId="0" applyFont="1" applyFill="1" applyBorder="1"/>
    <xf numFmtId="0" fontId="2" fillId="0" borderId="0" xfId="0" applyNumberFormat="1" applyFont="1" applyFill="1" applyAlignment="1">
      <alignment horizontal="right"/>
    </xf>
    <xf numFmtId="0" fontId="19" fillId="0" borderId="1" xfId="0" applyNumberFormat="1" applyFont="1" applyFill="1" applyBorder="1" applyAlignment="1">
      <alignment horizontal="center"/>
    </xf>
    <xf numFmtId="37" fontId="2" fillId="0" borderId="0" xfId="0" applyNumberFormat="1" applyFont="1" applyFill="1"/>
    <xf numFmtId="164" fontId="0" fillId="0" borderId="0" xfId="1" applyNumberFormat="1" applyFont="1" applyFill="1" applyAlignment="1">
      <alignment horizontal="left"/>
    </xf>
    <xf numFmtId="0" fontId="3" fillId="0" borderId="12" xfId="0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0" fontId="0" fillId="0" borderId="1" xfId="17" applyNumberFormat="1" applyFont="1" applyFill="1" applyBorder="1"/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/>
    <xf numFmtId="0" fontId="0" fillId="0" borderId="0" xfId="0" quotePrefix="1" applyFill="1" applyAlignment="1">
      <alignment horizontal="center"/>
    </xf>
    <xf numFmtId="164" fontId="3" fillId="0" borderId="0" xfId="1" applyNumberFormat="1" applyFont="1" applyFill="1" applyAlignment="1"/>
    <xf numFmtId="37" fontId="3" fillId="0" borderId="0" xfId="1" applyNumberFormat="1" applyFont="1" applyFill="1" applyBorder="1" applyAlignment="1">
      <alignment horizontal="left"/>
    </xf>
    <xf numFmtId="9" fontId="0" fillId="0" borderId="0" xfId="17" applyFont="1" applyFill="1"/>
    <xf numFmtId="0" fontId="0" fillId="0" borderId="14" xfId="0" applyFill="1" applyBorder="1"/>
    <xf numFmtId="0" fontId="0" fillId="0" borderId="15" xfId="0" applyFill="1" applyBorder="1"/>
    <xf numFmtId="166" fontId="0" fillId="0" borderId="0" xfId="17" applyNumberFormat="1" applyFont="1" applyFill="1" applyBorder="1"/>
    <xf numFmtId="0" fontId="0" fillId="0" borderId="16" xfId="0" applyFill="1" applyBorder="1"/>
    <xf numFmtId="0" fontId="0" fillId="0" borderId="17" xfId="0" applyFill="1" applyBorder="1"/>
    <xf numFmtId="37" fontId="0" fillId="0" borderId="0" xfId="1" quotePrefix="1" applyNumberFormat="1" applyFont="1" applyFill="1" applyAlignment="1">
      <alignment horizontal="center"/>
    </xf>
    <xf numFmtId="49" fontId="3" fillId="0" borderId="0" xfId="1" applyNumberFormat="1" applyFont="1" applyFill="1"/>
    <xf numFmtId="37" fontId="3" fillId="0" borderId="0" xfId="0" applyNumberFormat="1" applyFont="1" applyFill="1"/>
    <xf numFmtId="0" fontId="3" fillId="0" borderId="0" xfId="0" applyFont="1" applyFill="1" applyAlignment="1"/>
    <xf numFmtId="0" fontId="3" fillId="0" borderId="0" xfId="0" applyNumberFormat="1" applyFont="1" applyFill="1" applyBorder="1" applyAlignment="1">
      <alignment horizontal="right"/>
    </xf>
    <xf numFmtId="17" fontId="10" fillId="0" borderId="0" xfId="0" applyNumberFormat="1" applyFont="1" applyFill="1" applyAlignment="1" applyProtection="1">
      <alignment horizontal="left"/>
    </xf>
    <xf numFmtId="164" fontId="3" fillId="0" borderId="15" xfId="1" applyNumberFormat="1" applyFont="1" applyFill="1" applyBorder="1"/>
    <xf numFmtId="37" fontId="0" fillId="0" borderId="15" xfId="1" applyNumberFormat="1" applyFont="1" applyFill="1" applyBorder="1"/>
    <xf numFmtId="164" fontId="0" fillId="0" borderId="15" xfId="1" applyNumberFormat="1" applyFont="1" applyFill="1" applyBorder="1" applyAlignment="1">
      <alignment horizontal="center"/>
    </xf>
    <xf numFmtId="164" fontId="3" fillId="0" borderId="15" xfId="1" applyNumberFormat="1" applyFont="1" applyFill="1" applyBorder="1" applyAlignment="1">
      <alignment horizontal="center"/>
    </xf>
    <xf numFmtId="37" fontId="3" fillId="0" borderId="15" xfId="1" applyNumberFormat="1" applyFont="1" applyFill="1" applyBorder="1" applyAlignment="1">
      <alignment horizontal="center"/>
    </xf>
    <xf numFmtId="164" fontId="0" fillId="0" borderId="15" xfId="1" applyNumberFormat="1" applyFont="1" applyFill="1" applyBorder="1"/>
    <xf numFmtId="170" fontId="0" fillId="0" borderId="15" xfId="1" applyNumberFormat="1" applyFont="1" applyFill="1" applyBorder="1"/>
    <xf numFmtId="37" fontId="0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2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/>
    <xf numFmtId="3" fontId="0" fillId="0" borderId="0" xfId="0" applyNumberFormat="1" applyFill="1"/>
    <xf numFmtId="0" fontId="16" fillId="0" borderId="18" xfId="0" applyNumberFormat="1" applyFont="1" applyFill="1" applyBorder="1"/>
    <xf numFmtId="10" fontId="2" fillId="0" borderId="0" xfId="0" applyNumberFormat="1" applyFont="1" applyFill="1" applyAlignment="1">
      <alignment horizontal="center"/>
    </xf>
    <xf numFmtId="10" fontId="2" fillId="0" borderId="0" xfId="0" applyNumberFormat="1" applyFont="1" applyFill="1" applyBorder="1"/>
    <xf numFmtId="49" fontId="3" fillId="0" borderId="1" xfId="1" applyNumberFormat="1" applyFont="1" applyFill="1" applyBorder="1"/>
    <xf numFmtId="164" fontId="3" fillId="0" borderId="1" xfId="1" applyNumberFormat="1" applyFont="1" applyFill="1" applyBorder="1"/>
    <xf numFmtId="49" fontId="0" fillId="0" borderId="0" xfId="1" applyNumberFormat="1" applyFont="1" applyFill="1"/>
    <xf numFmtId="49" fontId="0" fillId="0" borderId="0" xfId="1" applyNumberFormat="1" applyFont="1" applyFill="1" applyAlignment="1">
      <alignment horizontal="left"/>
    </xf>
    <xf numFmtId="167" fontId="0" fillId="0" borderId="0" xfId="17" applyNumberFormat="1" applyFont="1" applyFill="1" applyBorder="1"/>
    <xf numFmtId="164" fontId="0" fillId="0" borderId="0" xfId="1" applyNumberFormat="1" applyFont="1" applyFill="1" applyAlignment="1">
      <alignment horizontal="center"/>
    </xf>
    <xf numFmtId="37" fontId="0" fillId="0" borderId="7" xfId="1" applyNumberFormat="1" applyFont="1" applyFill="1" applyBorder="1"/>
    <xf numFmtId="0" fontId="3" fillId="0" borderId="0" xfId="1" applyNumberFormat="1" applyFont="1" applyFill="1"/>
    <xf numFmtId="17" fontId="3" fillId="0" borderId="0" xfId="0" applyNumberFormat="1" applyFont="1" applyFill="1" applyAlignment="1">
      <alignment horizontal="center"/>
    </xf>
    <xf numFmtId="0" fontId="3" fillId="0" borderId="1" xfId="0" applyNumberFormat="1" applyFont="1" applyFill="1" applyBorder="1"/>
    <xf numFmtId="0" fontId="10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>
      <alignment horizontal="centerContinuous"/>
    </xf>
    <xf numFmtId="0" fontId="10" fillId="0" borderId="0" xfId="0" quotePrefix="1" applyNumberFormat="1" applyFont="1" applyFill="1" applyAlignment="1">
      <alignment horizontal="left"/>
    </xf>
    <xf numFmtId="166" fontId="10" fillId="0" borderId="0" xfId="0" applyNumberFormat="1" applyFont="1" applyFill="1"/>
    <xf numFmtId="10" fontId="10" fillId="0" borderId="0" xfId="0" applyNumberFormat="1" applyFont="1" applyFill="1" applyAlignment="1">
      <alignment horizontal="right"/>
    </xf>
    <xf numFmtId="0" fontId="0" fillId="0" borderId="0" xfId="0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1" applyNumberFormat="1" applyFont="1" applyFill="1" applyAlignment="1">
      <alignment horizontal="center"/>
    </xf>
    <xf numFmtId="164" fontId="0" fillId="0" borderId="0" xfId="1" applyNumberFormat="1" applyFont="1" applyFill="1" applyAlignment="1"/>
    <xf numFmtId="37" fontId="16" fillId="0" borderId="19" xfId="0" applyNumberFormat="1" applyFont="1" applyFill="1" applyBorder="1" applyProtection="1"/>
    <xf numFmtId="0" fontId="0" fillId="0" borderId="20" xfId="0" applyFill="1" applyBorder="1"/>
    <xf numFmtId="164" fontId="0" fillId="0" borderId="0" xfId="1" quotePrefix="1" applyNumberFormat="1" applyFont="1" applyFill="1" applyAlignment="1">
      <alignment horizontal="left"/>
    </xf>
    <xf numFmtId="167" fontId="0" fillId="0" borderId="0" xfId="0" applyNumberFormat="1" applyFill="1" applyBorder="1"/>
    <xf numFmtId="10" fontId="0" fillId="0" borderId="0" xfId="17" applyNumberFormat="1" applyFont="1" applyFill="1" applyBorder="1"/>
    <xf numFmtId="37" fontId="0" fillId="0" borderId="1" xfId="1" applyNumberFormat="1" applyFont="1" applyFill="1" applyBorder="1"/>
    <xf numFmtId="37" fontId="0" fillId="0" borderId="21" xfId="1" applyNumberFormat="1" applyFont="1" applyFill="1" applyBorder="1"/>
    <xf numFmtId="10" fontId="0" fillId="0" borderId="0" xfId="17" applyNumberFormat="1" applyFont="1" applyFill="1" applyBorder="1" applyAlignment="1">
      <alignment horizontal="center"/>
    </xf>
    <xf numFmtId="4" fontId="0" fillId="0" borderId="0" xfId="0" applyNumberFormat="1" applyFill="1"/>
    <xf numFmtId="43" fontId="0" fillId="0" borderId="0" xfId="1" applyNumberFormat="1" applyFont="1" applyFill="1"/>
    <xf numFmtId="164" fontId="5" fillId="0" borderId="0" xfId="1" applyNumberFormat="1" applyFont="1" applyFill="1"/>
    <xf numFmtId="0" fontId="3" fillId="0" borderId="0" xfId="0" applyFont="1" applyFill="1" applyAlignment="1">
      <alignment horizontal="left"/>
    </xf>
    <xf numFmtId="37" fontId="4" fillId="0" borderId="0" xfId="1" applyNumberFormat="1" applyFont="1" applyFill="1" applyBorder="1" applyAlignment="1">
      <alignment horizontal="left"/>
    </xf>
    <xf numFmtId="17" fontId="3" fillId="0" borderId="20" xfId="1" applyNumberFormat="1" applyFont="1" applyFill="1" applyBorder="1" applyAlignment="1">
      <alignment horizontal="center"/>
    </xf>
    <xf numFmtId="49" fontId="0" fillId="0" borderId="0" xfId="0" applyNumberFormat="1" applyFill="1" applyBorder="1"/>
    <xf numFmtId="37" fontId="13" fillId="0" borderId="1" xfId="1" applyNumberFormat="1" applyFont="1" applyFill="1" applyBorder="1" applyAlignment="1">
      <alignment horizontal="left"/>
    </xf>
    <xf numFmtId="37" fontId="13" fillId="0" borderId="1" xfId="1" applyNumberFormat="1" applyFont="1" applyFill="1" applyBorder="1" applyAlignment="1">
      <alignment horizontal="center"/>
    </xf>
    <xf numFmtId="37" fontId="13" fillId="0" borderId="22" xfId="1" applyNumberFormat="1" applyFont="1" applyFill="1" applyBorder="1" applyAlignment="1">
      <alignment horizontal="center"/>
    </xf>
    <xf numFmtId="37" fontId="13" fillId="0" borderId="1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/>
    <xf numFmtId="49" fontId="0" fillId="0" borderId="0" xfId="1" applyNumberFormat="1" applyFont="1" applyFill="1" applyBorder="1"/>
    <xf numFmtId="37" fontId="0" fillId="0" borderId="7" xfId="1" quotePrefix="1" applyNumberFormat="1" applyFont="1" applyFill="1" applyBorder="1" applyAlignment="1">
      <alignment horizontal="right"/>
    </xf>
    <xf numFmtId="37" fontId="3" fillId="0" borderId="0" xfId="1" applyNumberFormat="1" applyFont="1" applyFill="1" applyBorder="1"/>
    <xf numFmtId="164" fontId="0" fillId="0" borderId="0" xfId="1" applyNumberFormat="1" applyFont="1" applyFill="1" applyBorder="1" applyAlignment="1">
      <alignment horizontal="left"/>
    </xf>
    <xf numFmtId="37" fontId="0" fillId="0" borderId="7" xfId="1" applyNumberFormat="1" applyFont="1" applyFill="1" applyBorder="1" applyAlignment="1">
      <alignment horizontal="right"/>
    </xf>
    <xf numFmtId="49" fontId="0" fillId="0" borderId="0" xfId="1" applyNumberFormat="1" applyFont="1" applyFill="1" applyBorder="1" applyAlignment="1">
      <alignment horizontal="left"/>
    </xf>
    <xf numFmtId="49" fontId="0" fillId="0" borderId="0" xfId="1" quotePrefix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left"/>
    </xf>
    <xf numFmtId="164" fontId="3" fillId="0" borderId="20" xfId="1" applyNumberFormat="1" applyFont="1" applyFill="1" applyBorder="1"/>
    <xf numFmtId="164" fontId="3" fillId="0" borderId="22" xfId="1" applyNumberFormat="1" applyFont="1" applyFill="1" applyBorder="1"/>
    <xf numFmtId="164" fontId="5" fillId="0" borderId="0" xfId="1" applyNumberFormat="1" applyFont="1" applyFill="1" applyBorder="1"/>
    <xf numFmtId="170" fontId="0" fillId="0" borderId="0" xfId="1" applyNumberFormat="1" applyFont="1" applyFill="1" applyBorder="1"/>
    <xf numFmtId="37" fontId="0" fillId="0" borderId="0" xfId="0" quotePrefix="1" applyNumberFormat="1" applyFill="1"/>
    <xf numFmtId="178" fontId="3" fillId="0" borderId="0" xfId="0" applyNumberFormat="1" applyFont="1" applyFill="1" applyAlignment="1">
      <alignment horizontal="left"/>
    </xf>
    <xf numFmtId="43" fontId="0" fillId="0" borderId="0" xfId="0" applyNumberFormat="1" applyFill="1" applyBorder="1"/>
    <xf numFmtId="37" fontId="11" fillId="0" borderId="0" xfId="0" applyNumberFormat="1" applyFont="1" applyFill="1" applyAlignment="1" applyProtection="1">
      <alignment horizontal="left"/>
    </xf>
    <xf numFmtId="166" fontId="3" fillId="0" borderId="0" xfId="17" applyNumberFormat="1" applyFont="1" applyFill="1"/>
    <xf numFmtId="166" fontId="3" fillId="0" borderId="0" xfId="1" applyNumberFormat="1" applyFont="1" applyFill="1"/>
    <xf numFmtId="166" fontId="0" fillId="0" borderId="0" xfId="1" applyNumberFormat="1" applyFont="1" applyFill="1"/>
    <xf numFmtId="10" fontId="3" fillId="0" borderId="0" xfId="1" applyNumberFormat="1" applyFont="1" applyFill="1"/>
    <xf numFmtId="37" fontId="10" fillId="0" borderId="19" xfId="0" applyNumberFormat="1" applyFont="1" applyFill="1" applyBorder="1" applyProtection="1"/>
    <xf numFmtId="164" fontId="5" fillId="0" borderId="0" xfId="0" applyNumberFormat="1" applyFont="1" applyFill="1"/>
    <xf numFmtId="0" fontId="0" fillId="0" borderId="0" xfId="1" applyNumberFormat="1" applyFont="1" applyFill="1" applyAlignment="1">
      <alignment horizontal="left"/>
    </xf>
    <xf numFmtId="17" fontId="3" fillId="0" borderId="0" xfId="0" quotePrefix="1" applyNumberFormat="1" applyFont="1" applyFill="1" applyAlignment="1">
      <alignment horizontal="left"/>
    </xf>
    <xf numFmtId="164" fontId="3" fillId="0" borderId="3" xfId="1" applyNumberFormat="1" applyFont="1" applyFill="1" applyBorder="1"/>
    <xf numFmtId="164" fontId="0" fillId="0" borderId="0" xfId="1" applyNumberFormat="1" applyFont="1" applyFill="1" applyBorder="1" applyAlignment="1">
      <alignment horizontal="center"/>
    </xf>
    <xf numFmtId="168" fontId="0" fillId="0" borderId="0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Alignment="1">
      <alignment horizontal="center"/>
    </xf>
    <xf numFmtId="172" fontId="0" fillId="0" borderId="15" xfId="1" applyNumberFormat="1" applyFont="1" applyFill="1" applyBorder="1"/>
    <xf numFmtId="164" fontId="0" fillId="0" borderId="1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/>
    </xf>
    <xf numFmtId="168" fontId="0" fillId="0" borderId="1" xfId="17" applyNumberFormat="1" applyFont="1" applyFill="1" applyBorder="1" applyAlignment="1">
      <alignment horizontal="center"/>
    </xf>
    <xf numFmtId="164" fontId="0" fillId="0" borderId="0" xfId="1" quotePrefix="1" applyNumberFormat="1" applyFont="1" applyFill="1" applyBorder="1" applyAlignment="1">
      <alignment horizontal="center"/>
    </xf>
    <xf numFmtId="175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Alignment="1">
      <alignment horizontal="left"/>
    </xf>
    <xf numFmtId="37" fontId="0" fillId="0" borderId="7" xfId="1" applyNumberFormat="1" applyFont="1" applyFill="1" applyBorder="1" applyAlignment="1">
      <alignment horizontal="center"/>
    </xf>
    <xf numFmtId="37" fontId="0" fillId="0" borderId="4" xfId="1" applyNumberFormat="1" applyFont="1" applyFill="1" applyBorder="1" applyAlignment="1">
      <alignment horizontal="center"/>
    </xf>
    <xf numFmtId="37" fontId="0" fillId="0" borderId="7" xfId="1" quotePrefix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23" xfId="1" applyNumberFormat="1" applyFont="1" applyFill="1" applyBorder="1"/>
    <xf numFmtId="0" fontId="5" fillId="0" borderId="0" xfId="1" applyNumberFormat="1" applyFont="1" applyFill="1"/>
    <xf numFmtId="169" fontId="0" fillId="0" borderId="0" xfId="0" applyNumberFormat="1" applyFill="1"/>
    <xf numFmtId="37" fontId="0" fillId="0" borderId="3" xfId="1" applyNumberFormat="1" applyFont="1" applyFill="1" applyBorder="1" applyAlignment="1">
      <alignment horizontal="center"/>
    </xf>
    <xf numFmtId="49" fontId="3" fillId="0" borderId="0" xfId="1" quotePrefix="1" applyNumberFormat="1" applyFont="1" applyFill="1" applyAlignment="1">
      <alignment horizontal="left"/>
    </xf>
    <xf numFmtId="0" fontId="3" fillId="0" borderId="0" xfId="1" quotePrefix="1" applyNumberFormat="1" applyFont="1" applyFill="1" applyAlignment="1">
      <alignment horizontal="left"/>
    </xf>
    <xf numFmtId="0" fontId="3" fillId="0" borderId="0" xfId="1" applyNumberFormat="1" applyFont="1" applyFill="1" applyAlignment="1">
      <alignment horizontal="left"/>
    </xf>
    <xf numFmtId="170" fontId="0" fillId="0" borderId="0" xfId="1" quotePrefix="1" applyNumberFormat="1" applyFont="1" applyFill="1" applyBorder="1" applyAlignment="1">
      <alignment horizontal="right"/>
    </xf>
    <xf numFmtId="170" fontId="0" fillId="0" borderId="0" xfId="1" applyNumberFormat="1" applyFont="1" applyFill="1" applyBorder="1" applyAlignment="1">
      <alignment horizontal="center"/>
    </xf>
    <xf numFmtId="10" fontId="0" fillId="0" borderId="0" xfId="17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10" fontId="0" fillId="0" borderId="1" xfId="17" applyNumberFormat="1" applyFont="1" applyFill="1" applyBorder="1" applyAlignment="1">
      <alignment horizontal="right"/>
    </xf>
    <xf numFmtId="17" fontId="3" fillId="0" borderId="0" xfId="1" applyNumberFormat="1" applyFont="1" applyFill="1" applyAlignment="1">
      <alignment horizontal="left"/>
    </xf>
    <xf numFmtId="0" fontId="0" fillId="0" borderId="13" xfId="0" applyFill="1" applyBorder="1"/>
    <xf numFmtId="37" fontId="7" fillId="0" borderId="0" xfId="1" applyNumberFormat="1" applyFont="1" applyFill="1" applyAlignment="1">
      <alignment horizontal="center"/>
    </xf>
    <xf numFmtId="0" fontId="0" fillId="0" borderId="0" xfId="0" applyFill="1" applyAlignment="1">
      <alignment wrapText="1"/>
    </xf>
    <xf numFmtId="37" fontId="3" fillId="0" borderId="0" xfId="1" applyNumberFormat="1" applyFont="1" applyFill="1" applyAlignment="1">
      <alignment horizontal="center" wrapText="1"/>
    </xf>
    <xf numFmtId="37" fontId="7" fillId="0" borderId="1" xfId="1" applyNumberFormat="1" applyFont="1" applyFill="1" applyBorder="1" applyAlignment="1">
      <alignment horizontal="center" wrapText="1"/>
    </xf>
    <xf numFmtId="37" fontId="12" fillId="0" borderId="0" xfId="0" quotePrefix="1" applyNumberFormat="1" applyFont="1" applyFill="1" applyBorder="1" applyAlignment="1">
      <alignment horizontal="left"/>
    </xf>
    <xf numFmtId="37" fontId="0" fillId="0" borderId="0" xfId="0" applyNumberFormat="1" applyFill="1" applyAlignment="1">
      <alignment horizontal="center"/>
    </xf>
    <xf numFmtId="37" fontId="3" fillId="0" borderId="1" xfId="0" applyNumberFormat="1" applyFont="1" applyFill="1" applyBorder="1"/>
    <xf numFmtId="37" fontId="5" fillId="0" borderId="3" xfId="0" quotePrefix="1" applyNumberFormat="1" applyFont="1" applyFill="1" applyBorder="1" applyAlignment="1">
      <alignment horizontal="left"/>
    </xf>
    <xf numFmtId="10" fontId="0" fillId="0" borderId="0" xfId="0" applyNumberFormat="1" applyFill="1" applyBorder="1" applyAlignment="1">
      <alignment horizontal="right"/>
    </xf>
    <xf numFmtId="37" fontId="0" fillId="0" borderId="0" xfId="0" quotePrefix="1" applyNumberFormat="1" applyFill="1" applyBorder="1" applyAlignment="1">
      <alignment horizontal="left"/>
    </xf>
    <xf numFmtId="174" fontId="0" fillId="0" borderId="0" xfId="0" applyNumberFormat="1" applyFill="1"/>
    <xf numFmtId="37" fontId="3" fillId="0" borderId="0" xfId="0" quotePrefix="1" applyNumberFormat="1" applyFont="1" applyFill="1" applyBorder="1" applyAlignment="1">
      <alignment horizontal="left"/>
    </xf>
    <xf numFmtId="168" fontId="3" fillId="0" borderId="0" xfId="0" quotePrefix="1" applyNumberFormat="1" applyFont="1" applyFill="1" applyBorder="1" applyAlignment="1">
      <alignment horizontal="right"/>
    </xf>
    <xf numFmtId="168" fontId="5" fillId="0" borderId="0" xfId="0" quotePrefix="1" applyNumberFormat="1" applyFont="1" applyFill="1" applyBorder="1" applyAlignment="1">
      <alignment horizontal="left"/>
    </xf>
    <xf numFmtId="168" fontId="3" fillId="0" borderId="0" xfId="0" applyNumberFormat="1" applyFont="1" applyFill="1" applyBorder="1" applyAlignment="1">
      <alignment horizontal="right"/>
    </xf>
    <xf numFmtId="176" fontId="0" fillId="0" borderId="0" xfId="0" applyNumberFormat="1" applyFill="1"/>
    <xf numFmtId="37" fontId="0" fillId="0" borderId="0" xfId="1" applyNumberFormat="1" applyFont="1" applyFill="1" applyAlignment="1"/>
    <xf numFmtId="49" fontId="3" fillId="0" borderId="0" xfId="1" applyNumberFormat="1" applyFont="1" applyFill="1" applyAlignment="1"/>
    <xf numFmtId="37" fontId="3" fillId="0" borderId="0" xfId="0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37" fontId="0" fillId="0" borderId="15" xfId="0" applyNumberFormat="1" applyFill="1" applyBorder="1"/>
    <xf numFmtId="164" fontId="0" fillId="0" borderId="14" xfId="1" quotePrefix="1" applyNumberFormat="1" applyFont="1" applyFill="1" applyBorder="1" applyAlignment="1">
      <alignment horizontal="left"/>
    </xf>
    <xf numFmtId="0" fontId="0" fillId="0" borderId="25" xfId="0" applyFill="1" applyBorder="1"/>
    <xf numFmtId="0" fontId="0" fillId="0" borderId="0" xfId="0" applyFill="1" applyBorder="1" applyAlignment="1"/>
    <xf numFmtId="37" fontId="3" fillId="0" borderId="0" xfId="0" quotePrefix="1" applyNumberFormat="1" applyFont="1" applyFill="1" applyAlignment="1">
      <alignment horizontal="left"/>
    </xf>
    <xf numFmtId="0" fontId="0" fillId="0" borderId="26" xfId="0" applyFill="1" applyBorder="1"/>
    <xf numFmtId="0" fontId="0" fillId="0" borderId="3" xfId="0" applyFill="1" applyBorder="1"/>
    <xf numFmtId="0" fontId="2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164" fontId="0" fillId="0" borderId="1" xfId="1" applyNumberFormat="1" applyFont="1" applyFill="1" applyBorder="1"/>
    <xf numFmtId="43" fontId="5" fillId="0" borderId="0" xfId="1" applyNumberFormat="1" applyFont="1" applyFill="1"/>
    <xf numFmtId="164" fontId="3" fillId="0" borderId="0" xfId="1" quotePrefix="1" applyNumberFormat="1" applyFont="1" applyFill="1" applyAlignment="1">
      <alignment horizontal="center"/>
    </xf>
    <xf numFmtId="43" fontId="3" fillId="0" borderId="1" xfId="1" quotePrefix="1" applyNumberFormat="1" applyFont="1" applyFill="1" applyBorder="1" applyAlignment="1">
      <alignment horizontal="left"/>
    </xf>
    <xf numFmtId="43" fontId="5" fillId="0" borderId="1" xfId="1" applyNumberFormat="1" applyFont="1" applyFill="1" applyBorder="1"/>
    <xf numFmtId="43" fontId="3" fillId="0" borderId="0" xfId="1" quotePrefix="1" applyNumberFormat="1" applyFont="1" applyFill="1" applyAlignment="1">
      <alignment horizontal="left"/>
    </xf>
    <xf numFmtId="43" fontId="3" fillId="0" borderId="0" xfId="1" applyNumberFormat="1" applyFont="1" applyFill="1"/>
    <xf numFmtId="164" fontId="5" fillId="0" borderId="1" xfId="1" applyNumberFormat="1" applyFont="1" applyFill="1" applyBorder="1"/>
    <xf numFmtId="43" fontId="3" fillId="0" borderId="1" xfId="1" applyNumberFormat="1" applyFont="1" applyFill="1" applyBorder="1"/>
    <xf numFmtId="43" fontId="5" fillId="0" borderId="4" xfId="1" applyNumberFormat="1" applyFont="1" applyFill="1" applyBorder="1"/>
    <xf numFmtId="164" fontId="5" fillId="0" borderId="4" xfId="1" applyNumberFormat="1" applyFont="1" applyFill="1" applyBorder="1"/>
    <xf numFmtId="0" fontId="3" fillId="0" borderId="0" xfId="1" applyNumberFormat="1" applyFont="1" applyFill="1" applyAlignment="1"/>
    <xf numFmtId="3" fontId="0" fillId="0" borderId="4" xfId="0" applyNumberFormat="1" applyFill="1" applyBorder="1"/>
    <xf numFmtId="3" fontId="0" fillId="0" borderId="11" xfId="0" applyNumberFormat="1" applyFill="1" applyBorder="1"/>
    <xf numFmtId="10" fontId="0" fillId="0" borderId="1" xfId="0" applyNumberFormat="1" applyFill="1" applyBorder="1"/>
    <xf numFmtId="0" fontId="5" fillId="0" borderId="0" xfId="0" applyNumberFormat="1" applyFont="1" applyFill="1"/>
    <xf numFmtId="164" fontId="5" fillId="0" borderId="7" xfId="1" applyNumberFormat="1" applyFont="1" applyFill="1" applyBorder="1" applyAlignment="1">
      <alignment horizontal="left" indent="1"/>
    </xf>
    <xf numFmtId="164" fontId="5" fillId="0" borderId="0" xfId="1" applyNumberFormat="1" applyFont="1" applyFill="1" applyBorder="1" applyAlignment="1">
      <alignment horizontal="left" indent="1"/>
    </xf>
    <xf numFmtId="5" fontId="19" fillId="0" borderId="0" xfId="0" applyNumberFormat="1" applyFont="1" applyFill="1" applyBorder="1"/>
    <xf numFmtId="164" fontId="2" fillId="0" borderId="0" xfId="0" applyNumberFormat="1" applyFont="1" applyFill="1"/>
    <xf numFmtId="5" fontId="11" fillId="0" borderId="0" xfId="0" applyNumberFormat="1" applyFont="1" applyFill="1"/>
    <xf numFmtId="180" fontId="3" fillId="0" borderId="1" xfId="1" applyNumberFormat="1" applyFont="1" applyFill="1" applyBorder="1" applyAlignment="1">
      <alignment horizontal="center"/>
    </xf>
    <xf numFmtId="10" fontId="0" fillId="0" borderId="0" xfId="17" quotePrefix="1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0" fontId="25" fillId="0" borderId="15" xfId="17" applyNumberFormat="1" applyFont="1" applyFill="1" applyBorder="1"/>
    <xf numFmtId="0" fontId="25" fillId="0" borderId="0" xfId="0" applyFont="1" applyFill="1"/>
    <xf numFmtId="37" fontId="3" fillId="0" borderId="0" xfId="1" applyNumberFormat="1" applyFont="1" applyFill="1" applyBorder="1" applyAlignment="1">
      <alignment horizontal="right"/>
    </xf>
    <xf numFmtId="164" fontId="0" fillId="0" borderId="0" xfId="0" quotePrefix="1" applyNumberFormat="1" applyFill="1" applyAlignment="1">
      <alignment horizontal="center"/>
    </xf>
    <xf numFmtId="10" fontId="0" fillId="0" borderId="15" xfId="0" applyNumberFormat="1" applyFill="1" applyBorder="1"/>
    <xf numFmtId="37" fontId="24" fillId="0" borderId="0" xfId="1" applyNumberFormat="1" applyFont="1" applyFill="1" applyBorder="1"/>
    <xf numFmtId="0" fontId="0" fillId="0" borderId="0" xfId="0" applyNumberForma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10" fontId="2" fillId="0" borderId="0" xfId="0" applyNumberFormat="1" applyFont="1" applyFill="1"/>
    <xf numFmtId="164" fontId="2" fillId="0" borderId="0" xfId="1" applyNumberFormat="1" applyFont="1" applyFill="1"/>
    <xf numFmtId="37" fontId="23" fillId="0" borderId="0" xfId="1" applyNumberFormat="1" applyFont="1" applyFill="1"/>
    <xf numFmtId="0" fontId="23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68" fontId="0" fillId="0" borderId="0" xfId="17" quotePrefix="1" applyNumberFormat="1" applyFont="1" applyFill="1" applyBorder="1" applyAlignment="1">
      <alignment horizontal="center"/>
    </xf>
    <xf numFmtId="10" fontId="25" fillId="0" borderId="0" xfId="17" applyNumberFormat="1" applyFont="1" applyFill="1" applyBorder="1"/>
    <xf numFmtId="164" fontId="0" fillId="0" borderId="0" xfId="1" applyNumberFormat="1" applyFont="1" applyFill="1" applyBorder="1" applyAlignment="1"/>
    <xf numFmtId="0" fontId="0" fillId="0" borderId="0" xfId="1" quotePrefix="1" applyNumberFormat="1" applyFont="1" applyFill="1" applyAlignment="1">
      <alignment horizontal="left"/>
    </xf>
    <xf numFmtId="0" fontId="3" fillId="0" borderId="14" xfId="0" applyFont="1" applyFill="1" applyBorder="1" applyAlignment="1">
      <alignment horizontal="left"/>
    </xf>
    <xf numFmtId="37" fontId="3" fillId="0" borderId="2" xfId="0" applyNumberFormat="1" applyFont="1" applyFill="1" applyBorder="1" applyAlignment="1">
      <alignment horizontal="center"/>
    </xf>
    <xf numFmtId="0" fontId="0" fillId="0" borderId="14" xfId="0" quotePrefix="1" applyFill="1" applyBorder="1" applyAlignment="1">
      <alignment horizontal="left"/>
    </xf>
    <xf numFmtId="37" fontId="0" fillId="0" borderId="25" xfId="0" applyNumberFormat="1" applyFill="1" applyBorder="1"/>
    <xf numFmtId="9" fontId="3" fillId="0" borderId="0" xfId="0" quotePrefix="1" applyNumberFormat="1" applyFont="1" applyFill="1" applyBorder="1" applyAlignment="1">
      <alignment horizontal="left"/>
    </xf>
    <xf numFmtId="37" fontId="11" fillId="0" borderId="5" xfId="0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5" fontId="19" fillId="0" borderId="1" xfId="0" applyNumberFormat="1" applyFont="1" applyFill="1" applyBorder="1"/>
    <xf numFmtId="5" fontId="28" fillId="0" borderId="0" xfId="0" applyNumberFormat="1" applyFont="1" applyFill="1" applyBorder="1"/>
    <xf numFmtId="0" fontId="25" fillId="0" borderId="0" xfId="0" quotePrefix="1" applyNumberFormat="1" applyFont="1" applyFill="1" applyBorder="1" applyAlignment="1">
      <alignment horizontal="left"/>
    </xf>
    <xf numFmtId="164" fontId="3" fillId="0" borderId="0" xfId="1" quotePrefix="1" applyNumberFormat="1" applyFont="1" applyFill="1" applyAlignment="1">
      <alignment horizontal="left"/>
    </xf>
    <xf numFmtId="17" fontId="3" fillId="0" borderId="1" xfId="1" quotePrefix="1" applyNumberFormat="1" applyFont="1" applyFill="1" applyBorder="1" applyAlignment="1">
      <alignment horizontal="center"/>
    </xf>
    <xf numFmtId="49" fontId="0" fillId="0" borderId="14" xfId="1" quotePrefix="1" applyNumberFormat="1" applyFont="1" applyFill="1" applyBorder="1" applyAlignment="1">
      <alignment horizontal="left"/>
    </xf>
    <xf numFmtId="49" fontId="0" fillId="0" borderId="14" xfId="1" applyNumberFormat="1" applyFont="1" applyFill="1" applyBorder="1" applyAlignment="1">
      <alignment horizontal="left"/>
    </xf>
    <xf numFmtId="17" fontId="9" fillId="0" borderId="0" xfId="1" applyNumberFormat="1" applyFont="1" applyFill="1" applyBorder="1" applyAlignment="1">
      <alignment horizontal="center"/>
    </xf>
    <xf numFmtId="0" fontId="0" fillId="0" borderId="26" xfId="0" quotePrefix="1" applyFill="1" applyBorder="1" applyAlignment="1">
      <alignment horizontal="left"/>
    </xf>
    <xf numFmtId="10" fontId="0" fillId="0" borderId="25" xfId="0" applyNumberFormat="1" applyFill="1" applyBorder="1"/>
    <xf numFmtId="0" fontId="0" fillId="0" borderId="14" xfId="1" applyNumberFormat="1" applyFont="1" applyFill="1" applyBorder="1" applyAlignment="1">
      <alignment horizontal="center"/>
    </xf>
    <xf numFmtId="167" fontId="0" fillId="0" borderId="0" xfId="17" applyNumberFormat="1" applyFont="1" applyFill="1" applyBorder="1" applyAlignment="1">
      <alignment horizontal="center"/>
    </xf>
    <xf numFmtId="0" fontId="3" fillId="0" borderId="26" xfId="0" quotePrefix="1" applyFont="1" applyFill="1" applyBorder="1" applyAlignment="1">
      <alignment horizontal="left"/>
    </xf>
    <xf numFmtId="164" fontId="0" fillId="0" borderId="3" xfId="1" applyNumberFormat="1" applyFont="1" applyFill="1" applyBorder="1"/>
    <xf numFmtId="0" fontId="3" fillId="0" borderId="14" xfId="0" quotePrefix="1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16" xfId="0" quotePrefix="1" applyFont="1" applyFill="1" applyBorder="1" applyAlignment="1">
      <alignment horizontal="left"/>
    </xf>
    <xf numFmtId="37" fontId="25" fillId="0" borderId="0" xfId="0" applyNumberFormat="1" applyFont="1" applyFill="1" applyBorder="1"/>
    <xf numFmtId="37" fontId="0" fillId="0" borderId="0" xfId="0" quotePrefix="1" applyNumberFormat="1" applyFill="1" applyAlignment="1">
      <alignment horizontal="center" wrapText="1"/>
    </xf>
    <xf numFmtId="164" fontId="0" fillId="0" borderId="3" xfId="1" quotePrefix="1" applyNumberFormat="1" applyFont="1" applyFill="1" applyBorder="1" applyAlignment="1">
      <alignment horizontal="center"/>
    </xf>
    <xf numFmtId="10" fontId="0" fillId="0" borderId="11" xfId="0" applyNumberFormat="1" applyFill="1" applyBorder="1"/>
    <xf numFmtId="37" fontId="0" fillId="0" borderId="0" xfId="0" quotePrefix="1" applyNumberFormat="1" applyFill="1" applyAlignment="1">
      <alignment horizontal="center"/>
    </xf>
    <xf numFmtId="0" fontId="3" fillId="0" borderId="0" xfId="0" quotePrefix="1" applyNumberFormat="1" applyFont="1" applyFill="1" applyAlignment="1">
      <alignment horizontal="left"/>
    </xf>
    <xf numFmtId="10" fontId="10" fillId="0" borderId="11" xfId="0" applyNumberFormat="1" applyFont="1" applyFill="1" applyBorder="1" applyAlignment="1">
      <alignment horizontal="right"/>
    </xf>
    <xf numFmtId="10" fontId="10" fillId="0" borderId="4" xfId="0" applyNumberFormat="1" applyFont="1" applyFill="1" applyBorder="1" applyAlignment="1">
      <alignment horizontal="right"/>
    </xf>
    <xf numFmtId="10" fontId="11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37" fontId="2" fillId="0" borderId="0" xfId="1" applyNumberFormat="1" applyFill="1" applyAlignment="1">
      <alignment horizontal="left"/>
    </xf>
    <xf numFmtId="37" fontId="2" fillId="0" borderId="0" xfId="1" applyNumberFormat="1" applyFont="1" applyFill="1" applyAlignment="1">
      <alignment horizontal="left"/>
    </xf>
    <xf numFmtId="37" fontId="2" fillId="0" borderId="0" xfId="1" applyNumberFormat="1" applyFont="1" applyFill="1"/>
    <xf numFmtId="37" fontId="3" fillId="0" borderId="0" xfId="1" applyNumberFormat="1" applyFont="1" applyFill="1" applyAlignment="1"/>
    <xf numFmtId="37" fontId="2" fillId="0" borderId="0" xfId="1" applyNumberFormat="1" applyFont="1" applyFill="1" applyBorder="1"/>
    <xf numFmtId="37" fontId="2" fillId="0" borderId="0" xfId="1" quotePrefix="1" applyNumberFormat="1" applyFont="1" applyFill="1" applyBorder="1" applyAlignment="1">
      <alignment horizontal="right"/>
    </xf>
    <xf numFmtId="164" fontId="2" fillId="0" borderId="0" xfId="1" applyNumberFormat="1" applyFont="1" applyFill="1" applyAlignment="1">
      <alignment horizontal="center"/>
    </xf>
    <xf numFmtId="164" fontId="2" fillId="0" borderId="0" xfId="1" quotePrefix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center"/>
    </xf>
    <xf numFmtId="37" fontId="10" fillId="0" borderId="0" xfId="0" applyNumberFormat="1" applyFont="1" applyFill="1" applyBorder="1" applyProtection="1"/>
    <xf numFmtId="0" fontId="0" fillId="0" borderId="0" xfId="0" applyNumberFormat="1" applyFill="1" applyBorder="1"/>
    <xf numFmtId="0" fontId="3" fillId="0" borderId="0" xfId="0" applyFont="1" applyFill="1" applyBorder="1" applyAlignment="1">
      <alignment horizontal="center" wrapText="1"/>
    </xf>
    <xf numFmtId="0" fontId="10" fillId="0" borderId="0" xfId="0" applyFont="1" applyFill="1" applyProtection="1"/>
    <xf numFmtId="49" fontId="0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 applyAlignment="1"/>
    <xf numFmtId="37" fontId="3" fillId="0" borderId="0" xfId="0" applyNumberFormat="1" applyFont="1" applyFill="1" applyBorder="1" applyAlignment="1">
      <alignment horizontal="left"/>
    </xf>
    <xf numFmtId="0" fontId="3" fillId="0" borderId="26" xfId="0" applyFont="1" applyFill="1" applyBorder="1"/>
    <xf numFmtId="10" fontId="0" fillId="0" borderId="3" xfId="0" applyNumberFormat="1" applyFill="1" applyBorder="1"/>
    <xf numFmtId="177" fontId="0" fillId="0" borderId="0" xfId="0" applyNumberFormat="1" applyFill="1"/>
    <xf numFmtId="177" fontId="0" fillId="0" borderId="11" xfId="0" applyNumberFormat="1" applyFill="1" applyBorder="1"/>
    <xf numFmtId="37" fontId="3" fillId="0" borderId="0" xfId="1" quotePrefix="1" applyNumberFormat="1" applyFont="1" applyFill="1" applyBorder="1" applyAlignment="1">
      <alignment horizontal="right"/>
    </xf>
    <xf numFmtId="172" fontId="3" fillId="0" borderId="0" xfId="1" applyNumberFormat="1" applyFont="1" applyFill="1" applyBorder="1" applyAlignment="1">
      <alignment horizontal="right"/>
    </xf>
    <xf numFmtId="37" fontId="3" fillId="0" borderId="1" xfId="1" applyNumberFormat="1" applyFont="1" applyFill="1" applyBorder="1" applyAlignment="1">
      <alignment horizontal="right"/>
    </xf>
    <xf numFmtId="5" fontId="19" fillId="0" borderId="0" xfId="0" quotePrefix="1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center"/>
    </xf>
    <xf numFmtId="37" fontId="11" fillId="0" borderId="8" xfId="0" applyNumberFormat="1" applyFont="1" applyFill="1" applyBorder="1" applyAlignment="1" applyProtection="1">
      <alignment horizontal="left"/>
    </xf>
    <xf numFmtId="49" fontId="16" fillId="0" borderId="0" xfId="0" applyNumberFormat="1" applyFont="1" applyFill="1" applyProtection="1"/>
    <xf numFmtId="49" fontId="2" fillId="0" borderId="0" xfId="0" applyNumberFormat="1" applyFont="1" applyFill="1"/>
    <xf numFmtId="49" fontId="3" fillId="0" borderId="0" xfId="1" applyNumberFormat="1" applyFont="1" applyFill="1" applyAlignment="1">
      <alignment horizontal="right"/>
    </xf>
    <xf numFmtId="49" fontId="0" fillId="0" borderId="0" xfId="0" applyNumberFormat="1" applyFill="1"/>
    <xf numFmtId="49" fontId="3" fillId="0" borderId="0" xfId="0" quotePrefix="1" applyNumberFormat="1" applyFont="1" applyFill="1" applyAlignment="1" applyProtection="1">
      <alignment horizontal="right"/>
    </xf>
    <xf numFmtId="49" fontId="3" fillId="0" borderId="0" xfId="0" applyNumberFormat="1" applyFont="1" applyFill="1" applyBorder="1" applyAlignment="1">
      <alignment horizontal="right"/>
    </xf>
    <xf numFmtId="49" fontId="11" fillId="0" borderId="0" xfId="0" applyNumberFormat="1" applyFont="1" applyFill="1" applyAlignment="1" applyProtection="1">
      <alignment horizontal="center"/>
    </xf>
    <xf numFmtId="17" fontId="0" fillId="0" borderId="0" xfId="0" applyNumberFormat="1" applyFill="1" applyAlignment="1">
      <alignment horizontal="center"/>
    </xf>
    <xf numFmtId="179" fontId="0" fillId="0" borderId="0" xfId="17" quotePrefix="1" applyNumberFormat="1" applyFont="1" applyFill="1" applyBorder="1" applyAlignment="1">
      <alignment horizontal="center"/>
    </xf>
    <xf numFmtId="37" fontId="2" fillId="0" borderId="7" xfId="1" applyNumberFormat="1" applyFont="1" applyFill="1" applyBorder="1"/>
    <xf numFmtId="37" fontId="2" fillId="0" borderId="7" xfId="1" quotePrefix="1" applyNumberFormat="1" applyFont="1" applyFill="1" applyBorder="1" applyAlignment="1">
      <alignment horizontal="right"/>
    </xf>
    <xf numFmtId="37" fontId="2" fillId="0" borderId="0" xfId="1" applyNumberFormat="1" applyFont="1" applyFill="1" applyBorder="1" applyAlignment="1">
      <alignment horizontal="right"/>
    </xf>
    <xf numFmtId="49" fontId="2" fillId="0" borderId="0" xfId="1" applyNumberFormat="1" applyFont="1" applyFill="1" applyBorder="1" applyAlignment="1">
      <alignment horizontal="left"/>
    </xf>
    <xf numFmtId="49" fontId="2" fillId="0" borderId="0" xfId="1" applyNumberFormat="1" applyFont="1" applyFill="1" applyAlignment="1">
      <alignment horizontal="left"/>
    </xf>
    <xf numFmtId="37" fontId="2" fillId="0" borderId="3" xfId="1" applyNumberFormat="1" applyFont="1" applyFill="1" applyBorder="1"/>
    <xf numFmtId="0" fontId="0" fillId="0" borderId="0" xfId="0" applyNumberFormat="1" applyFill="1" applyAlignment="1">
      <alignment horizontal="center" wrapText="1"/>
    </xf>
    <xf numFmtId="37" fontId="0" fillId="0" borderId="0" xfId="1" applyNumberFormat="1" applyFont="1" applyFill="1" applyAlignment="1">
      <alignment wrapText="1"/>
    </xf>
    <xf numFmtId="37" fontId="3" fillId="0" borderId="0" xfId="1" applyNumberFormat="1" applyFont="1" applyFill="1" applyBorder="1" applyAlignment="1">
      <alignment horizontal="center" wrapText="1"/>
    </xf>
    <xf numFmtId="164" fontId="30" fillId="0" borderId="0" xfId="1" applyNumberFormat="1" applyFont="1" applyFill="1" applyAlignment="1">
      <alignment horizontal="center"/>
    </xf>
    <xf numFmtId="0" fontId="31" fillId="0" borderId="0" xfId="0" applyFont="1" applyFill="1"/>
    <xf numFmtId="0" fontId="30" fillId="0" borderId="0" xfId="0" applyFont="1" applyFill="1" applyAlignment="1">
      <alignment horizontal="center"/>
    </xf>
    <xf numFmtId="37" fontId="30" fillId="0" borderId="0" xfId="1" applyNumberFormat="1" applyFont="1" applyFill="1" applyBorder="1" applyAlignment="1">
      <alignment horizontal="center"/>
    </xf>
    <xf numFmtId="17" fontId="32" fillId="0" borderId="0" xfId="1" applyNumberFormat="1" applyFont="1" applyFill="1" applyBorder="1" applyAlignment="1">
      <alignment horizontal="center"/>
    </xf>
    <xf numFmtId="0" fontId="33" fillId="0" borderId="0" xfId="0" applyFont="1" applyFill="1"/>
    <xf numFmtId="37" fontId="32" fillId="0" borderId="1" xfId="1" quotePrefix="1" applyNumberFormat="1" applyFont="1" applyFill="1" applyBorder="1" applyAlignment="1">
      <alignment horizontal="center"/>
    </xf>
    <xf numFmtId="37" fontId="33" fillId="0" borderId="0" xfId="1" applyNumberFormat="1" applyFont="1" applyFill="1" applyBorder="1"/>
    <xf numFmtId="37" fontId="33" fillId="0" borderId="19" xfId="1" applyNumberFormat="1" applyFont="1" applyFill="1" applyBorder="1"/>
    <xf numFmtId="37" fontId="33" fillId="0" borderId="4" xfId="1" applyNumberFormat="1" applyFont="1" applyFill="1" applyBorder="1"/>
    <xf numFmtId="37" fontId="33" fillId="0" borderId="1" xfId="1" applyNumberFormat="1" applyFont="1" applyFill="1" applyBorder="1"/>
    <xf numFmtId="37" fontId="33" fillId="0" borderId="27" xfId="1" applyNumberFormat="1" applyFont="1" applyFill="1" applyBorder="1"/>
    <xf numFmtId="37" fontId="33" fillId="0" borderId="7" xfId="1" applyNumberFormat="1" applyFont="1" applyFill="1" applyBorder="1"/>
    <xf numFmtId="37" fontId="33" fillId="0" borderId="11" xfId="1" applyNumberFormat="1" applyFont="1" applyFill="1" applyBorder="1"/>
    <xf numFmtId="37" fontId="33" fillId="0" borderId="28" xfId="1" applyNumberFormat="1" applyFont="1" applyFill="1" applyBorder="1"/>
    <xf numFmtId="37" fontId="33" fillId="0" borderId="0" xfId="1" quotePrefix="1" applyNumberFormat="1" applyFont="1" applyFill="1" applyBorder="1" applyAlignment="1">
      <alignment horizontal="right"/>
    </xf>
    <xf numFmtId="37" fontId="32" fillId="0" borderId="0" xfId="1" applyNumberFormat="1" applyFont="1" applyFill="1" applyBorder="1"/>
    <xf numFmtId="49" fontId="3" fillId="0" borderId="0" xfId="1" applyNumberFormat="1" applyFont="1" applyFill="1" applyAlignment="1">
      <alignment wrapText="1"/>
    </xf>
    <xf numFmtId="164" fontId="3" fillId="0" borderId="0" xfId="1" applyNumberFormat="1" applyFont="1" applyFill="1" applyAlignment="1">
      <alignment wrapText="1"/>
    </xf>
    <xf numFmtId="37" fontId="3" fillId="0" borderId="0" xfId="0" applyNumberFormat="1" applyFont="1" applyFill="1" applyAlignment="1">
      <alignment horizontal="center" wrapText="1"/>
    </xf>
    <xf numFmtId="180" fontId="3" fillId="0" borderId="0" xfId="0" applyNumberFormat="1" applyFont="1" applyFill="1" applyAlignment="1">
      <alignment horizontal="center"/>
    </xf>
    <xf numFmtId="49" fontId="9" fillId="0" borderId="0" xfId="1" applyNumberFormat="1" applyFont="1" applyFill="1" applyBorder="1" applyAlignment="1">
      <alignment horizontal="center" wrapText="1"/>
    </xf>
    <xf numFmtId="0" fontId="3" fillId="0" borderId="0" xfId="0" quotePrefix="1" applyFont="1" applyFill="1" applyAlignment="1">
      <alignment horizontal="left" wrapText="1"/>
    </xf>
    <xf numFmtId="37" fontId="3" fillId="0" borderId="0" xfId="0" applyNumberFormat="1" applyFont="1" applyFill="1" applyAlignment="1">
      <alignment horizontal="left"/>
    </xf>
    <xf numFmtId="0" fontId="0" fillId="0" borderId="15" xfId="0" applyFill="1" applyBorder="1" applyAlignment="1">
      <alignment wrapText="1"/>
    </xf>
    <xf numFmtId="0" fontId="33" fillId="0" borderId="1" xfId="0" applyFont="1" applyFill="1" applyBorder="1"/>
    <xf numFmtId="10" fontId="0" fillId="0" borderId="0" xfId="0" applyNumberFormat="1" applyFill="1" applyBorder="1"/>
    <xf numFmtId="37" fontId="0" fillId="0" borderId="14" xfId="0" applyNumberFormat="1" applyFill="1" applyBorder="1"/>
    <xf numFmtId="5" fontId="5" fillId="0" borderId="0" xfId="1" applyNumberFormat="1" applyFont="1" applyFill="1" applyAlignment="1">
      <alignment horizontal="right"/>
    </xf>
    <xf numFmtId="5" fontId="5" fillId="0" borderId="19" xfId="1" applyNumberFormat="1" applyFont="1" applyFill="1" applyBorder="1" applyAlignment="1">
      <alignment horizontal="right"/>
    </xf>
    <xf numFmtId="164" fontId="0" fillId="0" borderId="11" xfId="0" applyNumberFormat="1" applyFill="1" applyBorder="1"/>
    <xf numFmtId="10" fontId="3" fillId="0" borderId="0" xfId="17" applyNumberFormat="1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38" fontId="2" fillId="0" borderId="0" xfId="0" applyNumberFormat="1" applyFont="1" applyFill="1" applyAlignment="1">
      <alignment horizontal="right"/>
    </xf>
    <xf numFmtId="0" fontId="11" fillId="0" borderId="0" xfId="0" applyNumberFormat="1" applyFont="1" applyFill="1" applyBorder="1"/>
    <xf numFmtId="0" fontId="10" fillId="0" borderId="0" xfId="0" applyNumberFormat="1" applyFont="1" applyFill="1" applyBorder="1"/>
    <xf numFmtId="37" fontId="11" fillId="0" borderId="0" xfId="0" applyNumberFormat="1" applyFont="1" applyFill="1" applyBorder="1" applyAlignment="1">
      <alignment horizontal="center"/>
    </xf>
    <xf numFmtId="0" fontId="0" fillId="0" borderId="0" xfId="20" applyFont="1" applyFill="1" applyAlignment="1"/>
    <xf numFmtId="17" fontId="2" fillId="0" borderId="0" xfId="0" applyNumberFormat="1" applyFont="1" applyFill="1"/>
    <xf numFmtId="4" fontId="0" fillId="0" borderId="0" xfId="34" applyFont="1" applyFill="1"/>
    <xf numFmtId="165" fontId="0" fillId="0" borderId="0" xfId="0" applyNumberFormat="1" applyFill="1"/>
    <xf numFmtId="3" fontId="2" fillId="0" borderId="0" xfId="0" applyNumberFormat="1" applyFont="1" applyFill="1" applyBorder="1" applyAlignment="1">
      <alignment horizontal="right"/>
    </xf>
    <xf numFmtId="7" fontId="0" fillId="0" borderId="0" xfId="0" applyNumberFormat="1" applyFill="1"/>
    <xf numFmtId="10" fontId="25" fillId="0" borderId="25" xfId="17" applyNumberFormat="1" applyFont="1" applyFill="1" applyBorder="1"/>
    <xf numFmtId="9" fontId="0" fillId="0" borderId="0" xfId="0" applyNumberFormat="1" applyFill="1" applyBorder="1"/>
    <xf numFmtId="167" fontId="3" fillId="0" borderId="0" xfId="0" quotePrefix="1" applyNumberFormat="1" applyFont="1" applyFill="1" applyBorder="1" applyAlignment="1">
      <alignment horizontal="right"/>
    </xf>
    <xf numFmtId="37" fontId="0" fillId="0" borderId="33" xfId="0" applyNumberFormat="1" applyFill="1" applyBorder="1"/>
    <xf numFmtId="37" fontId="0" fillId="0" borderId="0" xfId="0" applyNumberFormat="1" applyFill="1" applyAlignment="1"/>
    <xf numFmtId="0" fontId="0" fillId="0" borderId="0" xfId="0" applyNumberFormat="1" applyFill="1"/>
    <xf numFmtId="0" fontId="27" fillId="0" borderId="0" xfId="0" quotePrefix="1" applyFont="1" applyFill="1" applyBorder="1" applyAlignment="1">
      <alignment horizontal="left"/>
    </xf>
    <xf numFmtId="37" fontId="33" fillId="0" borderId="1" xfId="0" applyNumberFormat="1" applyFont="1" applyFill="1" applyBorder="1"/>
    <xf numFmtId="0" fontId="0" fillId="0" borderId="17" xfId="0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Protection="1"/>
    <xf numFmtId="0" fontId="0" fillId="0" borderId="3" xfId="0" applyFill="1" applyBorder="1" applyAlignment="1">
      <alignment horizontal="center"/>
    </xf>
    <xf numFmtId="49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37" fontId="3" fillId="0" borderId="0" xfId="1" quotePrefix="1" applyNumberFormat="1" applyFont="1" applyFill="1" applyBorder="1" applyAlignment="1">
      <alignment horizontal="center" wrapText="1"/>
    </xf>
    <xf numFmtId="37" fontId="3" fillId="0" borderId="34" xfId="0" applyNumberFormat="1" applyFont="1" applyFill="1" applyBorder="1" applyAlignment="1">
      <alignment horizontal="center"/>
    </xf>
    <xf numFmtId="10" fontId="3" fillId="0" borderId="34" xfId="17" applyNumberFormat="1" applyFont="1" applyFill="1" applyBorder="1" applyAlignment="1">
      <alignment horizontal="center"/>
    </xf>
    <xf numFmtId="37" fontId="3" fillId="0" borderId="2" xfId="0" quotePrefix="1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37" fontId="3" fillId="0" borderId="12" xfId="1" quotePrefix="1" applyNumberFormat="1" applyFont="1" applyFill="1" applyBorder="1" applyAlignment="1">
      <alignment horizontal="center"/>
    </xf>
    <xf numFmtId="37" fontId="3" fillId="0" borderId="13" xfId="1" quotePrefix="1" applyNumberFormat="1" applyFont="1" applyFill="1" applyBorder="1" applyAlignment="1">
      <alignment horizontal="center"/>
    </xf>
    <xf numFmtId="0" fontId="10" fillId="0" borderId="0" xfId="0" quotePrefix="1" applyFont="1" applyFill="1" applyAlignment="1" applyProtection="1">
      <alignment horizontal="left"/>
    </xf>
    <xf numFmtId="0" fontId="11" fillId="0" borderId="0" xfId="0" applyNumberFormat="1" applyFont="1" applyFill="1" applyAlignment="1">
      <alignment horizontal="center" wrapText="1"/>
    </xf>
    <xf numFmtId="37" fontId="34" fillId="0" borderId="0" xfId="1" applyNumberFormat="1" applyFont="1" applyFill="1" applyBorder="1"/>
    <xf numFmtId="3" fontId="0" fillId="0" borderId="0" xfId="0" applyNumberFormat="1"/>
    <xf numFmtId="0" fontId="11" fillId="0" borderId="0" xfId="0" applyNumberFormat="1" applyFont="1" applyFill="1" applyAlignment="1">
      <alignment horizontal="left"/>
    </xf>
    <xf numFmtId="0" fontId="23" fillId="0" borderId="0" xfId="0" applyFont="1" applyFill="1" applyBorder="1"/>
    <xf numFmtId="0" fontId="3" fillId="0" borderId="25" xfId="0" applyFont="1" applyFill="1" applyBorder="1" applyAlignment="1">
      <alignment horizontal="left"/>
    </xf>
    <xf numFmtId="170" fontId="0" fillId="0" borderId="0" xfId="0" applyNumberFormat="1" applyFill="1" applyBorder="1"/>
    <xf numFmtId="0" fontId="7" fillId="0" borderId="0" xfId="0" applyFont="1" applyFill="1" applyBorder="1" applyAlignment="1">
      <alignment horizontal="center"/>
    </xf>
    <xf numFmtId="174" fontId="0" fillId="0" borderId="0" xfId="0" applyNumberFormat="1" applyFill="1" applyBorder="1"/>
    <xf numFmtId="174" fontId="0" fillId="0" borderId="15" xfId="0" applyNumberFormat="1" applyFill="1" applyBorder="1"/>
    <xf numFmtId="3" fontId="0" fillId="0" borderId="15" xfId="0" applyNumberFormat="1" applyFill="1" applyBorder="1"/>
    <xf numFmtId="37" fontId="0" fillId="0" borderId="28" xfId="0" applyNumberFormat="1" applyFill="1" applyBorder="1"/>
    <xf numFmtId="37" fontId="0" fillId="0" borderId="17" xfId="0" applyNumberFormat="1" applyFill="1" applyBorder="1"/>
    <xf numFmtId="174" fontId="0" fillId="0" borderId="25" xfId="0" applyNumberFormat="1" applyFill="1" applyBorder="1"/>
    <xf numFmtId="170" fontId="0" fillId="0" borderId="15" xfId="0" applyNumberFormat="1" applyFill="1" applyBorder="1"/>
    <xf numFmtId="3" fontId="0" fillId="0" borderId="3" xfId="0" applyNumberFormat="1" applyFill="1" applyBorder="1"/>
    <xf numFmtId="168" fontId="0" fillId="0" borderId="0" xfId="0" applyNumberFormat="1" applyFill="1" applyBorder="1"/>
    <xf numFmtId="0" fontId="0" fillId="0" borderId="14" xfId="0" applyFill="1" applyBorder="1" applyAlignment="1">
      <alignment horizontal="left"/>
    </xf>
    <xf numFmtId="0" fontId="10" fillId="0" borderId="0" xfId="0" applyFont="1" applyFill="1" applyAlignment="1" applyProtection="1">
      <alignment horizontal="left"/>
    </xf>
    <xf numFmtId="37" fontId="2" fillId="0" borderId="0" xfId="0" applyNumberFormat="1" applyFont="1" applyFill="1" applyBorder="1"/>
    <xf numFmtId="3" fontId="0" fillId="0" borderId="17" xfId="0" applyNumberFormat="1" applyFill="1" applyBorder="1"/>
    <xf numFmtId="168" fontId="0" fillId="0" borderId="15" xfId="0" applyNumberFormat="1" applyFill="1" applyBorder="1"/>
    <xf numFmtId="0" fontId="7" fillId="0" borderId="26" xfId="0" applyFont="1" applyFill="1" applyBorder="1" applyAlignment="1"/>
    <xf numFmtId="0" fontId="7" fillId="0" borderId="3" xfId="0" applyFont="1" applyFill="1" applyBorder="1" applyAlignment="1"/>
    <xf numFmtId="0" fontId="7" fillId="0" borderId="35" xfId="0" applyFont="1" applyFill="1" applyBorder="1" applyAlignment="1"/>
    <xf numFmtId="0" fontId="7" fillId="0" borderId="32" xfId="0" applyFont="1" applyFill="1" applyBorder="1" applyAlignment="1"/>
    <xf numFmtId="0" fontId="7" fillId="0" borderId="17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11" fillId="0" borderId="5" xfId="0" applyNumberFormat="1" applyFont="1" applyFill="1" applyBorder="1" applyAlignment="1">
      <alignment horizontal="centerContinuous"/>
    </xf>
    <xf numFmtId="10" fontId="10" fillId="0" borderId="1" xfId="0" applyNumberFormat="1" applyFont="1" applyFill="1" applyBorder="1"/>
    <xf numFmtId="0" fontId="10" fillId="0" borderId="1" xfId="0" applyNumberFormat="1" applyFont="1" applyFill="1" applyBorder="1"/>
    <xf numFmtId="5" fontId="10" fillId="0" borderId="6" xfId="0" applyNumberFormat="1" applyFont="1" applyFill="1" applyBorder="1"/>
    <xf numFmtId="5" fontId="10" fillId="0" borderId="0" xfId="0" applyNumberFormat="1" applyFont="1" applyFill="1" applyBorder="1"/>
    <xf numFmtId="37" fontId="42" fillId="0" borderId="0" xfId="1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Border="1"/>
    <xf numFmtId="10" fontId="2" fillId="0" borderId="0" xfId="17" applyNumberFormat="1" applyFont="1" applyFill="1"/>
    <xf numFmtId="5" fontId="11" fillId="0" borderId="1" xfId="0" applyNumberFormat="1" applyFont="1" applyFill="1" applyBorder="1"/>
    <xf numFmtId="37" fontId="10" fillId="0" borderId="0" xfId="0" applyNumberFormat="1" applyFont="1" applyFill="1"/>
    <xf numFmtId="0" fontId="17" fillId="0" borderId="0" xfId="20" applyFont="1" applyFill="1" applyAlignment="1"/>
    <xf numFmtId="37" fontId="2" fillId="0" borderId="0" xfId="0" quotePrefix="1" applyNumberFormat="1" applyFont="1" applyFill="1" applyAlignment="1">
      <alignment horizontal="left"/>
    </xf>
    <xf numFmtId="37" fontId="2" fillId="0" borderId="0" xfId="0" applyNumberFormat="1" applyFont="1" applyFill="1" applyAlignment="1">
      <alignment horizontal="center"/>
    </xf>
    <xf numFmtId="37" fontId="2" fillId="0" borderId="1" xfId="0" applyNumberFormat="1" applyFont="1" applyFill="1" applyBorder="1"/>
    <xf numFmtId="37" fontId="2" fillId="0" borderId="1" xfId="0" applyNumberFormat="1" applyFont="1" applyFill="1" applyBorder="1" applyAlignment="1">
      <alignment horizontal="center"/>
    </xf>
    <xf numFmtId="37" fontId="2" fillId="0" borderId="7" xfId="0" applyNumberFormat="1" applyFont="1" applyFill="1" applyBorder="1"/>
    <xf numFmtId="37" fontId="2" fillId="0" borderId="11" xfId="0" applyNumberFormat="1" applyFont="1" applyFill="1" applyBorder="1"/>
    <xf numFmtId="166" fontId="2" fillId="0" borderId="0" xfId="17" applyNumberFormat="1" applyFont="1" applyFill="1"/>
    <xf numFmtId="0" fontId="3" fillId="0" borderId="1" xfId="0" applyFont="1" applyFill="1" applyBorder="1" applyAlignment="1">
      <alignment horizontal="center" wrapText="1"/>
    </xf>
    <xf numFmtId="167" fontId="42" fillId="0" borderId="0" xfId="17" applyNumberFormat="1" applyFont="1" applyFill="1" applyBorder="1"/>
    <xf numFmtId="0" fontId="75" fillId="0" borderId="0" xfId="0" applyFont="1" applyFill="1"/>
    <xf numFmtId="164" fontId="2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/>
    <xf numFmtId="0" fontId="2" fillId="0" borderId="0" xfId="0" quotePrefix="1" applyFont="1" applyFill="1" applyAlignment="1">
      <alignment horizontal="left"/>
    </xf>
    <xf numFmtId="164" fontId="2" fillId="0" borderId="4" xfId="1" applyNumberFormat="1" applyFont="1" applyFill="1" applyBorder="1"/>
    <xf numFmtId="0" fontId="2" fillId="0" borderId="0" xfId="1" applyNumberFormat="1" applyFont="1" applyFill="1" applyAlignment="1">
      <alignment horizontal="left"/>
    </xf>
    <xf numFmtId="0" fontId="44" fillId="0" borderId="0" xfId="1" applyNumberFormat="1" applyFont="1" applyFill="1" applyAlignment="1">
      <alignment horizontal="center"/>
    </xf>
    <xf numFmtId="49" fontId="44" fillId="0" borderId="0" xfId="1" applyNumberFormat="1" applyFont="1" applyFill="1" applyAlignment="1">
      <alignment horizontal="left"/>
    </xf>
    <xf numFmtId="164" fontId="44" fillId="0" borderId="0" xfId="1" applyNumberFormat="1" applyFont="1" applyFill="1"/>
    <xf numFmtId="0" fontId="0" fillId="0" borderId="26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4" borderId="0" xfId="0" applyFill="1"/>
    <xf numFmtId="0" fontId="18" fillId="0" borderId="0" xfId="0" applyFont="1" applyFill="1"/>
    <xf numFmtId="0" fontId="3" fillId="0" borderId="2" xfId="0" applyFont="1" applyFill="1" applyBorder="1"/>
    <xf numFmtId="0" fontId="3" fillId="0" borderId="34" xfId="0" quotePrefix="1" applyFont="1" applyFill="1" applyBorder="1" applyAlignment="1">
      <alignment horizontal="center"/>
    </xf>
    <xf numFmtId="0" fontId="3" fillId="0" borderId="13" xfId="0" applyFont="1" applyFill="1" applyBorder="1"/>
    <xf numFmtId="41" fontId="2" fillId="0" borderId="0" xfId="1" applyNumberFormat="1" applyFont="1" applyFill="1" applyBorder="1"/>
    <xf numFmtId="166" fontId="2" fillId="0" borderId="0" xfId="17" applyNumberFormat="1" applyFont="1" applyFill="1" applyBorder="1"/>
    <xf numFmtId="5" fontId="2" fillId="0" borderId="0" xfId="0" applyNumberFormat="1" applyFont="1" applyFill="1" applyBorder="1"/>
    <xf numFmtId="49" fontId="41" fillId="0" borderId="0" xfId="1" applyNumberFormat="1" applyFont="1" applyFill="1" applyAlignment="1">
      <alignment horizontal="left"/>
    </xf>
    <xf numFmtId="164" fontId="41" fillId="0" borderId="0" xfId="1" applyNumberFormat="1" applyFont="1" applyFill="1"/>
    <xf numFmtId="37" fontId="41" fillId="0" borderId="0" xfId="1" applyNumberFormat="1" applyFont="1" applyFill="1" applyBorder="1"/>
    <xf numFmtId="0" fontId="2" fillId="0" borderId="0" xfId="0" applyFont="1"/>
    <xf numFmtId="0" fontId="0" fillId="0" borderId="0" xfId="0" applyFont="1" applyFill="1"/>
    <xf numFmtId="164" fontId="48" fillId="0" borderId="0" xfId="1" applyNumberFormat="1" applyFont="1" applyFill="1"/>
    <xf numFmtId="37" fontId="48" fillId="0" borderId="0" xfId="1" applyNumberFormat="1" applyFont="1" applyFill="1" applyBorder="1"/>
    <xf numFmtId="164" fontId="48" fillId="0" borderId="0" xfId="1" applyNumberFormat="1" applyFont="1" applyFill="1" applyAlignment="1"/>
    <xf numFmtId="164" fontId="0" fillId="0" borderId="0" xfId="0" applyNumberFormat="1" applyFill="1" applyBorder="1"/>
    <xf numFmtId="49" fontId="48" fillId="0" borderId="0" xfId="1" applyNumberFormat="1" applyFont="1" applyFill="1"/>
    <xf numFmtId="49" fontId="48" fillId="0" borderId="0" xfId="1" applyNumberFormat="1" applyFont="1" applyFill="1" applyAlignment="1">
      <alignment horizontal="left"/>
    </xf>
    <xf numFmtId="37" fontId="48" fillId="0" borderId="7" xfId="1" applyNumberFormat="1" applyFont="1" applyFill="1" applyBorder="1"/>
    <xf numFmtId="164" fontId="48" fillId="0" borderId="0" xfId="1" quotePrefix="1" applyNumberFormat="1" applyFont="1" applyFill="1" applyAlignment="1">
      <alignment horizontal="left"/>
    </xf>
    <xf numFmtId="37" fontId="48" fillId="0" borderId="4" xfId="1" applyNumberFormat="1" applyFont="1" applyFill="1" applyBorder="1"/>
    <xf numFmtId="0" fontId="41" fillId="0" borderId="0" xfId="1" applyNumberFormat="1" applyFont="1" applyFill="1" applyAlignment="1">
      <alignment horizontal="left"/>
    </xf>
    <xf numFmtId="164" fontId="40" fillId="0" borderId="0" xfId="1" applyNumberFormat="1" applyFont="1" applyFill="1"/>
    <xf numFmtId="49" fontId="40" fillId="0" borderId="0" xfId="1" applyNumberFormat="1" applyFont="1" applyFill="1" applyAlignment="1">
      <alignment horizontal="left"/>
    </xf>
    <xf numFmtId="37" fontId="40" fillId="0" borderId="0" xfId="1" applyNumberFormat="1" applyFont="1" applyFill="1" applyBorder="1"/>
    <xf numFmtId="164" fontId="46" fillId="0" borderId="0" xfId="1" applyNumberFormat="1" applyFont="1" applyFill="1" applyBorder="1"/>
    <xf numFmtId="10" fontId="46" fillId="0" borderId="0" xfId="17" applyNumberFormat="1" applyFont="1" applyFill="1" applyBorder="1"/>
    <xf numFmtId="0" fontId="3" fillId="0" borderId="14" xfId="0" applyFont="1" applyFill="1" applyBorder="1"/>
    <xf numFmtId="10" fontId="50" fillId="0" borderId="0" xfId="17" applyNumberFormat="1" applyFont="1" applyFill="1"/>
    <xf numFmtId="10" fontId="46" fillId="0" borderId="1" xfId="17" applyNumberFormat="1" applyFont="1" applyFill="1" applyBorder="1" applyAlignment="1">
      <alignment horizontal="right"/>
    </xf>
    <xf numFmtId="164" fontId="47" fillId="0" borderId="0" xfId="1" applyNumberFormat="1" applyFont="1" applyFill="1"/>
    <xf numFmtId="15" fontId="0" fillId="0" borderId="0" xfId="27" quotePrefix="1" applyFont="1" applyFill="1"/>
    <xf numFmtId="37" fontId="49" fillId="0" borderId="14" xfId="1" applyNumberFormat="1" applyFont="1" applyFill="1" applyBorder="1"/>
    <xf numFmtId="164" fontId="49" fillId="0" borderId="0" xfId="1" applyNumberFormat="1" applyFont="1" applyFill="1" applyBorder="1"/>
    <xf numFmtId="37" fontId="2" fillId="0" borderId="14" xfId="1" applyNumberFormat="1" applyFont="1" applyFill="1" applyBorder="1"/>
    <xf numFmtId="0" fontId="0" fillId="0" borderId="0" xfId="0" quotePrefix="1" applyFill="1" applyAlignment="1">
      <alignment horizontal="right"/>
    </xf>
    <xf numFmtId="37" fontId="33" fillId="0" borderId="0" xfId="1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4" fontId="3" fillId="0" borderId="1" xfId="1" applyNumberFormat="1" applyFont="1" applyFill="1" applyBorder="1" applyAlignment="1"/>
    <xf numFmtId="37" fontId="0" fillId="0" borderId="0" xfId="0" quotePrefix="1" applyNumberFormat="1" applyFill="1" applyBorder="1" applyAlignment="1"/>
    <xf numFmtId="0" fontId="25" fillId="0" borderId="0" xfId="0" applyFont="1" applyFill="1" applyAlignment="1">
      <alignment horizontal="left"/>
    </xf>
    <xf numFmtId="5" fontId="28" fillId="0" borderId="0" xfId="0" applyNumberFormat="1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" fillId="0" borderId="13" xfId="0" applyFont="1" applyFill="1" applyBorder="1"/>
    <xf numFmtId="0" fontId="2" fillId="0" borderId="34" xfId="0" applyFont="1" applyFill="1" applyBorder="1"/>
    <xf numFmtId="49" fontId="2" fillId="0" borderId="0" xfId="1" applyNumberFormat="1" applyFont="1" applyFill="1"/>
    <xf numFmtId="37" fontId="0" fillId="4" borderId="0" xfId="0" applyNumberFormat="1" applyFill="1"/>
    <xf numFmtId="3" fontId="2" fillId="0" borderId="0" xfId="0" applyNumberFormat="1" applyFont="1" applyFill="1" applyBorder="1"/>
    <xf numFmtId="37" fontId="2" fillId="0" borderId="0" xfId="0" applyNumberFormat="1" applyFont="1" applyFill="1" applyBorder="1" applyAlignment="1">
      <alignment horizontal="right"/>
    </xf>
    <xf numFmtId="164" fontId="3" fillId="0" borderId="25" xfId="1" applyNumberFormat="1" applyFont="1" applyFill="1" applyBorder="1" applyAlignment="1">
      <alignment horizontal="center"/>
    </xf>
    <xf numFmtId="0" fontId="2" fillId="0" borderId="0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37" fontId="2" fillId="0" borderId="0" xfId="1" quotePrefix="1" applyNumberFormat="1" applyFont="1" applyFill="1" applyAlignment="1">
      <alignment horizontal="right"/>
    </xf>
    <xf numFmtId="37" fontId="2" fillId="0" borderId="0" xfId="1" applyNumberFormat="1" applyFont="1" applyFill="1" applyAlignment="1">
      <alignment horizontal="right"/>
    </xf>
    <xf numFmtId="37" fontId="2" fillId="0" borderId="4" xfId="1" applyNumberFormat="1" applyFont="1" applyFill="1" applyBorder="1"/>
    <xf numFmtId="37" fontId="2" fillId="0" borderId="1" xfId="1" applyNumberFormat="1" applyFont="1" applyFill="1" applyBorder="1"/>
    <xf numFmtId="172" fontId="2" fillId="0" borderId="0" xfId="1" applyNumberFormat="1" applyFont="1" applyFill="1" applyAlignment="1">
      <alignment horizontal="center"/>
    </xf>
    <xf numFmtId="49" fontId="2" fillId="0" borderId="0" xfId="1" quotePrefix="1" applyNumberFormat="1" applyFont="1" applyFill="1" applyAlignment="1">
      <alignment horizontal="left"/>
    </xf>
    <xf numFmtId="37" fontId="2" fillId="0" borderId="0" xfId="1" quotePrefix="1" applyNumberFormat="1" applyFont="1" applyFill="1" applyBorder="1" applyAlignment="1">
      <alignment horizontal="center"/>
    </xf>
    <xf numFmtId="37" fontId="2" fillId="0" borderId="0" xfId="1" applyNumberFormat="1" applyFont="1" applyFill="1" applyBorder="1" applyAlignment="1">
      <alignment horizontal="center"/>
    </xf>
    <xf numFmtId="37" fontId="2" fillId="0" borderId="7" xfId="1" applyNumberFormat="1" applyFont="1" applyFill="1" applyBorder="1" applyAlignment="1">
      <alignment horizontal="right"/>
    </xf>
    <xf numFmtId="37" fontId="2" fillId="0" borderId="4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70" fontId="2" fillId="0" borderId="0" xfId="1" applyNumberFormat="1" applyFont="1" applyFill="1" applyBorder="1"/>
    <xf numFmtId="168" fontId="2" fillId="0" borderId="0" xfId="0" applyNumberFormat="1" applyFont="1" applyFill="1" applyBorder="1"/>
    <xf numFmtId="3" fontId="0" fillId="4" borderId="0" xfId="0" applyNumberFormat="1" applyFill="1"/>
    <xf numFmtId="0" fontId="2" fillId="0" borderId="0" xfId="0" applyFont="1" applyFill="1" applyAlignment="1">
      <alignment horizontal="center"/>
    </xf>
    <xf numFmtId="37" fontId="0" fillId="0" borderId="0" xfId="0" applyNumberFormat="1" applyFill="1" applyAlignment="1">
      <alignment horizontal="right"/>
    </xf>
    <xf numFmtId="5" fontId="2" fillId="0" borderId="0" xfId="1" applyNumberFormat="1" applyFont="1" applyFill="1" applyAlignment="1">
      <alignment horizontal="right"/>
    </xf>
    <xf numFmtId="5" fontId="2" fillId="0" borderId="0" xfId="1" applyNumberFormat="1" applyFont="1" applyFill="1" applyBorder="1" applyAlignment="1">
      <alignment horizontal="right"/>
    </xf>
    <xf numFmtId="49" fontId="2" fillId="0" borderId="0" xfId="8" applyNumberFormat="1" applyFill="1"/>
    <xf numFmtId="0" fontId="2" fillId="0" borderId="0" xfId="8" applyFill="1"/>
    <xf numFmtId="0" fontId="14" fillId="0" borderId="0" xfId="8" applyFont="1" applyFill="1"/>
    <xf numFmtId="0" fontId="3" fillId="0" borderId="0" xfId="8" quotePrefix="1" applyFont="1" applyFill="1" applyAlignment="1">
      <alignment horizontal="left"/>
    </xf>
    <xf numFmtId="0" fontId="2" fillId="0" borderId="0" xfId="8" applyFill="1" applyAlignment="1">
      <alignment horizontal="center"/>
    </xf>
    <xf numFmtId="0" fontId="3" fillId="0" borderId="0" xfId="8" applyFont="1" applyFill="1"/>
    <xf numFmtId="0" fontId="15" fillId="0" borderId="0" xfId="8" applyFont="1" applyFill="1" applyAlignment="1">
      <alignment horizontal="center"/>
    </xf>
    <xf numFmtId="180" fontId="2" fillId="0" borderId="0" xfId="8" applyNumberFormat="1" applyFont="1" applyFill="1" applyAlignment="1">
      <alignment horizontal="center"/>
    </xf>
    <xf numFmtId="43" fontId="14" fillId="0" borderId="0" xfId="8" applyNumberFormat="1" applyFont="1" applyFill="1" applyAlignment="1">
      <alignment horizontal="center"/>
    </xf>
    <xf numFmtId="43" fontId="14" fillId="0" borderId="0" xfId="8" applyNumberFormat="1" applyFont="1" applyFill="1"/>
    <xf numFmtId="43" fontId="14" fillId="0" borderId="1" xfId="8" applyNumberFormat="1" applyFont="1" applyFill="1" applyBorder="1" applyAlignment="1">
      <alignment horizontal="center"/>
    </xf>
    <xf numFmtId="164" fontId="14" fillId="0" borderId="0" xfId="8" applyNumberFormat="1" applyFont="1" applyFill="1" applyAlignment="1">
      <alignment horizontal="right"/>
    </xf>
    <xf numFmtId="0" fontId="14" fillId="0" borderId="0" xfId="8" applyFont="1" applyFill="1" applyAlignment="1">
      <alignment horizontal="left"/>
    </xf>
    <xf numFmtId="164" fontId="14" fillId="0" borderId="19" xfId="8" quotePrefix="1" applyNumberFormat="1" applyFont="1" applyFill="1" applyBorder="1" applyAlignment="1">
      <alignment horizontal="center"/>
    </xf>
    <xf numFmtId="164" fontId="14" fillId="0" borderId="19" xfId="8" applyNumberFormat="1" applyFont="1" applyFill="1" applyBorder="1" applyAlignment="1">
      <alignment horizontal="right"/>
    </xf>
    <xf numFmtId="164" fontId="14" fillId="0" borderId="0" xfId="8" applyNumberFormat="1" applyFont="1" applyFill="1" applyBorder="1" applyAlignment="1">
      <alignment horizontal="right"/>
    </xf>
    <xf numFmtId="0" fontId="14" fillId="0" borderId="0" xfId="8" applyFont="1" applyFill="1" applyBorder="1" applyAlignment="1">
      <alignment horizontal="left"/>
    </xf>
    <xf numFmtId="0" fontId="2" fillId="0" borderId="0" xfId="1" applyNumberFormat="1" applyFont="1" applyFill="1" applyAlignment="1">
      <alignment horizontal="center"/>
    </xf>
    <xf numFmtId="174" fontId="0" fillId="0" borderId="15" xfId="0" applyNumberFormat="1" applyFill="1" applyBorder="1" applyAlignment="1">
      <alignment horizontal="center"/>
    </xf>
    <xf numFmtId="168" fontId="0" fillId="0" borderId="15" xfId="17" applyNumberFormat="1" applyFont="1" applyFill="1" applyBorder="1" applyAlignment="1" applyProtection="1">
      <alignment horizontal="center"/>
      <protection locked="0"/>
    </xf>
    <xf numFmtId="5" fontId="0" fillId="0" borderId="15" xfId="0" applyNumberFormat="1" applyFill="1" applyBorder="1" applyAlignment="1">
      <alignment horizontal="center"/>
    </xf>
    <xf numFmtId="168" fontId="5" fillId="0" borderId="0" xfId="17" applyNumberFormat="1" applyFont="1" applyFill="1"/>
    <xf numFmtId="37" fontId="0" fillId="0" borderId="14" xfId="0" applyNumberFormat="1" applyFill="1" applyBorder="1" applyAlignment="1">
      <alignment horizontal="left"/>
    </xf>
    <xf numFmtId="0" fontId="39" fillId="0" borderId="14" xfId="0" applyFont="1" applyFill="1" applyBorder="1" applyAlignment="1">
      <alignment horizontal="left"/>
    </xf>
    <xf numFmtId="0" fontId="8" fillId="0" borderId="14" xfId="0" applyFont="1" applyFill="1" applyBorder="1" applyAlignment="1">
      <alignment horizontal="left"/>
    </xf>
    <xf numFmtId="164" fontId="2" fillId="0" borderId="0" xfId="1" applyNumberFormat="1" applyFont="1" applyFill="1" applyAlignment="1"/>
    <xf numFmtId="37" fontId="2" fillId="0" borderId="0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7" fontId="2" fillId="0" borderId="11" xfId="1" applyNumberFormat="1" applyFont="1" applyFill="1" applyBorder="1" applyAlignment="1">
      <alignment horizontal="center"/>
    </xf>
    <xf numFmtId="37" fontId="2" fillId="0" borderId="11" xfId="1" applyNumberFormat="1" applyFont="1" applyFill="1" applyBorder="1"/>
    <xf numFmtId="37" fontId="2" fillId="0" borderId="7" xfId="1" applyNumberFormat="1" applyFont="1" applyFill="1" applyBorder="1" applyAlignment="1">
      <alignment horizontal="center"/>
    </xf>
    <xf numFmtId="37" fontId="2" fillId="0" borderId="4" xfId="1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"/>
    </xf>
    <xf numFmtId="37" fontId="3" fillId="0" borderId="0" xfId="1" applyNumberFormat="1" applyFont="1" applyFill="1" applyBorder="1" applyAlignment="1"/>
    <xf numFmtId="17" fontId="3" fillId="0" borderId="1" xfId="1" applyNumberFormat="1" applyFont="1" applyFill="1" applyBorder="1" applyAlignment="1"/>
    <xf numFmtId="0" fontId="3" fillId="0" borderId="0" xfId="0" applyFont="1" applyFill="1" applyBorder="1" applyAlignment="1"/>
    <xf numFmtId="37" fontId="48" fillId="0" borderId="0" xfId="1" applyNumberFormat="1" applyFont="1" applyFill="1" applyBorder="1" applyAlignment="1"/>
    <xf numFmtId="37" fontId="2" fillId="0" borderId="0" xfId="1" applyNumberFormat="1" applyFont="1" applyFill="1" applyBorder="1" applyAlignment="1"/>
    <xf numFmtId="0" fontId="3" fillId="0" borderId="11" xfId="0" applyFont="1" applyFill="1" applyBorder="1" applyAlignment="1"/>
    <xf numFmtId="37" fontId="2" fillId="0" borderId="0" xfId="0" applyNumberFormat="1" applyFont="1" applyFill="1" applyBorder="1" applyAlignment="1"/>
    <xf numFmtId="37" fontId="2" fillId="0" borderId="11" xfId="1" applyNumberFormat="1" applyFont="1" applyFill="1" applyBorder="1" applyAlignment="1"/>
    <xf numFmtId="37" fontId="0" fillId="0" borderId="0" xfId="0" applyNumberFormat="1" applyFill="1" applyBorder="1" applyAlignment="1"/>
    <xf numFmtId="164" fontId="2" fillId="0" borderId="0" xfId="1" applyNumberFormat="1" applyFont="1" applyFill="1" applyBorder="1" applyAlignment="1"/>
    <xf numFmtId="37" fontId="2" fillId="0" borderId="7" xfId="1" applyNumberFormat="1" applyFont="1" applyFill="1" applyBorder="1" applyAlignment="1"/>
    <xf numFmtId="37" fontId="2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164" fontId="3" fillId="0" borderId="0" xfId="1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164" fontId="2" fillId="0" borderId="36" xfId="1" applyNumberFormat="1" applyFont="1" applyFill="1" applyBorder="1" applyAlignment="1"/>
    <xf numFmtId="49" fontId="51" fillId="0" borderId="0" xfId="1" applyNumberFormat="1" applyFont="1" applyFill="1"/>
    <xf numFmtId="37" fontId="51" fillId="0" borderId="0" xfId="1" applyNumberFormat="1" applyFont="1" applyFill="1" applyBorder="1"/>
    <xf numFmtId="37" fontId="51" fillId="0" borderId="7" xfId="1" applyNumberFormat="1" applyFont="1" applyFill="1" applyBorder="1"/>
    <xf numFmtId="37" fontId="51" fillId="0" borderId="0" xfId="1" quotePrefix="1" applyNumberFormat="1" applyFont="1" applyFill="1" applyBorder="1" applyAlignment="1">
      <alignment horizontal="right"/>
    </xf>
    <xf numFmtId="37" fontId="51" fillId="0" borderId="7" xfId="1" quotePrefix="1" applyNumberFormat="1" applyFont="1" applyFill="1" applyBorder="1" applyAlignment="1">
      <alignment horizontal="right"/>
    </xf>
    <xf numFmtId="37" fontId="51" fillId="0" borderId="0" xfId="1" applyNumberFormat="1" applyFont="1" applyFill="1" applyBorder="1" applyAlignment="1">
      <alignment horizontal="right"/>
    </xf>
    <xf numFmtId="37" fontId="51" fillId="0" borderId="7" xfId="1" applyNumberFormat="1" applyFont="1" applyFill="1" applyBorder="1" applyAlignment="1">
      <alignment horizontal="right"/>
    </xf>
    <xf numFmtId="49" fontId="56" fillId="0" borderId="0" xfId="1" applyNumberFormat="1" applyFont="1" applyFill="1"/>
    <xf numFmtId="37" fontId="56" fillId="0" borderId="0" xfId="1" applyNumberFormat="1" applyFont="1" applyFill="1" applyBorder="1"/>
    <xf numFmtId="37" fontId="60" fillId="0" borderId="0" xfId="1" applyNumberFormat="1" applyFont="1" applyFill="1" applyBorder="1"/>
    <xf numFmtId="37" fontId="60" fillId="0" borderId="0" xfId="1" quotePrefix="1" applyNumberFormat="1" applyFont="1" applyFill="1" applyBorder="1" applyAlignment="1">
      <alignment horizontal="right"/>
    </xf>
    <xf numFmtId="37" fontId="60" fillId="0" borderId="20" xfId="1" applyNumberFormat="1" applyFont="1" applyFill="1" applyBorder="1"/>
    <xf numFmtId="164" fontId="60" fillId="0" borderId="20" xfId="1" applyNumberFormat="1" applyFont="1" applyFill="1" applyBorder="1"/>
    <xf numFmtId="37" fontId="60" fillId="0" borderId="0" xfId="1" applyNumberFormat="1" applyFont="1" applyFill="1" applyBorder="1" applyAlignment="1">
      <alignment horizontal="right"/>
    </xf>
    <xf numFmtId="37" fontId="60" fillId="0" borderId="0" xfId="1" applyNumberFormat="1" applyFont="1" applyFill="1" applyBorder="1" applyAlignment="1">
      <alignment horizontal="left"/>
    </xf>
    <xf numFmtId="164" fontId="60" fillId="0" borderId="0" xfId="1" applyNumberFormat="1" applyFont="1" applyFill="1" applyBorder="1"/>
    <xf numFmtId="49" fontId="60" fillId="0" borderId="0" xfId="1" applyNumberFormat="1" applyFont="1" applyFill="1" applyBorder="1"/>
    <xf numFmtId="37" fontId="60" fillId="0" borderId="7" xfId="1" applyNumberFormat="1" applyFont="1" applyFill="1" applyBorder="1" applyAlignment="1">
      <alignment horizontal="right"/>
    </xf>
    <xf numFmtId="164" fontId="60" fillId="0" borderId="0" xfId="1" applyNumberFormat="1" applyFont="1" applyFill="1"/>
    <xf numFmtId="37" fontId="60" fillId="0" borderId="4" xfId="1" applyNumberFormat="1" applyFont="1" applyFill="1" applyBorder="1" applyAlignment="1">
      <alignment horizontal="right"/>
    </xf>
    <xf numFmtId="37" fontId="60" fillId="0" borderId="7" xfId="1" quotePrefix="1" applyNumberFormat="1" applyFont="1" applyFill="1" applyBorder="1" applyAlignment="1">
      <alignment horizontal="right"/>
    </xf>
    <xf numFmtId="37" fontId="60" fillId="0" borderId="0" xfId="1" applyNumberFormat="1" applyFont="1" applyFill="1" applyAlignment="1">
      <alignment horizontal="left"/>
    </xf>
    <xf numFmtId="37" fontId="60" fillId="0" borderId="0" xfId="1" applyNumberFormat="1" applyFont="1" applyFill="1"/>
    <xf numFmtId="164" fontId="60" fillId="0" borderId="0" xfId="1" applyNumberFormat="1" applyFont="1" applyFill="1" applyBorder="1" applyAlignment="1">
      <alignment horizontal="right"/>
    </xf>
    <xf numFmtId="49" fontId="60" fillId="0" borderId="0" xfId="1" applyNumberFormat="1" applyFont="1" applyFill="1" applyBorder="1" applyAlignment="1">
      <alignment horizontal="left"/>
    </xf>
    <xf numFmtId="164" fontId="60" fillId="0" borderId="20" xfId="1" applyNumberFormat="1" applyFont="1" applyFill="1" applyBorder="1" applyAlignment="1">
      <alignment horizontal="center"/>
    </xf>
    <xf numFmtId="49" fontId="60" fillId="0" borderId="0" xfId="1" quotePrefix="1" applyNumberFormat="1" applyFont="1" applyFill="1" applyBorder="1" applyAlignment="1">
      <alignment horizontal="left"/>
    </xf>
    <xf numFmtId="164" fontId="60" fillId="0" borderId="0" xfId="1" quotePrefix="1" applyNumberFormat="1" applyFont="1" applyFill="1" applyAlignment="1">
      <alignment horizontal="left"/>
    </xf>
    <xf numFmtId="164" fontId="60" fillId="0" borderId="0" xfId="1" applyNumberFormat="1" applyFont="1" applyFill="1" applyAlignment="1">
      <alignment horizontal="center"/>
    </xf>
    <xf numFmtId="37" fontId="2" fillId="0" borderId="1" xfId="1" applyNumberFormat="1" applyFont="1" applyFill="1" applyBorder="1" applyAlignment="1">
      <alignment horizontal="right"/>
    </xf>
    <xf numFmtId="37" fontId="60" fillId="0" borderId="1" xfId="1" applyNumberFormat="1" applyFont="1" applyFill="1" applyBorder="1" applyAlignment="1">
      <alignment horizontal="right"/>
    </xf>
    <xf numFmtId="37" fontId="60" fillId="0" borderId="7" xfId="1" applyNumberFormat="1" applyFont="1" applyFill="1" applyBorder="1"/>
    <xf numFmtId="164" fontId="60" fillId="0" borderId="0" xfId="1" applyNumberFormat="1" applyFont="1" applyFill="1" applyBorder="1" applyAlignment="1">
      <alignment horizontal="left"/>
    </xf>
    <xf numFmtId="164" fontId="60" fillId="0" borderId="0" xfId="1" applyNumberFormat="1" applyFont="1" applyFill="1" applyAlignment="1"/>
    <xf numFmtId="49" fontId="60" fillId="0" borderId="0" xfId="1" quotePrefix="1" applyNumberFormat="1" applyFont="1" applyFill="1" applyAlignment="1">
      <alignment horizontal="left"/>
    </xf>
    <xf numFmtId="49" fontId="60" fillId="0" borderId="0" xfId="1" applyNumberFormat="1" applyFont="1" applyFill="1" applyAlignment="1">
      <alignment horizontal="left"/>
    </xf>
    <xf numFmtId="0" fontId="60" fillId="0" borderId="0" xfId="1" applyNumberFormat="1" applyFont="1" applyFill="1" applyAlignment="1">
      <alignment horizontal="left"/>
    </xf>
    <xf numFmtId="0" fontId="60" fillId="0" borderId="0" xfId="1" quotePrefix="1" applyNumberFormat="1" applyFont="1" applyFill="1" applyAlignment="1">
      <alignment horizontal="left"/>
    </xf>
    <xf numFmtId="164" fontId="2" fillId="0" borderId="4" xfId="1" applyNumberFormat="1" applyFont="1" applyFill="1" applyBorder="1" applyAlignment="1">
      <alignment horizontal="right"/>
    </xf>
    <xf numFmtId="164" fontId="60" fillId="0" borderId="4" xfId="1" applyNumberFormat="1" applyFont="1" applyFill="1" applyBorder="1" applyAlignment="1">
      <alignment horizontal="right"/>
    </xf>
    <xf numFmtId="0" fontId="60" fillId="0" borderId="0" xfId="1" applyNumberFormat="1" applyFont="1" applyFill="1" applyBorder="1"/>
    <xf numFmtId="37" fontId="43" fillId="0" borderId="0" xfId="1" applyNumberFormat="1" applyFont="1" applyFill="1" applyBorder="1"/>
    <xf numFmtId="37" fontId="10" fillId="0" borderId="0" xfId="1" applyNumberFormat="1" applyFont="1" applyFill="1" applyBorder="1" applyAlignment="1">
      <alignment horizontal="center"/>
    </xf>
    <xf numFmtId="37" fontId="11" fillId="0" borderId="0" xfId="1" applyNumberFormat="1" applyFont="1" applyFill="1" applyBorder="1" applyAlignment="1">
      <alignment horizontal="center" wrapText="1"/>
    </xf>
    <xf numFmtId="0" fontId="8" fillId="0" borderId="0" xfId="0" applyNumberFormat="1" applyFont="1" applyFill="1" applyBorder="1" applyAlignment="1">
      <alignment horizontal="center"/>
    </xf>
    <xf numFmtId="37" fontId="43" fillId="0" borderId="7" xfId="1" applyNumberFormat="1" applyFont="1" applyFill="1" applyBorder="1"/>
    <xf numFmtId="37" fontId="43" fillId="0" borderId="4" xfId="1" applyNumberFormat="1" applyFont="1" applyFill="1" applyBorder="1"/>
    <xf numFmtId="37" fontId="43" fillId="0" borderId="0" xfId="1" quotePrefix="1" applyNumberFormat="1" applyFont="1" applyFill="1" applyBorder="1" applyAlignment="1">
      <alignment horizontal="right"/>
    </xf>
    <xf numFmtId="37" fontId="59" fillId="0" borderId="0" xfId="1" quotePrefix="1" applyNumberFormat="1" applyFont="1" applyFill="1" applyBorder="1" applyAlignment="1">
      <alignment horizontal="right"/>
    </xf>
    <xf numFmtId="37" fontId="43" fillId="0" borderId="7" xfId="1" quotePrefix="1" applyNumberFormat="1" applyFont="1" applyFill="1" applyBorder="1" applyAlignment="1">
      <alignment horizontal="right"/>
    </xf>
    <xf numFmtId="37" fontId="43" fillId="0" borderId="0" xfId="1" applyNumberFormat="1" applyFont="1" applyFill="1" applyBorder="1" applyAlignment="1">
      <alignment horizontal="right"/>
    </xf>
    <xf numFmtId="37" fontId="43" fillId="0" borderId="7" xfId="1" applyNumberFormat="1" applyFont="1" applyFill="1" applyBorder="1" applyAlignment="1">
      <alignment horizontal="right"/>
    </xf>
    <xf numFmtId="37" fontId="43" fillId="0" borderId="1" xfId="1" applyNumberFormat="1" applyFont="1" applyFill="1" applyBorder="1"/>
    <xf numFmtId="3" fontId="2" fillId="0" borderId="0" xfId="0" applyNumberFormat="1" applyFont="1" applyFill="1"/>
    <xf numFmtId="0" fontId="5" fillId="0" borderId="0" xfId="0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right"/>
    </xf>
    <xf numFmtId="5" fontId="0" fillId="0" borderId="1" xfId="0" applyNumberFormat="1" applyFill="1" applyBorder="1"/>
    <xf numFmtId="0" fontId="2" fillId="0" borderId="0" xfId="0" quotePrefix="1" applyFont="1" applyFill="1" applyBorder="1" applyAlignment="1">
      <alignment horizontal="left"/>
    </xf>
    <xf numFmtId="0" fontId="0" fillId="0" borderId="0" xfId="0" applyFont="1" applyFill="1" applyBorder="1"/>
    <xf numFmtId="164" fontId="51" fillId="0" borderId="0" xfId="1" applyNumberFormat="1" applyFont="1" applyFill="1"/>
    <xf numFmtId="37" fontId="51" fillId="0" borderId="15" xfId="1" applyNumberFormat="1" applyFont="1" applyFill="1" applyBorder="1"/>
    <xf numFmtId="37" fontId="51" fillId="0" borderId="0" xfId="1" applyNumberFormat="1" applyFont="1" applyFill="1" applyBorder="1" applyAlignment="1">
      <alignment horizontal="center"/>
    </xf>
    <xf numFmtId="164" fontId="51" fillId="0" borderId="15" xfId="1" applyNumberFormat="1" applyFont="1" applyFill="1" applyBorder="1"/>
    <xf numFmtId="164" fontId="51" fillId="0" borderId="0" xfId="1" applyNumberFormat="1" applyFont="1" applyFill="1" applyAlignment="1">
      <alignment horizontal="center"/>
    </xf>
    <xf numFmtId="37" fontId="51" fillId="0" borderId="7" xfId="1" applyNumberFormat="1" applyFont="1" applyFill="1" applyBorder="1" applyAlignment="1">
      <alignment horizontal="center"/>
    </xf>
    <xf numFmtId="37" fontId="2" fillId="0" borderId="15" xfId="1" applyNumberFormat="1" applyFont="1" applyFill="1" applyBorder="1"/>
    <xf numFmtId="164" fontId="2" fillId="0" borderId="15" xfId="1" applyNumberFormat="1" applyFont="1" applyFill="1" applyBorder="1"/>
    <xf numFmtId="164" fontId="56" fillId="0" borderId="0" xfId="1" applyNumberFormat="1" applyFont="1" applyFill="1"/>
    <xf numFmtId="37" fontId="56" fillId="0" borderId="15" xfId="1" applyNumberFormat="1" applyFont="1" applyFill="1" applyBorder="1"/>
    <xf numFmtId="37" fontId="56" fillId="0" borderId="0" xfId="1" applyNumberFormat="1" applyFont="1" applyFill="1" applyBorder="1" applyAlignment="1">
      <alignment horizontal="center"/>
    </xf>
    <xf numFmtId="164" fontId="56" fillId="0" borderId="15" xfId="1" applyNumberFormat="1" applyFont="1" applyFill="1" applyBorder="1"/>
    <xf numFmtId="164" fontId="56" fillId="0" borderId="0" xfId="1" applyNumberFormat="1" applyFont="1" applyFill="1" applyAlignment="1">
      <alignment horizontal="center"/>
    </xf>
    <xf numFmtId="37" fontId="57" fillId="0" borderId="0" xfId="1" applyNumberFormat="1" applyFont="1" applyFill="1" applyBorder="1"/>
    <xf numFmtId="37" fontId="52" fillId="0" borderId="0" xfId="1" applyNumberFormat="1" applyFont="1" applyFill="1" applyBorder="1"/>
    <xf numFmtId="37" fontId="58" fillId="0" borderId="0" xfId="1" applyNumberFormat="1" applyFont="1" applyFill="1" applyBorder="1"/>
    <xf numFmtId="0" fontId="0" fillId="0" borderId="21" xfId="0" applyFill="1" applyBorder="1"/>
    <xf numFmtId="37" fontId="52" fillId="0" borderId="0" xfId="1" applyNumberFormat="1" applyFont="1" applyFill="1"/>
    <xf numFmtId="37" fontId="13" fillId="0" borderId="0" xfId="1" applyNumberFormat="1" applyFont="1" applyFill="1" applyBorder="1" applyAlignment="1">
      <alignment horizontal="center" wrapText="1"/>
    </xf>
    <xf numFmtId="37" fontId="48" fillId="0" borderId="0" xfId="1" applyNumberFormat="1" applyFont="1" applyFill="1" applyBorder="1" applyAlignment="1">
      <alignment horizontal="center"/>
    </xf>
    <xf numFmtId="37" fontId="0" fillId="0" borderId="0" xfId="0" applyNumberFormat="1" applyFill="1" applyBorder="1" applyAlignment="1">
      <alignment horizontal="center"/>
    </xf>
    <xf numFmtId="0" fontId="17" fillId="0" borderId="0" xfId="22" applyFont="1" applyFill="1" applyAlignment="1"/>
    <xf numFmtId="17" fontId="11" fillId="0" borderId="0" xfId="0" applyNumberFormat="1" applyFont="1" applyFill="1" applyAlignment="1">
      <alignment horizontal="centerContinuous"/>
    </xf>
    <xf numFmtId="0" fontId="0" fillId="0" borderId="0" xfId="1" applyNumberFormat="1" applyFont="1" applyFill="1" applyBorder="1" applyAlignment="1">
      <alignment horizontal="center" wrapText="1"/>
    </xf>
    <xf numFmtId="49" fontId="3" fillId="0" borderId="2" xfId="1" applyNumberFormat="1" applyFont="1" applyFill="1" applyBorder="1" applyAlignment="1">
      <alignment horizontal="center"/>
    </xf>
    <xf numFmtId="17" fontId="3" fillId="0" borderId="34" xfId="17" applyNumberFormat="1" applyFont="1" applyFill="1" applyBorder="1" applyAlignment="1">
      <alignment horizontal="center"/>
    </xf>
    <xf numFmtId="17" fontId="3" fillId="0" borderId="13" xfId="17" applyNumberFormat="1" applyFont="1" applyFill="1" applyBorder="1" applyAlignment="1">
      <alignment horizontal="center"/>
    </xf>
    <xf numFmtId="43" fontId="2" fillId="0" borderId="0" xfId="0" applyNumberFormat="1" applyFont="1" applyFill="1"/>
    <xf numFmtId="10" fontId="2" fillId="0" borderId="13" xfId="17" quotePrefix="1" applyNumberFormat="1" applyFont="1" applyFill="1" applyBorder="1" applyAlignment="1">
      <alignment horizontal="center"/>
    </xf>
    <xf numFmtId="170" fontId="2" fillId="0" borderId="13" xfId="0" applyNumberFormat="1" applyFont="1" applyFill="1" applyBorder="1" applyAlignment="1">
      <alignment horizontal="center"/>
    </xf>
    <xf numFmtId="171" fontId="2" fillId="0" borderId="13" xfId="17" quotePrefix="1" applyNumberFormat="1" applyFont="1" applyFill="1" applyBorder="1" applyAlignment="1">
      <alignment horizontal="center"/>
    </xf>
    <xf numFmtId="10" fontId="2" fillId="0" borderId="34" xfId="17" quotePrefix="1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4" xfId="0" quotePrefix="1" applyFont="1" applyFill="1" applyBorder="1" applyAlignment="1">
      <alignment horizontal="center"/>
    </xf>
    <xf numFmtId="0" fontId="2" fillId="0" borderId="15" xfId="0" quotePrefix="1" applyFont="1" applyFill="1" applyBorder="1" applyAlignment="1">
      <alignment horizontal="center"/>
    </xf>
    <xf numFmtId="37" fontId="2" fillId="0" borderId="34" xfId="1" quotePrefix="1" applyNumberFormat="1" applyFont="1" applyFill="1" applyBorder="1" applyAlignment="1">
      <alignment horizontal="center"/>
    </xf>
    <xf numFmtId="37" fontId="2" fillId="0" borderId="13" xfId="1" quotePrefix="1" applyNumberFormat="1" applyFont="1" applyFill="1" applyBorder="1" applyAlignment="1">
      <alignment horizontal="left"/>
    </xf>
    <xf numFmtId="0" fontId="29" fillId="0" borderId="0" xfId="5" applyFont="1" applyFill="1" applyAlignment="1" applyProtection="1">
      <alignment horizontal="left"/>
    </xf>
    <xf numFmtId="0" fontId="0" fillId="5" borderId="0" xfId="0" applyFill="1"/>
    <xf numFmtId="37" fontId="2" fillId="5" borderId="0" xfId="1" applyNumberFormat="1" applyFont="1" applyFill="1" applyBorder="1"/>
    <xf numFmtId="49" fontId="60" fillId="5" borderId="0" xfId="1" applyNumberFormat="1" applyFont="1" applyFill="1" applyBorder="1"/>
    <xf numFmtId="0" fontId="10" fillId="5" borderId="0" xfId="0" applyFont="1" applyFill="1" applyProtection="1"/>
    <xf numFmtId="164" fontId="60" fillId="5" borderId="0" xfId="1" applyNumberFormat="1" applyFont="1" applyFill="1" applyBorder="1"/>
    <xf numFmtId="164" fontId="60" fillId="5" borderId="20" xfId="1" applyNumberFormat="1" applyFont="1" applyFill="1" applyBorder="1"/>
    <xf numFmtId="37" fontId="60" fillId="5" borderId="0" xfId="1" applyNumberFormat="1" applyFont="1" applyFill="1" applyBorder="1" applyAlignment="1">
      <alignment horizontal="right"/>
    </xf>
    <xf numFmtId="37" fontId="2" fillId="5" borderId="4" xfId="1" applyNumberFormat="1" applyFont="1" applyFill="1" applyBorder="1"/>
    <xf numFmtId="37" fontId="60" fillId="5" borderId="4" xfId="1" applyNumberFormat="1" applyFont="1" applyFill="1" applyBorder="1" applyAlignment="1">
      <alignment horizontal="right"/>
    </xf>
    <xf numFmtId="37" fontId="62" fillId="5" borderId="0" xfId="1" applyNumberFormat="1" applyFont="1" applyFill="1" applyBorder="1"/>
    <xf numFmtId="49" fontId="62" fillId="5" borderId="0" xfId="1" applyNumberFormat="1" applyFont="1" applyFill="1"/>
    <xf numFmtId="164" fontId="62" fillId="5" borderId="0" xfId="1" applyNumberFormat="1" applyFont="1" applyFill="1"/>
    <xf numFmtId="37" fontId="62" fillId="5" borderId="0" xfId="1" applyNumberFormat="1" applyFont="1" applyFill="1"/>
    <xf numFmtId="37" fontId="43" fillId="5" borderId="0" xfId="1" applyNumberFormat="1" applyFont="1" applyFill="1" applyBorder="1"/>
    <xf numFmtId="37" fontId="43" fillId="5" borderId="4" xfId="1" applyNumberFormat="1" applyFont="1" applyFill="1" applyBorder="1"/>
    <xf numFmtId="37" fontId="43" fillId="5" borderId="0" xfId="1" applyNumberFormat="1" applyFont="1" applyFill="1" applyBorder="1" applyAlignment="1">
      <alignment horizontal="right"/>
    </xf>
    <xf numFmtId="0" fontId="0" fillId="0" borderId="0" xfId="20" applyFont="1" applyAlignment="1"/>
    <xf numFmtId="4" fontId="0" fillId="0" borderId="0" xfId="34" applyFont="1"/>
    <xf numFmtId="37" fontId="11" fillId="0" borderId="0" xfId="0" applyNumberFormat="1" applyFont="1" applyFill="1" applyAlignment="1">
      <alignment horizontal="right"/>
    </xf>
    <xf numFmtId="0" fontId="10" fillId="0" borderId="0" xfId="0" applyNumberFormat="1" applyFont="1" applyFill="1" applyAlignment="1">
      <alignment horizontal="right"/>
    </xf>
    <xf numFmtId="10" fontId="2" fillId="0" borderId="0" xfId="2" applyNumberFormat="1" applyFont="1" applyFill="1"/>
    <xf numFmtId="164" fontId="2" fillId="0" borderId="0" xfId="2" applyNumberFormat="1" applyFont="1" applyFill="1"/>
    <xf numFmtId="43" fontId="10" fillId="0" borderId="0" xfId="2" applyFont="1" applyFill="1"/>
    <xf numFmtId="164" fontId="3" fillId="0" borderId="0" xfId="2" applyNumberFormat="1" applyFont="1" applyFill="1" applyAlignment="1">
      <alignment horizontal="left"/>
    </xf>
    <xf numFmtId="37" fontId="3" fillId="0" borderId="0" xfId="2" quotePrefix="1" applyNumberFormat="1" applyFont="1" applyFill="1" applyAlignment="1">
      <alignment horizontal="left"/>
    </xf>
    <xf numFmtId="37" fontId="2" fillId="0" borderId="15" xfId="0" applyNumberFormat="1" applyFont="1" applyFill="1" applyBorder="1"/>
    <xf numFmtId="0" fontId="4" fillId="0" borderId="0" xfId="0" applyFont="1" applyFill="1"/>
    <xf numFmtId="0" fontId="18" fillId="0" borderId="0" xfId="41" applyFont="1" applyFill="1" applyBorder="1" applyAlignment="1">
      <alignment horizontal="center" wrapText="1"/>
    </xf>
    <xf numFmtId="0" fontId="18" fillId="0" borderId="0" xfId="41" applyFill="1" applyBorder="1" applyAlignment="1">
      <alignment horizontal="center" wrapText="1"/>
    </xf>
    <xf numFmtId="0" fontId="11" fillId="0" borderId="1" xfId="0" applyNumberFormat="1" applyFont="1" applyFill="1" applyBorder="1" applyAlignment="1">
      <alignment horizontal="center"/>
    </xf>
    <xf numFmtId="0" fontId="10" fillId="0" borderId="18" xfId="0" applyNumberFormat="1" applyFont="1" applyFill="1" applyBorder="1"/>
    <xf numFmtId="0" fontId="2" fillId="0" borderId="0" xfId="0" applyNumberFormat="1" applyFont="1" applyFill="1" applyBorder="1"/>
    <xf numFmtId="37" fontId="2" fillId="0" borderId="13" xfId="0" applyNumberFormat="1" applyFont="1" applyFill="1" applyBorder="1"/>
    <xf numFmtId="182" fontId="76" fillId="0" borderId="0" xfId="16" quotePrefix="1" applyFont="1" applyFill="1" applyAlignment="1">
      <alignment horizontal="center"/>
    </xf>
    <xf numFmtId="182" fontId="65" fillId="0" borderId="0" xfId="16" applyFont="1" applyFill="1" applyAlignment="1" applyProtection="1">
      <alignment horizontal="left"/>
    </xf>
    <xf numFmtId="182" fontId="65" fillId="0" borderId="0" xfId="16" applyFont="1" applyFill="1"/>
    <xf numFmtId="37" fontId="65" fillId="0" borderId="0" xfId="16" applyNumberFormat="1" applyFont="1" applyFill="1" applyProtection="1"/>
    <xf numFmtId="10" fontId="65" fillId="0" borderId="0" xfId="16" applyNumberFormat="1" applyFont="1" applyFill="1" applyProtection="1"/>
    <xf numFmtId="5" fontId="65" fillId="0" borderId="0" xfId="16" applyNumberFormat="1" applyFont="1" applyFill="1" applyProtection="1"/>
    <xf numFmtId="182" fontId="65" fillId="0" borderId="0" xfId="16" quotePrefix="1" applyFont="1" applyFill="1" applyAlignment="1" applyProtection="1">
      <alignment horizontal="left"/>
    </xf>
    <xf numFmtId="37" fontId="66" fillId="0" borderId="0" xfId="16" applyNumberFormat="1" applyFont="1" applyFill="1" applyProtection="1"/>
    <xf numFmtId="10" fontId="66" fillId="0" borderId="0" xfId="16" applyNumberFormat="1" applyFont="1" applyFill="1" applyProtection="1"/>
    <xf numFmtId="182" fontId="65" fillId="0" borderId="6" xfId="16" applyFont="1" applyFill="1" applyBorder="1"/>
    <xf numFmtId="10" fontId="65" fillId="0" borderId="6" xfId="16" applyNumberFormat="1" applyFont="1" applyFill="1" applyBorder="1" applyProtection="1"/>
    <xf numFmtId="182" fontId="66" fillId="0" borderId="6" xfId="16" applyFont="1" applyFill="1" applyBorder="1"/>
    <xf numFmtId="10" fontId="66" fillId="0" borderId="6" xfId="16" applyNumberFormat="1" applyFont="1" applyFill="1" applyBorder="1" applyProtection="1"/>
    <xf numFmtId="182" fontId="66" fillId="0" borderId="0" xfId="16" quotePrefix="1" applyFont="1" applyFill="1" applyAlignment="1" applyProtection="1">
      <alignment horizontal="left"/>
    </xf>
    <xf numFmtId="182" fontId="66" fillId="0" borderId="0" xfId="16" applyFont="1" applyFill="1" applyAlignment="1" applyProtection="1">
      <alignment horizontal="left"/>
    </xf>
    <xf numFmtId="182" fontId="66" fillId="0" borderId="0" xfId="16" applyFont="1" applyFill="1"/>
    <xf numFmtId="5" fontId="66" fillId="0" borderId="0" xfId="16" applyNumberFormat="1" applyFont="1" applyFill="1" applyProtection="1"/>
    <xf numFmtId="182" fontId="65" fillId="0" borderId="9" xfId="16" applyFont="1" applyFill="1" applyBorder="1"/>
    <xf numFmtId="182" fontId="65" fillId="0" borderId="0" xfId="16" quotePrefix="1" applyFont="1" applyFill="1"/>
    <xf numFmtId="183" fontId="17" fillId="0" borderId="0" xfId="0" applyNumberFormat="1" applyFont="1" applyFill="1"/>
    <xf numFmtId="182" fontId="65" fillId="0" borderId="0" xfId="16" applyFont="1" applyFill="1" applyAlignment="1" applyProtection="1">
      <alignment horizontal="center"/>
    </xf>
    <xf numFmtId="182" fontId="65" fillId="0" borderId="11" xfId="16" applyFont="1" applyFill="1" applyBorder="1" applyAlignment="1" applyProtection="1">
      <alignment horizontal="centerContinuous"/>
    </xf>
    <xf numFmtId="182" fontId="65" fillId="0" borderId="11" xfId="16" applyFont="1" applyFill="1" applyBorder="1" applyAlignment="1">
      <alignment horizontal="centerContinuous"/>
    </xf>
    <xf numFmtId="182" fontId="65" fillId="0" borderId="0" xfId="16" applyFont="1" applyFill="1" applyAlignment="1">
      <alignment horizontal="centerContinuous"/>
    </xf>
    <xf numFmtId="182" fontId="65" fillId="0" borderId="0" xfId="16" applyFont="1" applyFill="1" applyAlignment="1">
      <alignment horizontal="left"/>
    </xf>
    <xf numFmtId="182" fontId="66" fillId="0" borderId="0" xfId="16" applyFont="1" applyFill="1" applyAlignment="1">
      <alignment horizontal="centerContinuous"/>
    </xf>
    <xf numFmtId="182" fontId="67" fillId="0" borderId="0" xfId="16" applyFont="1" applyFill="1"/>
    <xf numFmtId="37" fontId="65" fillId="0" borderId="0" xfId="16" applyNumberFormat="1" applyFont="1" applyFill="1"/>
    <xf numFmtId="0" fontId="3" fillId="0" borderId="0" xfId="0" applyNumberFormat="1" applyFont="1" applyFill="1" applyAlignment="1">
      <alignment horizontal="center" wrapText="1"/>
    </xf>
    <xf numFmtId="0" fontId="3" fillId="0" borderId="0" xfId="1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center"/>
    </xf>
    <xf numFmtId="0" fontId="11" fillId="0" borderId="1" xfId="0" quotePrefix="1" applyNumberFormat="1" applyFont="1" applyFill="1" applyBorder="1" applyAlignment="1">
      <alignment horizontal="center"/>
    </xf>
    <xf numFmtId="0" fontId="2" fillId="0" borderId="1" xfId="0" applyNumberFormat="1" applyFont="1" applyFill="1" applyBorder="1"/>
    <xf numFmtId="0" fontId="2" fillId="0" borderId="0" xfId="0" quotePrefix="1" applyNumberFormat="1" applyFont="1" applyFill="1" applyAlignment="1">
      <alignment horizontal="center"/>
    </xf>
    <xf numFmtId="0" fontId="10" fillId="0" borderId="4" xfId="0" applyNumberFormat="1" applyFont="1" applyFill="1" applyBorder="1"/>
    <xf numFmtId="0" fontId="19" fillId="0" borderId="0" xfId="0" quotePrefix="1" applyNumberFormat="1" applyFont="1" applyFill="1" applyAlignment="1">
      <alignment horizontal="right"/>
    </xf>
    <xf numFmtId="164" fontId="10" fillId="0" borderId="0" xfId="1" applyNumberFormat="1" applyFont="1" applyFill="1"/>
    <xf numFmtId="164" fontId="16" fillId="0" borderId="0" xfId="1" applyNumberFormat="1" applyFont="1" applyFill="1"/>
    <xf numFmtId="164" fontId="10" fillId="0" borderId="18" xfId="1" applyNumberFormat="1" applyFont="1" applyFill="1" applyBorder="1"/>
    <xf numFmtId="164" fontId="16" fillId="0" borderId="18" xfId="1" applyNumberFormat="1" applyFont="1" applyFill="1" applyBorder="1"/>
    <xf numFmtId="164" fontId="11" fillId="0" borderId="0" xfId="1" applyNumberFormat="1" applyFont="1" applyFill="1"/>
    <xf numFmtId="164" fontId="19" fillId="0" borderId="0" xfId="1" applyNumberFormat="1" applyFont="1" applyFill="1"/>
    <xf numFmtId="164" fontId="11" fillId="0" borderId="4" xfId="1" applyNumberFormat="1" applyFont="1" applyFill="1" applyBorder="1"/>
    <xf numFmtId="164" fontId="19" fillId="0" borderId="4" xfId="1" applyNumberFormat="1" applyFont="1" applyFill="1" applyBorder="1"/>
    <xf numFmtId="164" fontId="11" fillId="0" borderId="0" xfId="1" quotePrefix="1" applyNumberFormat="1" applyFont="1" applyFill="1"/>
    <xf numFmtId="164" fontId="19" fillId="0" borderId="0" xfId="1" quotePrefix="1" applyNumberFormat="1" applyFont="1" applyFill="1"/>
    <xf numFmtId="164" fontId="11" fillId="0" borderId="0" xfId="1" quotePrefix="1" applyNumberFormat="1" applyFont="1" applyFill="1" applyBorder="1"/>
    <xf numFmtId="164" fontId="19" fillId="0" borderId="0" xfId="1" quotePrefix="1" applyNumberFormat="1" applyFont="1" applyFill="1" applyBorder="1"/>
    <xf numFmtId="0" fontId="22" fillId="0" borderId="0" xfId="0" applyFont="1" applyFill="1" applyAlignment="1" applyProtection="1">
      <alignment horizontal="center"/>
    </xf>
    <xf numFmtId="164" fontId="3" fillId="0" borderId="0" xfId="1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164" fontId="3" fillId="0" borderId="0" xfId="1" quotePrefix="1" applyNumberFormat="1" applyFont="1" applyFill="1" applyAlignment="1">
      <alignment horizontal="center" wrapText="1"/>
    </xf>
    <xf numFmtId="49" fontId="3" fillId="0" borderId="1" xfId="1" applyNumberFormat="1" applyFont="1" applyFill="1" applyBorder="1" applyAlignment="1">
      <alignment horizontal="center" wrapText="1"/>
    </xf>
    <xf numFmtId="17" fontId="3" fillId="0" borderId="1" xfId="1" applyNumberFormat="1" applyFont="1" applyFill="1" applyBorder="1" applyAlignment="1">
      <alignment horizontal="center" wrapText="1"/>
    </xf>
    <xf numFmtId="164" fontId="68" fillId="0" borderId="0" xfId="1" applyNumberFormat="1" applyFont="1" applyFill="1" applyAlignment="1">
      <alignment horizontal="center"/>
    </xf>
    <xf numFmtId="182" fontId="65" fillId="0" borderId="0" xfId="16" applyFont="1" applyFill="1" applyAlignment="1" applyProtection="1">
      <alignment horizontal="centerContinuous"/>
    </xf>
    <xf numFmtId="183" fontId="17" fillId="0" borderId="0" xfId="0" applyNumberFormat="1" applyFont="1" applyFill="1" applyAlignment="1">
      <alignment horizontal="centerContinuous"/>
    </xf>
    <xf numFmtId="182" fontId="66" fillId="0" borderId="11" xfId="16" applyFont="1" applyFill="1" applyBorder="1" applyAlignment="1" applyProtection="1">
      <alignment horizontal="centerContinuous"/>
    </xf>
    <xf numFmtId="182" fontId="65" fillId="0" borderId="11" xfId="16" applyFont="1" applyFill="1" applyBorder="1" applyAlignment="1">
      <alignment horizontal="left"/>
    </xf>
    <xf numFmtId="182" fontId="66" fillId="0" borderId="0" xfId="16" quotePrefix="1" applyFont="1" applyFill="1" applyBorder="1" applyAlignment="1" applyProtection="1">
      <alignment horizontal="center"/>
    </xf>
    <xf numFmtId="0" fontId="63" fillId="0" borderId="0" xfId="1" applyNumberFormat="1" applyFont="1" applyFill="1" applyAlignment="1">
      <alignment horizontal="center"/>
    </xf>
    <xf numFmtId="49" fontId="63" fillId="0" borderId="0" xfId="1" applyNumberFormat="1" applyFont="1" applyFill="1" applyAlignment="1">
      <alignment horizontal="left"/>
    </xf>
    <xf numFmtId="164" fontId="63" fillId="0" borderId="0" xfId="1" applyNumberFormat="1" applyFont="1" applyFill="1"/>
    <xf numFmtId="37" fontId="63" fillId="0" borderId="0" xfId="1" applyNumberFormat="1" applyFont="1" applyFill="1" applyBorder="1"/>
    <xf numFmtId="37" fontId="63" fillId="0" borderId="7" xfId="1" applyNumberFormat="1" applyFont="1" applyFill="1" applyBorder="1"/>
    <xf numFmtId="37" fontId="3" fillId="6" borderId="0" xfId="0" applyNumberFormat="1" applyFont="1" applyFill="1" applyBorder="1" applyAlignment="1">
      <alignment horizontal="center" wrapText="1"/>
    </xf>
    <xf numFmtId="43" fontId="5" fillId="6" borderId="0" xfId="1" quotePrefix="1" applyNumberFormat="1" applyFont="1" applyFill="1" applyAlignment="1">
      <alignment horizontal="left"/>
    </xf>
    <xf numFmtId="0" fontId="6" fillId="0" borderId="0" xfId="5" applyFill="1" applyAlignment="1" applyProtection="1">
      <alignment horizontal="left"/>
    </xf>
    <xf numFmtId="3" fontId="0" fillId="0" borderId="0" xfId="47" applyFont="1"/>
    <xf numFmtId="0" fontId="17" fillId="0" borderId="0" xfId="20" applyFill="1" applyAlignment="1"/>
    <xf numFmtId="0" fontId="18" fillId="0" borderId="1" xfId="0" applyFont="1" applyFill="1" applyBorder="1" applyAlignment="1">
      <alignment horizontal="center" wrapText="1"/>
    </xf>
    <xf numFmtId="164" fontId="28" fillId="0" borderId="0" xfId="0" applyNumberFormat="1" applyFont="1" applyFill="1"/>
    <xf numFmtId="0" fontId="45" fillId="0" borderId="0" xfId="0" applyFont="1" applyFill="1"/>
    <xf numFmtId="4" fontId="18" fillId="0" borderId="0" xfId="0" applyNumberFormat="1" applyFont="1" applyFill="1" applyAlignment="1">
      <alignment horizontal="right"/>
    </xf>
    <xf numFmtId="164" fontId="10" fillId="0" borderId="0" xfId="0" applyNumberFormat="1" applyFont="1" applyFill="1" applyBorder="1"/>
    <xf numFmtId="0" fontId="17" fillId="0" borderId="0" xfId="6" applyFill="1"/>
    <xf numFmtId="14" fontId="11" fillId="0" borderId="0" xfId="0" applyNumberFormat="1" applyFont="1" applyFill="1" applyAlignment="1">
      <alignment horizontal="left"/>
    </xf>
    <xf numFmtId="0" fontId="11" fillId="0" borderId="14" xfId="0" applyNumberFormat="1" applyFont="1" applyFill="1" applyBorder="1" applyAlignment="1">
      <alignment horizontal="centerContinuous"/>
    </xf>
    <xf numFmtId="0" fontId="11" fillId="0" borderId="15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11" fillId="0" borderId="16" xfId="0" applyNumberFormat="1" applyFont="1" applyFill="1" applyBorder="1" applyAlignment="1">
      <alignment horizontal="centerContinuous"/>
    </xf>
    <xf numFmtId="0" fontId="11" fillId="0" borderId="25" xfId="0" applyNumberFormat="1" applyFont="1" applyFill="1" applyBorder="1" applyAlignment="1">
      <alignment horizontal="center"/>
    </xf>
    <xf numFmtId="37" fontId="10" fillId="0" borderId="11" xfId="0" applyNumberFormat="1" applyFont="1" applyFill="1" applyBorder="1"/>
    <xf numFmtId="39" fontId="10" fillId="0" borderId="0" xfId="0" applyNumberFormat="1" applyFont="1" applyFill="1"/>
    <xf numFmtId="0" fontId="53" fillId="0" borderId="0" xfId="0" applyFont="1" applyFill="1"/>
    <xf numFmtId="0" fontId="77" fillId="0" borderId="0" xfId="0" applyFont="1" applyFill="1"/>
    <xf numFmtId="37" fontId="11" fillId="0" borderId="0" xfId="0" quotePrefix="1" applyNumberFormat="1" applyFont="1" applyFill="1" applyAlignment="1">
      <alignment horizontal="left"/>
    </xf>
    <xf numFmtId="164" fontId="28" fillId="0" borderId="0" xfId="0" applyNumberFormat="1" applyFont="1" applyFill="1" applyAlignment="1"/>
    <xf numFmtId="0" fontId="78" fillId="0" borderId="0" xfId="0" applyFont="1" applyFill="1"/>
    <xf numFmtId="5" fontId="10" fillId="0" borderId="18" xfId="0" applyNumberFormat="1" applyFont="1" applyFill="1" applyBorder="1"/>
    <xf numFmtId="5" fontId="10" fillId="0" borderId="4" xfId="0" applyNumberFormat="1" applyFont="1" applyFill="1" applyBorder="1"/>
    <xf numFmtId="5" fontId="11" fillId="0" borderId="4" xfId="0" applyNumberFormat="1" applyFont="1" applyFill="1" applyBorder="1"/>
    <xf numFmtId="5" fontId="11" fillId="0" borderId="0" xfId="0" applyNumberFormat="1" applyFont="1" applyFill="1" applyBorder="1"/>
    <xf numFmtId="10" fontId="3" fillId="0" borderId="0" xfId="0" applyNumberFormat="1" applyFont="1" applyFill="1"/>
    <xf numFmtId="10" fontId="10" fillId="0" borderId="5" xfId="0" applyNumberFormat="1" applyFont="1" applyFill="1" applyBorder="1"/>
    <xf numFmtId="37" fontId="30" fillId="0" borderId="0" xfId="1" applyNumberFormat="1" applyFont="1" applyFill="1" applyBorder="1" applyAlignment="1">
      <alignment horizontal="center" wrapText="1"/>
    </xf>
    <xf numFmtId="4" fontId="17" fillId="0" borderId="0" xfId="0" applyNumberFormat="1" applyFont="1" applyFill="1" applyAlignment="1">
      <alignment horizontal="right"/>
    </xf>
    <xf numFmtId="0" fontId="18" fillId="0" borderId="0" xfId="41" applyFill="1" applyBorder="1" applyAlignment="1">
      <alignment horizontal="left"/>
    </xf>
    <xf numFmtId="49" fontId="0" fillId="7" borderId="0" xfId="1" applyNumberFormat="1" applyFont="1" applyFill="1"/>
    <xf numFmtId="0" fontId="10" fillId="7" borderId="0" xfId="0" applyFont="1" applyFill="1" applyProtection="1"/>
    <xf numFmtId="37" fontId="0" fillId="7" borderId="0" xfId="1" applyNumberFormat="1" applyFont="1" applyFill="1"/>
    <xf numFmtId="164" fontId="0" fillId="7" borderId="0" xfId="1" applyNumberFormat="1" applyFont="1" applyFill="1"/>
    <xf numFmtId="37" fontId="2" fillId="7" borderId="0" xfId="1" applyNumberFormat="1" applyFont="1" applyFill="1" applyBorder="1"/>
    <xf numFmtId="37" fontId="0" fillId="7" borderId="0" xfId="1" applyNumberFormat="1" applyFont="1" applyFill="1" applyBorder="1"/>
    <xf numFmtId="0" fontId="0" fillId="7" borderId="0" xfId="0" applyNumberFormat="1" applyFill="1" applyBorder="1" applyAlignment="1">
      <alignment horizontal="center"/>
    </xf>
    <xf numFmtId="0" fontId="0" fillId="7" borderId="0" xfId="0" applyFill="1"/>
    <xf numFmtId="0" fontId="3" fillId="0" borderId="0" xfId="0" applyFont="1" applyFill="1" applyAlignment="1">
      <alignment horizontal="center"/>
    </xf>
    <xf numFmtId="167" fontId="0" fillId="0" borderId="0" xfId="0" applyNumberFormat="1"/>
    <xf numFmtId="37" fontId="10" fillId="0" borderId="0" xfId="0" applyNumberFormat="1" applyFont="1" applyFill="1" applyBorder="1"/>
    <xf numFmtId="10" fontId="2" fillId="0" borderId="11" xfId="0" applyNumberFormat="1" applyFont="1" applyFill="1" applyBorder="1"/>
    <xf numFmtId="0" fontId="10" fillId="0" borderId="5" xfId="0" applyNumberFormat="1" applyFont="1" applyFill="1" applyBorder="1" applyAlignment="1">
      <alignment horizontal="center"/>
    </xf>
    <xf numFmtId="0" fontId="10" fillId="0" borderId="6" xfId="0" applyNumberFormat="1" applyFont="1" applyFill="1" applyBorder="1" applyAlignment="1">
      <alignment horizontal="right"/>
    </xf>
    <xf numFmtId="0" fontId="26" fillId="0" borderId="38" xfId="0" applyFont="1" applyFill="1" applyBorder="1"/>
    <xf numFmtId="0" fontId="26" fillId="0" borderId="39" xfId="0" applyFont="1" applyFill="1" applyBorder="1"/>
    <xf numFmtId="0" fontId="26" fillId="0" borderId="12" xfId="0" applyFont="1" applyFill="1" applyBorder="1"/>
    <xf numFmtId="0" fontId="0" fillId="0" borderId="13" xfId="20" applyFont="1" applyFill="1" applyBorder="1" applyAlignment="1"/>
    <xf numFmtId="43" fontId="26" fillId="0" borderId="39" xfId="1" applyFont="1" applyFill="1" applyBorder="1"/>
    <xf numFmtId="43" fontId="26" fillId="0" borderId="0" xfId="1" applyFont="1" applyFill="1" applyBorder="1"/>
    <xf numFmtId="43" fontId="26" fillId="0" borderId="0" xfId="1" applyFont="1" applyFill="1"/>
    <xf numFmtId="0" fontId="22" fillId="0" borderId="13" xfId="20" applyFont="1" applyFill="1" applyBorder="1" applyAlignment="1"/>
    <xf numFmtId="0" fontId="22" fillId="0" borderId="34" xfId="20" applyFont="1" applyFill="1" applyBorder="1" applyAlignment="1"/>
    <xf numFmtId="0" fontId="26" fillId="0" borderId="40" xfId="0" applyFont="1" applyFill="1" applyBorder="1"/>
    <xf numFmtId="37" fontId="72" fillId="0" borderId="0" xfId="1" applyNumberFormat="1" applyFont="1" applyFill="1"/>
    <xf numFmtId="15" fontId="17" fillId="0" borderId="0" xfId="27" quotePrefix="1" applyFont="1" applyFill="1"/>
    <xf numFmtId="0" fontId="2" fillId="0" borderId="0" xfId="0" applyNumberFormat="1" applyFont="1" applyFill="1" applyBorder="1" applyAlignment="1">
      <alignment horizontal="center"/>
    </xf>
    <xf numFmtId="5" fontId="11" fillId="0" borderId="0" xfId="0" quotePrefix="1" applyNumberFormat="1" applyFont="1" applyFill="1" applyAlignment="1">
      <alignment horizontal="right"/>
    </xf>
    <xf numFmtId="5" fontId="11" fillId="0" borderId="1" xfId="0" quotePrefix="1" applyNumberFormat="1" applyFont="1" applyFill="1" applyBorder="1" applyAlignment="1">
      <alignment horizontal="right"/>
    </xf>
    <xf numFmtId="0" fontId="3" fillId="0" borderId="0" xfId="0" applyFont="1" applyFill="1" applyAlignment="1">
      <alignment horizontal="center" wrapText="1"/>
    </xf>
    <xf numFmtId="5" fontId="3" fillId="0" borderId="0" xfId="0" applyNumberFormat="1" applyFont="1" applyFill="1"/>
    <xf numFmtId="164" fontId="3" fillId="0" borderId="0" xfId="0" applyNumberFormat="1" applyFont="1" applyFill="1"/>
    <xf numFmtId="49" fontId="2" fillId="0" borderId="0" xfId="1" applyNumberFormat="1" applyFont="1" applyFill="1" applyBorder="1"/>
    <xf numFmtId="164" fontId="2" fillId="0" borderId="20" xfId="1" applyNumberFormat="1" applyFont="1" applyFill="1" applyBorder="1"/>
    <xf numFmtId="37" fontId="2" fillId="6" borderId="7" xfId="1" applyNumberFormat="1" applyFont="1" applyFill="1" applyBorder="1" applyAlignment="1">
      <alignment horizontal="right"/>
    </xf>
    <xf numFmtId="37" fontId="2" fillId="5" borderId="0" xfId="1" applyNumberFormat="1" applyFont="1" applyFill="1" applyBorder="1" applyAlignment="1">
      <alignment horizontal="right"/>
    </xf>
    <xf numFmtId="37" fontId="2" fillId="5" borderId="7" xfId="1" applyNumberFormat="1" applyFont="1" applyFill="1" applyBorder="1" applyAlignment="1">
      <alignment horizontal="right"/>
    </xf>
    <xf numFmtId="3" fontId="2" fillId="0" borderId="11" xfId="0" applyNumberFormat="1" applyFont="1" applyFill="1" applyBorder="1"/>
    <xf numFmtId="4" fontId="17" fillId="0" borderId="0" xfId="34" applyFont="1" applyFill="1"/>
    <xf numFmtId="164" fontId="3" fillId="0" borderId="0" xfId="1" applyNumberFormat="1" applyFont="1" applyFill="1" applyAlignment="1">
      <alignment horizontal="left"/>
    </xf>
    <xf numFmtId="164" fontId="3" fillId="0" borderId="0" xfId="1" applyNumberFormat="1" applyFont="1" applyFill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quotePrefix="1" applyNumberFormat="1" applyFont="1" applyFill="1" applyAlignment="1">
      <alignment horizontal="left"/>
    </xf>
    <xf numFmtId="37" fontId="3" fillId="0" borderId="0" xfId="1" quotePrefix="1" applyNumberFormat="1" applyFont="1" applyFill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7" fontId="3" fillId="0" borderId="0" xfId="1" applyNumberFormat="1" applyFont="1" applyFill="1" applyAlignment="1">
      <alignment horizontal="center"/>
    </xf>
    <xf numFmtId="37" fontId="60" fillId="5" borderId="7" xfId="1" applyNumberFormat="1" applyFont="1" applyFill="1" applyBorder="1" applyAlignment="1">
      <alignment horizontal="right"/>
    </xf>
    <xf numFmtId="164" fontId="60" fillId="5" borderId="0" xfId="1" applyNumberFormat="1" applyFont="1" applyFill="1" applyBorder="1" applyAlignment="1">
      <alignment horizontal="right"/>
    </xf>
    <xf numFmtId="37" fontId="60" fillId="8" borderId="0" xfId="1" applyNumberFormat="1" applyFont="1" applyFill="1" applyBorder="1" applyAlignment="1">
      <alignment horizontal="right"/>
    </xf>
    <xf numFmtId="0" fontId="83" fillId="0" borderId="0" xfId="0" applyFont="1" applyFill="1" applyAlignment="1">
      <alignment vertical="top" indent="1"/>
    </xf>
    <xf numFmtId="164" fontId="11" fillId="0" borderId="1" xfId="1" quotePrefix="1" applyNumberFormat="1" applyFont="1" applyFill="1" applyBorder="1"/>
    <xf numFmtId="164" fontId="11" fillId="0" borderId="0" xfId="0" quotePrefix="1" applyNumberFormat="1" applyFont="1" applyFill="1" applyBorder="1" applyAlignment="1">
      <alignment horizontal="center"/>
    </xf>
    <xf numFmtId="14" fontId="0" fillId="0" borderId="0" xfId="0" applyNumberForma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18" fillId="0" borderId="35" xfId="0" applyFont="1" applyFill="1" applyBorder="1"/>
    <xf numFmtId="0" fontId="4" fillId="0" borderId="31" xfId="0" applyFont="1" applyFill="1" applyBorder="1" applyAlignment="1">
      <alignment horizontal="center" wrapText="1"/>
    </xf>
    <xf numFmtId="0" fontId="18" fillId="0" borderId="14" xfId="0" applyFont="1" applyFill="1" applyBorder="1"/>
    <xf numFmtId="0" fontId="18" fillId="0" borderId="15" xfId="0" applyFont="1" applyFill="1" applyBorder="1"/>
    <xf numFmtId="0" fontId="4" fillId="0" borderId="14" xfId="0" applyFont="1" applyFill="1" applyBorder="1"/>
    <xf numFmtId="0" fontId="4" fillId="0" borderId="15" xfId="0" applyFont="1" applyFill="1" applyBorder="1"/>
    <xf numFmtId="0" fontId="4" fillId="0" borderId="16" xfId="0" applyFont="1" applyFill="1" applyBorder="1"/>
    <xf numFmtId="0" fontId="4" fillId="0" borderId="25" xfId="0" applyFont="1" applyFill="1" applyBorder="1"/>
    <xf numFmtId="37" fontId="11" fillId="0" borderId="14" xfId="0" applyNumberFormat="1" applyFont="1" applyFill="1" applyBorder="1" applyProtection="1"/>
    <xf numFmtId="0" fontId="18" fillId="0" borderId="16" xfId="0" applyFont="1" applyFill="1" applyBorder="1"/>
    <xf numFmtId="0" fontId="18" fillId="0" borderId="25" xfId="0" applyFont="1" applyFill="1" applyBorder="1"/>
    <xf numFmtId="0" fontId="18" fillId="0" borderId="26" xfId="0" applyFont="1" applyFill="1" applyBorder="1"/>
    <xf numFmtId="0" fontId="18" fillId="0" borderId="17" xfId="0" applyFont="1" applyFill="1" applyBorder="1"/>
    <xf numFmtId="0" fontId="4" fillId="0" borderId="16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22" fillId="0" borderId="3" xfId="0" applyFont="1" applyFill="1" applyBorder="1" applyAlignment="1">
      <alignment horizontal="center" wrapText="1"/>
    </xf>
    <xf numFmtId="0" fontId="22" fillId="0" borderId="17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/>
    </xf>
    <xf numFmtId="0" fontId="18" fillId="0" borderId="0" xfId="0" applyFont="1" applyFill="1" applyBorder="1"/>
    <xf numFmtId="0" fontId="4" fillId="0" borderId="0" xfId="0" applyFont="1" applyFill="1" applyBorder="1"/>
    <xf numFmtId="164" fontId="0" fillId="0" borderId="15" xfId="0" applyNumberFormat="1" applyFill="1" applyBorder="1"/>
    <xf numFmtId="0" fontId="4" fillId="0" borderId="1" xfId="0" applyFont="1" applyFill="1" applyBorder="1"/>
    <xf numFmtId="164" fontId="0" fillId="0" borderId="1" xfId="0" applyNumberFormat="1" applyFill="1" applyBorder="1"/>
    <xf numFmtId="164" fontId="0" fillId="0" borderId="25" xfId="0" applyNumberFormat="1" applyFill="1" applyBorder="1"/>
    <xf numFmtId="0" fontId="18" fillId="0" borderId="1" xfId="0" applyFont="1" applyFill="1" applyBorder="1"/>
    <xf numFmtId="164" fontId="4" fillId="0" borderId="0" xfId="0" applyNumberFormat="1" applyFont="1" applyFill="1" applyBorder="1"/>
    <xf numFmtId="164" fontId="4" fillId="0" borderId="15" xfId="0" applyNumberFormat="1" applyFont="1" applyFill="1" applyBorder="1"/>
    <xf numFmtId="0" fontId="18" fillId="0" borderId="3" xfId="0" applyFont="1" applyFill="1" applyBorder="1"/>
    <xf numFmtId="0" fontId="4" fillId="0" borderId="1" xfId="0" applyFont="1" applyFill="1" applyBorder="1" applyAlignment="1">
      <alignment horizontal="center"/>
    </xf>
    <xf numFmtId="164" fontId="18" fillId="0" borderId="0" xfId="0" applyNumberFormat="1" applyFont="1" applyFill="1" applyBorder="1"/>
    <xf numFmtId="164" fontId="18" fillId="0" borderId="15" xfId="0" applyNumberFormat="1" applyFont="1" applyFill="1" applyBorder="1"/>
    <xf numFmtId="37" fontId="18" fillId="0" borderId="0" xfId="0" applyNumberFormat="1" applyFont="1" applyFill="1"/>
    <xf numFmtId="164" fontId="4" fillId="0" borderId="2" xfId="66" applyNumberFormat="1" applyFont="1" applyFill="1" applyBorder="1" applyAlignment="1">
      <alignment horizontal="center" wrapText="1"/>
    </xf>
    <xf numFmtId="164" fontId="18" fillId="0" borderId="13" xfId="66" applyNumberFormat="1" applyFont="1" applyFill="1" applyBorder="1"/>
    <xf numFmtId="164" fontId="4" fillId="0" borderId="13" xfId="66" applyNumberFormat="1" applyFont="1" applyFill="1" applyBorder="1"/>
    <xf numFmtId="164" fontId="4" fillId="0" borderId="34" xfId="66" applyNumberFormat="1" applyFont="1" applyFill="1" applyBorder="1"/>
    <xf numFmtId="164" fontId="18" fillId="0" borderId="34" xfId="66" applyNumberFormat="1" applyFont="1" applyFill="1" applyBorder="1"/>
    <xf numFmtId="164" fontId="18" fillId="0" borderId="12" xfId="66" applyNumberFormat="1" applyFont="1" applyFill="1" applyBorder="1"/>
    <xf numFmtId="164" fontId="4" fillId="0" borderId="34" xfId="66" applyNumberFormat="1" applyFont="1" applyFill="1" applyBorder="1" applyAlignment="1">
      <alignment horizontal="center"/>
    </xf>
    <xf numFmtId="164" fontId="4" fillId="0" borderId="0" xfId="66" applyNumberFormat="1" applyFont="1" applyFill="1" applyBorder="1"/>
    <xf numFmtId="164" fontId="17" fillId="0" borderId="0" xfId="66" applyNumberFormat="1" applyFont="1" applyFill="1"/>
    <xf numFmtId="37" fontId="3" fillId="5" borderId="0" xfId="1" applyNumberFormat="1" applyFont="1" applyFill="1" applyBorder="1" applyAlignment="1">
      <alignment horizontal="center" wrapText="1"/>
    </xf>
    <xf numFmtId="164" fontId="18" fillId="5" borderId="0" xfId="0" applyNumberFormat="1" applyFont="1" applyFill="1" applyBorder="1"/>
    <xf numFmtId="4" fontId="0" fillId="0" borderId="0" xfId="0" applyNumberFormat="1"/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3" fontId="18" fillId="0" borderId="1" xfId="1" applyFont="1" applyFill="1" applyBorder="1"/>
    <xf numFmtId="43" fontId="17" fillId="0" borderId="0" xfId="1" applyFont="1" applyFill="1"/>
    <xf numFmtId="43" fontId="18" fillId="0" borderId="0" xfId="1" applyFont="1" applyFill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172" fontId="3" fillId="0" borderId="0" xfId="1" applyNumberFormat="1" applyFont="1" applyFill="1" applyBorder="1" applyAlignment="1">
      <alignment horizontal="center"/>
    </xf>
    <xf numFmtId="0" fontId="0" fillId="0" borderId="0" xfId="0" applyBorder="1"/>
    <xf numFmtId="0" fontId="26" fillId="0" borderId="42" xfId="0" applyFont="1" applyFill="1" applyBorder="1"/>
    <xf numFmtId="0" fontId="26" fillId="0" borderId="43" xfId="0" applyFont="1" applyFill="1" applyBorder="1"/>
    <xf numFmtId="0" fontId="26" fillId="0" borderId="44" xfId="0" applyFont="1" applyFill="1" applyBorder="1"/>
    <xf numFmtId="43" fontId="26" fillId="0" borderId="44" xfId="1" applyFont="1" applyFill="1" applyBorder="1"/>
    <xf numFmtId="0" fontId="26" fillId="0" borderId="14" xfId="0" applyFont="1" applyFill="1" applyBorder="1"/>
    <xf numFmtId="43" fontId="26" fillId="0" borderId="45" xfId="1" applyFont="1" applyFill="1" applyBorder="1"/>
    <xf numFmtId="0" fontId="26" fillId="0" borderId="46" xfId="0" applyFont="1" applyFill="1" applyBorder="1"/>
    <xf numFmtId="0" fontId="26" fillId="0" borderId="47" xfId="0" applyFont="1" applyFill="1" applyBorder="1"/>
    <xf numFmtId="43" fontId="26" fillId="0" borderId="48" xfId="1" applyFont="1" applyFill="1" applyBorder="1"/>
    <xf numFmtId="43" fontId="26" fillId="0" borderId="49" xfId="1" applyFont="1" applyFill="1" applyBorder="1"/>
    <xf numFmtId="43" fontId="26" fillId="0" borderId="50" xfId="1" applyFont="1" applyFill="1" applyBorder="1"/>
    <xf numFmtId="37" fontId="3" fillId="0" borderId="1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" fontId="0" fillId="5" borderId="0" xfId="0" applyNumberFormat="1" applyFill="1" applyBorder="1"/>
    <xf numFmtId="37" fontId="0" fillId="5" borderId="25" xfId="0" applyNumberFormat="1" applyFill="1" applyBorder="1"/>
    <xf numFmtId="37" fontId="0" fillId="3" borderId="1" xfId="0" applyNumberFormat="1" applyFill="1" applyBorder="1"/>
    <xf numFmtId="3" fontId="0" fillId="3" borderId="0" xfId="0" applyNumberFormat="1" applyFill="1" applyBorder="1"/>
    <xf numFmtId="0" fontId="3" fillId="0" borderId="0" xfId="0" quotePrefix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quotePrefix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11" fillId="0" borderId="0" xfId="0" quotePrefix="1" applyNumberFormat="1" applyFont="1" applyFill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" xfId="0" quotePrefix="1" applyFont="1" applyFill="1" applyBorder="1" applyAlignment="1">
      <alignment horizontal="center"/>
    </xf>
    <xf numFmtId="17" fontId="3" fillId="0" borderId="34" xfId="17" quotePrefix="1" applyNumberFormat="1" applyFont="1" applyFill="1" applyBorder="1" applyAlignment="1">
      <alignment horizontal="center"/>
    </xf>
    <xf numFmtId="10" fontId="2" fillId="0" borderId="13" xfId="17" applyNumberFormat="1" applyFont="1" applyFill="1" applyBorder="1" applyAlignment="1">
      <alignment horizontal="center"/>
    </xf>
    <xf numFmtId="10" fontId="3" fillId="0" borderId="13" xfId="17" quotePrefix="1" applyNumberFormat="1" applyFont="1" applyFill="1" applyBorder="1" applyAlignment="1">
      <alignment horizontal="center"/>
    </xf>
    <xf numFmtId="37" fontId="3" fillId="0" borderId="34" xfId="1" quotePrefix="1" applyNumberFormat="1" applyFont="1" applyFill="1" applyBorder="1" applyAlignment="1">
      <alignment horizontal="center" wrapText="1"/>
    </xf>
    <xf numFmtId="171" fontId="3" fillId="0" borderId="2" xfId="17" quotePrefix="1" applyNumberFormat="1" applyFont="1" applyFill="1" applyBorder="1" applyAlignment="1">
      <alignment horizontal="center"/>
    </xf>
    <xf numFmtId="0" fontId="3" fillId="0" borderId="2" xfId="0" quotePrefix="1" applyFont="1" applyFill="1" applyBorder="1" applyAlignment="1">
      <alignment horizontal="center" wrapText="1"/>
    </xf>
    <xf numFmtId="10" fontId="2" fillId="0" borderId="12" xfId="17" quotePrefix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/>
    </xf>
    <xf numFmtId="37" fontId="3" fillId="0" borderId="13" xfId="1" applyNumberFormat="1" applyFont="1" applyFill="1" applyBorder="1" applyAlignment="1">
      <alignment horizontal="center" wrapText="1"/>
    </xf>
    <xf numFmtId="4" fontId="82" fillId="0" borderId="0" xfId="0" applyNumberFormat="1" applyFont="1" applyFill="1"/>
    <xf numFmtId="164" fontId="3" fillId="0" borderId="0" xfId="1" applyNumberFormat="1" applyFont="1" applyFill="1" applyBorder="1" applyAlignment="1"/>
    <xf numFmtId="10" fontId="2" fillId="0" borderId="0" xfId="0" applyNumberFormat="1" applyFont="1" applyFill="1" applyAlignment="1">
      <alignment horizontal="right"/>
    </xf>
    <xf numFmtId="0" fontId="11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11" fillId="0" borderId="0" xfId="0" applyNumberFormat="1" applyFont="1" applyFill="1" applyAlignment="1">
      <alignment horizontal="center"/>
    </xf>
    <xf numFmtId="0" fontId="11" fillId="0" borderId="5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37" fontId="3" fillId="0" borderId="0" xfId="1" quotePrefix="1" applyNumberFormat="1" applyFont="1" applyFill="1" applyAlignment="1">
      <alignment horizontal="left"/>
    </xf>
    <xf numFmtId="37" fontId="0" fillId="0" borderId="1" xfId="0" quotePrefix="1" applyNumberFormat="1" applyFill="1" applyBorder="1" applyAlignment="1"/>
    <xf numFmtId="5" fontId="2" fillId="0" borderId="0" xfId="0" applyNumberFormat="1" applyFont="1" applyFill="1"/>
    <xf numFmtId="43" fontId="0" fillId="0" borderId="1" xfId="1" applyFont="1" applyFill="1" applyBorder="1"/>
    <xf numFmtId="5" fontId="5" fillId="0" borderId="1" xfId="1" applyNumberFormat="1" applyFont="1" applyFill="1" applyBorder="1" applyAlignment="1">
      <alignment horizontal="right"/>
    </xf>
    <xf numFmtId="0" fontId="86" fillId="0" borderId="0" xfId="0" applyFont="1" applyFill="1"/>
    <xf numFmtId="164" fontId="35" fillId="0" borderId="0" xfId="66" applyNumberFormat="1" applyFont="1" applyFill="1" applyAlignment="1"/>
    <xf numFmtId="164" fontId="35" fillId="0" borderId="0" xfId="66" applyNumberFormat="1" applyFont="1" applyFill="1"/>
    <xf numFmtId="164" fontId="87" fillId="0" borderId="29" xfId="66" applyNumberFormat="1" applyFont="1" applyFill="1" applyBorder="1" applyProtection="1"/>
    <xf numFmtId="37" fontId="86" fillId="0" borderId="0" xfId="66" applyNumberFormat="1" applyFont="1" applyFill="1" applyAlignment="1"/>
    <xf numFmtId="37" fontId="86" fillId="0" borderId="0" xfId="66" applyNumberFormat="1" applyFont="1" applyFill="1" applyAlignment="1">
      <alignment horizontal="left"/>
    </xf>
    <xf numFmtId="0" fontId="88" fillId="0" borderId="0" xfId="0" applyFont="1" applyFill="1" applyAlignment="1" applyProtection="1">
      <alignment horizontal="left"/>
    </xf>
    <xf numFmtId="14" fontId="86" fillId="0" borderId="0" xfId="0" applyNumberFormat="1" applyFont="1" applyFill="1" applyAlignment="1">
      <alignment horizontal="left"/>
    </xf>
    <xf numFmtId="37" fontId="86" fillId="0" borderId="0" xfId="66" applyNumberFormat="1" applyFont="1" applyFill="1"/>
    <xf numFmtId="0" fontId="87" fillId="0" borderId="0" xfId="0" applyFont="1" applyFill="1" applyProtection="1"/>
    <xf numFmtId="21" fontId="86" fillId="0" borderId="0" xfId="0" applyNumberFormat="1" applyFont="1" applyFill="1" applyAlignment="1">
      <alignment horizontal="left"/>
    </xf>
    <xf numFmtId="164" fontId="86" fillId="0" borderId="0" xfId="66" applyNumberFormat="1" applyFont="1" applyFill="1"/>
    <xf numFmtId="49" fontId="86" fillId="0" borderId="0" xfId="66" applyNumberFormat="1" applyFont="1" applyFill="1" applyAlignment="1">
      <alignment horizontal="center"/>
    </xf>
    <xf numFmtId="164" fontId="86" fillId="0" borderId="0" xfId="66" applyNumberFormat="1" applyFont="1" applyFill="1" applyAlignment="1">
      <alignment horizontal="center"/>
    </xf>
    <xf numFmtId="37" fontId="87" fillId="0" borderId="0" xfId="0" applyNumberFormat="1" applyFont="1" applyFill="1" applyAlignment="1" applyProtection="1">
      <alignment horizontal="centerContinuous"/>
    </xf>
    <xf numFmtId="0" fontId="86" fillId="0" borderId="0" xfId="0" applyFont="1" applyFill="1" applyBorder="1"/>
    <xf numFmtId="164" fontId="87" fillId="0" borderId="29" xfId="66" applyNumberFormat="1" applyFont="1" applyFill="1" applyBorder="1" applyAlignment="1" applyProtection="1">
      <alignment horizontal="center"/>
    </xf>
    <xf numFmtId="49" fontId="35" fillId="0" borderId="0" xfId="66" applyNumberFormat="1" applyFont="1" applyFill="1" applyAlignment="1">
      <alignment wrapText="1"/>
    </xf>
    <xf numFmtId="164" fontId="35" fillId="0" borderId="0" xfId="66" applyNumberFormat="1" applyFont="1" applyFill="1" applyAlignment="1">
      <alignment wrapText="1"/>
    </xf>
    <xf numFmtId="0" fontId="87" fillId="0" borderId="1" xfId="0" applyFont="1" applyFill="1" applyBorder="1" applyAlignment="1" applyProtection="1">
      <alignment horizontal="left"/>
    </xf>
    <xf numFmtId="164" fontId="35" fillId="0" borderId="1" xfId="66" applyNumberFormat="1" applyFont="1" applyFill="1" applyBorder="1"/>
    <xf numFmtId="0" fontId="86" fillId="0" borderId="1" xfId="0" applyFont="1" applyFill="1" applyBorder="1"/>
    <xf numFmtId="180" fontId="87" fillId="0" borderId="30" xfId="66" applyNumberFormat="1" applyFont="1" applyFill="1" applyBorder="1" applyAlignment="1" applyProtection="1">
      <alignment horizontal="center"/>
    </xf>
    <xf numFmtId="0" fontId="87" fillId="0" borderId="0" xfId="0" applyFont="1" applyFill="1" applyBorder="1" applyProtection="1"/>
    <xf numFmtId="180" fontId="87" fillId="0" borderId="29" xfId="66" applyNumberFormat="1" applyFont="1" applyFill="1" applyBorder="1" applyAlignment="1" applyProtection="1">
      <alignment horizontal="center"/>
    </xf>
    <xf numFmtId="0" fontId="88" fillId="0" borderId="0" xfId="0" applyFont="1" applyFill="1" applyBorder="1" applyProtection="1"/>
    <xf numFmtId="0" fontId="87" fillId="0" borderId="0" xfId="0" applyFont="1" applyFill="1" applyAlignment="1" applyProtection="1">
      <alignment horizontal="centerContinuous"/>
    </xf>
    <xf numFmtId="164" fontId="86" fillId="0" borderId="29" xfId="66" applyNumberFormat="1" applyFont="1" applyFill="1" applyBorder="1" applyProtection="1"/>
    <xf numFmtId="49" fontId="86" fillId="0" borderId="0" xfId="66" applyNumberFormat="1" applyFont="1" applyFill="1"/>
    <xf numFmtId="0" fontId="87" fillId="0" borderId="0" xfId="0" applyFont="1" applyFill="1" applyBorder="1" applyAlignment="1" applyProtection="1">
      <alignment horizontal="centerContinuous"/>
    </xf>
    <xf numFmtId="164" fontId="86" fillId="0" borderId="41" xfId="66" applyNumberFormat="1" applyFont="1" applyFill="1" applyBorder="1" applyProtection="1"/>
    <xf numFmtId="37" fontId="87" fillId="0" borderId="0" xfId="0" applyNumberFormat="1" applyFont="1" applyFill="1" applyProtection="1"/>
    <xf numFmtId="37" fontId="87" fillId="0" borderId="0" xfId="0" applyNumberFormat="1" applyFont="1" applyFill="1" applyBorder="1" applyProtection="1"/>
    <xf numFmtId="0" fontId="87" fillId="0" borderId="0" xfId="0" quotePrefix="1" applyFont="1" applyFill="1" applyAlignment="1" applyProtection="1">
      <alignment horizontal="left"/>
    </xf>
    <xf numFmtId="37" fontId="88" fillId="0" borderId="0" xfId="0" applyNumberFormat="1" applyFont="1" applyFill="1" applyBorder="1" applyProtection="1"/>
    <xf numFmtId="164" fontId="87" fillId="0" borderId="41" xfId="66" applyNumberFormat="1" applyFont="1" applyFill="1" applyBorder="1" applyProtection="1"/>
    <xf numFmtId="0" fontId="10" fillId="0" borderId="0" xfId="0" applyNumberFormat="1" applyFont="1" applyFill="1" applyAlignment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0" xfId="0" quotePrefix="1" applyFont="1" applyFill="1" applyBorder="1" applyAlignment="1" applyProtection="1">
      <alignment horizontal="left"/>
    </xf>
    <xf numFmtId="17" fontId="4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184" fontId="4" fillId="0" borderId="0" xfId="0" quotePrefix="1" applyNumberFormat="1" applyFont="1" applyFill="1" applyAlignment="1" applyProtection="1">
      <alignment horizontal="center"/>
    </xf>
    <xf numFmtId="37" fontId="54" fillId="0" borderId="0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54" fillId="0" borderId="0" xfId="0" applyFont="1" applyFill="1" applyAlignment="1" applyProtection="1">
      <alignment horizontal="left"/>
    </xf>
    <xf numFmtId="5" fontId="4" fillId="0" borderId="0" xfId="0" applyNumberFormat="1" applyFont="1" applyFill="1" applyBorder="1" applyProtection="1"/>
    <xf numFmtId="164" fontId="4" fillId="0" borderId="0" xfId="0" applyNumberFormat="1" applyFont="1" applyFill="1" applyBorder="1" applyProtection="1"/>
    <xf numFmtId="5" fontId="55" fillId="0" borderId="0" xfId="0" applyNumberFormat="1" applyFont="1" applyFill="1" applyBorder="1" applyProtection="1"/>
    <xf numFmtId="0" fontId="22" fillId="0" borderId="11" xfId="0" applyFont="1" applyFill="1" applyBorder="1" applyProtection="1"/>
    <xf numFmtId="0" fontId="22" fillId="0" borderId="0" xfId="0" quotePrefix="1" applyFont="1" applyFill="1" applyAlignment="1" applyProtection="1">
      <alignment horizontal="left"/>
    </xf>
    <xf numFmtId="10" fontId="55" fillId="0" borderId="0" xfId="0" applyNumberFormat="1" applyFont="1" applyFill="1" applyBorder="1" applyProtection="1"/>
    <xf numFmtId="0" fontId="10" fillId="0" borderId="0" xfId="0" applyNumberFormat="1" applyFont="1" applyFill="1" applyAlignment="1">
      <alignment horizontal="center"/>
    </xf>
    <xf numFmtId="15" fontId="0" fillId="0" borderId="0" xfId="27" quotePrefix="1" applyFont="1"/>
    <xf numFmtId="0" fontId="18" fillId="0" borderId="1" xfId="41" applyFont="1" applyFill="1" applyBorder="1" applyAlignment="1">
      <alignment horizontal="center" wrapText="1"/>
    </xf>
    <xf numFmtId="0" fontId="17" fillId="0" borderId="0" xfId="20" applyFont="1" applyFill="1" applyBorder="1" applyAlignment="1"/>
    <xf numFmtId="4" fontId="17" fillId="0" borderId="0" xfId="34" applyFont="1" applyFill="1" applyBorder="1"/>
    <xf numFmtId="15" fontId="17" fillId="0" borderId="0" xfId="27" quotePrefix="1" applyFont="1" applyFill="1" applyBorder="1"/>
    <xf numFmtId="0" fontId="18" fillId="0" borderId="0" xfId="20" applyFont="1" applyFill="1" applyBorder="1" applyAlignment="1"/>
    <xf numFmtId="0" fontId="2" fillId="0" borderId="12" xfId="0" quotePrefix="1" applyNumberFormat="1" applyFont="1" applyFill="1" applyBorder="1" applyAlignment="1">
      <alignment horizontal="center"/>
    </xf>
    <xf numFmtId="0" fontId="2" fillId="0" borderId="13" xfId="0" applyNumberFormat="1" applyFont="1" applyFill="1" applyBorder="1"/>
    <xf numFmtId="0" fontId="11" fillId="0" borderId="13" xfId="0" applyNumberFormat="1" applyFont="1" applyFill="1" applyBorder="1" applyAlignment="1">
      <alignment horizontal="center"/>
    </xf>
    <xf numFmtId="10" fontId="2" fillId="0" borderId="13" xfId="0" applyNumberFormat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164" fontId="3" fillId="0" borderId="0" xfId="1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37" fontId="3" fillId="0" borderId="0" xfId="0" applyNumberFormat="1" applyFont="1" applyFill="1" applyAlignment="1">
      <alignment horizontal="right"/>
    </xf>
    <xf numFmtId="0" fontId="26" fillId="0" borderId="0" xfId="0" applyFont="1" applyFill="1" applyBorder="1"/>
    <xf numFmtId="0" fontId="17" fillId="0" borderId="0" xfId="6"/>
    <xf numFmtId="0" fontId="17" fillId="0" borderId="0" xfId="20" applyFont="1" applyAlignment="1"/>
    <xf numFmtId="0" fontId="17" fillId="0" borderId="0" xfId="20" applyFont="1" applyAlignment="1"/>
    <xf numFmtId="0" fontId="18" fillId="0" borderId="1" xfId="41" applyAlignment="1">
      <alignment horizontal="center" wrapText="1"/>
    </xf>
    <xf numFmtId="0" fontId="17" fillId="0" borderId="0" xfId="20" applyFont="1" applyAlignment="1"/>
    <xf numFmtId="0" fontId="18" fillId="0" borderId="1" xfId="41" applyAlignment="1">
      <alignment horizontal="center" wrapText="1"/>
    </xf>
    <xf numFmtId="4" fontId="17" fillId="0" borderId="0" xfId="34" applyFont="1"/>
    <xf numFmtId="15" fontId="17" fillId="0" borderId="0" xfId="27" quotePrefix="1" applyFont="1"/>
    <xf numFmtId="3" fontId="17" fillId="0" borderId="0" xfId="47" applyFont="1"/>
    <xf numFmtId="17" fontId="3" fillId="0" borderId="0" xfId="0" quotePrefix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0" fontId="2" fillId="4" borderId="0" xfId="17" applyNumberFormat="1" applyFont="1" applyFill="1" applyBorder="1"/>
    <xf numFmtId="10" fontId="0" fillId="4" borderId="1" xfId="17" applyNumberFormat="1" applyFont="1" applyFill="1" applyBorder="1"/>
    <xf numFmtId="10" fontId="46" fillId="4" borderId="0" xfId="17" applyNumberFormat="1" applyFont="1" applyFill="1" applyBorder="1"/>
    <xf numFmtId="10" fontId="0" fillId="4" borderId="0" xfId="0" applyNumberFormat="1" applyFill="1" applyBorder="1"/>
    <xf numFmtId="10" fontId="0" fillId="4" borderId="3" xfId="0" applyNumberFormat="1" applyFill="1" applyBorder="1"/>
    <xf numFmtId="10" fontId="46" fillId="4" borderId="1" xfId="17" applyNumberFormat="1" applyFont="1" applyFill="1" applyBorder="1" applyAlignment="1">
      <alignment horizontal="right"/>
    </xf>
    <xf numFmtId="10" fontId="0" fillId="4" borderId="0" xfId="17" applyNumberFormat="1" applyFont="1" applyFill="1" applyBorder="1"/>
    <xf numFmtId="10" fontId="0" fillId="4" borderId="1" xfId="0" applyNumberFormat="1" applyFill="1" applyBorder="1"/>
    <xf numFmtId="164" fontId="0" fillId="4" borderId="3" xfId="1" applyNumberFormat="1" applyFont="1" applyFill="1" applyBorder="1"/>
    <xf numFmtId="164" fontId="0" fillId="4" borderId="1" xfId="1" applyNumberFormat="1" applyFont="1" applyFill="1" applyBorder="1"/>
    <xf numFmtId="10" fontId="0" fillId="4" borderId="51" xfId="0" applyNumberFormat="1" applyFill="1" applyBorder="1"/>
    <xf numFmtId="164" fontId="0" fillId="4" borderId="3" xfId="1" quotePrefix="1" applyNumberFormat="1" applyFont="1" applyFill="1" applyBorder="1" applyAlignment="1">
      <alignment horizontal="center"/>
    </xf>
    <xf numFmtId="164" fontId="0" fillId="0" borderId="51" xfId="1" applyNumberFormat="1" applyFont="1" applyFill="1" applyBorder="1"/>
    <xf numFmtId="10" fontId="0" fillId="0" borderId="51" xfId="17" applyNumberFormat="1" applyFont="1" applyFill="1" applyBorder="1"/>
    <xf numFmtId="49" fontId="74" fillId="0" borderId="51" xfId="0" applyNumberFormat="1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49" fontId="0" fillId="0" borderId="0" xfId="0" applyNumberFormat="1"/>
    <xf numFmtId="0" fontId="0" fillId="0" borderId="0" xfId="0" quotePrefix="1"/>
    <xf numFmtId="14" fontId="0" fillId="0" borderId="0" xfId="0" applyNumberFormat="1"/>
    <xf numFmtId="3" fontId="74" fillId="0" borderId="51" xfId="1" applyNumberFormat="1" applyFont="1" applyBorder="1" applyAlignment="1">
      <alignment horizontal="center"/>
    </xf>
    <xf numFmtId="37" fontId="2" fillId="4" borderId="0" xfId="1" applyNumberFormat="1" applyFont="1" applyFill="1" applyBorder="1" applyAlignment="1">
      <alignment horizontal="center"/>
    </xf>
    <xf numFmtId="37" fontId="2" fillId="4" borderId="7" xfId="1" applyNumberFormat="1" applyFont="1" applyFill="1" applyBorder="1" applyAlignment="1">
      <alignment horizontal="center"/>
    </xf>
    <xf numFmtId="37" fontId="10" fillId="0" borderId="0" xfId="0" applyNumberFormat="1" applyFont="1" applyFill="1" applyAlignment="1" applyProtection="1">
      <alignment horizontal="center"/>
    </xf>
    <xf numFmtId="37" fontId="0" fillId="0" borderId="19" xfId="0" applyNumberFormat="1" applyFill="1" applyBorder="1"/>
    <xf numFmtId="164" fontId="4" fillId="0" borderId="1" xfId="0" applyNumberFormat="1" applyFont="1" applyFill="1" applyBorder="1"/>
    <xf numFmtId="164" fontId="4" fillId="0" borderId="25" xfId="0" applyNumberFormat="1" applyFont="1" applyFill="1" applyBorder="1"/>
    <xf numFmtId="164" fontId="47" fillId="0" borderId="19" xfId="1" applyNumberFormat="1" applyFont="1" applyFill="1" applyBorder="1"/>
    <xf numFmtId="164" fontId="2" fillId="0" borderId="7" xfId="0" applyNumberFormat="1" applyFont="1" applyFill="1" applyBorder="1"/>
    <xf numFmtId="185" fontId="0" fillId="0" borderId="0" xfId="0" applyNumberFormat="1" applyFill="1"/>
    <xf numFmtId="37" fontId="0" fillId="0" borderId="51" xfId="0" applyNumberFormat="1" applyFill="1" applyBorder="1"/>
    <xf numFmtId="174" fontId="0" fillId="0" borderId="11" xfId="0" applyNumberFormat="1" applyFill="1" applyBorder="1"/>
    <xf numFmtId="174" fontId="0" fillId="0" borderId="36" xfId="0" applyNumberFormat="1" applyFill="1" applyBorder="1"/>
    <xf numFmtId="0" fontId="3" fillId="0" borderId="26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5" fontId="0" fillId="0" borderId="0" xfId="0" applyNumberFormat="1"/>
    <xf numFmtId="0" fontId="3" fillId="0" borderId="0" xfId="0" quotePrefix="1" applyFont="1" applyFill="1" applyBorder="1" applyAlignment="1">
      <alignment horizontal="center"/>
    </xf>
    <xf numFmtId="0" fontId="18" fillId="0" borderId="1" xfId="41" applyFont="1" applyFill="1" applyAlignment="1">
      <alignment horizontal="center" wrapText="1"/>
    </xf>
    <xf numFmtId="4" fontId="2" fillId="0" borderId="0" xfId="0" applyNumberFormat="1" applyFont="1" applyFill="1"/>
    <xf numFmtId="0" fontId="17" fillId="0" borderId="0" xfId="20" applyFont="1" applyAlignment="1"/>
    <xf numFmtId="4" fontId="17" fillId="0" borderId="0" xfId="34" applyFont="1"/>
    <xf numFmtId="15" fontId="17" fillId="0" borderId="0" xfId="27" quotePrefix="1" applyFont="1"/>
    <xf numFmtId="0" fontId="17" fillId="0" borderId="0" xfId="20" applyFont="1" applyAlignment="1"/>
    <xf numFmtId="49" fontId="2" fillId="0" borderId="0" xfId="0" applyNumberFormat="1" applyFont="1"/>
    <xf numFmtId="181" fontId="0" fillId="0" borderId="0" xfId="0" applyNumberFormat="1" applyFill="1"/>
    <xf numFmtId="0" fontId="3" fillId="0" borderId="0" xfId="0" quotePrefix="1" applyFont="1" applyFill="1" applyBorder="1" applyAlignment="1">
      <alignment horizontal="center"/>
    </xf>
    <xf numFmtId="10" fontId="46" fillId="4" borderId="51" xfId="17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182" fontId="66" fillId="0" borderId="11" xfId="16" applyFont="1" applyFill="1" applyBorder="1" applyAlignment="1" applyProtection="1">
      <alignment horizontal="center"/>
    </xf>
    <xf numFmtId="10" fontId="2" fillId="4" borderId="3" xfId="0" applyNumberFormat="1" applyFont="1" applyFill="1" applyBorder="1"/>
    <xf numFmtId="43" fontId="26" fillId="0" borderId="52" xfId="1" applyFont="1" applyFill="1" applyBorder="1"/>
    <xf numFmtId="43" fontId="0" fillId="0" borderId="0" xfId="1" applyFont="1" applyFill="1" applyBorder="1"/>
    <xf numFmtId="43" fontId="26" fillId="0" borderId="35" xfId="1" applyFont="1" applyFill="1" applyBorder="1"/>
    <xf numFmtId="43" fontId="26" fillId="0" borderId="31" xfId="1" applyFont="1" applyFill="1" applyBorder="1"/>
    <xf numFmtId="182" fontId="66" fillId="0" borderId="0" xfId="16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9" fontId="2" fillId="0" borderId="0" xfId="77" applyNumberFormat="1" applyFont="1" applyFill="1" applyAlignment="1">
      <alignment horizontal="left"/>
    </xf>
    <xf numFmtId="164" fontId="2" fillId="0" borderId="0" xfId="77" applyNumberFormat="1" applyFont="1" applyFill="1"/>
    <xf numFmtId="164" fontId="0" fillId="0" borderId="0" xfId="77" applyNumberFormat="1" applyFont="1" applyFill="1"/>
    <xf numFmtId="0" fontId="89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Protection="1"/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7" fontId="3" fillId="0" borderId="0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0" fontId="0" fillId="4" borderId="51" xfId="17" applyNumberFormat="1" applyFont="1" applyFill="1" applyBorder="1"/>
    <xf numFmtId="165" fontId="3" fillId="0" borderId="0" xfId="0" applyNumberFormat="1" applyFont="1" applyFill="1"/>
    <xf numFmtId="0" fontId="4" fillId="0" borderId="51" xfId="0" applyFont="1" applyFill="1" applyBorder="1" applyAlignment="1" applyProtection="1">
      <alignment horizontal="center"/>
    </xf>
    <xf numFmtId="0" fontId="22" fillId="0" borderId="0" xfId="0" applyFont="1" applyFill="1" applyAlignment="1" applyProtection="1">
      <alignment horizontal="left"/>
    </xf>
    <xf numFmtId="5" fontId="22" fillId="0" borderId="7" xfId="0" applyNumberFormat="1" applyFont="1" applyFill="1" applyBorder="1" applyProtection="1"/>
    <xf numFmtId="0" fontId="22" fillId="0" borderId="0" xfId="0" applyFont="1" applyFill="1" applyBorder="1" applyAlignment="1" applyProtection="1">
      <alignment horizontal="left"/>
    </xf>
    <xf numFmtId="164" fontId="22" fillId="0" borderId="0" xfId="77" applyNumberFormat="1" applyFont="1" applyFill="1" applyBorder="1" applyProtection="1"/>
    <xf numFmtId="0" fontId="4" fillId="0" borderId="0" xfId="0" applyFont="1" applyFill="1" applyBorder="1" applyProtection="1"/>
    <xf numFmtId="5" fontId="55" fillId="0" borderId="7" xfId="0" applyNumberFormat="1" applyFont="1" applyFill="1" applyBorder="1" applyProtection="1"/>
    <xf numFmtId="5" fontId="4" fillId="0" borderId="7" xfId="0" applyNumberFormat="1" applyFont="1" applyFill="1" applyBorder="1" applyProtection="1"/>
    <xf numFmtId="5" fontId="4" fillId="0" borderId="24" xfId="0" applyNumberFormat="1" applyFont="1" applyFill="1" applyBorder="1" applyProtection="1"/>
    <xf numFmtId="5" fontId="55" fillId="0" borderId="24" xfId="0" applyNumberFormat="1" applyFont="1" applyFill="1" applyBorder="1" applyProtection="1"/>
    <xf numFmtId="7" fontId="4" fillId="0" borderId="0" xfId="0" applyNumberFormat="1" applyFont="1" applyFill="1" applyBorder="1"/>
    <xf numFmtId="7" fontId="4" fillId="0" borderId="53" xfId="0" applyNumberFormat="1" applyFont="1" applyFill="1" applyBorder="1"/>
    <xf numFmtId="184" fontId="4" fillId="0" borderId="0" xfId="0" quotePrefix="1" applyNumberFormat="1" applyFont="1" applyFill="1" applyAlignment="1" applyProtection="1">
      <alignment horizontal="left"/>
    </xf>
    <xf numFmtId="17" fontId="4" fillId="0" borderId="0" xfId="0" applyNumberFormat="1" applyFont="1" applyFill="1" applyAlignment="1" applyProtection="1"/>
    <xf numFmtId="10" fontId="33" fillId="0" borderId="0" xfId="17" applyNumberFormat="1" applyFont="1" applyFill="1" applyBorder="1"/>
    <xf numFmtId="0" fontId="2" fillId="0" borderId="11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11" fillId="0" borderId="0" xfId="0" quotePrefix="1" applyNumberFormat="1" applyFont="1" applyFill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3" fillId="0" borderId="34" xfId="0" applyFont="1" applyFill="1" applyBorder="1" applyAlignment="1">
      <alignment horizontal="center"/>
    </xf>
    <xf numFmtId="10" fontId="3" fillId="0" borderId="13" xfId="17" applyNumberFormat="1" applyFont="1" applyFill="1" applyBorder="1" applyAlignment="1">
      <alignment horizontal="center"/>
    </xf>
    <xf numFmtId="37" fontId="2" fillId="0" borderId="12" xfId="1" quotePrefix="1" applyNumberFormat="1" applyFont="1" applyFill="1" applyBorder="1" applyAlignment="1">
      <alignment horizontal="center"/>
    </xf>
    <xf numFmtId="10" fontId="2" fillId="0" borderId="0" xfId="0" applyNumberFormat="1" applyFont="1" applyFill="1" applyBorder="1" applyAlignment="1">
      <alignment horizontal="center"/>
    </xf>
    <xf numFmtId="0" fontId="2" fillId="0" borderId="0" xfId="0" quotePrefix="1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10" fontId="10" fillId="0" borderId="0" xfId="0" applyNumberFormat="1" applyFont="1" applyFill="1" applyBorder="1" applyAlignment="1">
      <alignment horizontal="center"/>
    </xf>
    <xf numFmtId="10" fontId="3" fillId="0" borderId="12" xfId="0" applyNumberFormat="1" applyFont="1" applyFill="1" applyBorder="1" applyAlignment="1">
      <alignment horizontal="center"/>
    </xf>
    <xf numFmtId="10" fontId="2" fillId="0" borderId="34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43" fontId="0" fillId="0" borderId="0" xfId="1" applyFont="1"/>
    <xf numFmtId="0" fontId="0" fillId="0" borderId="0" xfId="0" applyFill="1" applyAlignment="1">
      <alignment horizontal="center"/>
    </xf>
    <xf numFmtId="49" fontId="0" fillId="0" borderId="0" xfId="0" quotePrefix="1" applyNumberFormat="1" applyFont="1"/>
    <xf numFmtId="1" fontId="0" fillId="0" borderId="0" xfId="0" applyNumberFormat="1"/>
    <xf numFmtId="0" fontId="90" fillId="0" borderId="0" xfId="109"/>
    <xf numFmtId="186" fontId="90" fillId="0" borderId="0" xfId="109" applyNumberFormat="1"/>
    <xf numFmtId="14" fontId="90" fillId="0" borderId="0" xfId="109" applyNumberFormat="1"/>
    <xf numFmtId="186" fontId="0" fillId="0" borderId="0" xfId="0" applyNumberFormat="1"/>
    <xf numFmtId="187" fontId="54" fillId="0" borderId="0" xfId="110" applyNumberFormat="1" applyFont="1" applyFill="1" applyBorder="1" applyProtection="1"/>
    <xf numFmtId="0" fontId="3" fillId="0" borderId="0" xfId="0" applyFont="1" applyFill="1" applyAlignment="1">
      <alignment horizontal="center"/>
    </xf>
    <xf numFmtId="182" fontId="66" fillId="0" borderId="0" xfId="16" applyFont="1" applyFill="1" applyAlignment="1" applyProtection="1">
      <alignment horizontal="center"/>
    </xf>
    <xf numFmtId="182" fontId="65" fillId="0" borderId="0" xfId="16" applyFont="1" applyFill="1" applyAlignment="1" applyProtection="1">
      <alignment horizontal="center"/>
    </xf>
    <xf numFmtId="10" fontId="66" fillId="0" borderId="0" xfId="17" applyNumberFormat="1" applyFont="1" applyFill="1" applyProtection="1"/>
    <xf numFmtId="182" fontId="65" fillId="0" borderId="0" xfId="16" applyFont="1" applyFill="1" applyBorder="1" applyAlignment="1" applyProtection="1">
      <alignment horizontal="centerContinuous"/>
    </xf>
    <xf numFmtId="182" fontId="65" fillId="0" borderId="0" xfId="16" applyFont="1" applyFill="1" applyBorder="1" applyAlignment="1">
      <alignment horizontal="centerContinuous"/>
    </xf>
    <xf numFmtId="182" fontId="66" fillId="0" borderId="0" xfId="16" applyFont="1" applyFill="1" applyBorder="1" applyAlignment="1" applyProtection="1">
      <alignment horizontal="centerContinuous"/>
    </xf>
    <xf numFmtId="182" fontId="65" fillId="0" borderId="0" xfId="16" applyFont="1" applyFill="1" applyBorder="1" applyAlignment="1">
      <alignment horizontal="left"/>
    </xf>
    <xf numFmtId="182" fontId="66" fillId="0" borderId="0" xfId="16" applyFont="1" applyFill="1" applyBorder="1" applyAlignment="1" applyProtection="1">
      <alignment horizontal="center"/>
    </xf>
    <xf numFmtId="10" fontId="92" fillId="0" borderId="0" xfId="16" applyNumberFormat="1" applyFont="1" applyFill="1" applyProtection="1"/>
    <xf numFmtId="164" fontId="18" fillId="0" borderId="1" xfId="1" applyNumberFormat="1" applyFont="1" applyBorder="1"/>
    <xf numFmtId="164" fontId="0" fillId="0" borderId="0" xfId="1" applyNumberFormat="1" applyFont="1"/>
    <xf numFmtId="164" fontId="17" fillId="0" borderId="0" xfId="1" applyNumberFormat="1" applyFont="1"/>
    <xf numFmtId="0" fontId="2" fillId="0" borderId="0" xfId="0" applyNumberFormat="1" applyFont="1" applyFill="1" applyAlignment="1">
      <alignment horizontal="left" vertical="top" wrapText="1"/>
    </xf>
    <xf numFmtId="0" fontId="11" fillId="0" borderId="37" xfId="0" quotePrefix="1" applyNumberFormat="1" applyFont="1" applyFill="1" applyBorder="1" applyAlignment="1">
      <alignment horizontal="center"/>
    </xf>
    <xf numFmtId="43" fontId="2" fillId="0" borderId="0" xfId="1" applyFont="1" applyFill="1"/>
    <xf numFmtId="49" fontId="3" fillId="0" borderId="1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0" fontId="2" fillId="0" borderId="0" xfId="17" applyNumberFormat="1" applyFont="1" applyFill="1" applyBorder="1"/>
    <xf numFmtId="167" fontId="2" fillId="0" borderId="0" xfId="0" applyNumberFormat="1" applyFont="1" applyFill="1"/>
    <xf numFmtId="168" fontId="2" fillId="0" borderId="7" xfId="0" quotePrefix="1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37" fontId="2" fillId="0" borderId="3" xfId="0" applyNumberFormat="1" applyFont="1" applyFill="1" applyBorder="1" applyAlignment="1">
      <alignment horizontal="right"/>
    </xf>
    <xf numFmtId="10" fontId="2" fillId="0" borderId="3" xfId="0" applyNumberFormat="1" applyFont="1" applyFill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26" fillId="0" borderId="26" xfId="0" applyFont="1" applyFill="1" applyBorder="1" applyAlignment="1">
      <alignment horizontal="center"/>
    </xf>
    <xf numFmtId="0" fontId="26" fillId="0" borderId="3" xfId="0" applyFont="1" applyFill="1" applyBorder="1" applyAlignment="1">
      <alignment horizontal="center"/>
    </xf>
    <xf numFmtId="0" fontId="26" fillId="0" borderId="17" xfId="0" applyFont="1" applyFill="1" applyBorder="1" applyAlignment="1">
      <alignment horizontal="center"/>
    </xf>
    <xf numFmtId="0" fontId="26" fillId="0" borderId="26" xfId="0" applyFont="1" applyFill="1" applyBorder="1" applyAlignment="1">
      <alignment horizontal="left"/>
    </xf>
    <xf numFmtId="0" fontId="26" fillId="0" borderId="3" xfId="0" applyFont="1" applyFill="1" applyBorder="1" applyAlignment="1">
      <alignment horizontal="left"/>
    </xf>
    <xf numFmtId="0" fontId="26" fillId="0" borderId="17" xfId="0" applyFont="1" applyFill="1" applyBorder="1" applyAlignment="1">
      <alignment horizontal="left"/>
    </xf>
    <xf numFmtId="164" fontId="3" fillId="0" borderId="26" xfId="1" applyNumberFormat="1" applyFont="1" applyFill="1" applyBorder="1" applyAlignment="1">
      <alignment horizontal="left"/>
    </xf>
    <xf numFmtId="0" fontId="5" fillId="0" borderId="3" xfId="0" applyFont="1" applyFill="1" applyBorder="1"/>
    <xf numFmtId="0" fontId="5" fillId="0" borderId="17" xfId="0" applyFont="1" applyFill="1" applyBorder="1"/>
    <xf numFmtId="164" fontId="3" fillId="0" borderId="14" xfId="1" applyNumberFormat="1" applyFont="1" applyFill="1" applyBorder="1" applyAlignment="1">
      <alignment horizontal="left"/>
    </xf>
    <xf numFmtId="0" fontId="5" fillId="0" borderId="0" xfId="0" applyFont="1" applyFill="1" applyBorder="1"/>
    <xf numFmtId="0" fontId="5" fillId="0" borderId="15" xfId="0" applyFont="1" applyFill="1" applyBorder="1"/>
    <xf numFmtId="37" fontId="5" fillId="0" borderId="0" xfId="0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right"/>
    </xf>
    <xf numFmtId="10" fontId="5" fillId="0" borderId="15" xfId="17" applyNumberFormat="1" applyFont="1" applyFill="1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5" fillId="0" borderId="14" xfId="0" applyFont="1" applyFill="1" applyBorder="1"/>
    <xf numFmtId="0" fontId="3" fillId="0" borderId="25" xfId="0" applyFont="1" applyFill="1" applyBorder="1" applyAlignment="1">
      <alignment horizontal="center"/>
    </xf>
    <xf numFmtId="10" fontId="5" fillId="0" borderId="0" xfId="17" quotePrefix="1" applyNumberFormat="1" applyFont="1" applyFill="1" applyBorder="1" applyAlignment="1">
      <alignment horizontal="center"/>
    </xf>
    <xf numFmtId="10" fontId="5" fillId="0" borderId="15" xfId="17" quotePrefix="1" applyNumberFormat="1" applyFont="1" applyFill="1" applyBorder="1" applyAlignment="1">
      <alignment horizontal="center"/>
    </xf>
    <xf numFmtId="10" fontId="5" fillId="0" borderId="7" xfId="17" applyNumberFormat="1" applyFont="1" applyFill="1" applyBorder="1" applyAlignment="1">
      <alignment horizontal="center"/>
    </xf>
    <xf numFmtId="10" fontId="5" fillId="0" borderId="33" xfId="17" applyNumberFormat="1" applyFont="1" applyFill="1" applyBorder="1" applyAlignment="1">
      <alignment horizontal="center"/>
    </xf>
    <xf numFmtId="10" fontId="5" fillId="0" borderId="0" xfId="17" applyNumberFormat="1" applyFont="1" applyFill="1" applyBorder="1" applyAlignment="1">
      <alignment horizontal="center"/>
    </xf>
    <xf numFmtId="0" fontId="5" fillId="0" borderId="0" xfId="0" quotePrefix="1" applyFont="1" applyFill="1" applyBorder="1" applyAlignment="1">
      <alignment horizontal="left"/>
    </xf>
    <xf numFmtId="0" fontId="5" fillId="0" borderId="16" xfId="0" applyFont="1" applyFill="1" applyBorder="1"/>
    <xf numFmtId="0" fontId="5" fillId="0" borderId="1" xfId="0" quotePrefix="1" applyFont="1" applyFill="1" applyBorder="1" applyAlignment="1">
      <alignment horizontal="left"/>
    </xf>
    <xf numFmtId="0" fontId="5" fillId="0" borderId="1" xfId="0" applyFont="1" applyFill="1" applyBorder="1"/>
    <xf numFmtId="0" fontId="5" fillId="0" borderId="25" xfId="0" applyFont="1" applyFill="1" applyBorder="1"/>
    <xf numFmtId="164" fontId="3" fillId="0" borderId="0" xfId="1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10" fontId="2" fillId="0" borderId="7" xfId="17" applyNumberFormat="1" applyFont="1" applyFill="1" applyBorder="1" applyAlignment="1">
      <alignment horizontal="right"/>
    </xf>
    <xf numFmtId="10" fontId="5" fillId="0" borderId="7" xfId="17" applyNumberFormat="1" applyFont="1" applyFill="1" applyBorder="1" applyAlignment="1">
      <alignment horizontal="right"/>
    </xf>
    <xf numFmtId="10" fontId="2" fillId="0" borderId="0" xfId="17" applyNumberFormat="1" applyFont="1" applyFill="1" applyAlignment="1">
      <alignment horizontal="right"/>
    </xf>
    <xf numFmtId="10" fontId="5" fillId="0" borderId="0" xfId="17" applyNumberFormat="1" applyFont="1" applyFill="1" applyAlignment="1">
      <alignment horizontal="right"/>
    </xf>
    <xf numFmtId="0" fontId="2" fillId="0" borderId="1" xfId="0" applyFont="1" applyFill="1" applyBorder="1"/>
    <xf numFmtId="43" fontId="3" fillId="0" borderId="0" xfId="1" quotePrefix="1" applyNumberFormat="1" applyFont="1" applyFill="1" applyBorder="1" applyAlignment="1">
      <alignment horizontal="center"/>
    </xf>
    <xf numFmtId="43" fontId="5" fillId="0" borderId="0" xfId="1" applyNumberFormat="1" applyFont="1" applyFill="1" applyBorder="1"/>
    <xf numFmtId="43" fontId="3" fillId="0" borderId="0" xfId="1" applyNumberFormat="1" applyFont="1" applyFill="1" applyBorder="1" applyAlignment="1">
      <alignment horizontal="center"/>
    </xf>
    <xf numFmtId="180" fontId="3" fillId="0" borderId="1" xfId="1" quotePrefix="1" applyNumberFormat="1" applyFont="1" applyFill="1" applyBorder="1" applyAlignment="1">
      <alignment horizontal="center"/>
    </xf>
    <xf numFmtId="43" fontId="69" fillId="0" borderId="0" xfId="1" applyNumberFormat="1" applyFont="1" applyFill="1"/>
    <xf numFmtId="43" fontId="5" fillId="0" borderId="0" xfId="1" applyNumberFormat="1" applyFont="1" applyFill="1" applyAlignment="1">
      <alignment horizontal="left"/>
    </xf>
    <xf numFmtId="43" fontId="69" fillId="0" borderId="0" xfId="1" quotePrefix="1" applyNumberFormat="1" applyFont="1" applyFill="1" applyAlignment="1">
      <alignment horizontal="left"/>
    </xf>
    <xf numFmtId="43" fontId="5" fillId="0" borderId="0" xfId="1" quotePrefix="1" applyNumberFormat="1" applyFont="1" applyFill="1" applyAlignment="1">
      <alignment horizontal="left"/>
    </xf>
    <xf numFmtId="164" fontId="3" fillId="0" borderId="7" xfId="1" applyNumberFormat="1" applyFont="1" applyFill="1" applyBorder="1" applyAlignment="1">
      <alignment horizontal="left" indent="1"/>
    </xf>
    <xf numFmtId="164" fontId="3" fillId="0" borderId="0" xfId="1" applyNumberFormat="1" applyFont="1" applyFill="1" applyBorder="1" applyAlignment="1">
      <alignment horizontal="left" indent="1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Alignment="1">
      <alignment horizontal="center"/>
    </xf>
    <xf numFmtId="10" fontId="21" fillId="0" borderId="0" xfId="17" applyNumberFormat="1" applyFont="1" applyFill="1" applyBorder="1" applyAlignment="1">
      <alignment horizontal="right"/>
    </xf>
    <xf numFmtId="0" fontId="5" fillId="0" borderId="0" xfId="0" quotePrefix="1" applyFont="1" applyFill="1" applyAlignment="1">
      <alignment horizontal="center"/>
    </xf>
    <xf numFmtId="43" fontId="2" fillId="0" borderId="0" xfId="1" quotePrefix="1" applyNumberFormat="1" applyFont="1" applyFill="1"/>
    <xf numFmtId="43" fontId="2" fillId="0" borderId="0" xfId="1" applyNumberFormat="1" applyFont="1" applyFill="1" applyAlignment="1">
      <alignment horizontal="left"/>
    </xf>
    <xf numFmtId="5" fontId="0" fillId="0" borderId="0" xfId="0" applyNumberFormat="1" applyFill="1" applyBorder="1"/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11" fillId="0" borderId="5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25" fillId="0" borderId="11" xfId="0" quotePrefix="1" applyFont="1" applyFill="1" applyBorder="1" applyAlignment="1">
      <alignment horizontal="center"/>
    </xf>
    <xf numFmtId="0" fontId="11" fillId="0" borderId="11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Continuous"/>
    </xf>
    <xf numFmtId="10" fontId="10" fillId="0" borderId="0" xfId="0" applyNumberFormat="1" applyFont="1" applyFill="1" applyBorder="1"/>
    <xf numFmtId="17" fontId="11" fillId="0" borderId="0" xfId="0" applyNumberFormat="1" applyFont="1" applyFill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73" fontId="3" fillId="0" borderId="0" xfId="0" quotePrefix="1" applyNumberFormat="1" applyFont="1" applyFill="1" applyAlignment="1" applyProtection="1">
      <alignment horizontal="right"/>
    </xf>
    <xf numFmtId="0" fontId="3" fillId="0" borderId="0" xfId="20" applyFont="1" applyFill="1" applyAlignment="1"/>
    <xf numFmtId="3" fontId="0" fillId="0" borderId="0" xfId="47" applyFont="1" applyFill="1"/>
    <xf numFmtId="0" fontId="0" fillId="0" borderId="0" xfId="20" applyFont="1" applyFill="1" applyBorder="1" applyAlignment="1"/>
    <xf numFmtId="0" fontId="18" fillId="0" borderId="1" xfId="41" applyFill="1" applyAlignment="1">
      <alignment horizontal="center" wrapText="1"/>
    </xf>
    <xf numFmtId="0" fontId="2" fillId="0" borderId="0" xfId="20" applyFont="1" applyFill="1" applyAlignment="1"/>
    <xf numFmtId="37" fontId="3" fillId="0" borderId="0" xfId="0" quotePrefix="1" applyNumberFormat="1" applyFont="1" applyFill="1" applyAlignment="1">
      <alignment horizontal="center" wrapText="1"/>
    </xf>
    <xf numFmtId="0" fontId="0" fillId="0" borderId="0" xfId="0" applyFill="1" applyBorder="1" applyAlignment="1">
      <alignment wrapText="1"/>
    </xf>
    <xf numFmtId="4" fontId="0" fillId="0" borderId="0" xfId="20" applyNumberFormat="1" applyFont="1" applyFill="1" applyAlignment="1"/>
    <xf numFmtId="164" fontId="10" fillId="0" borderId="0" xfId="1" applyNumberFormat="1" applyFont="1" applyFill="1" applyBorder="1"/>
    <xf numFmtId="0" fontId="3" fillId="0" borderId="1" xfId="0" applyFont="1" applyFill="1" applyBorder="1"/>
    <xf numFmtId="10" fontId="2" fillId="0" borderId="1" xfId="0" applyNumberFormat="1" applyFont="1" applyFill="1" applyBorder="1"/>
    <xf numFmtId="4" fontId="18" fillId="0" borderId="0" xfId="34" applyFont="1" applyFill="1"/>
    <xf numFmtId="0" fontId="11" fillId="0" borderId="11" xfId="0" applyNumberFormat="1" applyFont="1" applyFill="1" applyBorder="1" applyAlignment="1">
      <alignment horizontal="centerContinuous"/>
    </xf>
    <xf numFmtId="10" fontId="10" fillId="0" borderId="11" xfId="0" applyNumberFormat="1" applyFont="1" applyFill="1" applyBorder="1"/>
    <xf numFmtId="0" fontId="10" fillId="0" borderId="11" xfId="0" applyNumberFormat="1" applyFont="1" applyFill="1" applyBorder="1"/>
    <xf numFmtId="164" fontId="10" fillId="0" borderId="0" xfId="0" applyNumberFormat="1" applyFont="1" applyFill="1"/>
    <xf numFmtId="5" fontId="2" fillId="0" borderId="1" xfId="0" applyNumberFormat="1" applyFont="1" applyFill="1" applyBorder="1"/>
    <xf numFmtId="10" fontId="22" fillId="0" borderId="0" xfId="0" applyNumberFormat="1" applyFont="1" applyFill="1" applyBorder="1" applyProtection="1"/>
    <xf numFmtId="172" fontId="3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5" fillId="0" borderId="51" xfId="0" applyFont="1" applyFill="1" applyBorder="1"/>
    <xf numFmtId="180" fontId="3" fillId="0" borderId="51" xfId="1" quotePrefix="1" applyNumberFormat="1" applyFont="1" applyFill="1" applyBorder="1" applyAlignment="1">
      <alignment horizontal="center"/>
    </xf>
    <xf numFmtId="164" fontId="2" fillId="0" borderId="51" xfId="1" applyNumberFormat="1" applyFont="1" applyFill="1" applyBorder="1"/>
    <xf numFmtId="37" fontId="0" fillId="0" borderId="19" xfId="0" applyNumberFormat="1" applyFill="1" applyBorder="1" applyAlignment="1">
      <alignment horizontal="right"/>
    </xf>
    <xf numFmtId="10" fontId="2" fillId="5" borderId="13" xfId="0" applyNumberFormat="1" applyFont="1" applyFill="1" applyBorder="1" applyAlignment="1">
      <alignment horizontal="center"/>
    </xf>
    <xf numFmtId="14" fontId="0" fillId="0" borderId="0" xfId="27" quotePrefix="1" applyNumberFormat="1" applyFont="1"/>
    <xf numFmtId="15" fontId="2" fillId="0" borderId="0" xfId="27" quotePrefix="1" applyFont="1"/>
    <xf numFmtId="43" fontId="0" fillId="0" borderId="0" xfId="34" applyNumberFormat="1" applyFont="1"/>
    <xf numFmtId="43" fontId="17" fillId="0" borderId="0" xfId="34" applyNumberFormat="1" applyFont="1" applyFill="1" applyBorder="1"/>
    <xf numFmtId="14" fontId="17" fillId="0" borderId="0" xfId="27" quotePrefix="1" applyNumberFormat="1" applyFont="1" applyFill="1" applyBorder="1"/>
    <xf numFmtId="43" fontId="90" fillId="0" borderId="0" xfId="109" applyNumberFormat="1"/>
    <xf numFmtId="43" fontId="90" fillId="0" borderId="0" xfId="1" applyFont="1"/>
    <xf numFmtId="43" fontId="0" fillId="0" borderId="11" xfId="0" applyNumberFormat="1" applyFill="1" applyBorder="1"/>
    <xf numFmtId="0" fontId="2" fillId="0" borderId="0" xfId="20" applyFont="1" applyAlignment="1"/>
    <xf numFmtId="1" fontId="0" fillId="0" borderId="0" xfId="47" applyNumberFormat="1" applyFont="1"/>
    <xf numFmtId="43" fontId="0" fillId="0" borderId="0" xfId="34" applyNumberFormat="1" applyFont="1" applyFill="1"/>
    <xf numFmtId="1" fontId="0" fillId="0" borderId="0" xfId="47" applyNumberFormat="1" applyFont="1" applyFill="1"/>
    <xf numFmtId="43" fontId="18" fillId="0" borderId="1" xfId="41" applyNumberFormat="1" applyFill="1" applyAlignment="1">
      <alignment horizontal="center" wrapText="1"/>
    </xf>
    <xf numFmtId="172" fontId="3" fillId="0" borderId="0" xfId="1" applyNumberFormat="1" applyFont="1" applyFill="1" applyBorder="1" applyAlignment="1">
      <alignment horizontal="center"/>
    </xf>
    <xf numFmtId="0" fontId="6" fillId="0" borderId="0" xfId="5" quotePrefix="1" applyFill="1" applyAlignment="1" applyProtection="1">
      <alignment horizontal="left"/>
    </xf>
    <xf numFmtId="37" fontId="2" fillId="9" borderId="0" xfId="1" applyNumberFormat="1" applyFont="1" applyFill="1" applyBorder="1" applyAlignment="1">
      <alignment horizontal="right"/>
    </xf>
    <xf numFmtId="0" fontId="4" fillId="0" borderId="0" xfId="0" applyFont="1" applyFill="1" applyAlignment="1">
      <alignment horizontal="right"/>
    </xf>
    <xf numFmtId="49" fontId="95" fillId="0" borderId="41" xfId="0" applyNumberFormat="1" applyFont="1" applyFill="1" applyBorder="1" applyAlignment="1">
      <alignment horizontal="left"/>
    </xf>
    <xf numFmtId="49" fontId="95" fillId="0" borderId="41" xfId="0" applyNumberFormat="1" applyFont="1" applyFill="1" applyBorder="1" applyAlignment="1">
      <alignment horizontal="center"/>
    </xf>
    <xf numFmtId="49" fontId="0" fillId="0" borderId="29" xfId="0" applyNumberFormat="1" applyFill="1" applyBorder="1" applyAlignment="1">
      <alignment horizontal="left"/>
    </xf>
    <xf numFmtId="188" fontId="0" fillId="0" borderId="29" xfId="0" applyNumberFormat="1" applyFill="1" applyBorder="1"/>
    <xf numFmtId="49" fontId="0" fillId="10" borderId="29" xfId="0" applyNumberFormat="1" applyFill="1" applyBorder="1" applyAlignment="1">
      <alignment horizontal="left"/>
    </xf>
    <xf numFmtId="188" fontId="0" fillId="10" borderId="29" xfId="0" applyNumberFormat="1" applyFill="1" applyBorder="1"/>
    <xf numFmtId="188" fontId="0" fillId="4" borderId="29" xfId="0" applyNumberFormat="1" applyFill="1" applyBorder="1"/>
    <xf numFmtId="188" fontId="3" fillId="10" borderId="29" xfId="0" applyNumberFormat="1" applyFont="1" applyFill="1" applyBorder="1"/>
    <xf numFmtId="0" fontId="3" fillId="0" borderId="0" xfId="0" applyFont="1" applyFill="1" applyAlignment="1">
      <alignment horizontal="left"/>
    </xf>
    <xf numFmtId="43" fontId="2" fillId="0" borderId="0" xfId="1" applyNumberFormat="1" applyFont="1" applyFill="1"/>
    <xf numFmtId="0" fontId="11" fillId="0" borderId="0" xfId="0" quotePrefix="1" applyNumberFormat="1" applyFont="1" applyFill="1" applyAlignment="1">
      <alignment horizontal="left"/>
    </xf>
    <xf numFmtId="172" fontId="3" fillId="0" borderId="0" xfId="1" applyNumberFormat="1" applyFont="1" applyFill="1" applyBorder="1" applyAlignment="1">
      <alignment horizontal="center"/>
    </xf>
    <xf numFmtId="0" fontId="11" fillId="0" borderId="0" xfId="0" quotePrefix="1" applyNumberFormat="1" applyFont="1" applyFill="1" applyAlignment="1">
      <alignment horizontal="left"/>
    </xf>
    <xf numFmtId="49" fontId="2" fillId="0" borderId="0" xfId="0" applyNumberFormat="1" applyFont="1" applyFill="1" applyBorder="1" applyAlignment="1">
      <alignment horizontal="right"/>
    </xf>
    <xf numFmtId="188" fontId="0" fillId="0" borderId="0" xfId="0" applyNumberFormat="1" applyFill="1"/>
    <xf numFmtId="49" fontId="0" fillId="0" borderId="0" xfId="0" applyNumberFormat="1" applyFont="1" applyFill="1" applyBorder="1" applyAlignment="1">
      <alignment horizontal="right"/>
    </xf>
    <xf numFmtId="188" fontId="3" fillId="0" borderId="19" xfId="0" applyNumberFormat="1" applyFont="1" applyFill="1" applyBorder="1"/>
    <xf numFmtId="0" fontId="14" fillId="0" borderId="0" xfId="8" applyFont="1" applyFill="1" applyBorder="1" applyAlignment="1">
      <alignment horizontal="right"/>
    </xf>
    <xf numFmtId="188" fontId="3" fillId="0" borderId="0" xfId="0" applyNumberFormat="1" applyFont="1" applyFill="1"/>
    <xf numFmtId="43" fontId="3" fillId="0" borderId="0" xfId="1" applyFont="1" applyFill="1"/>
    <xf numFmtId="37" fontId="3" fillId="0" borderId="34" xfId="1" applyNumberFormat="1" applyFont="1" applyFill="1" applyBorder="1" applyAlignment="1">
      <alignment horizontal="center" wrapText="1"/>
    </xf>
    <xf numFmtId="49" fontId="3" fillId="0" borderId="0" xfId="1" applyNumberFormat="1" applyFont="1" applyFill="1" applyBorder="1" applyAlignment="1">
      <alignment horizontal="center"/>
    </xf>
    <xf numFmtId="49" fontId="3" fillId="0" borderId="20" xfId="1" applyNumberFormat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center"/>
    </xf>
    <xf numFmtId="37" fontId="3" fillId="0" borderId="1" xfId="1" applyNumberFormat="1" applyFont="1" applyFill="1" applyBorder="1" applyAlignment="1">
      <alignment horizontal="center"/>
    </xf>
    <xf numFmtId="0" fontId="3" fillId="0" borderId="0" xfId="0" quotePrefix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4" xfId="1" applyNumberFormat="1" applyFont="1" applyFill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quotePrefix="1" applyFont="1" applyFill="1" applyBorder="1" applyAlignment="1">
      <alignment horizontal="center"/>
    </xf>
    <xf numFmtId="0" fontId="11" fillId="0" borderId="0" xfId="0" quotePrefix="1" applyNumberFormat="1" applyFont="1" applyFill="1" applyAlignment="1">
      <alignment horizontal="left"/>
    </xf>
    <xf numFmtId="0" fontId="11" fillId="0" borderId="0" xfId="0" quotePrefix="1" applyNumberFormat="1" applyFont="1" applyFill="1" applyAlignment="1">
      <alignment horizontal="center"/>
    </xf>
    <xf numFmtId="0" fontId="2" fillId="0" borderId="1" xfId="0" quotePrefix="1" applyFon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164" fontId="3" fillId="0" borderId="0" xfId="1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11" fillId="0" borderId="0" xfId="0" applyNumberFormat="1" applyFont="1" applyFill="1" applyAlignment="1">
      <alignment horizontal="center"/>
    </xf>
    <xf numFmtId="0" fontId="11" fillId="0" borderId="11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26" fillId="0" borderId="26" xfId="0" applyFont="1" applyFill="1" applyBorder="1" applyAlignment="1">
      <alignment horizontal="left"/>
    </xf>
    <xf numFmtId="0" fontId="26" fillId="0" borderId="3" xfId="0" applyFont="1" applyFill="1" applyBorder="1" applyAlignment="1">
      <alignment horizontal="left"/>
    </xf>
    <xf numFmtId="0" fontId="26" fillId="0" borderId="17" xfId="0" applyFont="1" applyFill="1" applyBorder="1" applyAlignment="1">
      <alignment horizontal="left"/>
    </xf>
    <xf numFmtId="164" fontId="11" fillId="0" borderId="0" xfId="0" quotePrefix="1" applyNumberFormat="1" applyFont="1" applyFill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164" fontId="3" fillId="0" borderId="14" xfId="0" quotePrefix="1" applyNumberFormat="1" applyFont="1" applyFill="1" applyBorder="1" applyAlignment="1">
      <alignment horizontal="center"/>
    </xf>
    <xf numFmtId="164" fontId="3" fillId="0" borderId="0" xfId="0" quotePrefix="1" applyNumberFormat="1" applyFont="1" applyFill="1" applyBorder="1" applyAlignment="1">
      <alignment horizontal="center"/>
    </xf>
    <xf numFmtId="182" fontId="66" fillId="0" borderId="11" xfId="16" quotePrefix="1" applyFont="1" applyFill="1" applyBorder="1" applyAlignment="1" applyProtection="1">
      <alignment horizontal="center"/>
    </xf>
    <xf numFmtId="182" fontId="66" fillId="0" borderId="0" xfId="16" applyFont="1" applyFill="1" applyAlignment="1" applyProtection="1">
      <alignment horizontal="center"/>
    </xf>
    <xf numFmtId="182" fontId="66" fillId="0" borderId="0" xfId="16" quotePrefix="1" applyFont="1" applyFill="1" applyAlignment="1" applyProtection="1">
      <alignment horizontal="center"/>
    </xf>
    <xf numFmtId="182" fontId="65" fillId="0" borderId="0" xfId="16" applyFont="1" applyFill="1" applyAlignment="1" applyProtection="1">
      <alignment horizontal="center"/>
    </xf>
    <xf numFmtId="182" fontId="66" fillId="0" borderId="7" xfId="16" applyFont="1" applyFill="1" applyBorder="1" applyAlignment="1" applyProtection="1">
      <alignment horizontal="center"/>
    </xf>
  </cellXfs>
  <cellStyles count="111">
    <cellStyle name="Comma" xfId="1" builtinId="3"/>
    <cellStyle name="Comma 2" xfId="2"/>
    <cellStyle name="Comma 2 2" xfId="76"/>
    <cellStyle name="Comma 3" xfId="3"/>
    <cellStyle name="Comma 3 2" xfId="77"/>
    <cellStyle name="Comma 4" xfId="66"/>
    <cellStyle name="Comma 5" xfId="75"/>
    <cellStyle name="Comma 8" xfId="4"/>
    <cellStyle name="Currency" xfId="110" builtinId="4"/>
    <cellStyle name="Currency 2" xfId="78"/>
    <cellStyle name="Hyperlink" xfId="5" builtinId="8"/>
    <cellStyle name="Normal" xfId="0" builtinId="0"/>
    <cellStyle name="Normal 10" xfId="109"/>
    <cellStyle name="Normal 11" xfId="6"/>
    <cellStyle name="Normal 12" xfId="7"/>
    <cellStyle name="Normal 13" xfId="8"/>
    <cellStyle name="Normal 14" xfId="9"/>
    <cellStyle name="Normal 19" xfId="10"/>
    <cellStyle name="Normal 19 2" xfId="79"/>
    <cellStyle name="Normal 2" xfId="11"/>
    <cellStyle name="Normal 3" xfId="12"/>
    <cellStyle name="Normal 4" xfId="59"/>
    <cellStyle name="Normal 4 2" xfId="94"/>
    <cellStyle name="Normal 5" xfId="13"/>
    <cellStyle name="Normal 6" xfId="67"/>
    <cellStyle name="Normal 6 2" xfId="101"/>
    <cellStyle name="Normal 7" xfId="14"/>
    <cellStyle name="Normal 8" xfId="15"/>
    <cellStyle name="Normal 9" xfId="74"/>
    <cellStyle name="Normal_DISTRI95" xfId="16"/>
    <cellStyle name="Percent" xfId="17" builtinId="5"/>
    <cellStyle name="Percent 2" xfId="18"/>
    <cellStyle name="Percent 3" xfId="19"/>
    <cellStyle name="Percent 3 2" xfId="81"/>
    <cellStyle name="Percent 4" xfId="80"/>
    <cellStyle name="PSChar" xfId="20"/>
    <cellStyle name="PSChar 10" xfId="82"/>
    <cellStyle name="PSChar 2" xfId="21"/>
    <cellStyle name="PSChar 3" xfId="22"/>
    <cellStyle name="PSChar 4" xfId="23"/>
    <cellStyle name="PSChar 5" xfId="24"/>
    <cellStyle name="PSChar 6" xfId="25"/>
    <cellStyle name="PSChar 7" xfId="26"/>
    <cellStyle name="PSChar 7 2" xfId="83"/>
    <cellStyle name="PSChar 8" xfId="60"/>
    <cellStyle name="PSChar 8 2" xfId="95"/>
    <cellStyle name="PSChar 9" xfId="68"/>
    <cellStyle name="PSChar 9 2" xfId="102"/>
    <cellStyle name="PSDate" xfId="27"/>
    <cellStyle name="PSDate 10" xfId="84"/>
    <cellStyle name="PSDate 2" xfId="28"/>
    <cellStyle name="PSDate 3" xfId="29"/>
    <cellStyle name="PSDate 4" xfId="30"/>
    <cellStyle name="PSDate 5" xfId="31"/>
    <cellStyle name="PSDate 6" xfId="32"/>
    <cellStyle name="PSDate 7" xfId="33"/>
    <cellStyle name="PSDate 7 2" xfId="85"/>
    <cellStyle name="PSDate 8" xfId="61"/>
    <cellStyle name="PSDate 8 2" xfId="96"/>
    <cellStyle name="PSDate 9" xfId="69"/>
    <cellStyle name="PSDate 9 2" xfId="103"/>
    <cellStyle name="PSDec" xfId="34"/>
    <cellStyle name="PSDec 10" xfId="86"/>
    <cellStyle name="PSDec 2" xfId="35"/>
    <cellStyle name="PSDec 3" xfId="36"/>
    <cellStyle name="PSDec 4" xfId="37"/>
    <cellStyle name="PSDec 5" xfId="38"/>
    <cellStyle name="PSDec 6" xfId="39"/>
    <cellStyle name="PSDec 7" xfId="40"/>
    <cellStyle name="PSDec 7 2" xfId="87"/>
    <cellStyle name="PSDec 8" xfId="62"/>
    <cellStyle name="PSDec 8 2" xfId="97"/>
    <cellStyle name="PSDec 9" xfId="70"/>
    <cellStyle name="PSDec 9 2" xfId="104"/>
    <cellStyle name="PSHeading" xfId="41"/>
    <cellStyle name="PSHeading 10" xfId="108"/>
    <cellStyle name="PSHeading 2" xfId="42"/>
    <cellStyle name="PSHeading 3" xfId="43"/>
    <cellStyle name="PSHeading 4" xfId="44"/>
    <cellStyle name="PSHeading 5" xfId="45"/>
    <cellStyle name="PSHeading 6" xfId="46"/>
    <cellStyle name="PSHeading 6 2" xfId="89"/>
    <cellStyle name="PSHeading 7" xfId="63"/>
    <cellStyle name="PSHeading 7 2" xfId="98"/>
    <cellStyle name="PSHeading 8" xfId="71"/>
    <cellStyle name="PSHeading 8 2" xfId="105"/>
    <cellStyle name="PSHeading 9" xfId="88"/>
    <cellStyle name="PSInt" xfId="47"/>
    <cellStyle name="PSInt 2" xfId="48"/>
    <cellStyle name="PSInt 3" xfId="49"/>
    <cellStyle name="PSInt 4" xfId="50"/>
    <cellStyle name="PSInt 5" xfId="51"/>
    <cellStyle name="PSInt 6" xfId="52"/>
    <cellStyle name="PSInt 6 2" xfId="91"/>
    <cellStyle name="PSInt 7" xfId="64"/>
    <cellStyle name="PSInt 7 2" xfId="99"/>
    <cellStyle name="PSInt 8" xfId="72"/>
    <cellStyle name="PSInt 8 2" xfId="106"/>
    <cellStyle name="PSInt 9" xfId="90"/>
    <cellStyle name="PSSpacer" xfId="53"/>
    <cellStyle name="PSSpacer 2" xfId="54"/>
    <cellStyle name="PSSpacer 3" xfId="55"/>
    <cellStyle name="PSSpacer 4" xfId="56"/>
    <cellStyle name="PSSpacer 5" xfId="57"/>
    <cellStyle name="PSSpacer 6" xfId="58"/>
    <cellStyle name="PSSpacer 6 2" xfId="93"/>
    <cellStyle name="PSSpacer 7" xfId="65"/>
    <cellStyle name="PSSpacer 7 2" xfId="100"/>
    <cellStyle name="PSSpacer 8" xfId="73"/>
    <cellStyle name="PSSpacer 8 2" xfId="107"/>
    <cellStyle name="PSSpacer 9" xfId="9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5"/>
          <c:y val="0.24242495982765144"/>
          <c:w val="0.53043534565572459"/>
          <c:h val="0.6606080155303553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'Rate Base'!#REF!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'Rate Base'!#REF!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18112"/>
        <c:axId val="207421248"/>
      </c:lineChart>
      <c:catAx>
        <c:axId val="2074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2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42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18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66" r="0.75000000000000366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34793685030593"/>
          <c:y val="0.24242495982765144"/>
          <c:w val="0.53043534565572459"/>
          <c:h val="0.6606080155303557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19680"/>
        <c:axId val="207417720"/>
      </c:lineChart>
      <c:catAx>
        <c:axId val="2074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17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417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19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30868852661246"/>
          <c:y val="1.4645669291338672E-2"/>
          <c:w val="0.17873498207090338"/>
          <c:h val="5.85823590233038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0</xdr:rowOff>
        </xdr:from>
        <xdr:to>
          <xdr:col>2</xdr:col>
          <xdr:colOff>0</xdr:colOff>
          <xdr:row>7</xdr:row>
          <xdr:rowOff>0</xdr:rowOff>
        </xdr:to>
        <xdr:sp macro="" textlink="">
          <xdr:nvSpPr>
            <xdr:cNvPr id="54434" name="Button 162" hidden="1">
              <a:extLst>
                <a:ext uri="{63B3BB69-23CF-44E3-9099-C40C66FF867C}">
                  <a14:compatExt spid="_x0000_s54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1761</xdr:row>
          <xdr:rowOff>0</xdr:rowOff>
        </xdr:from>
        <xdr:to>
          <xdr:col>2</xdr:col>
          <xdr:colOff>0</xdr:colOff>
          <xdr:row>1762</xdr:row>
          <xdr:rowOff>0</xdr:rowOff>
        </xdr:to>
        <xdr:sp macro="" textlink="">
          <xdr:nvSpPr>
            <xdr:cNvPr id="532537" name="Button 9273" hidden="1">
              <a:extLst>
                <a:ext uri="{63B3BB69-23CF-44E3-9099-C40C66FF867C}">
                  <a14:compatExt spid="_x0000_s53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1761</xdr:row>
          <xdr:rowOff>0</xdr:rowOff>
        </xdr:from>
        <xdr:to>
          <xdr:col>2</xdr:col>
          <xdr:colOff>0</xdr:colOff>
          <xdr:row>1762</xdr:row>
          <xdr:rowOff>0</xdr:rowOff>
        </xdr:to>
        <xdr:sp macro="" textlink="">
          <xdr:nvSpPr>
            <xdr:cNvPr id="3902508" name="Button 10284" hidden="1">
              <a:extLst>
                <a:ext uri="{63B3BB69-23CF-44E3-9099-C40C66FF867C}">
                  <a14:compatExt spid="_x0000_s390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59819" name="Button 13387" hidden="1">
              <a:extLst>
                <a:ext uri="{63B3BB69-23CF-44E3-9099-C40C66FF867C}">
                  <a14:compatExt spid="_x0000_s15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59859" name="Button 13427" hidden="1">
              <a:extLst>
                <a:ext uri="{63B3BB69-23CF-44E3-9099-C40C66FF867C}">
                  <a14:compatExt spid="_x0000_s159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81</xdr:row>
          <xdr:rowOff>19050</xdr:rowOff>
        </xdr:from>
        <xdr:to>
          <xdr:col>3</xdr:col>
          <xdr:colOff>2505075</xdr:colOff>
          <xdr:row>81</xdr:row>
          <xdr:rowOff>19050</xdr:rowOff>
        </xdr:to>
        <xdr:sp macro="" textlink="">
          <xdr:nvSpPr>
            <xdr:cNvPr id="160079" name="Button 13647" hidden="1">
              <a:extLst>
                <a:ext uri="{63B3BB69-23CF-44E3-9099-C40C66FF867C}">
                  <a14:compatExt spid="_x0000_s160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1752600</xdr:colOff>
          <xdr:row>0</xdr:row>
          <xdr:rowOff>9525</xdr:rowOff>
        </xdr:from>
        <xdr:to>
          <xdr:col>3</xdr:col>
          <xdr:colOff>1752600</xdr:colOff>
          <xdr:row>0</xdr:row>
          <xdr:rowOff>85725</xdr:rowOff>
        </xdr:to>
        <xdr:sp macro="" textlink="">
          <xdr:nvSpPr>
            <xdr:cNvPr id="160172" name="Button 13740" hidden="1">
              <a:extLst>
                <a:ext uri="{63B3BB69-23CF-44E3-9099-C40C66FF867C}">
                  <a14:compatExt spid="_x0000_s160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34</xdr:row>
          <xdr:rowOff>38100</xdr:rowOff>
        </xdr:from>
        <xdr:to>
          <xdr:col>3</xdr:col>
          <xdr:colOff>2505075</xdr:colOff>
          <xdr:row>34</xdr:row>
          <xdr:rowOff>38100</xdr:rowOff>
        </xdr:to>
        <xdr:sp macro="" textlink="">
          <xdr:nvSpPr>
            <xdr:cNvPr id="160174" name="Button 13742" hidden="1">
              <a:extLst>
                <a:ext uri="{63B3BB69-23CF-44E3-9099-C40C66FF867C}">
                  <a14:compatExt spid="_x0000_s160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2505075</xdr:colOff>
          <xdr:row>81</xdr:row>
          <xdr:rowOff>19050</xdr:rowOff>
        </xdr:from>
        <xdr:to>
          <xdr:col>3</xdr:col>
          <xdr:colOff>2505075</xdr:colOff>
          <xdr:row>81</xdr:row>
          <xdr:rowOff>19050</xdr:rowOff>
        </xdr:to>
        <xdr:sp macro="" textlink="">
          <xdr:nvSpPr>
            <xdr:cNvPr id="160176" name="Button 13744" hidden="1">
              <a:extLst>
                <a:ext uri="{63B3BB69-23CF-44E3-9099-C40C66FF867C}">
                  <a14:compatExt spid="_x0000_s160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79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600</xdr:row>
      <xdr:rowOff>66675</xdr:rowOff>
    </xdr:from>
    <xdr:to>
      <xdr:col>9</xdr:col>
      <xdr:colOff>200025</xdr:colOff>
      <xdr:row>619</xdr:row>
      <xdr:rowOff>133350</xdr:rowOff>
    </xdr:to>
    <xdr:graphicFrame macro="">
      <xdr:nvGraphicFramePr>
        <xdr:cNvPr id="12852080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4</xdr:row>
          <xdr:rowOff>0</xdr:rowOff>
        </xdr:from>
        <xdr:to>
          <xdr:col>2</xdr:col>
          <xdr:colOff>476250</xdr:colOff>
          <xdr:row>4</xdr:row>
          <xdr:rowOff>76200</xdr:rowOff>
        </xdr:to>
        <xdr:sp macro="" textlink="">
          <xdr:nvSpPr>
            <xdr:cNvPr id="12851373" name="Button 1197" hidden="1">
              <a:extLst>
                <a:ext uri="{63B3BB69-23CF-44E3-9099-C40C66FF867C}">
                  <a14:compatExt spid="_x0000_s1285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47625</xdr:rowOff>
        </xdr:from>
        <xdr:to>
          <xdr:col>0</xdr:col>
          <xdr:colOff>0</xdr:colOff>
          <xdr:row>6</xdr:row>
          <xdr:rowOff>0</xdr:rowOff>
        </xdr:to>
        <xdr:sp macro="" textlink="">
          <xdr:nvSpPr>
            <xdr:cNvPr id="2515973" name="Button 5" hidden="1">
              <a:extLst>
                <a:ext uri="{63B3BB69-23CF-44E3-9099-C40C66FF867C}">
                  <a14:compatExt spid="_x0000_s251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1</xdr:row>
          <xdr:rowOff>47625</xdr:rowOff>
        </xdr:from>
        <xdr:to>
          <xdr:col>5</xdr:col>
          <xdr:colOff>0</xdr:colOff>
          <xdr:row>3</xdr:row>
          <xdr:rowOff>0</xdr:rowOff>
        </xdr:to>
        <xdr:sp macro="" textlink="">
          <xdr:nvSpPr>
            <xdr:cNvPr id="2516403" name="Button 435" hidden="1">
              <a:extLst>
                <a:ext uri="{63B3BB69-23CF-44E3-9099-C40C66FF867C}">
                  <a14:compatExt spid="_x0000_s25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1</xdr:row>
          <xdr:rowOff>66675</xdr:rowOff>
        </xdr:from>
        <xdr:to>
          <xdr:col>5</xdr:col>
          <xdr:colOff>561975</xdr:colOff>
          <xdr:row>2</xdr:row>
          <xdr:rowOff>85725</xdr:rowOff>
        </xdr:to>
        <xdr:sp macro="" textlink="">
          <xdr:nvSpPr>
            <xdr:cNvPr id="84994" name="Butto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1534230</xdr:colOff>
      <xdr:row>53</xdr:row>
      <xdr:rowOff>91660</xdr:rowOff>
    </xdr:from>
    <xdr:to>
      <xdr:col>22</xdr:col>
      <xdr:colOff>514350</xdr:colOff>
      <xdr:row>65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07555" y="9168985"/>
          <a:ext cx="5619045" cy="19276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</xdr:row>
      <xdr:rowOff>104775</xdr:rowOff>
    </xdr:from>
    <xdr:to>
      <xdr:col>21</xdr:col>
      <xdr:colOff>218521</xdr:colOff>
      <xdr:row>49</xdr:row>
      <xdr:rowOff>123600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25900" y="6753225"/>
          <a:ext cx="4428571" cy="18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0</xdr:row>
          <xdr:rowOff>57150</xdr:rowOff>
        </xdr:from>
        <xdr:to>
          <xdr:col>0</xdr:col>
          <xdr:colOff>600075</xdr:colOff>
          <xdr:row>1</xdr:row>
          <xdr:rowOff>47625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Home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JUNE%202009%20UTAH%20RESUL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compare\UT\2002RESUL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RooExcel\ROO2009-06-30\BOOKED%20REV%20May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Filings%20General\2007%20Rate%20Case\JUNE%202009%20TEST%20YEAR\BEFORE%20FILING\COMPLETED\Rate%20Design%20Model%20-%20Bill%20Factor%20Inpu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7-12-31\Nvision%20Outputs\Rate%20Base%20Dec%20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7-12-31\Nvision%20Outputs\Expenses%20Dec%20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6-12-31\Copy%20of%202017%20bonus%20earns%20from%20Donna%20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7-12-31\Nvision%20Outputs\Other%20Revenue%20Dec%20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rda57\AppData\Local\Microsoft\Windows\Temporary%20Internet%20Files\Content.Outlook\RLEEBV0J\2015-2016-2017%203YR_UTAH_WYO_BAD_DEBT_CALCULATI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RooExcel\ROO2017-12-31\Nvision%20Outputs\CAPITAL%20Dec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PROJECTED%20ROO2007-12\PRELIMINARY%20ROO2007-12\REVENUES%2012%20M%20DEC%202006\BOOKEDREVDEC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te\Filings%20General\2008%20Rate%20Case%20UT\2008%20GENERAL\Model%20Inputs\REVENUES\DEC%202008%20REVENUES\BOOKED\REVISED%20ON%20DEC%202008%20BOOKED%20REV%20DEC%20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RooExcel\JUNE%202009%20TEST%20YEAR\Cost%20of%20Service%20and%20Rate%20Design\Rate%20Design%20Model%20-%20Bill%20Factor%20Inpu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\Filings%20General\2007%20Rate%20Case\Dec%202008%20Test%20Year\Live%20Rebuttal\NEW%20WORKING_UNIVERS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ooExcel\ROO2005-06\DEC%2004%20REV%20FOR%20WYOMING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9057\Desktop\dec%202012%20models\BOOKED%20REV%20June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ate\Utah\Rate%20Design\Copy%20of%20Rate%20Department%20I%20and%20F%20rate%20model%20Aug%2016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Summaries"/>
      <sheetName val="Report"/>
      <sheetName val="Variance"/>
      <sheetName val="compare JUNE 08 TO JUNE 09"/>
      <sheetName val="compare DEC 08 TO JUNE 09"/>
      <sheetName val="ROR-Model"/>
      <sheetName val="Taxes"/>
      <sheetName val="FILED Adjustments"/>
      <sheetName val="Rate Base"/>
      <sheetName val="DSM ACC ADJUSTMENTS"/>
      <sheetName val="EXPENSES"/>
      <sheetName val="Und Stor"/>
      <sheetName val="Wexpro"/>
      <sheetName val="RESERVE ACCRUAL"/>
      <sheetName val="Donations"/>
      <sheetName val="19-Advertising"/>
      <sheetName val="Incentive"/>
      <sheetName val="Stock Incentives"/>
      <sheetName val="Sporting Events"/>
      <sheetName val="State Tax"/>
      <sheetName val="Other Rev"/>
      <sheetName val="Revenue"/>
      <sheetName val="Revrun Jun 09"/>
      <sheetName val="Booked Jun 09 Rev"/>
      <sheetName val="REV SUMMARY"/>
      <sheetName val="AIRCRAFT"/>
      <sheetName val="OakCity"/>
      <sheetName val="Lab Adj"/>
      <sheetName val="Utah Bad Debt"/>
      <sheetName val="Capital Str"/>
      <sheetName val="Utah Allocation"/>
      <sheetName val="ALLOCATIONS&amp;PRETAX"/>
      <sheetName val="PRINT MACRO"/>
      <sheetName val="COS Input"/>
      <sheetName val="Dist Plant"/>
      <sheetName val="Dist Throughput"/>
      <sheetName val="COS REVRUN"/>
      <sheetName val="COS Alloc Factors"/>
      <sheetName val="COS Detail"/>
      <sheetName val="Taxes by Class"/>
      <sheetName val="COS Sum"/>
      <sheetName val="COS Summary"/>
      <sheetName val="Rate Design"/>
      <sheetName val="Current Rev"/>
      <sheetName val="Rates"/>
      <sheetName val="Blocks"/>
      <sheetName val="Cost Curves"/>
      <sheetName val="Graphs"/>
      <sheetName val="Sum-Wint"/>
      <sheetName val="Rules"/>
      <sheetName val="Bill Factor Input"/>
      <sheetName val="Cur Bill Fctr Inp"/>
      <sheetName val="Criteria"/>
      <sheetName val="Checks"/>
      <sheetName val="Check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9">
          <cell r="C9" t="str">
            <v>QGC Advertising Jun 09</v>
          </cell>
          <cell r="E9" t="str">
            <v>QGC Advertising Jun 09</v>
          </cell>
        </row>
        <row r="10">
          <cell r="E10" t="str">
            <v>HOT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17500.46</v>
          </cell>
          <cell r="E18">
            <v>17500.46</v>
          </cell>
        </row>
        <row r="19">
          <cell r="C19">
            <v>0</v>
          </cell>
          <cell r="E19">
            <v>0</v>
          </cell>
        </row>
        <row r="20">
          <cell r="C20">
            <v>0</v>
          </cell>
          <cell r="E20">
            <v>0</v>
          </cell>
        </row>
        <row r="21">
          <cell r="C21">
            <v>82.773242162342584</v>
          </cell>
          <cell r="E21">
            <v>82.773242162342584</v>
          </cell>
        </row>
        <row r="22">
          <cell r="C22">
            <v>938.71938101942214</v>
          </cell>
          <cell r="E22">
            <v>938.71938101942214</v>
          </cell>
        </row>
        <row r="23">
          <cell r="C23">
            <v>0</v>
          </cell>
          <cell r="E23">
            <v>0</v>
          </cell>
        </row>
        <row r="24">
          <cell r="C24">
            <v>13133.748999999996</v>
          </cell>
          <cell r="E24">
            <v>13133.748999999996</v>
          </cell>
        </row>
        <row r="25">
          <cell r="E25">
            <v>0</v>
          </cell>
        </row>
        <row r="26">
          <cell r="E26">
            <v>0</v>
          </cell>
        </row>
        <row r="27">
          <cell r="C27">
            <v>31655.701623181762</v>
          </cell>
          <cell r="E27">
            <v>31655.701623181762</v>
          </cell>
        </row>
        <row r="28">
          <cell r="P28">
            <v>31655.701623181762</v>
          </cell>
        </row>
        <row r="29">
          <cell r="E29">
            <v>0</v>
          </cell>
        </row>
        <row r="30">
          <cell r="C30">
            <v>-31655.701623181762</v>
          </cell>
          <cell r="E30">
            <v>-31655.701623181762</v>
          </cell>
        </row>
        <row r="32">
          <cell r="C32">
            <v>-30620.210604587028</v>
          </cell>
          <cell r="E32">
            <v>-30620.210604587028</v>
          </cell>
        </row>
        <row r="33">
          <cell r="C33">
            <v>-1035.4910185947374</v>
          </cell>
          <cell r="E33">
            <v>-1035.4910185947374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port"/>
      <sheetName val="COS Detail"/>
      <sheetName val="COS Sum"/>
      <sheetName val="Alloc"/>
      <sheetName val="Model"/>
      <sheetName val="Summaries-Wyoming"/>
      <sheetName val="Summaries-Utah"/>
      <sheetName val="Taxes"/>
      <sheetName val="Expenses"/>
      <sheetName val="Adjustments"/>
      <sheetName val="1-Rate Base"/>
      <sheetName val="2-Und Stor"/>
      <sheetName val="3-Wexpro"/>
      <sheetName val="4-Sale of Prop"/>
      <sheetName val="5-OakCity"/>
      <sheetName val="6-Bad Debt"/>
      <sheetName val="7-Other Rev"/>
      <sheetName val="8-Revenue"/>
      <sheetName val="REV_SUMMARY"/>
      <sheetName val="TA Rev Avg OR"/>
      <sheetName val="TA Rev YE"/>
      <sheetName val="Hist Rev"/>
      <sheetName val="2003 REV RUN"/>
      <sheetName val="2004 REV RUN"/>
      <sheetName val="9-Min Bills"/>
      <sheetName val="10-Bank Vac"/>
      <sheetName val="11-Labor Ann"/>
      <sheetName val="12-Incentive"/>
      <sheetName val="13-Phantom"/>
      <sheetName val="14-Tickets"/>
      <sheetName val="15-Affiliate ROR"/>
      <sheetName val="16-QES"/>
      <sheetName val="17-ST TAX"/>
      <sheetName val="18-CO2"/>
      <sheetName val="19-Advertising"/>
      <sheetName val="20-Donations"/>
      <sheetName val="21-GTI"/>
      <sheetName val="22-Reserve Acc"/>
      <sheetName val="23-Postage"/>
      <sheetName val="24-Depreciation"/>
      <sheetName val="25-QPEC Labor"/>
      <sheetName val="27-WYO 282"/>
      <sheetName val="28-Capital Str"/>
      <sheetName val="Utah Allocation"/>
      <sheetName val="Cost of Service"/>
      <sheetName val="ALLOCATIONS&amp;PRETAX"/>
      <sheetName val="TABLE"/>
      <sheetName val="PRINT MACRO"/>
      <sheetName val="Model 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72">
          <cell r="G372">
            <v>1785903.15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  <cell r="O3">
            <v>39844</v>
          </cell>
          <cell r="P3">
            <v>39872</v>
          </cell>
          <cell r="Q3">
            <v>39903</v>
          </cell>
          <cell r="R3">
            <v>39933</v>
          </cell>
          <cell r="S3">
            <v>39964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  <cell r="O4">
            <v>2.6896300000000002</v>
          </cell>
          <cell r="P4">
            <v>2.6896300000000002</v>
          </cell>
          <cell r="Q4">
            <v>2.6896300000000002</v>
          </cell>
          <cell r="R4">
            <v>4.9603099999999998</v>
          </cell>
          <cell r="S4">
            <v>4.9603099999999998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  <cell r="O5">
            <v>0.91618999999999995</v>
          </cell>
          <cell r="P5">
            <v>0.91618999999999995</v>
          </cell>
          <cell r="Q5">
            <v>0.83467999999999998</v>
          </cell>
          <cell r="R5">
            <v>0.83467999999999998</v>
          </cell>
          <cell r="S5">
            <v>0.83467999999999998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  <cell r="O6">
            <v>5.6968100000000002</v>
          </cell>
          <cell r="P6">
            <v>5.6968100000000002</v>
          </cell>
          <cell r="Q6">
            <v>4.1927000000000003</v>
          </cell>
          <cell r="R6">
            <v>4.1927000000000003</v>
          </cell>
          <cell r="S6">
            <v>4.1927000000000003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  <cell r="O11">
            <v>39844</v>
          </cell>
          <cell r="P11">
            <v>39872</v>
          </cell>
          <cell r="Q11">
            <v>39903</v>
          </cell>
          <cell r="R11">
            <v>39933</v>
          </cell>
          <cell r="S11">
            <v>39964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  <cell r="O12">
            <v>3.12737</v>
          </cell>
          <cell r="P12">
            <v>3.12737</v>
          </cell>
          <cell r="Q12">
            <v>3.12737</v>
          </cell>
          <cell r="R12">
            <v>3.12737</v>
          </cell>
          <cell r="S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  <cell r="O13">
            <v>6.2275600000000004</v>
          </cell>
          <cell r="P13">
            <v>6.2275600000000004</v>
          </cell>
          <cell r="Q13">
            <v>5.1759300000000001</v>
          </cell>
          <cell r="R13">
            <v>5.1759300000000001</v>
          </cell>
          <cell r="S13">
            <v>5.1759300000000001</v>
          </cell>
        </row>
      </sheetData>
      <sheetData sheetId="5" refreshError="1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01990</v>
          </cell>
          <cell r="D2" t="str">
            <v>200</v>
          </cell>
          <cell r="E2" t="str">
            <v>2008-06-30</v>
          </cell>
          <cell r="F2" t="str">
            <v>470</v>
          </cell>
          <cell r="G2">
            <v>6448.8</v>
          </cell>
          <cell r="H2">
            <v>1212.92</v>
          </cell>
        </row>
        <row r="3">
          <cell r="A3" t="str">
            <v>481003</v>
          </cell>
          <cell r="B3" t="str">
            <v>01953</v>
          </cell>
          <cell r="D3" t="str">
            <v>200</v>
          </cell>
          <cell r="E3" t="str">
            <v>2008-06-30</v>
          </cell>
          <cell r="F3" t="str">
            <v>470</v>
          </cell>
          <cell r="G3">
            <v>16385.740000000002</v>
          </cell>
          <cell r="H3">
            <v>3081.93</v>
          </cell>
        </row>
        <row r="4">
          <cell r="A4" t="str">
            <v>481003</v>
          </cell>
          <cell r="B4" t="str">
            <v>01986</v>
          </cell>
          <cell r="D4" t="str">
            <v>200</v>
          </cell>
          <cell r="E4" t="str">
            <v>2008-06-30</v>
          </cell>
          <cell r="F4" t="str">
            <v>470</v>
          </cell>
          <cell r="G4">
            <v>4661.8900000000003</v>
          </cell>
          <cell r="H4">
            <v>876.82</v>
          </cell>
        </row>
        <row r="5">
          <cell r="A5" t="str">
            <v>481003</v>
          </cell>
          <cell r="B5" t="str">
            <v>01974</v>
          </cell>
          <cell r="D5" t="str">
            <v>200</v>
          </cell>
          <cell r="E5" t="str">
            <v>2008-06-30</v>
          </cell>
          <cell r="F5" t="str">
            <v>470</v>
          </cell>
          <cell r="G5">
            <v>10231.93</v>
          </cell>
          <cell r="H5">
            <v>1924.42</v>
          </cell>
        </row>
        <row r="6">
          <cell r="A6" t="str">
            <v>481003</v>
          </cell>
          <cell r="B6" t="str">
            <v>01988</v>
          </cell>
          <cell r="D6" t="str">
            <v>200</v>
          </cell>
          <cell r="E6" t="str">
            <v>2008-06-30</v>
          </cell>
          <cell r="F6" t="str">
            <v>470</v>
          </cell>
          <cell r="G6">
            <v>4699.5600000000004</v>
          </cell>
          <cell r="H6">
            <v>882.53</v>
          </cell>
        </row>
        <row r="7">
          <cell r="A7" t="str">
            <v>481003</v>
          </cell>
          <cell r="B7" t="str">
            <v>01993</v>
          </cell>
          <cell r="D7" t="str">
            <v>200</v>
          </cell>
          <cell r="E7" t="str">
            <v>2008-06-30</v>
          </cell>
          <cell r="F7" t="str">
            <v>470</v>
          </cell>
          <cell r="G7">
            <v>1751.48</v>
          </cell>
          <cell r="H7">
            <v>279.88</v>
          </cell>
        </row>
        <row r="8">
          <cell r="A8" t="str">
            <v>481003</v>
          </cell>
          <cell r="B8" t="str">
            <v>01943</v>
          </cell>
          <cell r="D8" t="str">
            <v>200</v>
          </cell>
          <cell r="E8" t="str">
            <v>2008-06-30</v>
          </cell>
          <cell r="F8" t="str">
            <v>470</v>
          </cell>
          <cell r="G8">
            <v>741.84</v>
          </cell>
          <cell r="H8">
            <v>115.32</v>
          </cell>
        </row>
        <row r="9">
          <cell r="A9" t="str">
            <v>481003</v>
          </cell>
          <cell r="B9" t="str">
            <v>01943</v>
          </cell>
          <cell r="D9" t="str">
            <v>200</v>
          </cell>
          <cell r="E9" t="str">
            <v>2008-06-30</v>
          </cell>
          <cell r="F9" t="str">
            <v>472B</v>
          </cell>
          <cell r="G9">
            <v>1704.08</v>
          </cell>
          <cell r="H9">
            <v>318.39</v>
          </cell>
        </row>
        <row r="10">
          <cell r="A10" t="str">
            <v>481003</v>
          </cell>
          <cell r="B10" t="str">
            <v>01954</v>
          </cell>
          <cell r="D10" t="str">
            <v>200</v>
          </cell>
          <cell r="E10" t="str">
            <v>2008-06-30</v>
          </cell>
          <cell r="F10" t="str">
            <v>472B</v>
          </cell>
          <cell r="G10">
            <v>30.42</v>
          </cell>
          <cell r="H10">
            <v>5.64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2008-06-30</v>
          </cell>
          <cell r="F11" t="str">
            <v>472B</v>
          </cell>
          <cell r="G11">
            <v>21353</v>
          </cell>
          <cell r="H11">
            <v>3925.9</v>
          </cell>
        </row>
        <row r="12">
          <cell r="A12" t="str">
            <v>481003</v>
          </cell>
          <cell r="B12" t="str">
            <v>01991</v>
          </cell>
          <cell r="D12" t="str">
            <v>200</v>
          </cell>
          <cell r="E12" t="str">
            <v>2008-06-30</v>
          </cell>
          <cell r="F12" t="str">
            <v>472B</v>
          </cell>
          <cell r="G12">
            <v>58.5</v>
          </cell>
          <cell r="H12">
            <v>10.85</v>
          </cell>
        </row>
        <row r="13">
          <cell r="A13" t="str">
            <v>481003</v>
          </cell>
          <cell r="B13" t="str">
            <v>01959</v>
          </cell>
          <cell r="D13" t="str">
            <v>200</v>
          </cell>
          <cell r="E13" t="str">
            <v>2008-06-30</v>
          </cell>
          <cell r="F13" t="str">
            <v>549A</v>
          </cell>
          <cell r="G13">
            <v>0</v>
          </cell>
          <cell r="H13">
            <v>0</v>
          </cell>
        </row>
        <row r="14">
          <cell r="A14" t="str">
            <v>481003</v>
          </cell>
          <cell r="B14" t="str">
            <v>01943</v>
          </cell>
          <cell r="D14" t="str">
            <v>200</v>
          </cell>
          <cell r="E14" t="str">
            <v>2008-06-30</v>
          </cell>
          <cell r="F14" t="str">
            <v>549A</v>
          </cell>
          <cell r="G14">
            <v>-921.05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2008-06-30</v>
          </cell>
          <cell r="F15" t="str">
            <v>549A</v>
          </cell>
          <cell r="G15">
            <v>-1849.7</v>
          </cell>
          <cell r="H15">
            <v>0</v>
          </cell>
        </row>
        <row r="16">
          <cell r="A16" t="str">
            <v>481003</v>
          </cell>
          <cell r="B16" t="str">
            <v>01991</v>
          </cell>
          <cell r="D16" t="str">
            <v>200</v>
          </cell>
          <cell r="E16" t="str">
            <v>2008-06-30</v>
          </cell>
          <cell r="F16" t="str">
            <v>549A</v>
          </cell>
          <cell r="G16">
            <v>-16.55</v>
          </cell>
          <cell r="H16">
            <v>0</v>
          </cell>
        </row>
        <row r="17">
          <cell r="A17" t="str">
            <v>481003</v>
          </cell>
          <cell r="B17" t="str">
            <v>01993</v>
          </cell>
          <cell r="D17" t="str">
            <v>200</v>
          </cell>
          <cell r="E17" t="str">
            <v>2008-06-30</v>
          </cell>
          <cell r="F17" t="str">
            <v>549A</v>
          </cell>
          <cell r="G17">
            <v>-426.82</v>
          </cell>
          <cell r="H17">
            <v>0</v>
          </cell>
        </row>
        <row r="18">
          <cell r="A18" t="str">
            <v>481003</v>
          </cell>
          <cell r="B18" t="str">
            <v>01954</v>
          </cell>
          <cell r="D18" t="str">
            <v>200</v>
          </cell>
          <cell r="E18" t="str">
            <v>2008-06-30</v>
          </cell>
          <cell r="F18" t="str">
            <v>549A</v>
          </cell>
          <cell r="G18">
            <v>-8.6</v>
          </cell>
          <cell r="H18">
            <v>0</v>
          </cell>
        </row>
        <row r="19">
          <cell r="A19" t="str">
            <v>481003</v>
          </cell>
          <cell r="B19" t="str">
            <v>01953</v>
          </cell>
          <cell r="D19" t="str">
            <v>200</v>
          </cell>
          <cell r="E19" t="str">
            <v>2008-06-30</v>
          </cell>
          <cell r="F19" t="str">
            <v>549A</v>
          </cell>
          <cell r="G19">
            <v>-10686.94</v>
          </cell>
          <cell r="H19">
            <v>0</v>
          </cell>
        </row>
        <row r="20">
          <cell r="A20" t="str">
            <v>481003</v>
          </cell>
          <cell r="B20" t="str">
            <v>01986</v>
          </cell>
          <cell r="D20" t="str">
            <v>200</v>
          </cell>
          <cell r="E20" t="str">
            <v>2008-06-30</v>
          </cell>
          <cell r="F20" t="str">
            <v>549A</v>
          </cell>
          <cell r="G20">
            <v>-1337.15</v>
          </cell>
          <cell r="H20">
            <v>0</v>
          </cell>
        </row>
        <row r="21">
          <cell r="A21" t="str">
            <v>481003</v>
          </cell>
          <cell r="B21" t="str">
            <v>01989</v>
          </cell>
          <cell r="D21" t="str">
            <v>200</v>
          </cell>
          <cell r="E21" t="str">
            <v>2008-06-30</v>
          </cell>
          <cell r="F21" t="str">
            <v>BINGV31330</v>
          </cell>
          <cell r="G21">
            <v>3276.85</v>
          </cell>
          <cell r="H21">
            <v>411.96</v>
          </cell>
        </row>
        <row r="22">
          <cell r="A22" t="str">
            <v>481003</v>
          </cell>
          <cell r="B22" t="str">
            <v>01988</v>
          </cell>
          <cell r="D22" t="str">
            <v>200</v>
          </cell>
          <cell r="E22" t="str">
            <v>2008-06-30</v>
          </cell>
          <cell r="F22" t="str">
            <v>BINGV31330</v>
          </cell>
          <cell r="G22">
            <v>7274.88</v>
          </cell>
          <cell r="H22">
            <v>914.61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2008-06-30</v>
          </cell>
          <cell r="F23" t="str">
            <v>BINGV31330</v>
          </cell>
          <cell r="G23">
            <v>25262.86</v>
          </cell>
          <cell r="H23">
            <v>3176</v>
          </cell>
        </row>
        <row r="24">
          <cell r="A24" t="str">
            <v>481003</v>
          </cell>
          <cell r="B24" t="str">
            <v>01968</v>
          </cell>
          <cell r="D24" t="str">
            <v>200</v>
          </cell>
          <cell r="E24" t="str">
            <v>2008-06-30</v>
          </cell>
          <cell r="F24" t="str">
            <v>BINGV31330</v>
          </cell>
          <cell r="G24">
            <v>3435.3</v>
          </cell>
          <cell r="H24">
            <v>431.88</v>
          </cell>
        </row>
        <row r="25">
          <cell r="A25" t="str">
            <v>481003</v>
          </cell>
          <cell r="B25" t="str">
            <v>01994</v>
          </cell>
          <cell r="D25" t="str">
            <v>200</v>
          </cell>
          <cell r="E25" t="str">
            <v>2008-06-30</v>
          </cell>
          <cell r="F25" t="str">
            <v>BINGV31330</v>
          </cell>
          <cell r="G25">
            <v>15061.94</v>
          </cell>
          <cell r="H25">
            <v>1893.56</v>
          </cell>
        </row>
        <row r="26">
          <cell r="A26" t="str">
            <v>481003</v>
          </cell>
          <cell r="B26" t="str">
            <v>01976</v>
          </cell>
          <cell r="D26" t="str">
            <v>200</v>
          </cell>
          <cell r="E26" t="str">
            <v>2008-06-30</v>
          </cell>
          <cell r="F26" t="str">
            <v>BINGV31330</v>
          </cell>
          <cell r="G26">
            <v>16095.05</v>
          </cell>
          <cell r="H26">
            <v>2023.44</v>
          </cell>
        </row>
        <row r="27">
          <cell r="A27" t="str">
            <v>481003</v>
          </cell>
          <cell r="B27" t="str">
            <v>01980</v>
          </cell>
          <cell r="D27" t="str">
            <v>200</v>
          </cell>
          <cell r="E27" t="str">
            <v>2008-06-30</v>
          </cell>
          <cell r="F27" t="str">
            <v>BINGV31330</v>
          </cell>
          <cell r="G27">
            <v>335.99</v>
          </cell>
          <cell r="H27">
            <v>42.24</v>
          </cell>
        </row>
        <row r="28">
          <cell r="A28" t="str">
            <v>481003</v>
          </cell>
          <cell r="B28" t="str">
            <v>01987</v>
          </cell>
          <cell r="D28" t="str">
            <v>200</v>
          </cell>
          <cell r="E28" t="str">
            <v>2008-06-30</v>
          </cell>
          <cell r="F28" t="str">
            <v>BINGV31330</v>
          </cell>
          <cell r="G28">
            <v>20481.46</v>
          </cell>
          <cell r="H28">
            <v>2574.9499999999998</v>
          </cell>
        </row>
        <row r="29">
          <cell r="A29" t="str">
            <v>481003</v>
          </cell>
          <cell r="B29" t="str">
            <v>01978</v>
          </cell>
          <cell r="D29" t="str">
            <v>200</v>
          </cell>
          <cell r="E29" t="str">
            <v>2008-06-30</v>
          </cell>
          <cell r="F29" t="str">
            <v>BINGV31330</v>
          </cell>
          <cell r="G29">
            <v>8667.7099999999991</v>
          </cell>
          <cell r="H29">
            <v>1089.72</v>
          </cell>
        </row>
        <row r="30">
          <cell r="A30" t="str">
            <v>481003</v>
          </cell>
          <cell r="B30" t="str">
            <v>01970</v>
          </cell>
          <cell r="D30" t="str">
            <v>200</v>
          </cell>
          <cell r="E30" t="str">
            <v>2008-06-30</v>
          </cell>
          <cell r="F30" t="str">
            <v>BINGV31330</v>
          </cell>
          <cell r="G30">
            <v>3578.18</v>
          </cell>
          <cell r="H30">
            <v>449.84</v>
          </cell>
        </row>
        <row r="31">
          <cell r="A31" t="str">
            <v>481003</v>
          </cell>
          <cell r="B31" t="str">
            <v>01971</v>
          </cell>
          <cell r="D31" t="str">
            <v>200</v>
          </cell>
          <cell r="E31" t="str">
            <v>2008-06-30</v>
          </cell>
          <cell r="F31" t="str">
            <v>BINGV31330</v>
          </cell>
          <cell r="G31">
            <v>8177.86</v>
          </cell>
          <cell r="H31">
            <v>1028.1600000000001</v>
          </cell>
        </row>
        <row r="32">
          <cell r="A32" t="str">
            <v>481003</v>
          </cell>
          <cell r="B32" t="str">
            <v>01969</v>
          </cell>
          <cell r="D32" t="str">
            <v>200</v>
          </cell>
          <cell r="E32" t="str">
            <v>2008-06-30</v>
          </cell>
          <cell r="F32" t="str">
            <v>BINGV31330</v>
          </cell>
          <cell r="G32">
            <v>5209.1499999999996</v>
          </cell>
          <cell r="H32">
            <v>654.9</v>
          </cell>
        </row>
        <row r="33">
          <cell r="A33" t="str">
            <v>481003</v>
          </cell>
          <cell r="B33" t="str">
            <v>01977</v>
          </cell>
          <cell r="D33" t="str">
            <v>200</v>
          </cell>
          <cell r="E33" t="str">
            <v>2008-06-30</v>
          </cell>
          <cell r="F33" t="str">
            <v>BINGV31330</v>
          </cell>
          <cell r="G33">
            <v>7312.55</v>
          </cell>
          <cell r="H33">
            <v>919.32</v>
          </cell>
        </row>
        <row r="34">
          <cell r="A34" t="str">
            <v>481003</v>
          </cell>
          <cell r="B34" t="str">
            <v>01992</v>
          </cell>
          <cell r="D34" t="str">
            <v>200</v>
          </cell>
          <cell r="E34" t="str">
            <v>2008-06-30</v>
          </cell>
          <cell r="F34" t="str">
            <v>BINGV31330</v>
          </cell>
          <cell r="G34">
            <v>22618.53</v>
          </cell>
          <cell r="H34">
            <v>2843.56</v>
          </cell>
        </row>
        <row r="35">
          <cell r="A35" t="str">
            <v>481003</v>
          </cell>
          <cell r="B35" t="str">
            <v>01973</v>
          </cell>
          <cell r="D35" t="str">
            <v>200</v>
          </cell>
          <cell r="E35" t="str">
            <v>2008-06-30</v>
          </cell>
          <cell r="F35" t="str">
            <v>BINGV31330</v>
          </cell>
          <cell r="G35">
            <v>13188.54</v>
          </cell>
          <cell r="H35">
            <v>1658.04</v>
          </cell>
        </row>
        <row r="36">
          <cell r="A36" t="str">
            <v>481003</v>
          </cell>
          <cell r="B36" t="str">
            <v>01952</v>
          </cell>
          <cell r="D36" t="str">
            <v>200</v>
          </cell>
          <cell r="E36" t="str">
            <v>2008-06-30</v>
          </cell>
          <cell r="F36" t="str">
            <v>BINGV31330</v>
          </cell>
          <cell r="G36">
            <v>20362.12</v>
          </cell>
          <cell r="H36">
            <v>2559.89</v>
          </cell>
        </row>
        <row r="37">
          <cell r="A37" t="str">
            <v>481003</v>
          </cell>
          <cell r="B37" t="str">
            <v>01953</v>
          </cell>
          <cell r="D37" t="str">
            <v>200</v>
          </cell>
          <cell r="E37" t="str">
            <v>2008-07-31</v>
          </cell>
          <cell r="F37" t="str">
            <v>470</v>
          </cell>
          <cell r="G37">
            <v>26772.09</v>
          </cell>
          <cell r="H37">
            <v>3888.85</v>
          </cell>
        </row>
        <row r="38">
          <cell r="A38" t="str">
            <v>481003</v>
          </cell>
          <cell r="B38" t="str">
            <v>01990</v>
          </cell>
          <cell r="D38" t="str">
            <v>200</v>
          </cell>
          <cell r="E38" t="str">
            <v>2008-07-31</v>
          </cell>
          <cell r="F38" t="str">
            <v>470</v>
          </cell>
          <cell r="G38">
            <v>7014.12</v>
          </cell>
          <cell r="H38">
            <v>1000.07</v>
          </cell>
        </row>
        <row r="39">
          <cell r="A39" t="str">
            <v>481003</v>
          </cell>
          <cell r="B39" t="str">
            <v>01986</v>
          </cell>
          <cell r="D39" t="str">
            <v>200</v>
          </cell>
          <cell r="E39" t="str">
            <v>2008-07-31</v>
          </cell>
          <cell r="F39" t="str">
            <v>470</v>
          </cell>
          <cell r="G39">
            <v>7361</v>
          </cell>
          <cell r="H39">
            <v>1075.6600000000001</v>
          </cell>
        </row>
        <row r="40">
          <cell r="A40" t="str">
            <v>481003</v>
          </cell>
          <cell r="B40" t="str">
            <v>01988</v>
          </cell>
          <cell r="D40" t="str">
            <v>200</v>
          </cell>
          <cell r="E40" t="str">
            <v>2008-07-31</v>
          </cell>
          <cell r="F40" t="str">
            <v>470</v>
          </cell>
          <cell r="G40">
            <v>6166.87</v>
          </cell>
          <cell r="H40">
            <v>901.8</v>
          </cell>
        </row>
        <row r="41">
          <cell r="A41" t="str">
            <v>481003</v>
          </cell>
          <cell r="B41" t="str">
            <v>01974</v>
          </cell>
          <cell r="D41" t="str">
            <v>200</v>
          </cell>
          <cell r="E41" t="str">
            <v>2008-07-31</v>
          </cell>
          <cell r="F41" t="str">
            <v>470</v>
          </cell>
          <cell r="G41">
            <v>16918.509999999998</v>
          </cell>
          <cell r="H41">
            <v>2474.66</v>
          </cell>
        </row>
        <row r="42">
          <cell r="A42" t="str">
            <v>481003</v>
          </cell>
          <cell r="B42" t="str">
            <v>01993</v>
          </cell>
          <cell r="D42" t="str">
            <v>200</v>
          </cell>
          <cell r="E42" t="str">
            <v>2008-07-31</v>
          </cell>
          <cell r="F42" t="str">
            <v>470</v>
          </cell>
          <cell r="G42">
            <v>3791.79</v>
          </cell>
          <cell r="H42">
            <v>390.69</v>
          </cell>
        </row>
        <row r="43">
          <cell r="A43" t="str">
            <v>481003</v>
          </cell>
          <cell r="B43" t="str">
            <v>01943</v>
          </cell>
          <cell r="D43" t="str">
            <v>200</v>
          </cell>
          <cell r="E43" t="str">
            <v>2008-07-31</v>
          </cell>
          <cell r="F43" t="str">
            <v>470</v>
          </cell>
          <cell r="G43">
            <v>1184.71</v>
          </cell>
          <cell r="H43">
            <v>120.2</v>
          </cell>
        </row>
        <row r="44">
          <cell r="A44" t="str">
            <v>481003</v>
          </cell>
          <cell r="B44" t="str">
            <v>01953</v>
          </cell>
          <cell r="D44" t="str">
            <v>200</v>
          </cell>
          <cell r="E44" t="str">
            <v>2008-07-31</v>
          </cell>
          <cell r="F44" t="str">
            <v>472B</v>
          </cell>
          <cell r="G44">
            <v>35324.15</v>
          </cell>
          <cell r="H44">
            <v>4837.5600000000004</v>
          </cell>
        </row>
        <row r="45">
          <cell r="A45" t="str">
            <v>481003</v>
          </cell>
          <cell r="B45" t="str">
            <v>01954</v>
          </cell>
          <cell r="D45" t="str">
            <v>200</v>
          </cell>
          <cell r="E45" t="str">
            <v>2008-07-31</v>
          </cell>
          <cell r="F45" t="str">
            <v>472B</v>
          </cell>
          <cell r="G45">
            <v>14.19</v>
          </cell>
          <cell r="H45">
            <v>1.96</v>
          </cell>
        </row>
        <row r="46">
          <cell r="A46" t="str">
            <v>481003</v>
          </cell>
          <cell r="B46" t="str">
            <v>01943</v>
          </cell>
          <cell r="D46" t="str">
            <v>200</v>
          </cell>
          <cell r="E46" t="str">
            <v>2008-07-31</v>
          </cell>
          <cell r="F46" t="str">
            <v>472B</v>
          </cell>
          <cell r="G46">
            <v>297.92</v>
          </cell>
          <cell r="H46">
            <v>55.68</v>
          </cell>
        </row>
        <row r="47">
          <cell r="A47" t="str">
            <v>481003</v>
          </cell>
          <cell r="B47" t="str">
            <v>01991</v>
          </cell>
          <cell r="D47" t="str">
            <v>200</v>
          </cell>
          <cell r="E47" t="str">
            <v>2008-07-31</v>
          </cell>
          <cell r="F47" t="str">
            <v>472B</v>
          </cell>
          <cell r="G47">
            <v>74.7</v>
          </cell>
          <cell r="H47">
            <v>10.31</v>
          </cell>
        </row>
        <row r="48">
          <cell r="A48" t="str">
            <v>481003</v>
          </cell>
          <cell r="B48" t="str">
            <v>01959</v>
          </cell>
          <cell r="D48" t="str">
            <v>200</v>
          </cell>
          <cell r="E48" t="str">
            <v>2008-07-31</v>
          </cell>
          <cell r="F48" t="str">
            <v>549A</v>
          </cell>
          <cell r="G48">
            <v>0</v>
          </cell>
          <cell r="H48">
            <v>0</v>
          </cell>
        </row>
        <row r="49">
          <cell r="A49" t="str">
            <v>481003</v>
          </cell>
          <cell r="B49" t="str">
            <v>01943</v>
          </cell>
          <cell r="D49" t="str">
            <v>200</v>
          </cell>
          <cell r="E49" t="str">
            <v>2008-07-31</v>
          </cell>
          <cell r="F49" t="str">
            <v>549A</v>
          </cell>
          <cell r="G49">
            <v>-420.15</v>
          </cell>
          <cell r="H49">
            <v>0</v>
          </cell>
        </row>
        <row r="50">
          <cell r="A50" t="str">
            <v>481003</v>
          </cell>
          <cell r="B50" t="str">
            <v>01990</v>
          </cell>
          <cell r="D50" t="str">
            <v>200</v>
          </cell>
          <cell r="E50" t="str">
            <v>2008-07-31</v>
          </cell>
          <cell r="F50" t="str">
            <v>549A</v>
          </cell>
          <cell r="G50">
            <v>-1525.11</v>
          </cell>
          <cell r="H50">
            <v>0</v>
          </cell>
        </row>
        <row r="51">
          <cell r="A51" t="str">
            <v>481003</v>
          </cell>
          <cell r="B51" t="str">
            <v>01991</v>
          </cell>
          <cell r="D51" t="str">
            <v>200</v>
          </cell>
          <cell r="E51" t="str">
            <v>2008-07-31</v>
          </cell>
          <cell r="F51" t="str">
            <v>549A</v>
          </cell>
          <cell r="G51">
            <v>-15.72</v>
          </cell>
          <cell r="H51">
            <v>0</v>
          </cell>
        </row>
        <row r="52">
          <cell r="A52" t="str">
            <v>481003</v>
          </cell>
          <cell r="B52" t="str">
            <v>01993</v>
          </cell>
          <cell r="D52" t="str">
            <v>200</v>
          </cell>
          <cell r="E52" t="str">
            <v>2008-07-31</v>
          </cell>
          <cell r="F52" t="str">
            <v>549A</v>
          </cell>
          <cell r="G52">
            <v>-595.79999999999995</v>
          </cell>
          <cell r="H52">
            <v>0</v>
          </cell>
        </row>
        <row r="53">
          <cell r="A53" t="str">
            <v>481003</v>
          </cell>
          <cell r="B53" t="str">
            <v>01954</v>
          </cell>
          <cell r="D53" t="str">
            <v>200</v>
          </cell>
          <cell r="E53" t="str">
            <v>2008-07-31</v>
          </cell>
          <cell r="F53" t="str">
            <v>549A</v>
          </cell>
          <cell r="G53">
            <v>-2.99</v>
          </cell>
          <cell r="H53">
            <v>0</v>
          </cell>
        </row>
        <row r="54">
          <cell r="A54" t="str">
            <v>481003</v>
          </cell>
          <cell r="B54" t="str">
            <v>01953</v>
          </cell>
          <cell r="D54" t="str">
            <v>200</v>
          </cell>
          <cell r="E54" t="str">
            <v>2008-07-31</v>
          </cell>
          <cell r="F54" t="str">
            <v>549A</v>
          </cell>
          <cell r="G54">
            <v>-13307.78</v>
          </cell>
          <cell r="H54">
            <v>0</v>
          </cell>
        </row>
        <row r="55">
          <cell r="A55" t="str">
            <v>481003</v>
          </cell>
          <cell r="B55" t="str">
            <v>01986</v>
          </cell>
          <cell r="D55" t="str">
            <v>200</v>
          </cell>
          <cell r="E55" t="str">
            <v>2008-07-31</v>
          </cell>
          <cell r="F55" t="str">
            <v>549A</v>
          </cell>
          <cell r="G55">
            <v>-1640.38</v>
          </cell>
          <cell r="H55">
            <v>0</v>
          </cell>
        </row>
        <row r="56">
          <cell r="A56" t="str">
            <v>481003</v>
          </cell>
          <cell r="B56" t="str">
            <v>01976</v>
          </cell>
          <cell r="D56" t="str">
            <v>200</v>
          </cell>
          <cell r="E56" t="str">
            <v>2008-07-31</v>
          </cell>
          <cell r="F56" t="str">
            <v>BINGV31717</v>
          </cell>
          <cell r="G56">
            <v>21999.68</v>
          </cell>
          <cell r="H56">
            <v>2765.76</v>
          </cell>
        </row>
        <row r="57">
          <cell r="A57" t="str">
            <v>481003</v>
          </cell>
          <cell r="B57" t="str">
            <v>01980</v>
          </cell>
          <cell r="D57" t="str">
            <v>200</v>
          </cell>
          <cell r="E57" t="str">
            <v>2008-07-31</v>
          </cell>
          <cell r="F57" t="str">
            <v>BINGV31717</v>
          </cell>
          <cell r="G57">
            <v>36.270000000000003</v>
          </cell>
          <cell r="H57">
            <v>4.5599999999999996</v>
          </cell>
        </row>
        <row r="58">
          <cell r="A58" t="str">
            <v>481003</v>
          </cell>
          <cell r="B58" t="str">
            <v>01987</v>
          </cell>
          <cell r="D58" t="str">
            <v>200</v>
          </cell>
          <cell r="E58" t="str">
            <v>2008-07-31</v>
          </cell>
          <cell r="F58" t="str">
            <v>BINGV31717</v>
          </cell>
          <cell r="G58">
            <v>24596.720000000001</v>
          </cell>
          <cell r="H58">
            <v>3092.34</v>
          </cell>
        </row>
        <row r="59">
          <cell r="A59" t="str">
            <v>481003</v>
          </cell>
          <cell r="B59" t="str">
            <v>01978</v>
          </cell>
          <cell r="D59" t="str">
            <v>200</v>
          </cell>
          <cell r="E59" t="str">
            <v>2008-07-31</v>
          </cell>
          <cell r="F59" t="str">
            <v>BINGV31717</v>
          </cell>
          <cell r="G59">
            <v>10379.4</v>
          </cell>
          <cell r="H59">
            <v>1304.8800000000001</v>
          </cell>
        </row>
        <row r="60">
          <cell r="A60" t="str">
            <v>481003</v>
          </cell>
          <cell r="B60" t="str">
            <v>01970</v>
          </cell>
          <cell r="D60" t="str">
            <v>200</v>
          </cell>
          <cell r="E60" t="str">
            <v>2008-07-31</v>
          </cell>
          <cell r="F60" t="str">
            <v>BINGV31717</v>
          </cell>
          <cell r="G60">
            <v>3896.56</v>
          </cell>
          <cell r="H60">
            <v>489.87</v>
          </cell>
        </row>
        <row r="61">
          <cell r="A61" t="str">
            <v>481003</v>
          </cell>
          <cell r="B61" t="str">
            <v>01971</v>
          </cell>
          <cell r="D61" t="str">
            <v>200</v>
          </cell>
          <cell r="E61" t="str">
            <v>2008-07-31</v>
          </cell>
          <cell r="F61" t="str">
            <v>BINGV31717</v>
          </cell>
          <cell r="G61">
            <v>12760.93</v>
          </cell>
          <cell r="H61">
            <v>1604.28</v>
          </cell>
        </row>
        <row r="62">
          <cell r="A62" t="str">
            <v>481003</v>
          </cell>
          <cell r="B62" t="str">
            <v>01969</v>
          </cell>
          <cell r="D62" t="str">
            <v>200</v>
          </cell>
          <cell r="E62" t="str">
            <v>2008-07-31</v>
          </cell>
          <cell r="F62" t="str">
            <v>BINGV31717</v>
          </cell>
          <cell r="G62">
            <v>3746.93</v>
          </cell>
          <cell r="H62">
            <v>471.06</v>
          </cell>
        </row>
        <row r="63">
          <cell r="A63" t="str">
            <v>481003</v>
          </cell>
          <cell r="B63" t="str">
            <v>01977</v>
          </cell>
          <cell r="D63" t="str">
            <v>200</v>
          </cell>
          <cell r="E63" t="str">
            <v>2008-07-31</v>
          </cell>
          <cell r="F63" t="str">
            <v>BINGV31717</v>
          </cell>
          <cell r="G63">
            <v>9283.6200000000008</v>
          </cell>
          <cell r="H63">
            <v>1167.1199999999999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2008-07-31</v>
          </cell>
          <cell r="F64" t="str">
            <v>BINGV31717</v>
          </cell>
          <cell r="G64">
            <v>23581.59</v>
          </cell>
          <cell r="H64">
            <v>2964.63</v>
          </cell>
        </row>
        <row r="65">
          <cell r="A65" t="str">
            <v>481003</v>
          </cell>
          <cell r="B65" t="str">
            <v>01968</v>
          </cell>
          <cell r="D65" t="str">
            <v>200</v>
          </cell>
          <cell r="E65" t="str">
            <v>2008-07-31</v>
          </cell>
          <cell r="F65" t="str">
            <v>BINGV31717</v>
          </cell>
          <cell r="G65">
            <v>6320.8</v>
          </cell>
          <cell r="H65">
            <v>794.64</v>
          </cell>
        </row>
        <row r="66">
          <cell r="A66" t="str">
            <v>481003</v>
          </cell>
          <cell r="B66" t="str">
            <v>01994</v>
          </cell>
          <cell r="D66" t="str">
            <v>200</v>
          </cell>
          <cell r="E66" t="str">
            <v>2008-07-31</v>
          </cell>
          <cell r="F66" t="str">
            <v>BINGV31717</v>
          </cell>
          <cell r="G66">
            <v>9018.2099999999991</v>
          </cell>
          <cell r="H66">
            <v>1133.75</v>
          </cell>
        </row>
        <row r="67">
          <cell r="A67" t="str">
            <v>481003</v>
          </cell>
          <cell r="B67" t="str">
            <v>01995</v>
          </cell>
          <cell r="D67" t="str">
            <v>200</v>
          </cell>
          <cell r="E67" t="str">
            <v>2008-07-31</v>
          </cell>
          <cell r="F67" t="str">
            <v>BINGV31717</v>
          </cell>
          <cell r="G67">
            <v>25655.83</v>
          </cell>
          <cell r="H67">
            <v>3099.36</v>
          </cell>
        </row>
        <row r="68">
          <cell r="A68" t="str">
            <v>481003</v>
          </cell>
          <cell r="B68" t="str">
            <v>01973</v>
          </cell>
          <cell r="D68" t="str">
            <v>200</v>
          </cell>
          <cell r="E68" t="str">
            <v>2008-07-31</v>
          </cell>
          <cell r="F68" t="str">
            <v>BINGV31717</v>
          </cell>
          <cell r="G68">
            <v>34982.050000000003</v>
          </cell>
          <cell r="H68">
            <v>7398</v>
          </cell>
        </row>
        <row r="69">
          <cell r="A69" t="str">
            <v>481003</v>
          </cell>
          <cell r="B69" t="str">
            <v>01952</v>
          </cell>
          <cell r="D69" t="str">
            <v>200</v>
          </cell>
          <cell r="E69" t="str">
            <v>2008-07-31</v>
          </cell>
          <cell r="F69" t="str">
            <v>BINGV31717</v>
          </cell>
          <cell r="G69">
            <v>27819.94</v>
          </cell>
          <cell r="H69">
            <v>3497.47</v>
          </cell>
        </row>
        <row r="70">
          <cell r="A70" t="str">
            <v>481003</v>
          </cell>
          <cell r="B70" t="str">
            <v>01989</v>
          </cell>
          <cell r="D70" t="str">
            <v>200</v>
          </cell>
          <cell r="E70" t="str">
            <v>2008-07-31</v>
          </cell>
          <cell r="F70" t="str">
            <v>BINGV31717</v>
          </cell>
          <cell r="G70">
            <v>5401.61</v>
          </cell>
          <cell r="H70">
            <v>679.08</v>
          </cell>
        </row>
        <row r="71">
          <cell r="A71" t="str">
            <v>481003</v>
          </cell>
          <cell r="B71" t="str">
            <v>01988</v>
          </cell>
          <cell r="D71" t="str">
            <v>200</v>
          </cell>
          <cell r="E71" t="str">
            <v>2008-07-31</v>
          </cell>
          <cell r="F71" t="str">
            <v>BINGV31717</v>
          </cell>
          <cell r="G71">
            <v>7574.57</v>
          </cell>
          <cell r="H71">
            <v>952.29</v>
          </cell>
        </row>
        <row r="72">
          <cell r="A72" t="str">
            <v>481003</v>
          </cell>
          <cell r="B72" t="str">
            <v>01986</v>
          </cell>
          <cell r="D72" t="str">
            <v>200</v>
          </cell>
          <cell r="E72" t="str">
            <v>2008-07-31</v>
          </cell>
          <cell r="F72" t="str">
            <v>BINGV31717</v>
          </cell>
          <cell r="G72">
            <v>30266.11</v>
          </cell>
          <cell r="H72">
            <v>3805</v>
          </cell>
        </row>
        <row r="73">
          <cell r="A73" t="str">
            <v>481003</v>
          </cell>
          <cell r="B73" t="str">
            <v>01953</v>
          </cell>
          <cell r="D73" t="str">
            <v>200</v>
          </cell>
          <cell r="E73" t="str">
            <v>2008-08-31</v>
          </cell>
          <cell r="F73" t="str">
            <v>470</v>
          </cell>
          <cell r="G73">
            <v>37343.96</v>
          </cell>
          <cell r="H73">
            <v>5195.9399999999996</v>
          </cell>
        </row>
        <row r="74">
          <cell r="A74" t="str">
            <v>481003</v>
          </cell>
          <cell r="B74" t="str">
            <v>01990</v>
          </cell>
          <cell r="D74" t="str">
            <v>200</v>
          </cell>
          <cell r="E74" t="str">
            <v>2008-08-31</v>
          </cell>
          <cell r="F74" t="str">
            <v>470</v>
          </cell>
          <cell r="G74">
            <v>10449.93</v>
          </cell>
          <cell r="H74">
            <v>1453.87</v>
          </cell>
        </row>
        <row r="75">
          <cell r="A75" t="str">
            <v>481003</v>
          </cell>
          <cell r="B75" t="str">
            <v>01986</v>
          </cell>
          <cell r="D75" t="str">
            <v>200</v>
          </cell>
          <cell r="E75" t="str">
            <v>2008-08-31</v>
          </cell>
          <cell r="F75" t="str">
            <v>470</v>
          </cell>
          <cell r="G75">
            <v>10428.790000000001</v>
          </cell>
          <cell r="H75">
            <v>1450.49</v>
          </cell>
        </row>
        <row r="76">
          <cell r="A76" t="str">
            <v>481003</v>
          </cell>
          <cell r="B76" t="str">
            <v>01988</v>
          </cell>
          <cell r="D76" t="str">
            <v>200</v>
          </cell>
          <cell r="E76" t="str">
            <v>2008-08-31</v>
          </cell>
          <cell r="F76" t="str">
            <v>470</v>
          </cell>
          <cell r="G76">
            <v>7431.61</v>
          </cell>
          <cell r="H76">
            <v>1034.3499999999999</v>
          </cell>
        </row>
        <row r="77">
          <cell r="A77" t="str">
            <v>481003</v>
          </cell>
          <cell r="B77" t="str">
            <v>01974</v>
          </cell>
          <cell r="D77" t="str">
            <v>200</v>
          </cell>
          <cell r="E77" t="str">
            <v>2008-08-31</v>
          </cell>
          <cell r="F77" t="str">
            <v>470</v>
          </cell>
          <cell r="G77">
            <v>21153.59</v>
          </cell>
          <cell r="H77">
            <v>2946.86</v>
          </cell>
        </row>
        <row r="78">
          <cell r="A78" t="str">
            <v>481003</v>
          </cell>
          <cell r="B78" t="str">
            <v>01993</v>
          </cell>
          <cell r="D78" t="str">
            <v>200</v>
          </cell>
          <cell r="E78" t="str">
            <v>2008-08-31</v>
          </cell>
          <cell r="F78" t="str">
            <v>470</v>
          </cell>
          <cell r="G78">
            <v>5710.47</v>
          </cell>
          <cell r="H78">
            <v>559.39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2008-08-31</v>
          </cell>
          <cell r="F79" t="str">
            <v>470</v>
          </cell>
          <cell r="G79">
            <v>686.57</v>
          </cell>
          <cell r="H79">
            <v>65.709999999999994</v>
          </cell>
        </row>
        <row r="80">
          <cell r="A80" t="str">
            <v>481003</v>
          </cell>
          <cell r="B80" t="str">
            <v>01943</v>
          </cell>
          <cell r="D80" t="str">
            <v>200</v>
          </cell>
          <cell r="E80" t="str">
            <v>2008-08-31</v>
          </cell>
          <cell r="F80" t="str">
            <v>472B</v>
          </cell>
          <cell r="G80">
            <v>2189.6</v>
          </cell>
          <cell r="H80">
            <v>409.11</v>
          </cell>
        </row>
        <row r="81">
          <cell r="A81" t="str">
            <v>481003</v>
          </cell>
          <cell r="B81" t="str">
            <v>01953</v>
          </cell>
          <cell r="D81" t="str">
            <v>200</v>
          </cell>
          <cell r="E81" t="str">
            <v>2008-08-31</v>
          </cell>
          <cell r="F81" t="str">
            <v>472B</v>
          </cell>
          <cell r="G81">
            <v>40490.79</v>
          </cell>
          <cell r="H81">
            <v>5545.02</v>
          </cell>
        </row>
        <row r="82">
          <cell r="A82" t="str">
            <v>481003</v>
          </cell>
          <cell r="B82" t="str">
            <v>01954</v>
          </cell>
          <cell r="D82" t="str">
            <v>200</v>
          </cell>
          <cell r="E82" t="str">
            <v>2008-08-31</v>
          </cell>
          <cell r="F82" t="str">
            <v>472B</v>
          </cell>
          <cell r="G82">
            <v>31.7</v>
          </cell>
          <cell r="H82">
            <v>4.37</v>
          </cell>
        </row>
        <row r="83">
          <cell r="A83" t="str">
            <v>481003</v>
          </cell>
          <cell r="B83" t="str">
            <v>01991</v>
          </cell>
          <cell r="D83" t="str">
            <v>200</v>
          </cell>
          <cell r="E83" t="str">
            <v>2008-08-31</v>
          </cell>
          <cell r="F83" t="str">
            <v>472B</v>
          </cell>
          <cell r="G83">
            <v>76.62</v>
          </cell>
          <cell r="H83">
            <v>10.58</v>
          </cell>
        </row>
        <row r="84">
          <cell r="A84" t="str">
            <v>481003</v>
          </cell>
          <cell r="B84" t="str">
            <v>01993</v>
          </cell>
          <cell r="D84" t="str">
            <v>200</v>
          </cell>
          <cell r="E84" t="str">
            <v>2008-08-31</v>
          </cell>
          <cell r="F84" t="str">
            <v>549A</v>
          </cell>
          <cell r="G84">
            <v>-853.07</v>
          </cell>
          <cell r="H84">
            <v>0</v>
          </cell>
        </row>
        <row r="85">
          <cell r="A85" t="str">
            <v>481003</v>
          </cell>
          <cell r="B85" t="str">
            <v>01954</v>
          </cell>
          <cell r="D85" t="str">
            <v>200</v>
          </cell>
          <cell r="E85" t="str">
            <v>2008-08-31</v>
          </cell>
          <cell r="F85" t="str">
            <v>549A</v>
          </cell>
          <cell r="G85">
            <v>-6.66</v>
          </cell>
          <cell r="H85">
            <v>0</v>
          </cell>
        </row>
        <row r="86">
          <cell r="A86" t="str">
            <v>481003</v>
          </cell>
          <cell r="B86" t="str">
            <v>01953</v>
          </cell>
          <cell r="D86" t="str">
            <v>200</v>
          </cell>
          <cell r="E86" t="str">
            <v>2008-08-31</v>
          </cell>
          <cell r="F86" t="str">
            <v>549A</v>
          </cell>
          <cell r="G86">
            <v>-16379.96</v>
          </cell>
          <cell r="H86">
            <v>0</v>
          </cell>
        </row>
        <row r="87">
          <cell r="A87" t="str">
            <v>481003</v>
          </cell>
          <cell r="B87" t="str">
            <v>01986</v>
          </cell>
          <cell r="D87" t="str">
            <v>200</v>
          </cell>
          <cell r="E87" t="str">
            <v>2008-08-31</v>
          </cell>
          <cell r="F87" t="str">
            <v>549A</v>
          </cell>
          <cell r="G87">
            <v>-2212</v>
          </cell>
          <cell r="H87">
            <v>0</v>
          </cell>
        </row>
        <row r="88">
          <cell r="A88" t="str">
            <v>481003</v>
          </cell>
          <cell r="B88" t="str">
            <v>01959</v>
          </cell>
          <cell r="D88" t="str">
            <v>200</v>
          </cell>
          <cell r="E88" t="str">
            <v>2008-08-31</v>
          </cell>
          <cell r="F88" t="str">
            <v>549A</v>
          </cell>
          <cell r="G88">
            <v>0</v>
          </cell>
          <cell r="H88">
            <v>0</v>
          </cell>
        </row>
        <row r="89">
          <cell r="A89" t="str">
            <v>481003</v>
          </cell>
          <cell r="B89" t="str">
            <v>01943</v>
          </cell>
          <cell r="D89" t="str">
            <v>200</v>
          </cell>
          <cell r="E89" t="str">
            <v>2008-08-31</v>
          </cell>
          <cell r="F89" t="str">
            <v>549A</v>
          </cell>
          <cell r="G89">
            <v>-1134.26</v>
          </cell>
          <cell r="H89">
            <v>0</v>
          </cell>
        </row>
        <row r="90">
          <cell r="A90" t="str">
            <v>481003</v>
          </cell>
          <cell r="B90" t="str">
            <v>01990</v>
          </cell>
          <cell r="D90" t="str">
            <v>200</v>
          </cell>
          <cell r="E90" t="str">
            <v>2008-08-31</v>
          </cell>
          <cell r="F90" t="str">
            <v>549A</v>
          </cell>
          <cell r="G90">
            <v>-2217.15</v>
          </cell>
          <cell r="H90">
            <v>0</v>
          </cell>
        </row>
        <row r="91">
          <cell r="A91" t="str">
            <v>481003</v>
          </cell>
          <cell r="B91" t="str">
            <v>01991</v>
          </cell>
          <cell r="D91" t="str">
            <v>200</v>
          </cell>
          <cell r="E91" t="str">
            <v>2008-08-31</v>
          </cell>
          <cell r="F91" t="str">
            <v>549A</v>
          </cell>
          <cell r="G91">
            <v>-16.13</v>
          </cell>
          <cell r="H91">
            <v>0</v>
          </cell>
        </row>
        <row r="92">
          <cell r="A92" t="str">
            <v>481003</v>
          </cell>
          <cell r="B92" t="str">
            <v>01979</v>
          </cell>
          <cell r="D92" t="str">
            <v>200</v>
          </cell>
          <cell r="E92" t="str">
            <v>2008-08-31</v>
          </cell>
          <cell r="F92" t="str">
            <v>BINGV32099</v>
          </cell>
          <cell r="G92">
            <v>0.18</v>
          </cell>
          <cell r="H92">
            <v>0.02</v>
          </cell>
        </row>
        <row r="93">
          <cell r="A93" t="str">
            <v>481003</v>
          </cell>
          <cell r="B93" t="str">
            <v>01968</v>
          </cell>
          <cell r="D93" t="str">
            <v>200</v>
          </cell>
          <cell r="E93" t="str">
            <v>2008-08-31</v>
          </cell>
          <cell r="F93" t="str">
            <v>BINGV32099</v>
          </cell>
          <cell r="G93">
            <v>6582.96</v>
          </cell>
          <cell r="H93">
            <v>671.62</v>
          </cell>
        </row>
        <row r="94">
          <cell r="A94" t="str">
            <v>481003</v>
          </cell>
          <cell r="B94" t="str">
            <v>01994</v>
          </cell>
          <cell r="D94" t="str">
            <v>200</v>
          </cell>
          <cell r="E94" t="str">
            <v>2008-08-31</v>
          </cell>
          <cell r="F94" t="str">
            <v>BINGV32099</v>
          </cell>
          <cell r="G94">
            <v>16587.95</v>
          </cell>
          <cell r="H94">
            <v>1692.12</v>
          </cell>
        </row>
        <row r="95">
          <cell r="A95" t="str">
            <v>481003</v>
          </cell>
          <cell r="B95" t="str">
            <v>01995</v>
          </cell>
          <cell r="D95" t="str">
            <v>200</v>
          </cell>
          <cell r="E95" t="str">
            <v>2008-08-31</v>
          </cell>
          <cell r="F95" t="str">
            <v>BINGV32099</v>
          </cell>
          <cell r="G95">
            <v>5608.92</v>
          </cell>
          <cell r="H95">
            <v>572.16</v>
          </cell>
        </row>
        <row r="96">
          <cell r="A96" t="str">
            <v>481003</v>
          </cell>
          <cell r="B96" t="str">
            <v>01980</v>
          </cell>
          <cell r="D96" t="str">
            <v>200</v>
          </cell>
          <cell r="E96" t="str">
            <v>2008-08-31</v>
          </cell>
          <cell r="F96" t="str">
            <v>BINGV32099</v>
          </cell>
          <cell r="G96">
            <v>65.88</v>
          </cell>
          <cell r="H96">
            <v>6.72</v>
          </cell>
        </row>
        <row r="97">
          <cell r="A97" t="str">
            <v>481003</v>
          </cell>
          <cell r="B97" t="str">
            <v>01987</v>
          </cell>
          <cell r="D97" t="str">
            <v>200</v>
          </cell>
          <cell r="E97" t="str">
            <v>2008-08-31</v>
          </cell>
          <cell r="F97" t="str">
            <v>BINGV32099</v>
          </cell>
          <cell r="G97">
            <v>28321.919999999998</v>
          </cell>
          <cell r="H97">
            <v>2889.09</v>
          </cell>
        </row>
        <row r="98">
          <cell r="A98" t="str">
            <v>481003</v>
          </cell>
          <cell r="B98" t="str">
            <v>01976</v>
          </cell>
          <cell r="D98" t="str">
            <v>200</v>
          </cell>
          <cell r="E98" t="str">
            <v>2008-08-31</v>
          </cell>
          <cell r="F98" t="str">
            <v>BINGV32099</v>
          </cell>
          <cell r="G98">
            <v>16593.849999999999</v>
          </cell>
          <cell r="H98">
            <v>1692.72</v>
          </cell>
        </row>
        <row r="99">
          <cell r="A99" t="str">
            <v>481003</v>
          </cell>
          <cell r="B99" t="str">
            <v>01978</v>
          </cell>
          <cell r="D99" t="str">
            <v>200</v>
          </cell>
          <cell r="E99" t="str">
            <v>2008-08-31</v>
          </cell>
          <cell r="F99" t="str">
            <v>BINGV32099</v>
          </cell>
          <cell r="G99">
            <v>12404.8</v>
          </cell>
          <cell r="H99">
            <v>1265.4000000000001</v>
          </cell>
        </row>
        <row r="100">
          <cell r="A100" t="str">
            <v>481003</v>
          </cell>
          <cell r="B100" t="str">
            <v>01970</v>
          </cell>
          <cell r="D100" t="str">
            <v>200</v>
          </cell>
          <cell r="E100" t="str">
            <v>2008-08-31</v>
          </cell>
          <cell r="F100" t="str">
            <v>BINGV32099</v>
          </cell>
          <cell r="G100">
            <v>4519.92</v>
          </cell>
          <cell r="H100">
            <v>461.06</v>
          </cell>
        </row>
        <row r="101">
          <cell r="A101" t="str">
            <v>481003</v>
          </cell>
          <cell r="B101" t="str">
            <v>01971</v>
          </cell>
          <cell r="D101" t="str">
            <v>200</v>
          </cell>
          <cell r="E101" t="str">
            <v>2008-08-31</v>
          </cell>
          <cell r="F101" t="str">
            <v>BINGV32099</v>
          </cell>
          <cell r="G101">
            <v>16870.3</v>
          </cell>
          <cell r="H101">
            <v>1720.92</v>
          </cell>
        </row>
        <row r="102">
          <cell r="A102" t="str">
            <v>481003</v>
          </cell>
          <cell r="B102" t="str">
            <v>01969</v>
          </cell>
          <cell r="D102" t="str">
            <v>200</v>
          </cell>
          <cell r="E102" t="str">
            <v>2008-08-31</v>
          </cell>
          <cell r="F102" t="str">
            <v>BINGV32099</v>
          </cell>
          <cell r="G102">
            <v>7596.99</v>
          </cell>
          <cell r="H102">
            <v>774.96</v>
          </cell>
        </row>
        <row r="103">
          <cell r="A103" t="str">
            <v>481003</v>
          </cell>
          <cell r="B103" t="str">
            <v>01977</v>
          </cell>
          <cell r="D103" t="str">
            <v>200</v>
          </cell>
          <cell r="E103" t="str">
            <v>2008-08-31</v>
          </cell>
          <cell r="F103" t="str">
            <v>BINGV32099</v>
          </cell>
          <cell r="G103">
            <v>13605.88</v>
          </cell>
          <cell r="H103">
            <v>1387.92</v>
          </cell>
        </row>
        <row r="104">
          <cell r="A104" t="str">
            <v>481003</v>
          </cell>
          <cell r="B104" t="str">
            <v>01992</v>
          </cell>
          <cell r="D104" t="str">
            <v>200</v>
          </cell>
          <cell r="E104" t="str">
            <v>2008-08-31</v>
          </cell>
          <cell r="F104" t="str">
            <v>BINGV32099</v>
          </cell>
          <cell r="G104">
            <v>31345.81</v>
          </cell>
          <cell r="H104">
            <v>3197.55</v>
          </cell>
        </row>
        <row r="105">
          <cell r="A105" t="str">
            <v>481003</v>
          </cell>
          <cell r="B105" t="str">
            <v>01952</v>
          </cell>
          <cell r="D105" t="str">
            <v>200</v>
          </cell>
          <cell r="E105" t="str">
            <v>2008-08-31</v>
          </cell>
          <cell r="F105" t="str">
            <v>BINGV32099</v>
          </cell>
          <cell r="G105">
            <v>42326.21</v>
          </cell>
          <cell r="H105">
            <v>4317.6499999999996</v>
          </cell>
        </row>
        <row r="106">
          <cell r="A106" t="str">
            <v>481003</v>
          </cell>
          <cell r="B106" t="str">
            <v>01989</v>
          </cell>
          <cell r="D106" t="str">
            <v>200</v>
          </cell>
          <cell r="E106" t="str">
            <v>2008-08-31</v>
          </cell>
          <cell r="F106" t="str">
            <v>BINGV32099</v>
          </cell>
          <cell r="G106">
            <v>3558.51</v>
          </cell>
          <cell r="H106">
            <v>363</v>
          </cell>
        </row>
        <row r="107">
          <cell r="A107" t="str">
            <v>481003</v>
          </cell>
          <cell r="B107" t="str">
            <v>01973</v>
          </cell>
          <cell r="D107" t="str">
            <v>200</v>
          </cell>
          <cell r="E107" t="str">
            <v>2008-08-31</v>
          </cell>
          <cell r="F107" t="str">
            <v>BINGV32099</v>
          </cell>
          <cell r="G107">
            <v>18330.169999999998</v>
          </cell>
          <cell r="H107">
            <v>1869.84</v>
          </cell>
        </row>
        <row r="108">
          <cell r="A108" t="str">
            <v>481003</v>
          </cell>
          <cell r="B108" t="str">
            <v>01988</v>
          </cell>
          <cell r="D108" t="str">
            <v>200</v>
          </cell>
          <cell r="E108" t="str">
            <v>2008-08-31</v>
          </cell>
          <cell r="F108" t="str">
            <v>BINGV32099</v>
          </cell>
          <cell r="G108">
            <v>9927.75</v>
          </cell>
          <cell r="H108">
            <v>1012.72</v>
          </cell>
        </row>
        <row r="109">
          <cell r="A109" t="str">
            <v>481003</v>
          </cell>
          <cell r="B109" t="str">
            <v>01986</v>
          </cell>
          <cell r="D109" t="str">
            <v>200</v>
          </cell>
          <cell r="E109" t="str">
            <v>2008-08-31</v>
          </cell>
          <cell r="F109" t="str">
            <v>BINGV32099</v>
          </cell>
          <cell r="G109">
            <v>40987.75</v>
          </cell>
          <cell r="H109">
            <v>4181</v>
          </cell>
        </row>
        <row r="110">
          <cell r="A110" t="str">
            <v>481003</v>
          </cell>
          <cell r="B110" t="str">
            <v>01990</v>
          </cell>
          <cell r="D110" t="str">
            <v>200</v>
          </cell>
          <cell r="E110" t="str">
            <v>2008-09-30</v>
          </cell>
          <cell r="F110" t="str">
            <v>470</v>
          </cell>
          <cell r="G110">
            <v>10666.65</v>
          </cell>
          <cell r="H110">
            <v>1463.09</v>
          </cell>
        </row>
        <row r="111">
          <cell r="A111" t="str">
            <v>481003</v>
          </cell>
          <cell r="B111" t="str">
            <v>01953</v>
          </cell>
          <cell r="D111" t="str">
            <v>200</v>
          </cell>
          <cell r="E111" t="str">
            <v>2008-09-30</v>
          </cell>
          <cell r="F111" t="str">
            <v>470</v>
          </cell>
          <cell r="G111">
            <v>29982.49</v>
          </cell>
          <cell r="H111">
            <v>4111.7</v>
          </cell>
        </row>
        <row r="112">
          <cell r="A112" t="str">
            <v>481003</v>
          </cell>
          <cell r="B112" t="str">
            <v>01986</v>
          </cell>
          <cell r="D112" t="str">
            <v>200</v>
          </cell>
          <cell r="E112" t="str">
            <v>2008-09-30</v>
          </cell>
          <cell r="F112" t="str">
            <v>470</v>
          </cell>
          <cell r="G112">
            <v>11677.7</v>
          </cell>
          <cell r="H112">
            <v>1601.5</v>
          </cell>
        </row>
        <row r="113">
          <cell r="A113" t="str">
            <v>481003</v>
          </cell>
          <cell r="B113" t="str">
            <v>01974</v>
          </cell>
          <cell r="D113" t="str">
            <v>200</v>
          </cell>
          <cell r="E113" t="str">
            <v>2008-09-30</v>
          </cell>
          <cell r="F113" t="str">
            <v>470</v>
          </cell>
          <cell r="G113">
            <v>22843.01</v>
          </cell>
          <cell r="H113">
            <v>3132.55</v>
          </cell>
        </row>
        <row r="114">
          <cell r="A114" t="str">
            <v>481003</v>
          </cell>
          <cell r="B114" t="str">
            <v>01988</v>
          </cell>
          <cell r="D114" t="str">
            <v>200</v>
          </cell>
          <cell r="E114" t="str">
            <v>2008-09-30</v>
          </cell>
          <cell r="F114" t="str">
            <v>470</v>
          </cell>
          <cell r="G114">
            <v>6382.86</v>
          </cell>
          <cell r="H114">
            <v>875.21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2008-09-30</v>
          </cell>
          <cell r="F115" t="str">
            <v>470</v>
          </cell>
          <cell r="G115">
            <v>5934.55</v>
          </cell>
          <cell r="H115">
            <v>581.33000000000004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2008-09-30</v>
          </cell>
          <cell r="F116" t="str">
            <v>470</v>
          </cell>
          <cell r="G116">
            <v>549.95000000000005</v>
          </cell>
          <cell r="H116">
            <v>52.62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2008-09-30</v>
          </cell>
          <cell r="F117" t="str">
            <v>472B</v>
          </cell>
          <cell r="G117">
            <v>37.06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2008-09-30</v>
          </cell>
          <cell r="F118" t="str">
            <v>472B</v>
          </cell>
          <cell r="G118">
            <v>63.78</v>
          </cell>
          <cell r="H118">
            <v>8.8000000000000007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2008-09-30</v>
          </cell>
          <cell r="F119" t="str">
            <v>472B</v>
          </cell>
          <cell r="G119">
            <v>894.04</v>
          </cell>
          <cell r="H119">
            <v>167.03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2008-09-30</v>
          </cell>
          <cell r="F120" t="str">
            <v>472B</v>
          </cell>
          <cell r="G120">
            <v>32443.46</v>
          </cell>
          <cell r="H120">
            <v>4443.04</v>
          </cell>
        </row>
        <row r="121">
          <cell r="A121" t="str">
            <v>481003</v>
          </cell>
          <cell r="B121" t="str">
            <v>01943</v>
          </cell>
          <cell r="D121" t="str">
            <v>200</v>
          </cell>
          <cell r="E121" t="str">
            <v>2008-09-30</v>
          </cell>
          <cell r="F121" t="str">
            <v>549A</v>
          </cell>
          <cell r="G121">
            <v>-524.70000000000005</v>
          </cell>
          <cell r="H121">
            <v>0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2008-09-30</v>
          </cell>
          <cell r="F122" t="str">
            <v>549A</v>
          </cell>
          <cell r="G122">
            <v>-2231.21</v>
          </cell>
          <cell r="H122">
            <v>0</v>
          </cell>
        </row>
        <row r="123">
          <cell r="A123" t="str">
            <v>481003</v>
          </cell>
          <cell r="B123" t="str">
            <v>01991</v>
          </cell>
          <cell r="D123" t="str">
            <v>200</v>
          </cell>
          <cell r="E123" t="str">
            <v>2008-09-30</v>
          </cell>
          <cell r="F123" t="str">
            <v>549A</v>
          </cell>
          <cell r="G123">
            <v>-13.42</v>
          </cell>
          <cell r="H123">
            <v>0</v>
          </cell>
        </row>
        <row r="124">
          <cell r="A124" t="str">
            <v>481003</v>
          </cell>
          <cell r="B124" t="str">
            <v>01993</v>
          </cell>
          <cell r="D124" t="str">
            <v>200</v>
          </cell>
          <cell r="E124" t="str">
            <v>2008-09-30</v>
          </cell>
          <cell r="F124" t="str">
            <v>549A</v>
          </cell>
          <cell r="G124">
            <v>-886.53</v>
          </cell>
          <cell r="H124">
            <v>0</v>
          </cell>
        </row>
        <row r="125">
          <cell r="A125" t="str">
            <v>481003</v>
          </cell>
          <cell r="B125" t="str">
            <v>01954</v>
          </cell>
          <cell r="D125" t="str">
            <v>200</v>
          </cell>
          <cell r="E125" t="str">
            <v>2008-09-30</v>
          </cell>
          <cell r="F125" t="str">
            <v>549A</v>
          </cell>
          <cell r="G125">
            <v>-7.79</v>
          </cell>
          <cell r="H125">
            <v>0</v>
          </cell>
        </row>
        <row r="126">
          <cell r="A126" t="str">
            <v>481003</v>
          </cell>
          <cell r="B126" t="str">
            <v>01953</v>
          </cell>
          <cell r="D126" t="str">
            <v>200</v>
          </cell>
          <cell r="E126" t="str">
            <v>2008-09-30</v>
          </cell>
          <cell r="F126" t="str">
            <v>549A</v>
          </cell>
          <cell r="G126">
            <v>-13045.98</v>
          </cell>
          <cell r="H126">
            <v>0</v>
          </cell>
        </row>
        <row r="127">
          <cell r="A127" t="str">
            <v>481003</v>
          </cell>
          <cell r="B127" t="str">
            <v>01986</v>
          </cell>
          <cell r="D127" t="str">
            <v>200</v>
          </cell>
          <cell r="E127" t="str">
            <v>2008-09-30</v>
          </cell>
          <cell r="F127" t="str">
            <v>549A</v>
          </cell>
          <cell r="G127">
            <v>-2442.29</v>
          </cell>
          <cell r="H127">
            <v>0</v>
          </cell>
        </row>
        <row r="128">
          <cell r="A128" t="str">
            <v>481003</v>
          </cell>
          <cell r="B128" t="str">
            <v>01959</v>
          </cell>
          <cell r="D128" t="str">
            <v>200</v>
          </cell>
          <cell r="E128" t="str">
            <v>2008-09-30</v>
          </cell>
          <cell r="F128" t="str">
            <v>549A</v>
          </cell>
          <cell r="G128">
            <v>0</v>
          </cell>
          <cell r="H128">
            <v>0</v>
          </cell>
        </row>
        <row r="129">
          <cell r="A129" t="str">
            <v>481003</v>
          </cell>
          <cell r="B129" t="str">
            <v>01952</v>
          </cell>
          <cell r="D129" t="str">
            <v>200</v>
          </cell>
          <cell r="E129" t="str">
            <v>2008-09-30</v>
          </cell>
          <cell r="F129" t="str">
            <v>BINGV32476</v>
          </cell>
          <cell r="G129">
            <v>32484.3</v>
          </cell>
          <cell r="H129">
            <v>3286.26</v>
          </cell>
        </row>
        <row r="130">
          <cell r="A130" t="str">
            <v>481003</v>
          </cell>
          <cell r="B130" t="str">
            <v>01989</v>
          </cell>
          <cell r="D130" t="str">
            <v>200</v>
          </cell>
          <cell r="E130" t="str">
            <v>2008-09-30</v>
          </cell>
          <cell r="F130" t="str">
            <v>BINGV32476</v>
          </cell>
          <cell r="G130">
            <v>3464.1</v>
          </cell>
          <cell r="H130">
            <v>350.76</v>
          </cell>
        </row>
        <row r="131">
          <cell r="A131" t="str">
            <v>481003</v>
          </cell>
          <cell r="B131" t="str">
            <v>01988</v>
          </cell>
          <cell r="D131" t="str">
            <v>200</v>
          </cell>
          <cell r="E131" t="str">
            <v>2008-09-30</v>
          </cell>
          <cell r="F131" t="str">
            <v>BINGV32476</v>
          </cell>
          <cell r="G131">
            <v>11163.07</v>
          </cell>
          <cell r="H131">
            <v>1130.26</v>
          </cell>
        </row>
        <row r="132">
          <cell r="A132" t="str">
            <v>481003</v>
          </cell>
          <cell r="B132" t="str">
            <v>01986</v>
          </cell>
          <cell r="D132" t="str">
            <v>200</v>
          </cell>
          <cell r="E132" t="str">
            <v>2008-09-30</v>
          </cell>
          <cell r="F132" t="str">
            <v>BINGV32476</v>
          </cell>
          <cell r="G132">
            <v>41370.44</v>
          </cell>
          <cell r="H132">
            <v>4181</v>
          </cell>
        </row>
        <row r="133">
          <cell r="A133" t="str">
            <v>481003</v>
          </cell>
          <cell r="B133" t="str">
            <v>01968</v>
          </cell>
          <cell r="D133" t="str">
            <v>200</v>
          </cell>
          <cell r="E133" t="str">
            <v>2008-09-30</v>
          </cell>
          <cell r="F133" t="str">
            <v>BINGV32476</v>
          </cell>
          <cell r="G133">
            <v>7313.35</v>
          </cell>
          <cell r="H133">
            <v>740.52</v>
          </cell>
        </row>
        <row r="134">
          <cell r="A134" t="str">
            <v>481003</v>
          </cell>
          <cell r="B134" t="str">
            <v>01974</v>
          </cell>
          <cell r="D134" t="str">
            <v>200</v>
          </cell>
          <cell r="E134" t="str">
            <v>2008-09-30</v>
          </cell>
          <cell r="F134" t="str">
            <v>BINGV32476</v>
          </cell>
          <cell r="G134">
            <v>22056.2</v>
          </cell>
          <cell r="H134">
            <v>2233.3200000000002</v>
          </cell>
        </row>
        <row r="135">
          <cell r="A135" t="str">
            <v>481003</v>
          </cell>
          <cell r="B135" t="str">
            <v>01992</v>
          </cell>
          <cell r="D135" t="str">
            <v>200</v>
          </cell>
          <cell r="E135" t="str">
            <v>2008-09-30</v>
          </cell>
          <cell r="F135" t="str">
            <v>BINGV32476</v>
          </cell>
          <cell r="G135">
            <v>32270.87</v>
          </cell>
          <cell r="H135">
            <v>3267.62</v>
          </cell>
        </row>
        <row r="136">
          <cell r="A136" t="str">
            <v>481003</v>
          </cell>
          <cell r="B136" t="str">
            <v>01979</v>
          </cell>
          <cell r="D136" t="str">
            <v>200</v>
          </cell>
          <cell r="E136" t="str">
            <v>2008-09-30</v>
          </cell>
          <cell r="F136" t="str">
            <v>BINGV32476</v>
          </cell>
          <cell r="G136">
            <v>17.41</v>
          </cell>
          <cell r="H136">
            <v>0.02</v>
          </cell>
        </row>
        <row r="137">
          <cell r="A137" t="str">
            <v>481003</v>
          </cell>
          <cell r="B137" t="str">
            <v>01994</v>
          </cell>
          <cell r="D137" t="str">
            <v>200</v>
          </cell>
          <cell r="E137" t="str">
            <v>2008-09-30</v>
          </cell>
          <cell r="F137" t="str">
            <v>BINGV32476</v>
          </cell>
          <cell r="G137">
            <v>1733.52</v>
          </cell>
          <cell r="H137">
            <v>175.35</v>
          </cell>
        </row>
        <row r="138">
          <cell r="A138" t="str">
            <v>481003</v>
          </cell>
          <cell r="B138" t="str">
            <v>01995</v>
          </cell>
          <cell r="D138" t="str">
            <v>200</v>
          </cell>
          <cell r="E138" t="str">
            <v>2008-09-30</v>
          </cell>
          <cell r="F138" t="str">
            <v>BINGV32476</v>
          </cell>
          <cell r="G138">
            <v>13709.42</v>
          </cell>
          <cell r="H138">
            <v>1388.16</v>
          </cell>
        </row>
        <row r="139">
          <cell r="A139" t="str">
            <v>481003</v>
          </cell>
          <cell r="B139" t="str">
            <v>01976</v>
          </cell>
          <cell r="D139" t="str">
            <v>200</v>
          </cell>
          <cell r="E139" t="str">
            <v>2008-09-30</v>
          </cell>
          <cell r="F139" t="str">
            <v>BINGV32476</v>
          </cell>
          <cell r="G139">
            <v>24643.31</v>
          </cell>
          <cell r="H139">
            <v>2495.2800000000002</v>
          </cell>
        </row>
        <row r="140">
          <cell r="A140" t="str">
            <v>481003</v>
          </cell>
          <cell r="B140" t="str">
            <v>01980</v>
          </cell>
          <cell r="D140" t="str">
            <v>200</v>
          </cell>
          <cell r="E140" t="str">
            <v>2008-09-30</v>
          </cell>
          <cell r="F140" t="str">
            <v>BINGV32476</v>
          </cell>
          <cell r="G140">
            <v>42.66</v>
          </cell>
          <cell r="H140">
            <v>4.32</v>
          </cell>
        </row>
        <row r="141">
          <cell r="A141" t="str">
            <v>481003</v>
          </cell>
          <cell r="B141" t="str">
            <v>01987</v>
          </cell>
          <cell r="D141" t="str">
            <v>200</v>
          </cell>
          <cell r="E141" t="str">
            <v>2008-09-30</v>
          </cell>
          <cell r="F141" t="str">
            <v>BINGV32476</v>
          </cell>
          <cell r="G141">
            <v>30116.959999999999</v>
          </cell>
          <cell r="H141">
            <v>3049.52</v>
          </cell>
        </row>
        <row r="142">
          <cell r="A142" t="str">
            <v>481003</v>
          </cell>
          <cell r="B142" t="str">
            <v>01978</v>
          </cell>
          <cell r="D142" t="str">
            <v>200</v>
          </cell>
          <cell r="E142" t="str">
            <v>2008-09-30</v>
          </cell>
          <cell r="F142" t="str">
            <v>BINGV32476</v>
          </cell>
          <cell r="G142">
            <v>14137.25</v>
          </cell>
          <cell r="H142">
            <v>1431.48</v>
          </cell>
        </row>
        <row r="143">
          <cell r="A143" t="str">
            <v>481003</v>
          </cell>
          <cell r="B143" t="str">
            <v>01970</v>
          </cell>
          <cell r="D143" t="str">
            <v>200</v>
          </cell>
          <cell r="E143" t="str">
            <v>2008-09-30</v>
          </cell>
          <cell r="F143" t="str">
            <v>BINGV32476</v>
          </cell>
          <cell r="G143">
            <v>3657.88</v>
          </cell>
          <cell r="H143">
            <v>370.37</v>
          </cell>
        </row>
        <row r="144">
          <cell r="A144" t="str">
            <v>481003</v>
          </cell>
          <cell r="B144" t="str">
            <v>01971</v>
          </cell>
          <cell r="D144" t="str">
            <v>200</v>
          </cell>
          <cell r="E144" t="str">
            <v>2008-09-30</v>
          </cell>
          <cell r="F144" t="str">
            <v>BINGV32476</v>
          </cell>
          <cell r="G144">
            <v>18480.09</v>
          </cell>
          <cell r="H144">
            <v>1871.16</v>
          </cell>
        </row>
        <row r="145">
          <cell r="A145" t="str">
            <v>481003</v>
          </cell>
          <cell r="B145" t="str">
            <v>01969</v>
          </cell>
          <cell r="D145" t="str">
            <v>200</v>
          </cell>
          <cell r="E145" t="str">
            <v>2008-09-30</v>
          </cell>
          <cell r="F145" t="str">
            <v>BINGV32476</v>
          </cell>
          <cell r="G145">
            <v>9954.98</v>
          </cell>
          <cell r="H145">
            <v>1008</v>
          </cell>
        </row>
        <row r="146">
          <cell r="A146" t="str">
            <v>481003</v>
          </cell>
          <cell r="B146" t="str">
            <v>01977</v>
          </cell>
          <cell r="D146" t="str">
            <v>200</v>
          </cell>
          <cell r="E146" t="str">
            <v>2008-09-30</v>
          </cell>
          <cell r="F146" t="str">
            <v>BINGV32476</v>
          </cell>
          <cell r="G146">
            <v>12866.81</v>
          </cell>
          <cell r="H146">
            <v>1302.8399999999999</v>
          </cell>
        </row>
        <row r="147">
          <cell r="A147" t="str">
            <v>481003</v>
          </cell>
          <cell r="B147" t="str">
            <v>01953</v>
          </cell>
          <cell r="D147" t="str">
            <v>200</v>
          </cell>
          <cell r="E147" t="str">
            <v>2008-10-31</v>
          </cell>
          <cell r="F147" t="str">
            <v>470</v>
          </cell>
          <cell r="G147">
            <v>21455.45</v>
          </cell>
          <cell r="H147">
            <v>2942.33</v>
          </cell>
        </row>
        <row r="148">
          <cell r="A148" t="str">
            <v>481003</v>
          </cell>
          <cell r="B148" t="str">
            <v>01990</v>
          </cell>
          <cell r="D148" t="str">
            <v>200</v>
          </cell>
          <cell r="E148" t="str">
            <v>2008-10-31</v>
          </cell>
          <cell r="F148" t="str">
            <v>470</v>
          </cell>
          <cell r="G148">
            <v>10195.92</v>
          </cell>
          <cell r="H148">
            <v>1398.29</v>
          </cell>
        </row>
        <row r="149">
          <cell r="A149" t="str">
            <v>481003</v>
          </cell>
          <cell r="B149" t="str">
            <v>01986</v>
          </cell>
          <cell r="D149" t="str">
            <v>200</v>
          </cell>
          <cell r="E149" t="str">
            <v>2008-10-31</v>
          </cell>
          <cell r="F149" t="str">
            <v>470</v>
          </cell>
          <cell r="G149">
            <v>12280.44</v>
          </cell>
          <cell r="H149">
            <v>1684.14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2008-10-31</v>
          </cell>
          <cell r="F150" t="str">
            <v>470</v>
          </cell>
          <cell r="G150">
            <v>25679.43</v>
          </cell>
          <cell r="H150">
            <v>3521.55</v>
          </cell>
        </row>
        <row r="151">
          <cell r="A151" t="str">
            <v>481003</v>
          </cell>
          <cell r="B151" t="str">
            <v>01988</v>
          </cell>
          <cell r="D151" t="str">
            <v>200</v>
          </cell>
          <cell r="E151" t="str">
            <v>2008-10-31</v>
          </cell>
          <cell r="F151" t="str">
            <v>470</v>
          </cell>
          <cell r="G151">
            <v>6481.25</v>
          </cell>
          <cell r="H151">
            <v>888.76</v>
          </cell>
        </row>
        <row r="152">
          <cell r="A152" t="str">
            <v>481003</v>
          </cell>
          <cell r="B152" t="str">
            <v>01993</v>
          </cell>
          <cell r="D152" t="str">
            <v>200</v>
          </cell>
          <cell r="E152" t="str">
            <v>2008-10-31</v>
          </cell>
          <cell r="F152" t="str">
            <v>470</v>
          </cell>
          <cell r="G152">
            <v>4237.76</v>
          </cell>
          <cell r="H152">
            <v>415.13</v>
          </cell>
        </row>
        <row r="153">
          <cell r="A153" t="str">
            <v>481003</v>
          </cell>
          <cell r="B153" t="str">
            <v>01943</v>
          </cell>
          <cell r="D153" t="str">
            <v>200</v>
          </cell>
          <cell r="E153" t="str">
            <v>2008-10-31</v>
          </cell>
          <cell r="F153" t="str">
            <v>470</v>
          </cell>
          <cell r="G153">
            <v>1842.14</v>
          </cell>
          <cell r="H153">
            <v>176.29</v>
          </cell>
        </row>
        <row r="154">
          <cell r="A154" t="str">
            <v>481003</v>
          </cell>
          <cell r="B154" t="str">
            <v>01991</v>
          </cell>
          <cell r="D154" t="str">
            <v>200</v>
          </cell>
          <cell r="E154" t="str">
            <v>2008-10-31</v>
          </cell>
          <cell r="F154" t="str">
            <v>472B</v>
          </cell>
          <cell r="G154">
            <v>13.5</v>
          </cell>
          <cell r="H154">
            <v>1.87</v>
          </cell>
        </row>
        <row r="155">
          <cell r="A155" t="str">
            <v>481003</v>
          </cell>
          <cell r="B155" t="str">
            <v>01943</v>
          </cell>
          <cell r="D155" t="str">
            <v>200</v>
          </cell>
          <cell r="E155" t="str">
            <v>2008-10-31</v>
          </cell>
          <cell r="F155" t="str">
            <v>472B</v>
          </cell>
          <cell r="G155">
            <v>1606.92</v>
          </cell>
          <cell r="H155">
            <v>300.25</v>
          </cell>
        </row>
        <row r="156">
          <cell r="A156" t="str">
            <v>481003</v>
          </cell>
          <cell r="B156" t="str">
            <v>01953</v>
          </cell>
          <cell r="D156" t="str">
            <v>200</v>
          </cell>
          <cell r="E156" t="str">
            <v>2008-10-31</v>
          </cell>
          <cell r="F156" t="str">
            <v>472B</v>
          </cell>
          <cell r="G156">
            <v>28679.83</v>
          </cell>
          <cell r="H156">
            <v>3927.61</v>
          </cell>
        </row>
        <row r="157">
          <cell r="A157" t="str">
            <v>481003</v>
          </cell>
          <cell r="B157" t="str">
            <v>01954</v>
          </cell>
          <cell r="D157" t="str">
            <v>200</v>
          </cell>
          <cell r="E157" t="str">
            <v>2008-10-31</v>
          </cell>
          <cell r="F157" t="str">
            <v>472B</v>
          </cell>
          <cell r="G157">
            <v>36.31</v>
          </cell>
          <cell r="H157">
            <v>5.01</v>
          </cell>
        </row>
        <row r="158">
          <cell r="A158" t="str">
            <v>481003</v>
          </cell>
          <cell r="B158" t="str">
            <v>01959</v>
          </cell>
          <cell r="D158" t="str">
            <v>200</v>
          </cell>
          <cell r="E158" t="str">
            <v>2008-10-31</v>
          </cell>
          <cell r="F158" t="str">
            <v>549A</v>
          </cell>
          <cell r="G158">
            <v>0</v>
          </cell>
          <cell r="H158">
            <v>0</v>
          </cell>
        </row>
        <row r="159">
          <cell r="A159" t="str">
            <v>481003</v>
          </cell>
          <cell r="B159" t="str">
            <v>01943</v>
          </cell>
          <cell r="D159" t="str">
            <v>200</v>
          </cell>
          <cell r="E159" t="str">
            <v>2008-10-31</v>
          </cell>
          <cell r="F159" t="str">
            <v>549A</v>
          </cell>
          <cell r="G159">
            <v>-1138.3599999999999</v>
          </cell>
          <cell r="H159">
            <v>0</v>
          </cell>
        </row>
        <row r="160">
          <cell r="A160" t="str">
            <v>481003</v>
          </cell>
          <cell r="B160" t="str">
            <v>01990</v>
          </cell>
          <cell r="D160" t="str">
            <v>200</v>
          </cell>
          <cell r="E160" t="str">
            <v>2008-10-31</v>
          </cell>
          <cell r="F160" t="str">
            <v>549A</v>
          </cell>
          <cell r="G160">
            <v>-2132.39</v>
          </cell>
          <cell r="H160">
            <v>0</v>
          </cell>
        </row>
        <row r="161">
          <cell r="A161" t="str">
            <v>481003</v>
          </cell>
          <cell r="B161" t="str">
            <v>01991</v>
          </cell>
          <cell r="D161" t="str">
            <v>200</v>
          </cell>
          <cell r="E161" t="str">
            <v>2008-10-31</v>
          </cell>
          <cell r="F161" t="str">
            <v>549A</v>
          </cell>
          <cell r="G161">
            <v>-2.85</v>
          </cell>
          <cell r="H161">
            <v>0</v>
          </cell>
        </row>
        <row r="162">
          <cell r="A162" t="str">
            <v>481003</v>
          </cell>
          <cell r="B162" t="str">
            <v>01993</v>
          </cell>
          <cell r="D162" t="str">
            <v>200</v>
          </cell>
          <cell r="E162" t="str">
            <v>2008-10-31</v>
          </cell>
          <cell r="F162" t="str">
            <v>549A</v>
          </cell>
          <cell r="G162">
            <v>-633.07000000000005</v>
          </cell>
          <cell r="H162">
            <v>0</v>
          </cell>
        </row>
        <row r="163">
          <cell r="A163" t="str">
            <v>481003</v>
          </cell>
          <cell r="B163" t="str">
            <v>01954</v>
          </cell>
          <cell r="D163" t="str">
            <v>200</v>
          </cell>
          <cell r="E163" t="str">
            <v>2008-10-31</v>
          </cell>
          <cell r="F163" t="str">
            <v>549A</v>
          </cell>
          <cell r="G163">
            <v>-7.64</v>
          </cell>
          <cell r="H163">
            <v>0</v>
          </cell>
        </row>
        <row r="164">
          <cell r="A164" t="str">
            <v>481003</v>
          </cell>
          <cell r="B164" t="str">
            <v>01953</v>
          </cell>
          <cell r="D164" t="str">
            <v>200</v>
          </cell>
          <cell r="E164" t="str">
            <v>2008-10-31</v>
          </cell>
          <cell r="F164" t="str">
            <v>549A</v>
          </cell>
          <cell r="G164">
            <v>-10476.66</v>
          </cell>
          <cell r="H164">
            <v>0</v>
          </cell>
        </row>
        <row r="165">
          <cell r="A165" t="str">
            <v>481003</v>
          </cell>
          <cell r="B165" t="str">
            <v>01986</v>
          </cell>
          <cell r="D165" t="str">
            <v>200</v>
          </cell>
          <cell r="E165" t="str">
            <v>2008-10-31</v>
          </cell>
          <cell r="F165" t="str">
            <v>549A</v>
          </cell>
          <cell r="G165">
            <v>-2568.31</v>
          </cell>
          <cell r="H165">
            <v>0</v>
          </cell>
        </row>
        <row r="166">
          <cell r="A166" t="str">
            <v>481003</v>
          </cell>
          <cell r="B166" t="str">
            <v>01968</v>
          </cell>
          <cell r="D166" t="str">
            <v>200</v>
          </cell>
          <cell r="E166" t="str">
            <v>2008-10-31</v>
          </cell>
          <cell r="F166" t="str">
            <v>BINGV32977</v>
          </cell>
          <cell r="G166">
            <v>6366.01</v>
          </cell>
          <cell r="H166">
            <v>640.67999999999995</v>
          </cell>
        </row>
        <row r="167">
          <cell r="A167" t="str">
            <v>481003</v>
          </cell>
          <cell r="B167" t="str">
            <v>01979</v>
          </cell>
          <cell r="D167" t="str">
            <v>200</v>
          </cell>
          <cell r="E167" t="str">
            <v>2008-10-31</v>
          </cell>
          <cell r="F167" t="str">
            <v>BINGV32977</v>
          </cell>
          <cell r="G167">
            <v>446.26</v>
          </cell>
          <cell r="H167">
            <v>44.91</v>
          </cell>
        </row>
        <row r="168">
          <cell r="A168" t="str">
            <v>481003</v>
          </cell>
          <cell r="B168" t="str">
            <v>01994</v>
          </cell>
          <cell r="D168" t="str">
            <v>200</v>
          </cell>
          <cell r="E168" t="str">
            <v>2008-10-31</v>
          </cell>
          <cell r="F168" t="str">
            <v>BINGV32977</v>
          </cell>
          <cell r="G168">
            <v>24102.19</v>
          </cell>
          <cell r="H168">
            <v>2425.66</v>
          </cell>
        </row>
        <row r="169">
          <cell r="A169" t="str">
            <v>481003</v>
          </cell>
          <cell r="B169" t="str">
            <v>01995</v>
          </cell>
          <cell r="D169" t="str">
            <v>200</v>
          </cell>
          <cell r="E169" t="str">
            <v>2008-10-31</v>
          </cell>
          <cell r="F169" t="str">
            <v>BINGV32977</v>
          </cell>
          <cell r="G169">
            <v>12209.67</v>
          </cell>
          <cell r="H169">
            <v>1228.8</v>
          </cell>
        </row>
        <row r="170">
          <cell r="A170" t="str">
            <v>481003</v>
          </cell>
          <cell r="B170" t="str">
            <v>01976</v>
          </cell>
          <cell r="D170" t="str">
            <v>200</v>
          </cell>
          <cell r="E170" t="str">
            <v>2008-10-31</v>
          </cell>
          <cell r="F170" t="str">
            <v>BINGV32977</v>
          </cell>
          <cell r="G170">
            <v>20371.48</v>
          </cell>
          <cell r="H170">
            <v>2050.1999999999998</v>
          </cell>
        </row>
        <row r="171">
          <cell r="A171" t="str">
            <v>481003</v>
          </cell>
          <cell r="B171" t="str">
            <v>01980</v>
          </cell>
          <cell r="D171" t="str">
            <v>200</v>
          </cell>
          <cell r="E171" t="str">
            <v>2008-10-31</v>
          </cell>
          <cell r="F171" t="str">
            <v>BINGV32977</v>
          </cell>
          <cell r="G171">
            <v>72.73</v>
          </cell>
          <cell r="H171">
            <v>7.32</v>
          </cell>
        </row>
        <row r="172">
          <cell r="A172" t="str">
            <v>481003</v>
          </cell>
          <cell r="B172" t="str">
            <v>01987</v>
          </cell>
          <cell r="D172" t="str">
            <v>200</v>
          </cell>
          <cell r="E172" t="str">
            <v>2008-10-31</v>
          </cell>
          <cell r="F172" t="str">
            <v>BINGV32977</v>
          </cell>
          <cell r="G172">
            <v>31198.28</v>
          </cell>
          <cell r="H172">
            <v>3139.81</v>
          </cell>
        </row>
        <row r="173">
          <cell r="A173" t="str">
            <v>481003</v>
          </cell>
          <cell r="B173" t="str">
            <v>01978</v>
          </cell>
          <cell r="D173" t="str">
            <v>200</v>
          </cell>
          <cell r="E173" t="str">
            <v>2008-10-31</v>
          </cell>
          <cell r="F173" t="str">
            <v>BINGV32977</v>
          </cell>
          <cell r="G173">
            <v>12506.67</v>
          </cell>
          <cell r="H173">
            <v>1258.68</v>
          </cell>
        </row>
        <row r="174">
          <cell r="A174" t="str">
            <v>481003</v>
          </cell>
          <cell r="B174" t="str">
            <v>01970</v>
          </cell>
          <cell r="D174" t="str">
            <v>200</v>
          </cell>
          <cell r="E174" t="str">
            <v>2008-10-31</v>
          </cell>
          <cell r="F174" t="str">
            <v>BINGV32977</v>
          </cell>
          <cell r="G174">
            <v>4535.49</v>
          </cell>
          <cell r="H174">
            <v>456.46</v>
          </cell>
        </row>
        <row r="175">
          <cell r="A175" t="str">
            <v>481003</v>
          </cell>
          <cell r="B175" t="str">
            <v>01971</v>
          </cell>
          <cell r="D175" t="str">
            <v>200</v>
          </cell>
          <cell r="E175" t="str">
            <v>2008-10-31</v>
          </cell>
          <cell r="F175" t="str">
            <v>BINGV32977</v>
          </cell>
          <cell r="G175">
            <v>19453.37</v>
          </cell>
          <cell r="H175">
            <v>1957.8</v>
          </cell>
        </row>
        <row r="176">
          <cell r="A176" t="str">
            <v>481003</v>
          </cell>
          <cell r="B176" t="str">
            <v>01969</v>
          </cell>
          <cell r="D176" t="str">
            <v>200</v>
          </cell>
          <cell r="E176" t="str">
            <v>2008-10-31</v>
          </cell>
          <cell r="F176" t="str">
            <v>BINGV32977</v>
          </cell>
          <cell r="G176">
            <v>8602.89</v>
          </cell>
          <cell r="H176">
            <v>865.8</v>
          </cell>
        </row>
        <row r="177">
          <cell r="A177" t="str">
            <v>481003</v>
          </cell>
          <cell r="B177" t="str">
            <v>01974</v>
          </cell>
          <cell r="D177" t="str">
            <v>200</v>
          </cell>
          <cell r="E177" t="str">
            <v>2008-10-31</v>
          </cell>
          <cell r="F177" t="str">
            <v>BINGV32977</v>
          </cell>
          <cell r="G177">
            <v>-22056.2</v>
          </cell>
          <cell r="H177">
            <v>-2233.3200000000002</v>
          </cell>
        </row>
        <row r="178">
          <cell r="A178" t="str">
            <v>481003</v>
          </cell>
          <cell r="B178" t="str">
            <v>01977</v>
          </cell>
          <cell r="D178" t="str">
            <v>200</v>
          </cell>
          <cell r="E178" t="str">
            <v>2008-10-31</v>
          </cell>
          <cell r="F178" t="str">
            <v>BINGV32977</v>
          </cell>
          <cell r="G178">
            <v>14724.47</v>
          </cell>
          <cell r="H178">
            <v>1481.88</v>
          </cell>
        </row>
        <row r="179">
          <cell r="A179" t="str">
            <v>481003</v>
          </cell>
          <cell r="B179" t="str">
            <v>01992</v>
          </cell>
          <cell r="D179" t="str">
            <v>200</v>
          </cell>
          <cell r="E179" t="str">
            <v>2008-10-31</v>
          </cell>
          <cell r="F179" t="str">
            <v>BINGV32977</v>
          </cell>
          <cell r="G179">
            <v>32415.46</v>
          </cell>
          <cell r="H179">
            <v>3262.31</v>
          </cell>
        </row>
        <row r="180">
          <cell r="A180" t="str">
            <v>481003</v>
          </cell>
          <cell r="B180" t="str">
            <v>01973</v>
          </cell>
          <cell r="D180" t="str">
            <v>200</v>
          </cell>
          <cell r="E180" t="str">
            <v>2008-10-31</v>
          </cell>
          <cell r="F180" t="str">
            <v>BINGV32977</v>
          </cell>
          <cell r="G180">
            <v>45246.43</v>
          </cell>
          <cell r="H180">
            <v>4567.2</v>
          </cell>
        </row>
        <row r="181">
          <cell r="A181" t="str">
            <v>481003</v>
          </cell>
          <cell r="B181" t="str">
            <v>01952</v>
          </cell>
          <cell r="D181" t="str">
            <v>200</v>
          </cell>
          <cell r="E181" t="str">
            <v>2008-10-31</v>
          </cell>
          <cell r="F181" t="str">
            <v>BINGV32977</v>
          </cell>
          <cell r="G181">
            <v>42518.53</v>
          </cell>
          <cell r="H181">
            <v>4279.09</v>
          </cell>
        </row>
        <row r="182">
          <cell r="A182" t="str">
            <v>481003</v>
          </cell>
          <cell r="B182" t="str">
            <v>01989</v>
          </cell>
          <cell r="D182" t="str">
            <v>200</v>
          </cell>
          <cell r="E182" t="str">
            <v>2008-10-31</v>
          </cell>
          <cell r="F182" t="str">
            <v>BINGV32977</v>
          </cell>
          <cell r="G182">
            <v>2829.48</v>
          </cell>
          <cell r="H182">
            <v>284.76</v>
          </cell>
        </row>
        <row r="183">
          <cell r="A183" t="str">
            <v>481003</v>
          </cell>
          <cell r="B183" t="str">
            <v>01988</v>
          </cell>
          <cell r="D183" t="str">
            <v>200</v>
          </cell>
          <cell r="E183" t="str">
            <v>2008-10-31</v>
          </cell>
          <cell r="F183" t="str">
            <v>BINGV32977</v>
          </cell>
          <cell r="G183">
            <v>9781.06</v>
          </cell>
          <cell r="H183">
            <v>984.37</v>
          </cell>
        </row>
        <row r="184">
          <cell r="A184" t="str">
            <v>481003</v>
          </cell>
          <cell r="B184" t="str">
            <v>01986</v>
          </cell>
          <cell r="D184" t="str">
            <v>200</v>
          </cell>
          <cell r="E184" t="str">
            <v>2008-10-31</v>
          </cell>
          <cell r="F184" t="str">
            <v>BINGV32977</v>
          </cell>
          <cell r="G184">
            <v>46987.34</v>
          </cell>
          <cell r="H184">
            <v>4729</v>
          </cell>
        </row>
        <row r="185">
          <cell r="A185" t="str">
            <v>481003</v>
          </cell>
          <cell r="B185" t="str">
            <v>01953</v>
          </cell>
          <cell r="D185" t="str">
            <v>200</v>
          </cell>
          <cell r="E185" t="str">
            <v>2008-11-30</v>
          </cell>
          <cell r="F185" t="str">
            <v>470</v>
          </cell>
          <cell r="G185">
            <v>15840.52</v>
          </cell>
          <cell r="H185">
            <v>2304.2800000000002</v>
          </cell>
        </row>
        <row r="186">
          <cell r="A186" t="str">
            <v>481003</v>
          </cell>
          <cell r="B186" t="str">
            <v>01990</v>
          </cell>
          <cell r="D186" t="str">
            <v>200</v>
          </cell>
          <cell r="E186" t="str">
            <v>2008-11-30</v>
          </cell>
          <cell r="F186" t="str">
            <v>470</v>
          </cell>
          <cell r="G186">
            <v>8146.56</v>
          </cell>
          <cell r="H186">
            <v>1189.4000000000001</v>
          </cell>
        </row>
        <row r="187">
          <cell r="A187" t="str">
            <v>481003</v>
          </cell>
          <cell r="B187" t="str">
            <v>01986</v>
          </cell>
          <cell r="D187" t="str">
            <v>200</v>
          </cell>
          <cell r="E187" t="str">
            <v>2008-11-30</v>
          </cell>
          <cell r="F187" t="str">
            <v>470</v>
          </cell>
          <cell r="G187">
            <v>12391.6</v>
          </cell>
          <cell r="H187">
            <v>1809.02</v>
          </cell>
        </row>
        <row r="188">
          <cell r="A188" t="str">
            <v>481003</v>
          </cell>
          <cell r="B188" t="str">
            <v>01974</v>
          </cell>
          <cell r="D188" t="str">
            <v>200</v>
          </cell>
          <cell r="E188" t="str">
            <v>2008-11-30</v>
          </cell>
          <cell r="F188" t="str">
            <v>470</v>
          </cell>
          <cell r="G188">
            <v>23948.7</v>
          </cell>
          <cell r="H188">
            <v>3491.59</v>
          </cell>
        </row>
        <row r="189">
          <cell r="A189" t="str">
            <v>481003</v>
          </cell>
          <cell r="B189" t="str">
            <v>01988</v>
          </cell>
          <cell r="D189" t="str">
            <v>200</v>
          </cell>
          <cell r="E189" t="str">
            <v>2008-11-30</v>
          </cell>
          <cell r="F189" t="str">
            <v>470</v>
          </cell>
          <cell r="G189">
            <v>4416.57</v>
          </cell>
          <cell r="H189">
            <v>634.39</v>
          </cell>
        </row>
        <row r="190">
          <cell r="A190" t="str">
            <v>481003</v>
          </cell>
          <cell r="B190" t="str">
            <v>01993</v>
          </cell>
          <cell r="D190" t="str">
            <v>200</v>
          </cell>
          <cell r="E190" t="str">
            <v>2008-11-30</v>
          </cell>
          <cell r="F190" t="str">
            <v>470</v>
          </cell>
          <cell r="G190">
            <v>3152.47</v>
          </cell>
          <cell r="H190">
            <v>395.79</v>
          </cell>
        </row>
        <row r="191">
          <cell r="A191" t="str">
            <v>481003</v>
          </cell>
          <cell r="B191" t="str">
            <v>01943</v>
          </cell>
          <cell r="D191" t="str">
            <v>200</v>
          </cell>
          <cell r="E191" t="str">
            <v>2008-11-30</v>
          </cell>
          <cell r="F191" t="str">
            <v>470</v>
          </cell>
          <cell r="G191">
            <v>1238.6600000000001</v>
          </cell>
          <cell r="H191">
            <v>143.46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2008-11-30</v>
          </cell>
          <cell r="F192" t="str">
            <v>472B</v>
          </cell>
          <cell r="G192">
            <v>1480.08</v>
          </cell>
          <cell r="H192">
            <v>237.69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2008-11-30</v>
          </cell>
          <cell r="F193" t="str">
            <v>472B</v>
          </cell>
          <cell r="G193">
            <v>21316.32</v>
          </cell>
          <cell r="H193">
            <v>3198.78</v>
          </cell>
        </row>
        <row r="194">
          <cell r="A194" t="str">
            <v>481003</v>
          </cell>
          <cell r="B194" t="str">
            <v>01954</v>
          </cell>
          <cell r="D194" t="str">
            <v>200</v>
          </cell>
          <cell r="E194" t="str">
            <v>2008-11-30</v>
          </cell>
          <cell r="F194" t="str">
            <v>472B</v>
          </cell>
          <cell r="G194">
            <v>29.62</v>
          </cell>
          <cell r="H194">
            <v>4.4800000000000004</v>
          </cell>
        </row>
        <row r="195">
          <cell r="A195" t="str">
            <v>481003</v>
          </cell>
          <cell r="B195" t="str">
            <v>01959</v>
          </cell>
          <cell r="D195" t="str">
            <v>200</v>
          </cell>
          <cell r="E195" t="str">
            <v>2008-11-30</v>
          </cell>
          <cell r="F195" t="str">
            <v>549A</v>
          </cell>
          <cell r="G195">
            <v>0</v>
          </cell>
          <cell r="H195">
            <v>0</v>
          </cell>
        </row>
        <row r="196">
          <cell r="A196" t="str">
            <v>481003</v>
          </cell>
          <cell r="B196" t="str">
            <v>01943</v>
          </cell>
          <cell r="D196" t="str">
            <v>200</v>
          </cell>
          <cell r="E196" t="str">
            <v>2008-11-30</v>
          </cell>
          <cell r="F196" t="str">
            <v>549A</v>
          </cell>
          <cell r="G196">
            <v>-910.49</v>
          </cell>
          <cell r="H196">
            <v>0</v>
          </cell>
        </row>
        <row r="197">
          <cell r="A197" t="str">
            <v>481003</v>
          </cell>
          <cell r="B197" t="str">
            <v>01990</v>
          </cell>
          <cell r="D197" t="str">
            <v>200</v>
          </cell>
          <cell r="E197" t="str">
            <v>2008-11-30</v>
          </cell>
          <cell r="F197" t="str">
            <v>549A</v>
          </cell>
          <cell r="G197">
            <v>-1813.84</v>
          </cell>
          <cell r="H197">
            <v>0</v>
          </cell>
        </row>
        <row r="198">
          <cell r="A198" t="str">
            <v>481003</v>
          </cell>
          <cell r="B198" t="str">
            <v>01991</v>
          </cell>
          <cell r="D198" t="str">
            <v>200</v>
          </cell>
          <cell r="E198" t="str">
            <v>2008-11-30</v>
          </cell>
          <cell r="F198" t="str">
            <v>549A</v>
          </cell>
          <cell r="G198">
            <v>0</v>
          </cell>
          <cell r="H198">
            <v>0</v>
          </cell>
        </row>
        <row r="199">
          <cell r="A199" t="str">
            <v>481003</v>
          </cell>
          <cell r="B199" t="str">
            <v>01993</v>
          </cell>
          <cell r="D199" t="str">
            <v>200</v>
          </cell>
          <cell r="E199" t="str">
            <v>2008-11-30</v>
          </cell>
          <cell r="F199" t="str">
            <v>549A</v>
          </cell>
          <cell r="G199">
            <v>-603.58000000000004</v>
          </cell>
          <cell r="H199">
            <v>0</v>
          </cell>
        </row>
        <row r="200">
          <cell r="A200" t="str">
            <v>481003</v>
          </cell>
          <cell r="B200" t="str">
            <v>01954</v>
          </cell>
          <cell r="D200" t="str">
            <v>200</v>
          </cell>
          <cell r="E200" t="str">
            <v>2008-11-30</v>
          </cell>
          <cell r="F200" t="str">
            <v>549A</v>
          </cell>
          <cell r="G200">
            <v>-6.83</v>
          </cell>
          <cell r="H200">
            <v>0</v>
          </cell>
        </row>
        <row r="201">
          <cell r="A201" t="str">
            <v>481003</v>
          </cell>
          <cell r="B201" t="str">
            <v>01953</v>
          </cell>
          <cell r="D201" t="str">
            <v>200</v>
          </cell>
          <cell r="E201" t="str">
            <v>2008-11-30</v>
          </cell>
          <cell r="F201" t="str">
            <v>549A</v>
          </cell>
          <cell r="G201">
            <v>-8392.17</v>
          </cell>
          <cell r="H201">
            <v>0</v>
          </cell>
        </row>
        <row r="202">
          <cell r="A202" t="str">
            <v>481003</v>
          </cell>
          <cell r="B202" t="str">
            <v>01986</v>
          </cell>
          <cell r="D202" t="str">
            <v>200</v>
          </cell>
          <cell r="E202" t="str">
            <v>2008-11-30</v>
          </cell>
          <cell r="F202" t="str">
            <v>549A</v>
          </cell>
          <cell r="G202">
            <v>-2758.73</v>
          </cell>
          <cell r="H202">
            <v>0</v>
          </cell>
        </row>
        <row r="203">
          <cell r="A203" t="str">
            <v>481003</v>
          </cell>
          <cell r="B203" t="str">
            <v>01973</v>
          </cell>
          <cell r="D203" t="str">
            <v>200</v>
          </cell>
          <cell r="E203" t="str">
            <v>2008-11-30</v>
          </cell>
          <cell r="F203" t="str">
            <v>BINGV33552</v>
          </cell>
          <cell r="G203">
            <v>25059.85</v>
          </cell>
          <cell r="H203">
            <v>2522.04</v>
          </cell>
        </row>
        <row r="204">
          <cell r="A204" t="str">
            <v>481003</v>
          </cell>
          <cell r="B204" t="str">
            <v>01952</v>
          </cell>
          <cell r="D204" t="str">
            <v>200</v>
          </cell>
          <cell r="E204" t="str">
            <v>2008-11-30</v>
          </cell>
          <cell r="F204" t="str">
            <v>BINGV33552</v>
          </cell>
          <cell r="G204">
            <v>36886.75</v>
          </cell>
          <cell r="H204">
            <v>3712.31</v>
          </cell>
        </row>
        <row r="205">
          <cell r="A205" t="str">
            <v>481003</v>
          </cell>
          <cell r="B205" t="str">
            <v>01989</v>
          </cell>
          <cell r="D205" t="str">
            <v>200</v>
          </cell>
          <cell r="E205" t="str">
            <v>2008-11-30</v>
          </cell>
          <cell r="F205" t="str">
            <v>BINGV33552</v>
          </cell>
          <cell r="G205">
            <v>3571.13</v>
          </cell>
          <cell r="H205">
            <v>359.4</v>
          </cell>
        </row>
        <row r="206">
          <cell r="A206" t="str">
            <v>481003</v>
          </cell>
          <cell r="B206" t="str">
            <v>01988</v>
          </cell>
          <cell r="D206" t="str">
            <v>200</v>
          </cell>
          <cell r="E206" t="str">
            <v>2008-11-30</v>
          </cell>
          <cell r="F206" t="str">
            <v>BINGV33552</v>
          </cell>
          <cell r="G206">
            <v>9695.94</v>
          </cell>
          <cell r="H206">
            <v>975.81</v>
          </cell>
        </row>
        <row r="207">
          <cell r="A207" t="str">
            <v>481003</v>
          </cell>
          <cell r="B207" t="str">
            <v>01986</v>
          </cell>
          <cell r="D207" t="str">
            <v>200</v>
          </cell>
          <cell r="E207" t="str">
            <v>2008-11-30</v>
          </cell>
          <cell r="F207" t="str">
            <v>BINGV33552</v>
          </cell>
          <cell r="G207">
            <v>-165631.82999999999</v>
          </cell>
          <cell r="H207">
            <v>-14187.7</v>
          </cell>
        </row>
        <row r="208">
          <cell r="A208" t="str">
            <v>481003</v>
          </cell>
          <cell r="B208" t="str">
            <v>01968</v>
          </cell>
          <cell r="D208" t="str">
            <v>200</v>
          </cell>
          <cell r="E208" t="str">
            <v>2008-11-30</v>
          </cell>
          <cell r="F208" t="str">
            <v>BINGV33552</v>
          </cell>
          <cell r="G208">
            <v>7707.42</v>
          </cell>
          <cell r="H208">
            <v>775.68</v>
          </cell>
        </row>
        <row r="209">
          <cell r="A209" t="str">
            <v>481003</v>
          </cell>
          <cell r="B209" t="str">
            <v>01979</v>
          </cell>
          <cell r="D209" t="str">
            <v>200</v>
          </cell>
          <cell r="E209" t="str">
            <v>2008-11-30</v>
          </cell>
          <cell r="F209" t="str">
            <v>BINGV33552</v>
          </cell>
          <cell r="G209">
            <v>196.83</v>
          </cell>
          <cell r="H209">
            <v>19.809999999999999</v>
          </cell>
        </row>
        <row r="210">
          <cell r="A210" t="str">
            <v>481003</v>
          </cell>
          <cell r="B210" t="str">
            <v>01994</v>
          </cell>
          <cell r="D210" t="str">
            <v>200</v>
          </cell>
          <cell r="E210" t="str">
            <v>2008-11-30</v>
          </cell>
          <cell r="F210" t="str">
            <v>BINGV33552</v>
          </cell>
          <cell r="G210">
            <v>30448.79</v>
          </cell>
          <cell r="H210">
            <v>3064.39</v>
          </cell>
        </row>
        <row r="211">
          <cell r="A211" t="str">
            <v>481003</v>
          </cell>
          <cell r="B211" t="str">
            <v>01995</v>
          </cell>
          <cell r="D211" t="str">
            <v>200</v>
          </cell>
          <cell r="E211" t="str">
            <v>2008-11-30</v>
          </cell>
          <cell r="F211" t="str">
            <v>BINGV33552</v>
          </cell>
          <cell r="G211">
            <v>13968.5</v>
          </cell>
          <cell r="H211">
            <v>1408.8</v>
          </cell>
        </row>
        <row r="212">
          <cell r="A212" t="str">
            <v>481003</v>
          </cell>
          <cell r="B212" t="str">
            <v>01976</v>
          </cell>
          <cell r="D212" t="str">
            <v>200</v>
          </cell>
          <cell r="E212" t="str">
            <v>2008-11-30</v>
          </cell>
          <cell r="F212" t="str">
            <v>BINGV33552</v>
          </cell>
          <cell r="G212">
            <v>22998.27</v>
          </cell>
          <cell r="H212">
            <v>2314.56</v>
          </cell>
        </row>
        <row r="213">
          <cell r="A213" t="str">
            <v>481003</v>
          </cell>
          <cell r="B213" t="str">
            <v>01980</v>
          </cell>
          <cell r="D213" t="str">
            <v>200</v>
          </cell>
          <cell r="E213" t="str">
            <v>2008-11-30</v>
          </cell>
          <cell r="F213" t="str">
            <v>BINGV33552</v>
          </cell>
          <cell r="G213">
            <v>283.77</v>
          </cell>
          <cell r="H213">
            <v>28.56</v>
          </cell>
        </row>
        <row r="214">
          <cell r="A214" t="str">
            <v>481003</v>
          </cell>
          <cell r="B214" t="str">
            <v>01987</v>
          </cell>
          <cell r="D214" t="str">
            <v>200</v>
          </cell>
          <cell r="E214" t="str">
            <v>2008-11-30</v>
          </cell>
          <cell r="F214" t="str">
            <v>BINGV33552</v>
          </cell>
          <cell r="G214">
            <v>32694.94</v>
          </cell>
          <cell r="H214">
            <v>3290.44</v>
          </cell>
        </row>
        <row r="215">
          <cell r="A215" t="str">
            <v>481003</v>
          </cell>
          <cell r="B215" t="str">
            <v>01978</v>
          </cell>
          <cell r="D215" t="str">
            <v>200</v>
          </cell>
          <cell r="E215" t="str">
            <v>2008-11-30</v>
          </cell>
          <cell r="F215" t="str">
            <v>BINGV33552</v>
          </cell>
          <cell r="G215">
            <v>12450.64</v>
          </cell>
          <cell r="H215">
            <v>1253.04</v>
          </cell>
        </row>
        <row r="216">
          <cell r="A216" t="str">
            <v>481003</v>
          </cell>
          <cell r="B216" t="str">
            <v>01970</v>
          </cell>
          <cell r="D216" t="str">
            <v>200</v>
          </cell>
          <cell r="E216" t="str">
            <v>2008-11-30</v>
          </cell>
          <cell r="F216" t="str">
            <v>BINGV33552</v>
          </cell>
          <cell r="G216">
            <v>5669.05</v>
          </cell>
          <cell r="H216">
            <v>570.54</v>
          </cell>
        </row>
        <row r="217">
          <cell r="A217" t="str">
            <v>481003</v>
          </cell>
          <cell r="B217" t="str">
            <v>01971</v>
          </cell>
          <cell r="D217" t="str">
            <v>200</v>
          </cell>
          <cell r="E217" t="str">
            <v>2008-11-30</v>
          </cell>
          <cell r="F217" t="str">
            <v>BINGV33552</v>
          </cell>
          <cell r="G217">
            <v>18743.91</v>
          </cell>
          <cell r="H217">
            <v>1886.4</v>
          </cell>
        </row>
        <row r="218">
          <cell r="A218" t="str">
            <v>481003</v>
          </cell>
          <cell r="B218" t="str">
            <v>01969</v>
          </cell>
          <cell r="D218" t="str">
            <v>200</v>
          </cell>
          <cell r="E218" t="str">
            <v>2008-11-30</v>
          </cell>
          <cell r="F218" t="str">
            <v>BINGV33552</v>
          </cell>
          <cell r="G218">
            <v>10821.88</v>
          </cell>
          <cell r="H218">
            <v>1089.1199999999999</v>
          </cell>
        </row>
        <row r="219">
          <cell r="A219" t="str">
            <v>481003</v>
          </cell>
          <cell r="B219" t="str">
            <v>01977</v>
          </cell>
          <cell r="D219" t="str">
            <v>200</v>
          </cell>
          <cell r="E219" t="str">
            <v>2008-11-30</v>
          </cell>
          <cell r="F219" t="str">
            <v>BINGV33552</v>
          </cell>
          <cell r="G219">
            <v>15634.24</v>
          </cell>
          <cell r="H219">
            <v>1573.44</v>
          </cell>
        </row>
        <row r="220">
          <cell r="A220" t="str">
            <v>481003</v>
          </cell>
          <cell r="B220" t="str">
            <v>01992</v>
          </cell>
          <cell r="D220" t="str">
            <v>200</v>
          </cell>
          <cell r="E220" t="str">
            <v>2008-11-30</v>
          </cell>
          <cell r="F220" t="str">
            <v>BINGV33552</v>
          </cell>
          <cell r="G220">
            <v>34182.26</v>
          </cell>
          <cell r="H220">
            <v>3440.13</v>
          </cell>
        </row>
        <row r="221">
          <cell r="A221" t="str">
            <v>481003</v>
          </cell>
          <cell r="B221" t="str">
            <v>01953</v>
          </cell>
          <cell r="D221" t="str">
            <v>200</v>
          </cell>
          <cell r="E221" t="str">
            <v>2008-12-31</v>
          </cell>
          <cell r="F221" t="str">
            <v>470</v>
          </cell>
          <cell r="G221">
            <v>9110.16</v>
          </cell>
          <cell r="H221">
            <v>1775.05</v>
          </cell>
        </row>
        <row r="222">
          <cell r="A222" t="str">
            <v>481003</v>
          </cell>
          <cell r="B222" t="str">
            <v>01990</v>
          </cell>
          <cell r="D222" t="str">
            <v>200</v>
          </cell>
          <cell r="E222" t="str">
            <v>2008-12-31</v>
          </cell>
          <cell r="F222" t="str">
            <v>470</v>
          </cell>
          <cell r="G222">
            <v>5598.83</v>
          </cell>
          <cell r="H222">
            <v>1090.7</v>
          </cell>
        </row>
        <row r="223">
          <cell r="A223" t="str">
            <v>481003</v>
          </cell>
          <cell r="B223" t="str">
            <v>01986</v>
          </cell>
          <cell r="D223" t="str">
            <v>200</v>
          </cell>
          <cell r="E223" t="str">
            <v>2008-12-31</v>
          </cell>
          <cell r="F223" t="str">
            <v>470</v>
          </cell>
          <cell r="G223">
            <v>8687.32</v>
          </cell>
          <cell r="H223">
            <v>1692.33</v>
          </cell>
        </row>
        <row r="224">
          <cell r="A224" t="str">
            <v>481003</v>
          </cell>
          <cell r="B224" t="str">
            <v>01974</v>
          </cell>
          <cell r="D224" t="str">
            <v>200</v>
          </cell>
          <cell r="E224" t="str">
            <v>2008-12-31</v>
          </cell>
          <cell r="F224" t="str">
            <v>470</v>
          </cell>
          <cell r="G224">
            <v>14373.07</v>
          </cell>
          <cell r="H224">
            <v>2799.89</v>
          </cell>
        </row>
        <row r="225">
          <cell r="A225" t="str">
            <v>481003</v>
          </cell>
          <cell r="B225" t="str">
            <v>01988</v>
          </cell>
          <cell r="D225" t="str">
            <v>200</v>
          </cell>
          <cell r="E225" t="str">
            <v>2008-12-31</v>
          </cell>
          <cell r="F225" t="str">
            <v>470</v>
          </cell>
          <cell r="G225">
            <v>274.77999999999997</v>
          </cell>
          <cell r="H225">
            <v>53.53</v>
          </cell>
        </row>
        <row r="226">
          <cell r="A226" t="str">
            <v>481003</v>
          </cell>
          <cell r="B226" t="str">
            <v>01993</v>
          </cell>
          <cell r="D226" t="str">
            <v>200</v>
          </cell>
          <cell r="E226" t="str">
            <v>2008-12-31</v>
          </cell>
          <cell r="F226" t="str">
            <v>470</v>
          </cell>
          <cell r="G226">
            <v>1487.57</v>
          </cell>
          <cell r="H226">
            <v>262.91000000000003</v>
          </cell>
        </row>
        <row r="227">
          <cell r="A227" t="str">
            <v>481003</v>
          </cell>
          <cell r="B227" t="str">
            <v>01943</v>
          </cell>
          <cell r="D227" t="str">
            <v>200</v>
          </cell>
          <cell r="E227" t="str">
            <v>2008-12-31</v>
          </cell>
          <cell r="F227" t="str">
            <v>470</v>
          </cell>
          <cell r="G227">
            <v>642.74</v>
          </cell>
          <cell r="H227">
            <v>110.03</v>
          </cell>
        </row>
        <row r="228">
          <cell r="A228" t="str">
            <v>481003</v>
          </cell>
          <cell r="B228" t="str">
            <v>01943</v>
          </cell>
          <cell r="D228" t="str">
            <v>200</v>
          </cell>
          <cell r="E228" t="str">
            <v>2008-12-31</v>
          </cell>
          <cell r="F228" t="str">
            <v>470</v>
          </cell>
          <cell r="G228">
            <v>-72.66</v>
          </cell>
          <cell r="H228">
            <v>0</v>
          </cell>
        </row>
        <row r="229">
          <cell r="A229" t="str">
            <v>481003</v>
          </cell>
          <cell r="B229" t="str">
            <v>01953</v>
          </cell>
          <cell r="D229" t="str">
            <v>200</v>
          </cell>
          <cell r="E229" t="str">
            <v>2008-12-31</v>
          </cell>
          <cell r="F229" t="str">
            <v>472B</v>
          </cell>
          <cell r="G229">
            <v>689.32</v>
          </cell>
          <cell r="H229">
            <v>134.25</v>
          </cell>
        </row>
        <row r="230">
          <cell r="A230" t="str">
            <v>481003</v>
          </cell>
          <cell r="B230" t="str">
            <v>01954</v>
          </cell>
          <cell r="D230" t="str">
            <v>200</v>
          </cell>
          <cell r="E230" t="str">
            <v>2008-12-31</v>
          </cell>
          <cell r="F230" t="str">
            <v>472B</v>
          </cell>
          <cell r="G230">
            <v>159.41999999999999</v>
          </cell>
          <cell r="H230">
            <v>31.12</v>
          </cell>
        </row>
        <row r="231">
          <cell r="A231" t="str">
            <v>481003</v>
          </cell>
          <cell r="B231" t="str">
            <v>01943</v>
          </cell>
          <cell r="D231" t="str">
            <v>200</v>
          </cell>
          <cell r="E231" t="str">
            <v>2008-12-31</v>
          </cell>
          <cell r="F231" t="str">
            <v>472B</v>
          </cell>
          <cell r="G231">
            <v>-125.59</v>
          </cell>
          <cell r="H231">
            <v>0</v>
          </cell>
        </row>
        <row r="232">
          <cell r="A232" t="str">
            <v>481003</v>
          </cell>
          <cell r="B232" t="str">
            <v>01943</v>
          </cell>
          <cell r="D232" t="str">
            <v>200</v>
          </cell>
          <cell r="E232" t="str">
            <v>2008-12-31</v>
          </cell>
          <cell r="F232" t="str">
            <v>472B</v>
          </cell>
          <cell r="G232">
            <v>1110.97</v>
          </cell>
          <cell r="H232">
            <v>190.15</v>
          </cell>
        </row>
        <row r="233">
          <cell r="A233" t="str">
            <v>481003</v>
          </cell>
          <cell r="B233" t="str">
            <v>01952</v>
          </cell>
          <cell r="D233" t="str">
            <v>200</v>
          </cell>
          <cell r="E233" t="str">
            <v>2008-12-31</v>
          </cell>
          <cell r="F233" t="str">
            <v>472B</v>
          </cell>
          <cell r="G233">
            <v>58.78</v>
          </cell>
          <cell r="H233">
            <v>11.45</v>
          </cell>
        </row>
        <row r="234">
          <cell r="A234" t="str">
            <v>481003</v>
          </cell>
          <cell r="B234" t="str">
            <v>01979</v>
          </cell>
          <cell r="D234" t="str">
            <v>200</v>
          </cell>
          <cell r="E234" t="str">
            <v>2008-12-31</v>
          </cell>
          <cell r="F234" t="str">
            <v>BINGV33782</v>
          </cell>
          <cell r="G234">
            <v>223.32</v>
          </cell>
          <cell r="H234">
            <v>24.01</v>
          </cell>
        </row>
        <row r="235">
          <cell r="A235" t="str">
            <v>481003</v>
          </cell>
          <cell r="B235" t="str">
            <v>01968</v>
          </cell>
          <cell r="D235" t="str">
            <v>200</v>
          </cell>
          <cell r="E235" t="str">
            <v>2008-12-31</v>
          </cell>
          <cell r="F235" t="str">
            <v>BINGV33782</v>
          </cell>
          <cell r="G235">
            <v>6320.58</v>
          </cell>
          <cell r="H235">
            <v>679.44</v>
          </cell>
        </row>
        <row r="236">
          <cell r="A236" t="str">
            <v>481003</v>
          </cell>
          <cell r="B236" t="str">
            <v>01995</v>
          </cell>
          <cell r="D236" t="str">
            <v>200</v>
          </cell>
          <cell r="E236" t="str">
            <v>2008-12-31</v>
          </cell>
          <cell r="F236" t="str">
            <v>BINGV33782</v>
          </cell>
          <cell r="G236">
            <v>13673.75</v>
          </cell>
          <cell r="H236">
            <v>1469.88</v>
          </cell>
        </row>
        <row r="237">
          <cell r="A237" t="str">
            <v>481003</v>
          </cell>
          <cell r="B237" t="str">
            <v>01994</v>
          </cell>
          <cell r="D237" t="str">
            <v>200</v>
          </cell>
          <cell r="E237" t="str">
            <v>2008-12-31</v>
          </cell>
          <cell r="F237" t="str">
            <v>BINGV33782</v>
          </cell>
          <cell r="G237">
            <v>26029.82</v>
          </cell>
          <cell r="H237">
            <v>2798.11</v>
          </cell>
        </row>
        <row r="238">
          <cell r="A238" t="str">
            <v>481003</v>
          </cell>
          <cell r="B238" t="str">
            <v>01976</v>
          </cell>
          <cell r="D238" t="str">
            <v>200</v>
          </cell>
          <cell r="E238" t="str">
            <v>2008-12-31</v>
          </cell>
          <cell r="F238" t="str">
            <v>BINGV33782</v>
          </cell>
          <cell r="G238">
            <v>18395.77</v>
          </cell>
          <cell r="H238">
            <v>1977.48</v>
          </cell>
        </row>
        <row r="239">
          <cell r="A239" t="str">
            <v>481003</v>
          </cell>
          <cell r="B239" t="str">
            <v>01980</v>
          </cell>
          <cell r="D239" t="str">
            <v>200</v>
          </cell>
          <cell r="E239" t="str">
            <v>2008-12-31</v>
          </cell>
          <cell r="F239" t="str">
            <v>BINGV33782</v>
          </cell>
          <cell r="G239">
            <v>309.22000000000003</v>
          </cell>
          <cell r="H239">
            <v>33.24</v>
          </cell>
        </row>
        <row r="240">
          <cell r="A240" t="str">
            <v>481003</v>
          </cell>
          <cell r="B240" t="str">
            <v>01987</v>
          </cell>
          <cell r="D240" t="str">
            <v>200</v>
          </cell>
          <cell r="E240" t="str">
            <v>2008-12-31</v>
          </cell>
          <cell r="F240" t="str">
            <v>BINGV33782</v>
          </cell>
          <cell r="G240">
            <v>25056.15</v>
          </cell>
          <cell r="H240">
            <v>2693.35</v>
          </cell>
        </row>
        <row r="241">
          <cell r="A241" t="str">
            <v>481003</v>
          </cell>
          <cell r="B241" t="str">
            <v>01978</v>
          </cell>
          <cell r="D241" t="str">
            <v>200</v>
          </cell>
          <cell r="E241" t="str">
            <v>2008-12-31</v>
          </cell>
          <cell r="F241" t="str">
            <v>BINGV33782</v>
          </cell>
          <cell r="G241">
            <v>14622.61</v>
          </cell>
          <cell r="H241">
            <v>1571.88</v>
          </cell>
        </row>
        <row r="242">
          <cell r="A242" t="str">
            <v>481003</v>
          </cell>
          <cell r="B242" t="str">
            <v>01970</v>
          </cell>
          <cell r="D242" t="str">
            <v>200</v>
          </cell>
          <cell r="E242" t="str">
            <v>2008-12-31</v>
          </cell>
          <cell r="F242" t="str">
            <v>BINGV33782</v>
          </cell>
          <cell r="G242">
            <v>4193.84</v>
          </cell>
          <cell r="H242">
            <v>450.82</v>
          </cell>
        </row>
        <row r="243">
          <cell r="A243" t="str">
            <v>481003</v>
          </cell>
          <cell r="B243" t="str">
            <v>01971</v>
          </cell>
          <cell r="D243" t="str">
            <v>200</v>
          </cell>
          <cell r="E243" t="str">
            <v>2008-12-31</v>
          </cell>
          <cell r="F243" t="str">
            <v>BINGV33782</v>
          </cell>
          <cell r="G243">
            <v>13275.23</v>
          </cell>
          <cell r="H243">
            <v>1427.04</v>
          </cell>
        </row>
        <row r="244">
          <cell r="A244" t="str">
            <v>481003</v>
          </cell>
          <cell r="B244" t="str">
            <v>01969</v>
          </cell>
          <cell r="D244" t="str">
            <v>200</v>
          </cell>
          <cell r="E244" t="str">
            <v>2008-12-31</v>
          </cell>
          <cell r="F244" t="str">
            <v>BINGV33782</v>
          </cell>
          <cell r="G244">
            <v>9478.64</v>
          </cell>
          <cell r="H244">
            <v>1018.92</v>
          </cell>
        </row>
        <row r="245">
          <cell r="A245" t="str">
            <v>481003</v>
          </cell>
          <cell r="B245" t="str">
            <v>01977</v>
          </cell>
          <cell r="D245" t="str">
            <v>200</v>
          </cell>
          <cell r="E245" t="str">
            <v>2008-12-31</v>
          </cell>
          <cell r="F245" t="str">
            <v>BINGV33782</v>
          </cell>
          <cell r="G245">
            <v>12526.18</v>
          </cell>
          <cell r="H245">
            <v>1346.52</v>
          </cell>
        </row>
        <row r="246">
          <cell r="A246" t="str">
            <v>481003</v>
          </cell>
          <cell r="B246" t="str">
            <v>01992</v>
          </cell>
          <cell r="D246" t="str">
            <v>200</v>
          </cell>
          <cell r="E246" t="str">
            <v>2008-12-31</v>
          </cell>
          <cell r="F246" t="str">
            <v>BINGV33782</v>
          </cell>
          <cell r="G246">
            <v>27924.03</v>
          </cell>
          <cell r="H246">
            <v>-3001.74</v>
          </cell>
        </row>
        <row r="247">
          <cell r="A247" t="str">
            <v>481003</v>
          </cell>
          <cell r="B247" t="str">
            <v>01973</v>
          </cell>
          <cell r="D247" t="str">
            <v>200</v>
          </cell>
          <cell r="E247" t="str">
            <v>2008-12-31</v>
          </cell>
          <cell r="F247" t="str">
            <v>BINGV33782</v>
          </cell>
          <cell r="G247">
            <v>19077.830000000002</v>
          </cell>
          <cell r="H247">
            <v>2050.8000000000002</v>
          </cell>
        </row>
        <row r="248">
          <cell r="A248" t="str">
            <v>481003</v>
          </cell>
          <cell r="B248" t="str">
            <v>01952</v>
          </cell>
          <cell r="D248" t="str">
            <v>200</v>
          </cell>
          <cell r="E248" t="str">
            <v>2008-12-31</v>
          </cell>
          <cell r="F248" t="str">
            <v>BINGV33782</v>
          </cell>
          <cell r="G248">
            <v>36705.68</v>
          </cell>
          <cell r="H248">
            <v>3945.73</v>
          </cell>
        </row>
        <row r="249">
          <cell r="A249" t="str">
            <v>481003</v>
          </cell>
          <cell r="B249" t="str">
            <v>01989</v>
          </cell>
          <cell r="D249" t="str">
            <v>200</v>
          </cell>
          <cell r="E249" t="str">
            <v>2008-12-31</v>
          </cell>
          <cell r="F249" t="str">
            <v>BINGV33782</v>
          </cell>
          <cell r="G249">
            <v>14198.42</v>
          </cell>
          <cell r="H249">
            <v>1526.28</v>
          </cell>
        </row>
        <row r="250">
          <cell r="A250" t="str">
            <v>481003</v>
          </cell>
          <cell r="B250" t="str">
            <v>01988</v>
          </cell>
          <cell r="D250" t="str">
            <v>200</v>
          </cell>
          <cell r="E250" t="str">
            <v>2008-12-31</v>
          </cell>
          <cell r="F250" t="str">
            <v>BINGV33782</v>
          </cell>
          <cell r="G250">
            <v>9596.0300000000007</v>
          </cell>
          <cell r="H250">
            <v>1031.54</v>
          </cell>
        </row>
        <row r="251">
          <cell r="A251" t="str">
            <v>481003</v>
          </cell>
          <cell r="B251" t="str">
            <v>01986</v>
          </cell>
          <cell r="D251" t="str">
            <v>200</v>
          </cell>
          <cell r="E251" t="str">
            <v>2008-12-31</v>
          </cell>
          <cell r="F251" t="str">
            <v>BINGV33782</v>
          </cell>
          <cell r="G251">
            <v>17944.849999999999</v>
          </cell>
          <cell r="H251">
            <v>1929</v>
          </cell>
        </row>
        <row r="252">
          <cell r="A252" t="str">
            <v>481003</v>
          </cell>
          <cell r="B252" t="str">
            <v>01989</v>
          </cell>
          <cell r="D252" t="str">
            <v>200</v>
          </cell>
          <cell r="E252" t="str">
            <v>2008-12-31</v>
          </cell>
          <cell r="F252" t="str">
            <v>BINGV33921</v>
          </cell>
          <cell r="G252">
            <v>-11163.19</v>
          </cell>
          <cell r="H252">
            <v>-1200</v>
          </cell>
        </row>
        <row r="253">
          <cell r="A253" t="str">
            <v>481003</v>
          </cell>
          <cell r="B253" t="str">
            <v>01953</v>
          </cell>
          <cell r="D253" t="str">
            <v>200</v>
          </cell>
          <cell r="E253" t="str">
            <v>2008-12-31</v>
          </cell>
          <cell r="F253" t="str">
            <v>GLCOR17A</v>
          </cell>
          <cell r="G253">
            <v>2491.8200000000002</v>
          </cell>
          <cell r="H253">
            <v>0</v>
          </cell>
        </row>
        <row r="254">
          <cell r="A254" t="str">
            <v>481003</v>
          </cell>
          <cell r="B254" t="str">
            <v>01954</v>
          </cell>
          <cell r="D254" t="str">
            <v>200</v>
          </cell>
          <cell r="E254" t="str">
            <v>2008-12-31</v>
          </cell>
          <cell r="F254" t="str">
            <v>GLCOR17A</v>
          </cell>
          <cell r="G254">
            <v>424.55</v>
          </cell>
          <cell r="H254">
            <v>0</v>
          </cell>
        </row>
        <row r="255">
          <cell r="A255" t="str">
            <v>481003</v>
          </cell>
          <cell r="B255" t="str">
            <v>01991</v>
          </cell>
          <cell r="D255" t="str">
            <v>200</v>
          </cell>
          <cell r="E255" t="str">
            <v>2008-12-31</v>
          </cell>
          <cell r="F255" t="str">
            <v>GLCOR17A</v>
          </cell>
          <cell r="G255">
            <v>114.97</v>
          </cell>
          <cell r="H255">
            <v>0</v>
          </cell>
        </row>
        <row r="256">
          <cell r="A256" t="str">
            <v>481003</v>
          </cell>
          <cell r="B256" t="str">
            <v>01943</v>
          </cell>
          <cell r="D256" t="str">
            <v>200</v>
          </cell>
          <cell r="E256" t="str">
            <v>2008-12-31</v>
          </cell>
          <cell r="F256" t="str">
            <v>GLCOR17A</v>
          </cell>
          <cell r="G256">
            <v>3769.96</v>
          </cell>
          <cell r="H256">
            <v>0</v>
          </cell>
        </row>
        <row r="257">
          <cell r="A257" t="str">
            <v>481003</v>
          </cell>
          <cell r="B257" t="str">
            <v>01952</v>
          </cell>
          <cell r="D257" t="str">
            <v>200</v>
          </cell>
          <cell r="E257" t="str">
            <v>2008-12-31</v>
          </cell>
          <cell r="F257" t="str">
            <v>GLCOR17A</v>
          </cell>
          <cell r="G257">
            <v>156.91999999999999</v>
          </cell>
          <cell r="H257">
            <v>0</v>
          </cell>
        </row>
        <row r="258">
          <cell r="A258" t="str">
            <v>481003</v>
          </cell>
          <cell r="B258" t="str">
            <v>01974</v>
          </cell>
          <cell r="D258" t="str">
            <v>200</v>
          </cell>
          <cell r="E258" t="str">
            <v>2008-12-31</v>
          </cell>
          <cell r="F258" t="str">
            <v>GLCOR17B</v>
          </cell>
          <cell r="G258">
            <v>-26674.73</v>
          </cell>
          <cell r="H258">
            <v>0</v>
          </cell>
        </row>
        <row r="259">
          <cell r="A259" t="str">
            <v>481003</v>
          </cell>
          <cell r="B259" t="str">
            <v>01988</v>
          </cell>
          <cell r="D259" t="str">
            <v>200</v>
          </cell>
          <cell r="E259" t="str">
            <v>2008-12-31</v>
          </cell>
          <cell r="F259" t="str">
            <v>GLCOR17B</v>
          </cell>
          <cell r="G259">
            <v>-7955.99</v>
          </cell>
          <cell r="H259">
            <v>0</v>
          </cell>
        </row>
        <row r="260">
          <cell r="A260" t="str">
            <v>481003</v>
          </cell>
          <cell r="B260" t="str">
            <v>01943</v>
          </cell>
          <cell r="D260" t="str">
            <v>200</v>
          </cell>
          <cell r="E260" t="str">
            <v>2009-01-31</v>
          </cell>
          <cell r="F260" t="str">
            <v>470</v>
          </cell>
          <cell r="G260">
            <v>-75.739999999999995</v>
          </cell>
          <cell r="H260">
            <v>0</v>
          </cell>
        </row>
        <row r="261">
          <cell r="A261" t="str">
            <v>481003</v>
          </cell>
          <cell r="B261" t="str">
            <v>01990</v>
          </cell>
          <cell r="D261" t="str">
            <v>200</v>
          </cell>
          <cell r="E261" t="str">
            <v>2009-01-31</v>
          </cell>
          <cell r="F261" t="str">
            <v>470</v>
          </cell>
          <cell r="G261">
            <v>6615.91</v>
          </cell>
          <cell r="H261">
            <v>1177.8</v>
          </cell>
        </row>
        <row r="262">
          <cell r="A262" t="str">
            <v>481003</v>
          </cell>
          <cell r="B262" t="str">
            <v>01953</v>
          </cell>
          <cell r="D262" t="str">
            <v>200</v>
          </cell>
          <cell r="E262" t="str">
            <v>2009-01-31</v>
          </cell>
          <cell r="F262" t="str">
            <v>470</v>
          </cell>
          <cell r="G262">
            <v>11932.1</v>
          </cell>
          <cell r="H262">
            <v>2118.7600000000002</v>
          </cell>
        </row>
        <row r="263">
          <cell r="A263" t="str">
            <v>481003</v>
          </cell>
          <cell r="B263" t="str">
            <v>01986</v>
          </cell>
          <cell r="D263" t="str">
            <v>200</v>
          </cell>
          <cell r="E263" t="str">
            <v>2009-01-31</v>
          </cell>
          <cell r="F263" t="str">
            <v>470</v>
          </cell>
          <cell r="G263">
            <v>7910.29</v>
          </cell>
          <cell r="H263">
            <v>1414.99</v>
          </cell>
        </row>
        <row r="264">
          <cell r="A264" t="str">
            <v>481003</v>
          </cell>
          <cell r="B264" t="str">
            <v>01974</v>
          </cell>
          <cell r="D264" t="str">
            <v>200</v>
          </cell>
          <cell r="E264" t="str">
            <v>2009-01-31</v>
          </cell>
          <cell r="F264" t="str">
            <v>470</v>
          </cell>
          <cell r="G264">
            <v>15078.11</v>
          </cell>
          <cell r="H264">
            <v>2692.89</v>
          </cell>
        </row>
        <row r="265">
          <cell r="A265" t="str">
            <v>481003</v>
          </cell>
          <cell r="B265" t="str">
            <v>01988</v>
          </cell>
          <cell r="D265" t="str">
            <v>200</v>
          </cell>
          <cell r="E265" t="str">
            <v>2009-01-31</v>
          </cell>
          <cell r="F265" t="str">
            <v>470</v>
          </cell>
          <cell r="G265">
            <v>3547.22</v>
          </cell>
          <cell r="H265">
            <v>631.48</v>
          </cell>
        </row>
        <row r="266">
          <cell r="A266" t="str">
            <v>481003</v>
          </cell>
          <cell r="B266" t="str">
            <v>01993</v>
          </cell>
          <cell r="D266" t="str">
            <v>200</v>
          </cell>
          <cell r="E266" t="str">
            <v>2009-01-31</v>
          </cell>
          <cell r="F266" t="str">
            <v>470</v>
          </cell>
          <cell r="G266">
            <v>1307.29</v>
          </cell>
          <cell r="H266">
            <v>231.04</v>
          </cell>
        </row>
        <row r="267">
          <cell r="A267" t="str">
            <v>481003</v>
          </cell>
          <cell r="B267" t="str">
            <v>01943</v>
          </cell>
          <cell r="D267" t="str">
            <v>200</v>
          </cell>
          <cell r="E267" t="str">
            <v>2009-01-31</v>
          </cell>
          <cell r="F267" t="str">
            <v>470</v>
          </cell>
          <cell r="G267">
            <v>669.81</v>
          </cell>
          <cell r="H267">
            <v>114.67</v>
          </cell>
        </row>
        <row r="268">
          <cell r="A268" t="str">
            <v>481003</v>
          </cell>
          <cell r="B268" t="str">
            <v>01943</v>
          </cell>
          <cell r="D268" t="str">
            <v>200</v>
          </cell>
          <cell r="E268" t="str">
            <v>2009-01-31</v>
          </cell>
          <cell r="F268" t="str">
            <v>472B</v>
          </cell>
          <cell r="G268">
            <v>1165.72</v>
          </cell>
          <cell r="H268">
            <v>199.54</v>
          </cell>
        </row>
        <row r="269">
          <cell r="A269" t="str">
            <v>481003</v>
          </cell>
          <cell r="B269" t="str">
            <v>01952</v>
          </cell>
          <cell r="D269" t="str">
            <v>200</v>
          </cell>
          <cell r="E269" t="str">
            <v>2009-01-31</v>
          </cell>
          <cell r="F269" t="str">
            <v>472B</v>
          </cell>
          <cell r="G269">
            <v>57.09</v>
          </cell>
          <cell r="H269">
            <v>9.7899999999999991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2009-01-31</v>
          </cell>
          <cell r="F270" t="str">
            <v>472B</v>
          </cell>
          <cell r="G270">
            <v>826.32</v>
          </cell>
          <cell r="H270">
            <v>141.44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2009-01-31</v>
          </cell>
          <cell r="F271" t="str">
            <v>472B</v>
          </cell>
          <cell r="G271">
            <v>131.74</v>
          </cell>
          <cell r="H271">
            <v>22.64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2009-01-31</v>
          </cell>
          <cell r="F272" t="str">
            <v>472B</v>
          </cell>
          <cell r="G272">
            <v>-131.79</v>
          </cell>
          <cell r="H272">
            <v>0</v>
          </cell>
        </row>
        <row r="273">
          <cell r="A273" t="str">
            <v>481003</v>
          </cell>
          <cell r="B273" t="str">
            <v>01968</v>
          </cell>
          <cell r="D273" t="str">
            <v>200</v>
          </cell>
          <cell r="E273" t="str">
            <v>2009-01-31</v>
          </cell>
          <cell r="F273" t="str">
            <v>BINGV34326</v>
          </cell>
          <cell r="G273">
            <v>5630.7</v>
          </cell>
          <cell r="H273">
            <v>605.28</v>
          </cell>
        </row>
        <row r="274">
          <cell r="A274" t="str">
            <v>481003</v>
          </cell>
          <cell r="B274" t="str">
            <v>01979</v>
          </cell>
          <cell r="D274" t="str">
            <v>200</v>
          </cell>
          <cell r="E274" t="str">
            <v>2009-01-31</v>
          </cell>
          <cell r="F274" t="str">
            <v>BINGV34326</v>
          </cell>
          <cell r="G274">
            <v>172.69</v>
          </cell>
          <cell r="H274">
            <v>18.559999999999999</v>
          </cell>
        </row>
        <row r="275">
          <cell r="A275" t="str">
            <v>481003</v>
          </cell>
          <cell r="B275" t="str">
            <v>01994</v>
          </cell>
          <cell r="D275" t="str">
            <v>200</v>
          </cell>
          <cell r="E275" t="str">
            <v>2009-01-31</v>
          </cell>
          <cell r="F275" t="str">
            <v>BINGV34326</v>
          </cell>
          <cell r="G275">
            <v>24835.67</v>
          </cell>
          <cell r="H275">
            <v>2669.73</v>
          </cell>
        </row>
        <row r="276">
          <cell r="A276" t="str">
            <v>481003</v>
          </cell>
          <cell r="B276" t="str">
            <v>01995</v>
          </cell>
          <cell r="D276" t="str">
            <v>200</v>
          </cell>
          <cell r="E276" t="str">
            <v>2009-01-31</v>
          </cell>
          <cell r="F276" t="str">
            <v>BINGV34326</v>
          </cell>
          <cell r="G276">
            <v>9409.43</v>
          </cell>
          <cell r="H276">
            <v>1011.48</v>
          </cell>
        </row>
        <row r="277">
          <cell r="A277" t="str">
            <v>481003</v>
          </cell>
          <cell r="B277" t="str">
            <v>01976</v>
          </cell>
          <cell r="D277" t="str">
            <v>200</v>
          </cell>
          <cell r="E277" t="str">
            <v>2009-01-31</v>
          </cell>
          <cell r="F277" t="str">
            <v>BINGV34326</v>
          </cell>
          <cell r="G277">
            <v>19552.27</v>
          </cell>
          <cell r="H277">
            <v>2101.8000000000002</v>
          </cell>
        </row>
        <row r="278">
          <cell r="A278" t="str">
            <v>481003</v>
          </cell>
          <cell r="B278" t="str">
            <v>01980</v>
          </cell>
          <cell r="D278" t="str">
            <v>200</v>
          </cell>
          <cell r="E278" t="str">
            <v>2009-01-31</v>
          </cell>
          <cell r="F278" t="str">
            <v>BINGV34326</v>
          </cell>
          <cell r="G278">
            <v>247.81</v>
          </cell>
          <cell r="H278">
            <v>26.64</v>
          </cell>
        </row>
        <row r="279">
          <cell r="A279" t="str">
            <v>481003</v>
          </cell>
          <cell r="B279" t="str">
            <v>01987</v>
          </cell>
          <cell r="D279" t="str">
            <v>200</v>
          </cell>
          <cell r="E279" t="str">
            <v>2009-01-31</v>
          </cell>
          <cell r="F279" t="str">
            <v>BINGV34326</v>
          </cell>
          <cell r="G279">
            <v>22735.21</v>
          </cell>
          <cell r="H279">
            <v>2443.81</v>
          </cell>
        </row>
        <row r="280">
          <cell r="A280" t="str">
            <v>481003</v>
          </cell>
          <cell r="B280" t="str">
            <v>01978</v>
          </cell>
          <cell r="D280" t="str">
            <v>200</v>
          </cell>
          <cell r="E280" t="str">
            <v>2009-01-31</v>
          </cell>
          <cell r="F280" t="str">
            <v>BINGV34326</v>
          </cell>
          <cell r="G280">
            <v>15818.2</v>
          </cell>
          <cell r="H280">
            <v>1700.4</v>
          </cell>
        </row>
        <row r="281">
          <cell r="A281" t="str">
            <v>481003</v>
          </cell>
          <cell r="B281" t="str">
            <v>01970</v>
          </cell>
          <cell r="D281" t="str">
            <v>200</v>
          </cell>
          <cell r="E281" t="str">
            <v>2009-01-31</v>
          </cell>
          <cell r="F281" t="str">
            <v>BINGV34326</v>
          </cell>
          <cell r="G281">
            <v>3832.12</v>
          </cell>
          <cell r="H281">
            <v>411.94</v>
          </cell>
        </row>
        <row r="282">
          <cell r="A282" t="str">
            <v>481003</v>
          </cell>
          <cell r="B282" t="str">
            <v>01971</v>
          </cell>
          <cell r="D282" t="str">
            <v>200</v>
          </cell>
          <cell r="E282" t="str">
            <v>2009-01-31</v>
          </cell>
          <cell r="F282" t="str">
            <v>BINGV34326</v>
          </cell>
          <cell r="G282">
            <v>13030.75</v>
          </cell>
          <cell r="H282">
            <v>1400.76</v>
          </cell>
        </row>
        <row r="283">
          <cell r="A283" t="str">
            <v>481003</v>
          </cell>
          <cell r="B283" t="str">
            <v>01969</v>
          </cell>
          <cell r="D283" t="str">
            <v>200</v>
          </cell>
          <cell r="E283" t="str">
            <v>2009-01-31</v>
          </cell>
          <cell r="F283" t="str">
            <v>BINGV34326</v>
          </cell>
          <cell r="G283">
            <v>8605.68</v>
          </cell>
          <cell r="H283">
            <v>925.08</v>
          </cell>
        </row>
        <row r="284">
          <cell r="A284" t="str">
            <v>481003</v>
          </cell>
          <cell r="B284" t="str">
            <v>01977</v>
          </cell>
          <cell r="D284" t="str">
            <v>200</v>
          </cell>
          <cell r="E284" t="str">
            <v>2009-01-31</v>
          </cell>
          <cell r="F284" t="str">
            <v>BINGV34326</v>
          </cell>
          <cell r="G284">
            <v>10855.06</v>
          </cell>
          <cell r="H284">
            <v>1166.8800000000001</v>
          </cell>
        </row>
        <row r="285">
          <cell r="A285" t="str">
            <v>481003</v>
          </cell>
          <cell r="B285" t="str">
            <v>01992</v>
          </cell>
          <cell r="D285" t="str">
            <v>200</v>
          </cell>
          <cell r="E285" t="str">
            <v>2009-01-31</v>
          </cell>
          <cell r="F285" t="str">
            <v>BINGV34326</v>
          </cell>
          <cell r="G285">
            <v>24044.639999999999</v>
          </cell>
          <cell r="H285">
            <v>2584.7199999999998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2009-01-31</v>
          </cell>
          <cell r="F286" t="str">
            <v>BINGV34326</v>
          </cell>
          <cell r="G286">
            <v>14973.14</v>
          </cell>
          <cell r="H286">
            <v>1609.56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2009-01-31</v>
          </cell>
          <cell r="F287" t="str">
            <v>BINGV34326</v>
          </cell>
          <cell r="G287">
            <v>29968.16</v>
          </cell>
          <cell r="H287">
            <v>3221.47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2009-01-31</v>
          </cell>
          <cell r="F288" t="str">
            <v>BINGV34326</v>
          </cell>
          <cell r="G288">
            <v>2689.17</v>
          </cell>
          <cell r="H288">
            <v>289.08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2009-01-31</v>
          </cell>
          <cell r="F289" t="str">
            <v>BINGV34326</v>
          </cell>
          <cell r="G289">
            <v>10560.34</v>
          </cell>
          <cell r="H289">
            <v>1135.19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2009-01-31</v>
          </cell>
          <cell r="F290" t="str">
            <v>BINGV34326</v>
          </cell>
          <cell r="G290">
            <v>26088.41</v>
          </cell>
          <cell r="H290">
            <v>2804.41</v>
          </cell>
        </row>
        <row r="291">
          <cell r="A291" t="str">
            <v>481003</v>
          </cell>
          <cell r="B291" t="str">
            <v>01992</v>
          </cell>
          <cell r="D291" t="str">
            <v>200</v>
          </cell>
          <cell r="E291" t="str">
            <v>2009-01-31</v>
          </cell>
          <cell r="F291" t="str">
            <v>GLCOR15</v>
          </cell>
          <cell r="G291">
            <v>27924.03</v>
          </cell>
          <cell r="H291">
            <v>3001.74</v>
          </cell>
        </row>
        <row r="292">
          <cell r="A292" t="str">
            <v>481003</v>
          </cell>
          <cell r="B292" t="str">
            <v>01992</v>
          </cell>
          <cell r="D292" t="str">
            <v>200</v>
          </cell>
          <cell r="E292" t="str">
            <v>2009-01-31</v>
          </cell>
          <cell r="F292" t="str">
            <v>GLCOR15</v>
          </cell>
          <cell r="G292">
            <v>-27924.03</v>
          </cell>
          <cell r="H292">
            <v>3001.74</v>
          </cell>
        </row>
        <row r="293">
          <cell r="A293" t="str">
            <v>481003</v>
          </cell>
          <cell r="B293" t="str">
            <v>01974</v>
          </cell>
          <cell r="D293" t="str">
            <v>200</v>
          </cell>
          <cell r="E293" t="str">
            <v>2009-02-28</v>
          </cell>
          <cell r="F293" t="str">
            <v>470</v>
          </cell>
          <cell r="G293">
            <v>16707.150000000001</v>
          </cell>
          <cell r="H293">
            <v>2859.92</v>
          </cell>
        </row>
        <row r="294">
          <cell r="A294" t="str">
            <v>481003</v>
          </cell>
          <cell r="B294" t="str">
            <v>01953</v>
          </cell>
          <cell r="D294" t="str">
            <v>200</v>
          </cell>
          <cell r="E294" t="str">
            <v>2009-02-28</v>
          </cell>
          <cell r="F294" t="str">
            <v>470</v>
          </cell>
          <cell r="G294">
            <v>14730.75</v>
          </cell>
          <cell r="H294">
            <v>2521.67</v>
          </cell>
        </row>
        <row r="295">
          <cell r="A295" t="str">
            <v>481003</v>
          </cell>
          <cell r="B295" t="str">
            <v>01990</v>
          </cell>
          <cell r="D295" t="str">
            <v>200</v>
          </cell>
          <cell r="E295" t="str">
            <v>2009-02-28</v>
          </cell>
          <cell r="F295" t="str">
            <v>470</v>
          </cell>
          <cell r="G295">
            <v>6680.4</v>
          </cell>
          <cell r="H295">
            <v>1143.55</v>
          </cell>
        </row>
        <row r="296">
          <cell r="A296" t="str">
            <v>481003</v>
          </cell>
          <cell r="B296" t="str">
            <v>01986</v>
          </cell>
          <cell r="D296" t="str">
            <v>200</v>
          </cell>
          <cell r="E296" t="str">
            <v>2009-02-28</v>
          </cell>
          <cell r="F296" t="str">
            <v>470</v>
          </cell>
          <cell r="G296">
            <v>8754.15</v>
          </cell>
          <cell r="H296">
            <v>1498.79</v>
          </cell>
        </row>
        <row r="297">
          <cell r="A297" t="str">
            <v>481003</v>
          </cell>
          <cell r="B297" t="str">
            <v>01988</v>
          </cell>
          <cell r="D297" t="str">
            <v>200</v>
          </cell>
          <cell r="E297" t="str">
            <v>2009-02-28</v>
          </cell>
          <cell r="F297" t="str">
            <v>470</v>
          </cell>
          <cell r="G297">
            <v>4201.18</v>
          </cell>
          <cell r="H297">
            <v>719.2</v>
          </cell>
        </row>
        <row r="298">
          <cell r="A298" t="str">
            <v>481003</v>
          </cell>
          <cell r="B298" t="str">
            <v>01993</v>
          </cell>
          <cell r="D298" t="str">
            <v>200</v>
          </cell>
          <cell r="E298" t="str">
            <v>2009-02-28</v>
          </cell>
          <cell r="F298" t="str">
            <v>470</v>
          </cell>
          <cell r="G298">
            <v>1186.9100000000001</v>
          </cell>
          <cell r="H298">
            <v>209.76</v>
          </cell>
        </row>
        <row r="299">
          <cell r="A299" t="str">
            <v>481003</v>
          </cell>
          <cell r="B299" t="str">
            <v>01943</v>
          </cell>
          <cell r="D299" t="str">
            <v>200</v>
          </cell>
          <cell r="E299" t="str">
            <v>2009-02-28</v>
          </cell>
          <cell r="F299" t="str">
            <v>470</v>
          </cell>
          <cell r="G299">
            <v>676.89</v>
          </cell>
          <cell r="H299">
            <v>115.88</v>
          </cell>
        </row>
        <row r="300">
          <cell r="A300" t="str">
            <v>481003</v>
          </cell>
          <cell r="B300" t="str">
            <v>01943</v>
          </cell>
          <cell r="D300" t="str">
            <v>200</v>
          </cell>
          <cell r="E300" t="str">
            <v>2009-02-28</v>
          </cell>
          <cell r="F300" t="str">
            <v>470</v>
          </cell>
          <cell r="G300">
            <v>-76.53</v>
          </cell>
          <cell r="H300">
            <v>0</v>
          </cell>
        </row>
        <row r="301">
          <cell r="A301" t="str">
            <v>481003</v>
          </cell>
          <cell r="B301" t="str">
            <v>01943</v>
          </cell>
          <cell r="D301" t="str">
            <v>200</v>
          </cell>
          <cell r="E301" t="str">
            <v>2009-02-28</v>
          </cell>
          <cell r="F301" t="str">
            <v>472B</v>
          </cell>
          <cell r="G301">
            <v>1037.72</v>
          </cell>
          <cell r="H301">
            <v>177.66</v>
          </cell>
        </row>
        <row r="302">
          <cell r="A302" t="str">
            <v>481003</v>
          </cell>
          <cell r="B302" t="str">
            <v>01952</v>
          </cell>
          <cell r="D302" t="str">
            <v>200</v>
          </cell>
          <cell r="E302" t="str">
            <v>2009-02-28</v>
          </cell>
          <cell r="F302" t="str">
            <v>472B</v>
          </cell>
          <cell r="G302">
            <v>60.94</v>
          </cell>
          <cell r="H302">
            <v>10.45</v>
          </cell>
        </row>
        <row r="303">
          <cell r="A303" t="str">
            <v>481003</v>
          </cell>
          <cell r="B303" t="str">
            <v>01953</v>
          </cell>
          <cell r="D303" t="str">
            <v>200</v>
          </cell>
          <cell r="E303" t="str">
            <v>2009-02-28</v>
          </cell>
          <cell r="F303" t="str">
            <v>472B</v>
          </cell>
          <cell r="G303">
            <v>649.77</v>
          </cell>
          <cell r="H303">
            <v>111.21</v>
          </cell>
        </row>
        <row r="304">
          <cell r="A304" t="str">
            <v>481003</v>
          </cell>
          <cell r="B304" t="str">
            <v>01954</v>
          </cell>
          <cell r="D304" t="str">
            <v>200</v>
          </cell>
          <cell r="E304" t="str">
            <v>2009-02-28</v>
          </cell>
          <cell r="F304" t="str">
            <v>472B</v>
          </cell>
          <cell r="G304">
            <v>106.81</v>
          </cell>
          <cell r="H304">
            <v>18.25</v>
          </cell>
        </row>
        <row r="305">
          <cell r="A305" t="str">
            <v>481003</v>
          </cell>
          <cell r="B305" t="str">
            <v>01943</v>
          </cell>
          <cell r="D305" t="str">
            <v>200</v>
          </cell>
          <cell r="E305" t="str">
            <v>2009-02-28</v>
          </cell>
          <cell r="F305" t="str">
            <v>472B</v>
          </cell>
          <cell r="G305">
            <v>-117.33</v>
          </cell>
          <cell r="H305">
            <v>0</v>
          </cell>
        </row>
        <row r="306">
          <cell r="A306" t="str">
            <v>481003</v>
          </cell>
          <cell r="B306" t="str">
            <v>01991</v>
          </cell>
          <cell r="D306" t="str">
            <v>200</v>
          </cell>
          <cell r="E306" t="str">
            <v>2009-02-28</v>
          </cell>
          <cell r="F306" t="str">
            <v>472B</v>
          </cell>
          <cell r="G306">
            <v>56.11</v>
          </cell>
          <cell r="H306">
            <v>9.6</v>
          </cell>
        </row>
        <row r="307">
          <cell r="A307" t="str">
            <v>481003</v>
          </cell>
          <cell r="B307" t="str">
            <v>01979</v>
          </cell>
          <cell r="D307" t="str">
            <v>200</v>
          </cell>
          <cell r="E307" t="str">
            <v>2009-02-28</v>
          </cell>
          <cell r="F307" t="str">
            <v>BINGV34696</v>
          </cell>
          <cell r="G307">
            <v>21561.81</v>
          </cell>
          <cell r="H307">
            <v>2508.85</v>
          </cell>
        </row>
        <row r="308">
          <cell r="A308" t="str">
            <v>481003</v>
          </cell>
          <cell r="B308" t="str">
            <v>01968</v>
          </cell>
          <cell r="D308" t="str">
            <v>200</v>
          </cell>
          <cell r="E308" t="str">
            <v>2009-02-28</v>
          </cell>
          <cell r="F308" t="str">
            <v>BINGV34696</v>
          </cell>
          <cell r="G308">
            <v>5086.8500000000004</v>
          </cell>
          <cell r="H308">
            <v>546.84</v>
          </cell>
        </row>
        <row r="309">
          <cell r="A309" t="str">
            <v>481003</v>
          </cell>
          <cell r="B309" t="str">
            <v>01994</v>
          </cell>
          <cell r="D309" t="str">
            <v>200</v>
          </cell>
          <cell r="E309" t="str">
            <v>2009-02-28</v>
          </cell>
          <cell r="F309" t="str">
            <v>BINGV34696</v>
          </cell>
          <cell r="G309">
            <v>24825.93</v>
          </cell>
          <cell r="H309">
            <v>2668.8</v>
          </cell>
        </row>
        <row r="310">
          <cell r="A310" t="str">
            <v>481003</v>
          </cell>
          <cell r="B310" t="str">
            <v>01995</v>
          </cell>
          <cell r="D310" t="str">
            <v>200</v>
          </cell>
          <cell r="E310" t="str">
            <v>2009-02-28</v>
          </cell>
          <cell r="F310" t="str">
            <v>BINGV34696</v>
          </cell>
          <cell r="G310">
            <v>7941.47</v>
          </cell>
          <cell r="H310">
            <v>853.88</v>
          </cell>
        </row>
        <row r="311">
          <cell r="A311" t="str">
            <v>481003</v>
          </cell>
          <cell r="B311" t="str">
            <v>01976</v>
          </cell>
          <cell r="D311" t="str">
            <v>200</v>
          </cell>
          <cell r="E311" t="str">
            <v>2009-02-28</v>
          </cell>
          <cell r="F311" t="str">
            <v>BINGV34696</v>
          </cell>
          <cell r="G311">
            <v>18676.349999999999</v>
          </cell>
          <cell r="H311">
            <v>2007.72</v>
          </cell>
        </row>
        <row r="312">
          <cell r="A312" t="str">
            <v>481003</v>
          </cell>
          <cell r="B312" t="str">
            <v>01987</v>
          </cell>
          <cell r="D312" t="str">
            <v>200</v>
          </cell>
          <cell r="E312" t="str">
            <v>2009-02-28</v>
          </cell>
          <cell r="F312" t="str">
            <v>BINGV34696</v>
          </cell>
          <cell r="G312">
            <v>18795.72</v>
          </cell>
          <cell r="H312">
            <v>2020.33</v>
          </cell>
        </row>
        <row r="313">
          <cell r="A313" t="str">
            <v>481003</v>
          </cell>
          <cell r="B313" t="str">
            <v>01978</v>
          </cell>
          <cell r="D313" t="str">
            <v>200</v>
          </cell>
          <cell r="E313" t="str">
            <v>2009-02-28</v>
          </cell>
          <cell r="F313" t="str">
            <v>BINGV34696</v>
          </cell>
          <cell r="G313">
            <v>13657</v>
          </cell>
          <cell r="H313">
            <v>1468.08</v>
          </cell>
        </row>
        <row r="314">
          <cell r="A314" t="str">
            <v>481003</v>
          </cell>
          <cell r="B314" t="str">
            <v>01970</v>
          </cell>
          <cell r="D314" t="str">
            <v>200</v>
          </cell>
          <cell r="E314" t="str">
            <v>2009-02-28</v>
          </cell>
          <cell r="F314" t="str">
            <v>BINGV34696</v>
          </cell>
          <cell r="G314">
            <v>3919.06</v>
          </cell>
          <cell r="H314">
            <v>421.28</v>
          </cell>
        </row>
        <row r="315">
          <cell r="A315" t="str">
            <v>481003</v>
          </cell>
          <cell r="B315" t="str">
            <v>01971</v>
          </cell>
          <cell r="D315" t="str">
            <v>200</v>
          </cell>
          <cell r="E315" t="str">
            <v>2009-02-28</v>
          </cell>
          <cell r="F315" t="str">
            <v>BINGV34696</v>
          </cell>
          <cell r="G315">
            <v>13837.29</v>
          </cell>
          <cell r="H315">
            <v>1487.52</v>
          </cell>
        </row>
        <row r="316">
          <cell r="A316" t="str">
            <v>481003</v>
          </cell>
          <cell r="B316" t="str">
            <v>01969</v>
          </cell>
          <cell r="D316" t="str">
            <v>200</v>
          </cell>
          <cell r="E316" t="str">
            <v>2009-02-28</v>
          </cell>
          <cell r="F316" t="str">
            <v>BINGV34696</v>
          </cell>
          <cell r="G316">
            <v>7306.36</v>
          </cell>
          <cell r="H316">
            <v>785.44</v>
          </cell>
        </row>
        <row r="317">
          <cell r="A317" t="str">
            <v>481003</v>
          </cell>
          <cell r="B317" t="str">
            <v>01977</v>
          </cell>
          <cell r="D317" t="str">
            <v>200</v>
          </cell>
          <cell r="E317" t="str">
            <v>2009-02-28</v>
          </cell>
          <cell r="F317" t="str">
            <v>BINGV34696</v>
          </cell>
          <cell r="G317">
            <v>11838.06</v>
          </cell>
          <cell r="H317">
            <v>1272.5999999999999</v>
          </cell>
        </row>
        <row r="318">
          <cell r="A318" t="str">
            <v>481003</v>
          </cell>
          <cell r="B318" t="str">
            <v>01992</v>
          </cell>
          <cell r="D318" t="str">
            <v>200</v>
          </cell>
          <cell r="E318" t="str">
            <v>2009-02-28</v>
          </cell>
          <cell r="F318" t="str">
            <v>BINGV34696</v>
          </cell>
          <cell r="G318">
            <v>23210.91</v>
          </cell>
          <cell r="H318">
            <v>2495.19</v>
          </cell>
        </row>
        <row r="319">
          <cell r="A319" t="str">
            <v>481003</v>
          </cell>
          <cell r="B319" t="str">
            <v>01973</v>
          </cell>
          <cell r="D319" t="str">
            <v>200</v>
          </cell>
          <cell r="E319" t="str">
            <v>2009-02-28</v>
          </cell>
          <cell r="F319" t="str">
            <v>BINGV34696</v>
          </cell>
          <cell r="G319">
            <v>13572.7</v>
          </cell>
          <cell r="H319">
            <v>1459.06</v>
          </cell>
        </row>
        <row r="320">
          <cell r="A320" t="str">
            <v>481003</v>
          </cell>
          <cell r="B320" t="str">
            <v>01989</v>
          </cell>
          <cell r="D320" t="str">
            <v>200</v>
          </cell>
          <cell r="E320" t="str">
            <v>2009-02-28</v>
          </cell>
          <cell r="F320" t="str">
            <v>BINGV34696</v>
          </cell>
          <cell r="G320">
            <v>2385.54</v>
          </cell>
          <cell r="H320">
            <v>256.44</v>
          </cell>
        </row>
        <row r="321">
          <cell r="A321" t="str">
            <v>481003</v>
          </cell>
          <cell r="B321" t="str">
            <v>01952</v>
          </cell>
          <cell r="D321" t="str">
            <v>200</v>
          </cell>
          <cell r="E321" t="str">
            <v>2009-02-28</v>
          </cell>
          <cell r="F321" t="str">
            <v>BINGV34696</v>
          </cell>
          <cell r="G321">
            <v>28540.39</v>
          </cell>
          <cell r="H321">
            <v>3068.11</v>
          </cell>
        </row>
        <row r="322">
          <cell r="A322" t="str">
            <v>481003</v>
          </cell>
          <cell r="B322" t="str">
            <v>01988</v>
          </cell>
          <cell r="D322" t="str">
            <v>200</v>
          </cell>
          <cell r="E322" t="str">
            <v>2009-02-28</v>
          </cell>
          <cell r="F322" t="str">
            <v>BINGV34696</v>
          </cell>
          <cell r="G322">
            <v>6172.98</v>
          </cell>
          <cell r="H322">
            <v>663.57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2009-03-31</v>
          </cell>
          <cell r="F323" t="str">
            <v>470</v>
          </cell>
          <cell r="G323">
            <v>-76.98</v>
          </cell>
          <cell r="H323">
            <v>0</v>
          </cell>
        </row>
        <row r="324">
          <cell r="A324" t="str">
            <v>481003</v>
          </cell>
          <cell r="B324" t="str">
            <v>01990</v>
          </cell>
          <cell r="D324" t="str">
            <v>200</v>
          </cell>
          <cell r="E324" t="str">
            <v>2009-03-31</v>
          </cell>
          <cell r="F324" t="str">
            <v>470</v>
          </cell>
          <cell r="G324">
            <v>3925.57</v>
          </cell>
          <cell r="H324">
            <v>1037.73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2009-03-31</v>
          </cell>
          <cell r="F325" t="str">
            <v>470</v>
          </cell>
          <cell r="G325">
            <v>8987.8799999999992</v>
          </cell>
          <cell r="H325">
            <v>2411.9699999999998</v>
          </cell>
        </row>
        <row r="326">
          <cell r="A326" t="str">
            <v>481003</v>
          </cell>
          <cell r="B326" t="str">
            <v>01986</v>
          </cell>
          <cell r="D326" t="str">
            <v>200</v>
          </cell>
          <cell r="E326" t="str">
            <v>2009-03-31</v>
          </cell>
          <cell r="F326" t="str">
            <v>470</v>
          </cell>
          <cell r="G326">
            <v>5093.6899999999996</v>
          </cell>
          <cell r="H326">
            <v>1357.17</v>
          </cell>
        </row>
        <row r="327">
          <cell r="A327" t="str">
            <v>481003</v>
          </cell>
          <cell r="B327" t="str">
            <v>01974</v>
          </cell>
          <cell r="D327" t="str">
            <v>200</v>
          </cell>
          <cell r="E327" t="str">
            <v>2009-03-31</v>
          </cell>
          <cell r="F327" t="str">
            <v>470</v>
          </cell>
          <cell r="G327">
            <v>9874.7000000000007</v>
          </cell>
          <cell r="H327">
            <v>2634.82</v>
          </cell>
        </row>
        <row r="328">
          <cell r="A328" t="str">
            <v>481003</v>
          </cell>
          <cell r="B328" t="str">
            <v>01988</v>
          </cell>
          <cell r="D328" t="str">
            <v>200</v>
          </cell>
          <cell r="E328" t="str">
            <v>2009-03-31</v>
          </cell>
          <cell r="F328" t="str">
            <v>470</v>
          </cell>
          <cell r="G328">
            <v>2314.27</v>
          </cell>
          <cell r="H328">
            <v>619.44000000000005</v>
          </cell>
        </row>
        <row r="329">
          <cell r="A329" t="str">
            <v>481003</v>
          </cell>
          <cell r="B329" t="str">
            <v>01993</v>
          </cell>
          <cell r="D329" t="str">
            <v>200</v>
          </cell>
          <cell r="E329" t="str">
            <v>2009-03-31</v>
          </cell>
          <cell r="F329" t="str">
            <v>470</v>
          </cell>
          <cell r="G329">
            <v>953.78</v>
          </cell>
          <cell r="H329">
            <v>203.45</v>
          </cell>
        </row>
        <row r="330">
          <cell r="A330" t="str">
            <v>481003</v>
          </cell>
          <cell r="B330" t="str">
            <v>01943</v>
          </cell>
          <cell r="D330" t="str">
            <v>200</v>
          </cell>
          <cell r="E330" t="str">
            <v>2009-03-31</v>
          </cell>
          <cell r="F330" t="str">
            <v>470</v>
          </cell>
          <cell r="G330">
            <v>563.44000000000005</v>
          </cell>
          <cell r="H330">
            <v>116.57</v>
          </cell>
        </row>
        <row r="331">
          <cell r="A331" t="str">
            <v>481003</v>
          </cell>
          <cell r="B331" t="str">
            <v>01952</v>
          </cell>
          <cell r="D331" t="str">
            <v>200</v>
          </cell>
          <cell r="E331" t="str">
            <v>2009-03-31</v>
          </cell>
          <cell r="F331" t="str">
            <v>472B</v>
          </cell>
          <cell r="G331">
            <v>36.93</v>
          </cell>
          <cell r="H331">
            <v>10.4</v>
          </cell>
        </row>
        <row r="332">
          <cell r="A332" t="str">
            <v>481003</v>
          </cell>
          <cell r="B332" t="str">
            <v>01943</v>
          </cell>
          <cell r="D332" t="str">
            <v>200</v>
          </cell>
          <cell r="E332" t="str">
            <v>2009-03-31</v>
          </cell>
          <cell r="F332" t="str">
            <v>472B</v>
          </cell>
          <cell r="G332">
            <v>-146.66</v>
          </cell>
          <cell r="H332">
            <v>0</v>
          </cell>
        </row>
        <row r="333">
          <cell r="A333" t="str">
            <v>481003</v>
          </cell>
          <cell r="B333" t="str">
            <v>01953</v>
          </cell>
          <cell r="D333" t="str">
            <v>200</v>
          </cell>
          <cell r="E333" t="str">
            <v>2009-03-31</v>
          </cell>
          <cell r="F333" t="str">
            <v>472B</v>
          </cell>
          <cell r="G333">
            <v>500.03</v>
          </cell>
          <cell r="H333">
            <v>140.84</v>
          </cell>
        </row>
        <row r="334">
          <cell r="A334" t="str">
            <v>481003</v>
          </cell>
          <cell r="B334" t="str">
            <v>01991</v>
          </cell>
          <cell r="D334" t="str">
            <v>200</v>
          </cell>
          <cell r="E334" t="str">
            <v>2009-03-31</v>
          </cell>
          <cell r="F334" t="str">
            <v>472B</v>
          </cell>
          <cell r="G334">
            <v>29.01</v>
          </cell>
          <cell r="H334">
            <v>8.18</v>
          </cell>
        </row>
        <row r="335">
          <cell r="A335" t="str">
            <v>481003</v>
          </cell>
          <cell r="B335" t="str">
            <v>01954</v>
          </cell>
          <cell r="D335" t="str">
            <v>200</v>
          </cell>
          <cell r="E335" t="str">
            <v>2009-03-31</v>
          </cell>
          <cell r="F335" t="str">
            <v>472B</v>
          </cell>
          <cell r="G335">
            <v>93.92</v>
          </cell>
          <cell r="H335">
            <v>26.45</v>
          </cell>
        </row>
        <row r="336">
          <cell r="A336" t="str">
            <v>481003</v>
          </cell>
          <cell r="B336" t="str">
            <v>01943</v>
          </cell>
          <cell r="D336" t="str">
            <v>200</v>
          </cell>
          <cell r="E336" t="str">
            <v>2009-03-31</v>
          </cell>
          <cell r="F336" t="str">
            <v>472B</v>
          </cell>
          <cell r="G336">
            <v>1047.3900000000001</v>
          </cell>
          <cell r="H336">
            <v>222.06</v>
          </cell>
        </row>
        <row r="337">
          <cell r="A337" t="str">
            <v>481003</v>
          </cell>
          <cell r="B337" t="str">
            <v>01988</v>
          </cell>
          <cell r="D337" t="str">
            <v>200</v>
          </cell>
          <cell r="E337" t="str">
            <v>2009-03-31</v>
          </cell>
          <cell r="F337" t="str">
            <v>BINGV35198</v>
          </cell>
          <cell r="G337">
            <v>5612.69</v>
          </cell>
          <cell r="H337">
            <v>603.32000000000005</v>
          </cell>
        </row>
        <row r="338">
          <cell r="A338" t="str">
            <v>481003</v>
          </cell>
          <cell r="B338" t="str">
            <v>01986</v>
          </cell>
          <cell r="D338" t="str">
            <v>200</v>
          </cell>
          <cell r="E338" t="str">
            <v>2009-03-31</v>
          </cell>
          <cell r="F338" t="str">
            <v>BINGV35198</v>
          </cell>
          <cell r="G338">
            <v>15445.14</v>
          </cell>
          <cell r="H338">
            <v>1797.14</v>
          </cell>
        </row>
        <row r="339">
          <cell r="A339" t="str">
            <v>481003</v>
          </cell>
          <cell r="B339" t="str">
            <v>01968</v>
          </cell>
          <cell r="D339" t="str">
            <v>200</v>
          </cell>
          <cell r="E339" t="str">
            <v>2009-03-31</v>
          </cell>
          <cell r="F339" t="str">
            <v>BINGV35198</v>
          </cell>
          <cell r="G339">
            <v>5328.32</v>
          </cell>
          <cell r="H339">
            <v>572.75</v>
          </cell>
        </row>
        <row r="340">
          <cell r="A340" t="str">
            <v>481003</v>
          </cell>
          <cell r="B340" t="str">
            <v>01979</v>
          </cell>
          <cell r="D340" t="str">
            <v>200</v>
          </cell>
          <cell r="E340" t="str">
            <v>2009-03-31</v>
          </cell>
          <cell r="F340" t="str">
            <v>BINGV35198</v>
          </cell>
          <cell r="G340">
            <v>259.04000000000002</v>
          </cell>
          <cell r="H340">
            <v>30.1</v>
          </cell>
        </row>
        <row r="341">
          <cell r="A341" t="str">
            <v>481003</v>
          </cell>
          <cell r="B341" t="str">
            <v>01994</v>
          </cell>
          <cell r="D341" t="str">
            <v>200</v>
          </cell>
          <cell r="E341" t="str">
            <v>2009-03-31</v>
          </cell>
          <cell r="F341" t="str">
            <v>BINGV35198</v>
          </cell>
          <cell r="G341">
            <v>24025.1</v>
          </cell>
          <cell r="H341">
            <v>2582.5100000000002</v>
          </cell>
        </row>
        <row r="342">
          <cell r="A342" t="str">
            <v>481003</v>
          </cell>
          <cell r="B342" t="str">
            <v>01995</v>
          </cell>
          <cell r="D342" t="str">
            <v>200</v>
          </cell>
          <cell r="E342" t="str">
            <v>2009-03-31</v>
          </cell>
          <cell r="F342" t="str">
            <v>BINGV35198</v>
          </cell>
          <cell r="G342">
            <v>8664.07</v>
          </cell>
          <cell r="H342">
            <v>931.32</v>
          </cell>
        </row>
        <row r="343">
          <cell r="A343" t="str">
            <v>481003</v>
          </cell>
          <cell r="B343" t="str">
            <v>01987</v>
          </cell>
          <cell r="D343" t="str">
            <v>200</v>
          </cell>
          <cell r="E343" t="str">
            <v>2009-03-31</v>
          </cell>
          <cell r="F343" t="str">
            <v>BINGV35198</v>
          </cell>
          <cell r="G343">
            <v>19368.3</v>
          </cell>
          <cell r="H343">
            <v>2081.94</v>
          </cell>
        </row>
        <row r="344">
          <cell r="A344" t="str">
            <v>481003</v>
          </cell>
          <cell r="B344" t="str">
            <v>01978</v>
          </cell>
          <cell r="D344" t="str">
            <v>200</v>
          </cell>
          <cell r="E344" t="str">
            <v>2009-03-31</v>
          </cell>
          <cell r="F344" t="str">
            <v>BINGV35198</v>
          </cell>
          <cell r="G344">
            <v>12914.65</v>
          </cell>
          <cell r="H344">
            <v>1388.28</v>
          </cell>
        </row>
        <row r="345">
          <cell r="A345" t="str">
            <v>481003</v>
          </cell>
          <cell r="B345" t="str">
            <v>01970</v>
          </cell>
          <cell r="D345" t="str">
            <v>200</v>
          </cell>
          <cell r="E345" t="str">
            <v>2009-03-31</v>
          </cell>
          <cell r="F345" t="str">
            <v>BINGV35198</v>
          </cell>
          <cell r="G345">
            <v>3200.83</v>
          </cell>
          <cell r="H345">
            <v>344.08</v>
          </cell>
        </row>
        <row r="346">
          <cell r="A346" t="str">
            <v>481003</v>
          </cell>
          <cell r="B346" t="str">
            <v>01971</v>
          </cell>
          <cell r="D346" t="str">
            <v>200</v>
          </cell>
          <cell r="E346" t="str">
            <v>2009-03-31</v>
          </cell>
          <cell r="F346" t="str">
            <v>BINGV35198</v>
          </cell>
          <cell r="G346">
            <v>10148.84</v>
          </cell>
          <cell r="H346">
            <v>1090.92</v>
          </cell>
        </row>
        <row r="347">
          <cell r="A347" t="str">
            <v>481003</v>
          </cell>
          <cell r="B347" t="str">
            <v>01969</v>
          </cell>
          <cell r="D347" t="str">
            <v>200</v>
          </cell>
          <cell r="E347" t="str">
            <v>2009-03-31</v>
          </cell>
          <cell r="F347" t="str">
            <v>BINGV35198</v>
          </cell>
          <cell r="G347">
            <v>7599.07</v>
          </cell>
          <cell r="H347">
            <v>816.84</v>
          </cell>
        </row>
        <row r="348">
          <cell r="A348" t="str">
            <v>481003</v>
          </cell>
          <cell r="B348" t="str">
            <v>01977</v>
          </cell>
          <cell r="D348" t="str">
            <v>200</v>
          </cell>
          <cell r="E348" t="str">
            <v>2009-03-31</v>
          </cell>
          <cell r="F348" t="str">
            <v>BINGV35198</v>
          </cell>
          <cell r="G348">
            <v>11475.06</v>
          </cell>
          <cell r="H348">
            <v>1233.48</v>
          </cell>
        </row>
        <row r="349">
          <cell r="A349" t="str">
            <v>481003</v>
          </cell>
          <cell r="B349" t="str">
            <v>01992</v>
          </cell>
          <cell r="D349" t="str">
            <v>200</v>
          </cell>
          <cell r="E349" t="str">
            <v>2009-03-31</v>
          </cell>
          <cell r="F349" t="str">
            <v>BINGV35198</v>
          </cell>
          <cell r="G349">
            <v>25104.83</v>
          </cell>
          <cell r="H349">
            <v>2698.57</v>
          </cell>
        </row>
        <row r="350">
          <cell r="A350" t="str">
            <v>481003</v>
          </cell>
          <cell r="B350" t="str">
            <v>01973</v>
          </cell>
          <cell r="D350" t="str">
            <v>200</v>
          </cell>
          <cell r="E350" t="str">
            <v>2009-03-31</v>
          </cell>
          <cell r="F350" t="str">
            <v>BINGV35198</v>
          </cell>
          <cell r="G350">
            <v>13603.96</v>
          </cell>
          <cell r="H350">
            <v>1462.32</v>
          </cell>
        </row>
        <row r="351">
          <cell r="A351" t="str">
            <v>481003</v>
          </cell>
          <cell r="B351" t="str">
            <v>01952</v>
          </cell>
          <cell r="D351" t="str">
            <v>200</v>
          </cell>
          <cell r="E351" t="str">
            <v>2009-03-31</v>
          </cell>
          <cell r="F351" t="str">
            <v>BINGV35198</v>
          </cell>
          <cell r="G351">
            <v>27749.58</v>
          </cell>
          <cell r="H351">
            <v>2982.86</v>
          </cell>
        </row>
        <row r="352">
          <cell r="A352" t="str">
            <v>481003</v>
          </cell>
          <cell r="B352" t="str">
            <v>01989</v>
          </cell>
          <cell r="D352" t="str">
            <v>200</v>
          </cell>
          <cell r="E352" t="str">
            <v>2009-03-31</v>
          </cell>
          <cell r="F352" t="str">
            <v>BINGV35198</v>
          </cell>
          <cell r="G352">
            <v>2552</v>
          </cell>
          <cell r="H352">
            <v>274.32</v>
          </cell>
        </row>
        <row r="353">
          <cell r="A353" t="str">
            <v>481003</v>
          </cell>
          <cell r="B353" t="str">
            <v>01979</v>
          </cell>
          <cell r="D353" t="str">
            <v>200</v>
          </cell>
          <cell r="E353" t="str">
            <v>2009-03-31</v>
          </cell>
          <cell r="F353" t="str">
            <v>GLCOR15</v>
          </cell>
          <cell r="G353">
            <v>-21455.22</v>
          </cell>
          <cell r="H353">
            <v>-2496.4499999999998</v>
          </cell>
        </row>
        <row r="354">
          <cell r="A354" t="str">
            <v>481003</v>
          </cell>
          <cell r="B354" t="str">
            <v>01986</v>
          </cell>
          <cell r="D354" t="str">
            <v>200</v>
          </cell>
          <cell r="E354" t="str">
            <v>2009-03-31</v>
          </cell>
          <cell r="F354" t="str">
            <v>GLCOR15</v>
          </cell>
          <cell r="G354">
            <v>21455.22</v>
          </cell>
          <cell r="H354">
            <v>2496.4499999999998</v>
          </cell>
        </row>
        <row r="355">
          <cell r="A355" t="str">
            <v>481003</v>
          </cell>
          <cell r="B355" t="str">
            <v>01953</v>
          </cell>
          <cell r="D355" t="str">
            <v>200</v>
          </cell>
          <cell r="E355" t="str">
            <v>2009-03-31</v>
          </cell>
          <cell r="F355" t="str">
            <v>GLCOR17</v>
          </cell>
          <cell r="G355">
            <v>-1500.79</v>
          </cell>
          <cell r="H355">
            <v>0</v>
          </cell>
        </row>
        <row r="356">
          <cell r="A356" t="str">
            <v>481003</v>
          </cell>
          <cell r="B356" t="str">
            <v>01990</v>
          </cell>
          <cell r="D356" t="str">
            <v>200</v>
          </cell>
          <cell r="E356" t="str">
            <v>2009-03-31</v>
          </cell>
          <cell r="F356" t="str">
            <v>GLCOR17</v>
          </cell>
          <cell r="G356">
            <v>-834.27</v>
          </cell>
          <cell r="H356">
            <v>0</v>
          </cell>
        </row>
        <row r="357">
          <cell r="A357" t="str">
            <v>481003</v>
          </cell>
          <cell r="B357" t="str">
            <v>01988</v>
          </cell>
          <cell r="D357" t="str">
            <v>200</v>
          </cell>
          <cell r="E357" t="str">
            <v>2009-03-31</v>
          </cell>
          <cell r="F357" t="str">
            <v>GLCOR17</v>
          </cell>
          <cell r="G357">
            <v>-447.3</v>
          </cell>
          <cell r="H357">
            <v>0</v>
          </cell>
        </row>
        <row r="358">
          <cell r="A358" t="str">
            <v>481003</v>
          </cell>
          <cell r="B358" t="str">
            <v>01974</v>
          </cell>
          <cell r="D358" t="str">
            <v>200</v>
          </cell>
          <cell r="E358" t="str">
            <v>2009-03-31</v>
          </cell>
          <cell r="F358" t="str">
            <v>GLCOR17</v>
          </cell>
          <cell r="G358">
            <v>-1907.46</v>
          </cell>
          <cell r="H358">
            <v>0</v>
          </cell>
        </row>
        <row r="359">
          <cell r="A359" t="str">
            <v>481003</v>
          </cell>
          <cell r="B359" t="str">
            <v>01986</v>
          </cell>
          <cell r="D359" t="str">
            <v>200</v>
          </cell>
          <cell r="E359" t="str">
            <v>2009-03-31</v>
          </cell>
          <cell r="F359" t="str">
            <v>GLCOR17</v>
          </cell>
          <cell r="G359">
            <v>-1002.29</v>
          </cell>
          <cell r="H359">
            <v>0</v>
          </cell>
        </row>
        <row r="360">
          <cell r="A360" t="str">
            <v>481003</v>
          </cell>
          <cell r="B360" t="str">
            <v>01974</v>
          </cell>
          <cell r="D360" t="str">
            <v>200</v>
          </cell>
          <cell r="E360" t="str">
            <v>2009-03-31</v>
          </cell>
          <cell r="F360" t="str">
            <v>GLCOR17</v>
          </cell>
          <cell r="G360">
            <v>-2025.77</v>
          </cell>
          <cell r="H360">
            <v>0</v>
          </cell>
        </row>
        <row r="361">
          <cell r="A361" t="str">
            <v>481003</v>
          </cell>
          <cell r="B361" t="str">
            <v>01988</v>
          </cell>
          <cell r="D361" t="str">
            <v>200</v>
          </cell>
          <cell r="E361" t="str">
            <v>2009-03-31</v>
          </cell>
          <cell r="F361" t="str">
            <v>GLCOR17</v>
          </cell>
          <cell r="G361">
            <v>-509.44</v>
          </cell>
          <cell r="H361">
            <v>0</v>
          </cell>
        </row>
        <row r="362">
          <cell r="A362" t="str">
            <v>481003</v>
          </cell>
          <cell r="B362" t="str">
            <v>01986</v>
          </cell>
          <cell r="D362" t="str">
            <v>200</v>
          </cell>
          <cell r="E362" t="str">
            <v>2009-03-31</v>
          </cell>
          <cell r="F362" t="str">
            <v>GLCOR17</v>
          </cell>
          <cell r="G362">
            <v>-1061.6400000000001</v>
          </cell>
          <cell r="H362">
            <v>0</v>
          </cell>
        </row>
        <row r="363">
          <cell r="A363" t="str">
            <v>481003</v>
          </cell>
          <cell r="B363" t="str">
            <v>01990</v>
          </cell>
          <cell r="D363" t="str">
            <v>200</v>
          </cell>
          <cell r="E363" t="str">
            <v>2009-03-31</v>
          </cell>
          <cell r="F363" t="str">
            <v>GLCOR17</v>
          </cell>
          <cell r="G363">
            <v>-810.01</v>
          </cell>
          <cell r="H363">
            <v>0</v>
          </cell>
        </row>
        <row r="364">
          <cell r="A364" t="str">
            <v>481003</v>
          </cell>
          <cell r="B364" t="str">
            <v>01953</v>
          </cell>
          <cell r="D364" t="str">
            <v>200</v>
          </cell>
          <cell r="E364" t="str">
            <v>2009-03-31</v>
          </cell>
          <cell r="F364" t="str">
            <v>GLCOR17</v>
          </cell>
          <cell r="G364">
            <v>-1786.18</v>
          </cell>
          <cell r="H364">
            <v>0</v>
          </cell>
        </row>
        <row r="365">
          <cell r="A365" t="str">
            <v>481003</v>
          </cell>
          <cell r="B365" t="str">
            <v>01953</v>
          </cell>
          <cell r="D365" t="str">
            <v>200</v>
          </cell>
          <cell r="E365" t="str">
            <v>2009-03-31</v>
          </cell>
          <cell r="F365" t="str">
            <v>GLCOR17A</v>
          </cell>
          <cell r="G365">
            <v>-100.19</v>
          </cell>
          <cell r="H365">
            <v>0</v>
          </cell>
        </row>
        <row r="366">
          <cell r="A366" t="str">
            <v>481003</v>
          </cell>
          <cell r="B366" t="str">
            <v>01952</v>
          </cell>
          <cell r="D366" t="str">
            <v>200</v>
          </cell>
          <cell r="E366" t="str">
            <v>2009-03-31</v>
          </cell>
          <cell r="F366" t="str">
            <v>GLCOR17A</v>
          </cell>
          <cell r="G366">
            <v>-6.94</v>
          </cell>
          <cell r="H366">
            <v>0</v>
          </cell>
        </row>
        <row r="367">
          <cell r="A367" t="str">
            <v>481003</v>
          </cell>
          <cell r="B367" t="str">
            <v>01954</v>
          </cell>
          <cell r="D367" t="str">
            <v>200</v>
          </cell>
          <cell r="E367" t="str">
            <v>2009-03-31</v>
          </cell>
          <cell r="F367" t="str">
            <v>GLCOR17A</v>
          </cell>
          <cell r="G367">
            <v>-16.04</v>
          </cell>
          <cell r="H367">
            <v>0</v>
          </cell>
        </row>
        <row r="368">
          <cell r="A368" t="str">
            <v>481003</v>
          </cell>
          <cell r="B368" t="str">
            <v>01953</v>
          </cell>
          <cell r="D368" t="str">
            <v>200</v>
          </cell>
          <cell r="E368" t="str">
            <v>2009-03-31</v>
          </cell>
          <cell r="F368" t="str">
            <v>GLCOR17A</v>
          </cell>
          <cell r="G368">
            <v>-78.78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2009-03-31</v>
          </cell>
          <cell r="F369" t="str">
            <v>GLCOR17A</v>
          </cell>
          <cell r="G369">
            <v>-12.93</v>
          </cell>
          <cell r="H369">
            <v>0</v>
          </cell>
        </row>
        <row r="370">
          <cell r="A370" t="str">
            <v>481003</v>
          </cell>
          <cell r="B370" t="str">
            <v>01952</v>
          </cell>
          <cell r="D370" t="str">
            <v>200</v>
          </cell>
          <cell r="E370" t="str">
            <v>2009-03-31</v>
          </cell>
          <cell r="F370" t="str">
            <v>GLCOR17A</v>
          </cell>
          <cell r="G370">
            <v>-7.4</v>
          </cell>
          <cell r="H370">
            <v>0</v>
          </cell>
        </row>
        <row r="371">
          <cell r="A371" t="str">
            <v>481003</v>
          </cell>
          <cell r="B371" t="str">
            <v>01991</v>
          </cell>
          <cell r="D371" t="str">
            <v>200</v>
          </cell>
          <cell r="E371" t="str">
            <v>2009-03-31</v>
          </cell>
          <cell r="F371" t="str">
            <v>GLCOR17A</v>
          </cell>
          <cell r="G371">
            <v>-6.8</v>
          </cell>
          <cell r="H371">
            <v>0</v>
          </cell>
        </row>
        <row r="372">
          <cell r="A372" t="str">
            <v>481003</v>
          </cell>
          <cell r="B372" t="str">
            <v>01943</v>
          </cell>
          <cell r="D372" t="str">
            <v>200</v>
          </cell>
          <cell r="E372" t="str">
            <v>2009-04-30</v>
          </cell>
          <cell r="F372" t="str">
            <v>470</v>
          </cell>
          <cell r="G372">
            <v>-90.98</v>
          </cell>
          <cell r="H372">
            <v>0</v>
          </cell>
        </row>
        <row r="373">
          <cell r="A373" t="str">
            <v>481003</v>
          </cell>
          <cell r="B373" t="str">
            <v>01953</v>
          </cell>
          <cell r="D373" t="str">
            <v>200</v>
          </cell>
          <cell r="E373" t="str">
            <v>2009-04-30</v>
          </cell>
          <cell r="F373" t="str">
            <v>470</v>
          </cell>
          <cell r="G373">
            <v>13676.28</v>
          </cell>
          <cell r="H373">
            <v>2553.86</v>
          </cell>
        </row>
        <row r="374">
          <cell r="A374" t="str">
            <v>481003</v>
          </cell>
          <cell r="B374" t="str">
            <v>01990</v>
          </cell>
          <cell r="D374" t="str">
            <v>200</v>
          </cell>
          <cell r="E374" t="str">
            <v>2009-04-30</v>
          </cell>
          <cell r="F374" t="str">
            <v>470</v>
          </cell>
          <cell r="G374">
            <v>5920.9</v>
          </cell>
          <cell r="H374">
            <v>1120.72</v>
          </cell>
        </row>
        <row r="375">
          <cell r="A375" t="str">
            <v>481003</v>
          </cell>
          <cell r="B375" t="str">
            <v>01986</v>
          </cell>
          <cell r="D375" t="str">
            <v>200</v>
          </cell>
          <cell r="E375" t="str">
            <v>2009-04-30</v>
          </cell>
          <cell r="F375" t="str">
            <v>470</v>
          </cell>
          <cell r="G375">
            <v>6090.65</v>
          </cell>
          <cell r="H375">
            <v>1166.81</v>
          </cell>
        </row>
        <row r="376">
          <cell r="A376" t="str">
            <v>481003</v>
          </cell>
          <cell r="B376" t="str">
            <v>01974</v>
          </cell>
          <cell r="D376" t="str">
            <v>200</v>
          </cell>
          <cell r="E376" t="str">
            <v>2009-04-30</v>
          </cell>
          <cell r="F376" t="str">
            <v>470</v>
          </cell>
          <cell r="G376">
            <v>15783.42</v>
          </cell>
          <cell r="H376">
            <v>2936.46</v>
          </cell>
        </row>
        <row r="377">
          <cell r="A377" t="str">
            <v>481003</v>
          </cell>
          <cell r="B377" t="str">
            <v>01988</v>
          </cell>
          <cell r="D377" t="str">
            <v>200</v>
          </cell>
          <cell r="E377" t="str">
            <v>2009-04-30</v>
          </cell>
          <cell r="F377" t="str">
            <v>470</v>
          </cell>
          <cell r="G377">
            <v>3804.69</v>
          </cell>
          <cell r="H377">
            <v>712.33</v>
          </cell>
        </row>
        <row r="378">
          <cell r="A378" t="str">
            <v>481003</v>
          </cell>
          <cell r="B378" t="str">
            <v>01993</v>
          </cell>
          <cell r="D378" t="str">
            <v>200</v>
          </cell>
          <cell r="E378" t="str">
            <v>2009-04-30</v>
          </cell>
          <cell r="F378" t="str">
            <v>470</v>
          </cell>
          <cell r="G378">
            <v>1011.01</v>
          </cell>
          <cell r="H378">
            <v>222.21</v>
          </cell>
        </row>
        <row r="379">
          <cell r="A379" t="str">
            <v>481003</v>
          </cell>
          <cell r="B379" t="str">
            <v>01943</v>
          </cell>
          <cell r="D379" t="str">
            <v>200</v>
          </cell>
          <cell r="E379" t="str">
            <v>2009-04-30</v>
          </cell>
          <cell r="F379" t="str">
            <v>470</v>
          </cell>
          <cell r="G379">
            <v>649.72</v>
          </cell>
          <cell r="H379">
            <v>137.75</v>
          </cell>
        </row>
        <row r="380">
          <cell r="A380" t="str">
            <v>481003</v>
          </cell>
          <cell r="B380" t="str">
            <v>01943</v>
          </cell>
          <cell r="D380" t="str">
            <v>200</v>
          </cell>
          <cell r="E380" t="str">
            <v>2009-04-30</v>
          </cell>
          <cell r="F380" t="str">
            <v>472B</v>
          </cell>
          <cell r="G380">
            <v>1014.88</v>
          </cell>
          <cell r="H380">
            <v>215.19</v>
          </cell>
        </row>
        <row r="381">
          <cell r="A381" t="str">
            <v>481003</v>
          </cell>
          <cell r="B381" t="str">
            <v>01952</v>
          </cell>
          <cell r="D381" t="str">
            <v>200</v>
          </cell>
          <cell r="E381" t="str">
            <v>2009-04-30</v>
          </cell>
          <cell r="F381" t="str">
            <v>472B</v>
          </cell>
          <cell r="G381">
            <v>36.24</v>
          </cell>
          <cell r="H381">
            <v>10.199999999999999</v>
          </cell>
        </row>
        <row r="382">
          <cell r="A382" t="str">
            <v>481003</v>
          </cell>
          <cell r="B382" t="str">
            <v>01953</v>
          </cell>
          <cell r="D382" t="str">
            <v>200</v>
          </cell>
          <cell r="E382" t="str">
            <v>2009-04-30</v>
          </cell>
          <cell r="F382" t="str">
            <v>472B</v>
          </cell>
          <cell r="G382">
            <v>466.98</v>
          </cell>
          <cell r="H382">
            <v>131.53</v>
          </cell>
        </row>
        <row r="383">
          <cell r="A383" t="str">
            <v>481003</v>
          </cell>
          <cell r="B383" t="str">
            <v>01954</v>
          </cell>
          <cell r="D383" t="str">
            <v>200</v>
          </cell>
          <cell r="E383" t="str">
            <v>2009-04-30</v>
          </cell>
          <cell r="F383" t="str">
            <v>472B</v>
          </cell>
          <cell r="G383">
            <v>56.82</v>
          </cell>
          <cell r="H383">
            <v>16.010000000000002</v>
          </cell>
        </row>
        <row r="384">
          <cell r="A384" t="str">
            <v>481003</v>
          </cell>
          <cell r="B384" t="str">
            <v>01943</v>
          </cell>
          <cell r="D384" t="str">
            <v>200</v>
          </cell>
          <cell r="E384" t="str">
            <v>2009-04-30</v>
          </cell>
          <cell r="F384" t="str">
            <v>472B</v>
          </cell>
          <cell r="G384">
            <v>-142.12</v>
          </cell>
          <cell r="H384">
            <v>0</v>
          </cell>
        </row>
        <row r="385">
          <cell r="A385" t="str">
            <v>481003</v>
          </cell>
          <cell r="B385" t="str">
            <v>01991</v>
          </cell>
          <cell r="D385" t="str">
            <v>200</v>
          </cell>
          <cell r="E385" t="str">
            <v>2009-04-30</v>
          </cell>
          <cell r="F385" t="str">
            <v>472B</v>
          </cell>
          <cell r="G385">
            <v>18.03</v>
          </cell>
          <cell r="H385">
            <v>5.07</v>
          </cell>
        </row>
        <row r="386">
          <cell r="A386" t="str">
            <v>481003</v>
          </cell>
          <cell r="B386" t="str">
            <v>01968</v>
          </cell>
          <cell r="D386" t="str">
            <v>200</v>
          </cell>
          <cell r="E386" t="str">
            <v>2009-04-30</v>
          </cell>
          <cell r="F386" t="str">
            <v>BINGV35668</v>
          </cell>
          <cell r="G386">
            <v>4875.71</v>
          </cell>
          <cell r="H386">
            <v>631.79999999999995</v>
          </cell>
        </row>
        <row r="387">
          <cell r="A387" t="str">
            <v>481003</v>
          </cell>
          <cell r="B387" t="str">
            <v>01979</v>
          </cell>
          <cell r="D387" t="str">
            <v>200</v>
          </cell>
          <cell r="E387" t="str">
            <v>2009-04-30</v>
          </cell>
          <cell r="F387" t="str">
            <v>BINGV35668</v>
          </cell>
          <cell r="G387">
            <v>259.24</v>
          </cell>
          <cell r="H387">
            <v>30.16</v>
          </cell>
        </row>
        <row r="388">
          <cell r="A388" t="str">
            <v>481003</v>
          </cell>
          <cell r="B388" t="str">
            <v>01994</v>
          </cell>
          <cell r="D388" t="str">
            <v>200</v>
          </cell>
          <cell r="E388" t="str">
            <v>2009-04-30</v>
          </cell>
          <cell r="F388" t="str">
            <v>BINGV35668</v>
          </cell>
          <cell r="G388">
            <v>24434.74</v>
          </cell>
          <cell r="H388">
            <v>3166.29</v>
          </cell>
        </row>
        <row r="389">
          <cell r="A389" t="str">
            <v>481003</v>
          </cell>
          <cell r="B389" t="str">
            <v>01995</v>
          </cell>
          <cell r="D389" t="str">
            <v>200</v>
          </cell>
          <cell r="E389" t="str">
            <v>2009-04-30</v>
          </cell>
          <cell r="F389" t="str">
            <v>BINGV35668</v>
          </cell>
          <cell r="G389">
            <v>8762.3700000000008</v>
          </cell>
          <cell r="H389">
            <v>1135.44</v>
          </cell>
        </row>
        <row r="390">
          <cell r="A390" t="str">
            <v>481003</v>
          </cell>
          <cell r="B390" t="str">
            <v>01976</v>
          </cell>
          <cell r="D390" t="str">
            <v>200</v>
          </cell>
          <cell r="E390" t="str">
            <v>2009-04-30</v>
          </cell>
          <cell r="F390" t="str">
            <v>BINGV35668</v>
          </cell>
          <cell r="G390">
            <v>28112.25</v>
          </cell>
          <cell r="H390">
            <v>3322.2</v>
          </cell>
        </row>
        <row r="391">
          <cell r="A391" t="str">
            <v>481003</v>
          </cell>
          <cell r="B391" t="str">
            <v>01987</v>
          </cell>
          <cell r="D391" t="str">
            <v>200</v>
          </cell>
          <cell r="E391" t="str">
            <v>2009-04-30</v>
          </cell>
          <cell r="F391" t="str">
            <v>BINGV35668</v>
          </cell>
          <cell r="G391">
            <v>17211.07</v>
          </cell>
          <cell r="H391">
            <v>2230.34</v>
          </cell>
        </row>
        <row r="392">
          <cell r="A392" t="str">
            <v>481003</v>
          </cell>
          <cell r="B392" t="str">
            <v>01978</v>
          </cell>
          <cell r="D392" t="str">
            <v>200</v>
          </cell>
          <cell r="E392" t="str">
            <v>2009-04-30</v>
          </cell>
          <cell r="F392" t="str">
            <v>BINGV35668</v>
          </cell>
          <cell r="G392">
            <v>13181.54</v>
          </cell>
          <cell r="H392">
            <v>1708.08</v>
          </cell>
        </row>
        <row r="393">
          <cell r="A393" t="str">
            <v>481003</v>
          </cell>
          <cell r="B393" t="str">
            <v>01970</v>
          </cell>
          <cell r="D393" t="str">
            <v>200</v>
          </cell>
          <cell r="E393" t="str">
            <v>2009-04-30</v>
          </cell>
          <cell r="F393" t="str">
            <v>BINGV35668</v>
          </cell>
          <cell r="G393">
            <v>3349.76</v>
          </cell>
          <cell r="H393">
            <v>434.07</v>
          </cell>
        </row>
        <row r="394">
          <cell r="A394" t="str">
            <v>481003</v>
          </cell>
          <cell r="B394" t="str">
            <v>01971</v>
          </cell>
          <cell r="D394" t="str">
            <v>200</v>
          </cell>
          <cell r="E394" t="str">
            <v>2009-04-30</v>
          </cell>
          <cell r="F394" t="str">
            <v>BINGV35668</v>
          </cell>
          <cell r="G394">
            <v>10384.84</v>
          </cell>
          <cell r="H394">
            <v>1345.68</v>
          </cell>
        </row>
        <row r="395">
          <cell r="A395" t="str">
            <v>481003</v>
          </cell>
          <cell r="B395" t="str">
            <v>01969</v>
          </cell>
          <cell r="D395" t="str">
            <v>200</v>
          </cell>
          <cell r="E395" t="str">
            <v>2009-04-30</v>
          </cell>
          <cell r="F395" t="str">
            <v>BINGV35668</v>
          </cell>
          <cell r="G395">
            <v>6738</v>
          </cell>
          <cell r="H395">
            <v>873.12</v>
          </cell>
        </row>
        <row r="396">
          <cell r="A396" t="str">
            <v>481003</v>
          </cell>
          <cell r="B396" t="str">
            <v>01977</v>
          </cell>
          <cell r="D396" t="str">
            <v>200</v>
          </cell>
          <cell r="E396" t="str">
            <v>2009-04-30</v>
          </cell>
          <cell r="F396" t="str">
            <v>BINGV35668</v>
          </cell>
          <cell r="G396">
            <v>9560.64</v>
          </cell>
          <cell r="H396">
            <v>1238.8800000000001</v>
          </cell>
        </row>
        <row r="397">
          <cell r="A397" t="str">
            <v>481003</v>
          </cell>
          <cell r="B397" t="str">
            <v>01992</v>
          </cell>
          <cell r="D397" t="str">
            <v>200</v>
          </cell>
          <cell r="E397" t="str">
            <v>2009-04-30</v>
          </cell>
          <cell r="F397" t="str">
            <v>BINGV35668</v>
          </cell>
          <cell r="G397">
            <v>24795.23</v>
          </cell>
          <cell r="H397">
            <v>3047.72</v>
          </cell>
        </row>
        <row r="398">
          <cell r="A398" t="str">
            <v>481003</v>
          </cell>
          <cell r="B398" t="str">
            <v>01973</v>
          </cell>
          <cell r="D398" t="str">
            <v>200</v>
          </cell>
          <cell r="E398" t="str">
            <v>2009-04-30</v>
          </cell>
          <cell r="F398" t="str">
            <v>BINGV35668</v>
          </cell>
          <cell r="G398">
            <v>10132.94</v>
          </cell>
          <cell r="H398">
            <v>1313.04</v>
          </cell>
        </row>
        <row r="399">
          <cell r="A399" t="str">
            <v>481003</v>
          </cell>
          <cell r="B399" t="str">
            <v>01952</v>
          </cell>
          <cell r="D399" t="str">
            <v>200</v>
          </cell>
          <cell r="E399" t="str">
            <v>2009-04-30</v>
          </cell>
          <cell r="F399" t="str">
            <v>BINGV35668</v>
          </cell>
          <cell r="G399">
            <v>27231.41</v>
          </cell>
          <cell r="H399">
            <v>3528.68</v>
          </cell>
        </row>
        <row r="400">
          <cell r="A400" t="str">
            <v>481003</v>
          </cell>
          <cell r="B400" t="str">
            <v>01989</v>
          </cell>
          <cell r="D400" t="str">
            <v>200</v>
          </cell>
          <cell r="E400" t="str">
            <v>2009-04-30</v>
          </cell>
          <cell r="F400" t="str">
            <v>BINGV35668</v>
          </cell>
          <cell r="G400">
            <v>2468.88</v>
          </cell>
          <cell r="H400">
            <v>319.92</v>
          </cell>
        </row>
        <row r="401">
          <cell r="A401" t="str">
            <v>481003</v>
          </cell>
          <cell r="B401" t="str">
            <v>01988</v>
          </cell>
          <cell r="D401" t="str">
            <v>200</v>
          </cell>
          <cell r="E401" t="str">
            <v>2009-04-30</v>
          </cell>
          <cell r="F401" t="str">
            <v>BINGV35668</v>
          </cell>
          <cell r="G401">
            <v>6866.05</v>
          </cell>
          <cell r="H401">
            <v>889.71</v>
          </cell>
        </row>
        <row r="402">
          <cell r="A402" t="str">
            <v>481003</v>
          </cell>
          <cell r="B402" t="str">
            <v>01986</v>
          </cell>
          <cell r="D402" t="str">
            <v>200</v>
          </cell>
          <cell r="E402" t="str">
            <v>2009-04-30</v>
          </cell>
          <cell r="F402" t="str">
            <v>BINGV35668</v>
          </cell>
          <cell r="G402">
            <v>21224.68</v>
          </cell>
          <cell r="H402">
            <v>-2255.08</v>
          </cell>
        </row>
        <row r="403">
          <cell r="A403" t="str">
            <v>481003</v>
          </cell>
          <cell r="B403" t="str">
            <v>01943</v>
          </cell>
          <cell r="D403" t="str">
            <v>200</v>
          </cell>
          <cell r="E403" t="str">
            <v>2009-05-31</v>
          </cell>
          <cell r="F403" t="str">
            <v>470</v>
          </cell>
          <cell r="G403">
            <v>-84.29</v>
          </cell>
          <cell r="H403">
            <v>0</v>
          </cell>
        </row>
        <row r="404">
          <cell r="A404" t="str">
            <v>481003</v>
          </cell>
          <cell r="B404" t="str">
            <v>01953</v>
          </cell>
          <cell r="D404" t="str">
            <v>200</v>
          </cell>
          <cell r="E404" t="str">
            <v>2009-05-31</v>
          </cell>
          <cell r="F404" t="str">
            <v>470</v>
          </cell>
          <cell r="G404">
            <v>13781.72</v>
          </cell>
          <cell r="H404">
            <v>2365.96</v>
          </cell>
        </row>
        <row r="405">
          <cell r="A405" t="str">
            <v>481003</v>
          </cell>
          <cell r="B405" t="str">
            <v>01990</v>
          </cell>
          <cell r="D405" t="str">
            <v>200</v>
          </cell>
          <cell r="E405" t="str">
            <v>2009-05-31</v>
          </cell>
          <cell r="F405" t="str">
            <v>470</v>
          </cell>
          <cell r="G405">
            <v>7488.9</v>
          </cell>
          <cell r="H405">
            <v>1285.6199999999999</v>
          </cell>
        </row>
        <row r="406">
          <cell r="A406" t="str">
            <v>481003</v>
          </cell>
          <cell r="B406" t="str">
            <v>01986</v>
          </cell>
          <cell r="D406" t="str">
            <v>200</v>
          </cell>
          <cell r="E406" t="str">
            <v>2009-05-31</v>
          </cell>
          <cell r="F406" t="str">
            <v>470</v>
          </cell>
          <cell r="G406">
            <v>5715.21</v>
          </cell>
          <cell r="H406">
            <v>981.16</v>
          </cell>
        </row>
        <row r="407">
          <cell r="A407" t="str">
            <v>481003</v>
          </cell>
          <cell r="B407" t="str">
            <v>01988</v>
          </cell>
          <cell r="D407" t="str">
            <v>200</v>
          </cell>
          <cell r="E407" t="str">
            <v>2009-05-31</v>
          </cell>
          <cell r="F407" t="str">
            <v>470</v>
          </cell>
          <cell r="G407">
            <v>3294.02</v>
          </cell>
          <cell r="H407">
            <v>565.55999999999995</v>
          </cell>
        </row>
        <row r="408">
          <cell r="A408" t="str">
            <v>481003</v>
          </cell>
          <cell r="B408" t="str">
            <v>01974</v>
          </cell>
          <cell r="D408" t="str">
            <v>200</v>
          </cell>
          <cell r="E408" t="str">
            <v>2009-05-31</v>
          </cell>
          <cell r="F408" t="str">
            <v>470</v>
          </cell>
          <cell r="G408">
            <v>15228.11</v>
          </cell>
          <cell r="H408">
            <v>2614.2199999999998</v>
          </cell>
        </row>
        <row r="409">
          <cell r="A409" t="str">
            <v>481003</v>
          </cell>
          <cell r="B409" t="str">
            <v>01993</v>
          </cell>
          <cell r="D409" t="str">
            <v>200</v>
          </cell>
          <cell r="E409" t="str">
            <v>2009-05-31</v>
          </cell>
          <cell r="F409" t="str">
            <v>470</v>
          </cell>
          <cell r="G409">
            <v>1188.44</v>
          </cell>
          <cell r="H409">
            <v>261.18</v>
          </cell>
        </row>
        <row r="410">
          <cell r="A410" t="str">
            <v>481003</v>
          </cell>
          <cell r="B410" t="str">
            <v>01943</v>
          </cell>
          <cell r="D410" t="str">
            <v>200</v>
          </cell>
          <cell r="E410" t="str">
            <v>2009-05-31</v>
          </cell>
          <cell r="F410" t="str">
            <v>470</v>
          </cell>
          <cell r="G410">
            <v>601.91</v>
          </cell>
          <cell r="H410">
            <v>127.62</v>
          </cell>
        </row>
        <row r="411">
          <cell r="A411" t="str">
            <v>481003</v>
          </cell>
          <cell r="B411" t="str">
            <v>01991</v>
          </cell>
          <cell r="D411" t="str">
            <v>200</v>
          </cell>
          <cell r="E411" t="str">
            <v>2009-05-31</v>
          </cell>
          <cell r="F411" t="str">
            <v>472B</v>
          </cell>
          <cell r="G411">
            <v>17.059999999999999</v>
          </cell>
          <cell r="H411">
            <v>4.8</v>
          </cell>
        </row>
        <row r="412">
          <cell r="A412" t="str">
            <v>481003</v>
          </cell>
          <cell r="B412" t="str">
            <v>01953</v>
          </cell>
          <cell r="D412" t="str">
            <v>200</v>
          </cell>
          <cell r="E412" t="str">
            <v>2009-05-31</v>
          </cell>
          <cell r="F412" t="str">
            <v>472B</v>
          </cell>
          <cell r="G412">
            <v>500.09</v>
          </cell>
          <cell r="H412">
            <v>140.97</v>
          </cell>
        </row>
        <row r="413">
          <cell r="A413" t="str">
            <v>481003</v>
          </cell>
          <cell r="B413" t="str">
            <v>01943</v>
          </cell>
          <cell r="D413" t="str">
            <v>200</v>
          </cell>
          <cell r="E413" t="str">
            <v>2009-05-31</v>
          </cell>
          <cell r="F413" t="str">
            <v>472B</v>
          </cell>
          <cell r="G413">
            <v>988.47</v>
          </cell>
          <cell r="H413">
            <v>209.55</v>
          </cell>
        </row>
        <row r="414">
          <cell r="A414" t="str">
            <v>481003</v>
          </cell>
          <cell r="B414" t="str">
            <v>01952</v>
          </cell>
          <cell r="D414" t="str">
            <v>200</v>
          </cell>
          <cell r="E414" t="str">
            <v>2009-05-31</v>
          </cell>
          <cell r="F414" t="str">
            <v>472B</v>
          </cell>
          <cell r="G414">
            <v>32.42</v>
          </cell>
          <cell r="H414">
            <v>9.11</v>
          </cell>
        </row>
        <row r="415">
          <cell r="A415" t="str">
            <v>481003</v>
          </cell>
          <cell r="B415" t="str">
            <v>01954</v>
          </cell>
          <cell r="D415" t="str">
            <v>200</v>
          </cell>
          <cell r="E415" t="str">
            <v>2009-05-31</v>
          </cell>
          <cell r="F415" t="str">
            <v>472B</v>
          </cell>
          <cell r="G415">
            <v>87.07</v>
          </cell>
          <cell r="H415">
            <v>24.52</v>
          </cell>
        </row>
        <row r="416">
          <cell r="A416" t="str">
            <v>481003</v>
          </cell>
          <cell r="B416" t="str">
            <v>01943</v>
          </cell>
          <cell r="D416" t="str">
            <v>200</v>
          </cell>
          <cell r="E416" t="str">
            <v>2009-05-31</v>
          </cell>
          <cell r="F416" t="str">
            <v>472B</v>
          </cell>
          <cell r="G416">
            <v>-138.4</v>
          </cell>
          <cell r="H416">
            <v>0</v>
          </cell>
        </row>
        <row r="417">
          <cell r="A417" t="str">
            <v>481003</v>
          </cell>
          <cell r="B417" t="str">
            <v>01968</v>
          </cell>
          <cell r="D417" t="str">
            <v>200</v>
          </cell>
          <cell r="E417" t="str">
            <v>2009-05-31</v>
          </cell>
          <cell r="F417" t="str">
            <v>BINGV35964</v>
          </cell>
          <cell r="G417">
            <v>5874.44</v>
          </cell>
          <cell r="H417">
            <v>588.16999999999996</v>
          </cell>
        </row>
        <row r="418">
          <cell r="A418" t="str">
            <v>481003</v>
          </cell>
          <cell r="B418" t="str">
            <v>01979</v>
          </cell>
          <cell r="D418" t="str">
            <v>200</v>
          </cell>
          <cell r="E418" t="str">
            <v>2009-05-31</v>
          </cell>
          <cell r="F418" t="str">
            <v>BINGV35964</v>
          </cell>
          <cell r="G418">
            <v>246.65</v>
          </cell>
          <cell r="H418">
            <v>26.58</v>
          </cell>
        </row>
        <row r="419">
          <cell r="A419" t="str">
            <v>481003</v>
          </cell>
          <cell r="B419" t="str">
            <v>01994</v>
          </cell>
          <cell r="D419" t="str">
            <v>200</v>
          </cell>
          <cell r="E419" t="str">
            <v>2009-05-31</v>
          </cell>
          <cell r="F419" t="str">
            <v>BINGV35964</v>
          </cell>
          <cell r="G419">
            <v>29314.93</v>
          </cell>
          <cell r="H419">
            <v>2935.11</v>
          </cell>
        </row>
        <row r="420">
          <cell r="A420" t="str">
            <v>481003</v>
          </cell>
          <cell r="B420" t="str">
            <v>01995</v>
          </cell>
          <cell r="D420" t="str">
            <v>200</v>
          </cell>
          <cell r="E420" t="str">
            <v>2009-05-31</v>
          </cell>
          <cell r="F420" t="str">
            <v>BINGV35964</v>
          </cell>
          <cell r="G420">
            <v>8918.2000000000007</v>
          </cell>
          <cell r="H420">
            <v>892.92</v>
          </cell>
        </row>
        <row r="421">
          <cell r="A421" t="str">
            <v>481003</v>
          </cell>
          <cell r="B421" t="str">
            <v>01976</v>
          </cell>
          <cell r="D421" t="str">
            <v>200</v>
          </cell>
          <cell r="E421" t="str">
            <v>2009-05-31</v>
          </cell>
          <cell r="F421" t="str">
            <v>BINGV35964</v>
          </cell>
          <cell r="G421">
            <v>19124.830000000002</v>
          </cell>
          <cell r="H421">
            <v>1914.84</v>
          </cell>
        </row>
        <row r="422">
          <cell r="A422" t="str">
            <v>481003</v>
          </cell>
          <cell r="B422" t="str">
            <v>01987</v>
          </cell>
          <cell r="D422" t="str">
            <v>200</v>
          </cell>
          <cell r="E422" t="str">
            <v>2009-05-31</v>
          </cell>
          <cell r="F422" t="str">
            <v>BINGV35964</v>
          </cell>
          <cell r="G422">
            <v>23675.1</v>
          </cell>
          <cell r="H422">
            <v>2370.4299999999998</v>
          </cell>
        </row>
        <row r="423">
          <cell r="A423" t="str">
            <v>481003</v>
          </cell>
          <cell r="B423" t="str">
            <v>01978</v>
          </cell>
          <cell r="D423" t="str">
            <v>200</v>
          </cell>
          <cell r="E423" t="str">
            <v>2009-05-31</v>
          </cell>
          <cell r="F423" t="str">
            <v>BINGV35964</v>
          </cell>
          <cell r="G423">
            <v>16917.150000000001</v>
          </cell>
          <cell r="H423">
            <v>1693.8</v>
          </cell>
        </row>
        <row r="424">
          <cell r="A424" t="str">
            <v>481003</v>
          </cell>
          <cell r="B424" t="str">
            <v>01970</v>
          </cell>
          <cell r="D424" t="str">
            <v>200</v>
          </cell>
          <cell r="E424" t="str">
            <v>2009-05-31</v>
          </cell>
          <cell r="F424" t="str">
            <v>BINGV35964</v>
          </cell>
          <cell r="G424">
            <v>5181.08</v>
          </cell>
          <cell r="H424">
            <v>518.76</v>
          </cell>
        </row>
        <row r="425">
          <cell r="A425" t="str">
            <v>481003</v>
          </cell>
          <cell r="B425" t="str">
            <v>01971</v>
          </cell>
          <cell r="D425" t="str">
            <v>200</v>
          </cell>
          <cell r="E425" t="str">
            <v>2009-05-31</v>
          </cell>
          <cell r="F425" t="str">
            <v>BINGV35964</v>
          </cell>
          <cell r="G425">
            <v>11165.44</v>
          </cell>
          <cell r="H425">
            <v>1117.92</v>
          </cell>
        </row>
        <row r="426">
          <cell r="A426" t="str">
            <v>481003</v>
          </cell>
          <cell r="B426" t="str">
            <v>01969</v>
          </cell>
          <cell r="D426" t="str">
            <v>200</v>
          </cell>
          <cell r="E426" t="str">
            <v>2009-05-31</v>
          </cell>
          <cell r="F426" t="str">
            <v>BINGV35964</v>
          </cell>
          <cell r="G426">
            <v>7777.21</v>
          </cell>
          <cell r="H426">
            <v>778.68</v>
          </cell>
        </row>
        <row r="427">
          <cell r="A427" t="str">
            <v>481003</v>
          </cell>
          <cell r="B427" t="str">
            <v>01977</v>
          </cell>
          <cell r="D427" t="str">
            <v>200</v>
          </cell>
          <cell r="E427" t="str">
            <v>2009-05-31</v>
          </cell>
          <cell r="F427" t="str">
            <v>BINGV35964</v>
          </cell>
          <cell r="G427">
            <v>12549.73</v>
          </cell>
          <cell r="H427">
            <v>1256.52</v>
          </cell>
        </row>
        <row r="428">
          <cell r="A428" t="str">
            <v>481003</v>
          </cell>
          <cell r="B428" t="str">
            <v>01992</v>
          </cell>
          <cell r="D428" t="str">
            <v>200</v>
          </cell>
          <cell r="E428" t="str">
            <v>2009-05-31</v>
          </cell>
          <cell r="F428" t="str">
            <v>BINGV35964</v>
          </cell>
          <cell r="G428">
            <v>30055.1</v>
          </cell>
          <cell r="H428">
            <v>3009.21</v>
          </cell>
        </row>
        <row r="429">
          <cell r="A429" t="str">
            <v>481003</v>
          </cell>
          <cell r="B429" t="str">
            <v>01952</v>
          </cell>
          <cell r="D429" t="str">
            <v>200</v>
          </cell>
          <cell r="E429" t="str">
            <v>2009-05-31</v>
          </cell>
          <cell r="F429" t="str">
            <v>BINGV35964</v>
          </cell>
          <cell r="G429">
            <v>28571.35</v>
          </cell>
          <cell r="H429">
            <v>2860.66</v>
          </cell>
        </row>
        <row r="430">
          <cell r="A430" t="str">
            <v>481003</v>
          </cell>
          <cell r="B430" t="str">
            <v>01989</v>
          </cell>
          <cell r="D430" t="str">
            <v>200</v>
          </cell>
          <cell r="E430" t="str">
            <v>2009-05-31</v>
          </cell>
          <cell r="F430" t="str">
            <v>BINGV35964</v>
          </cell>
          <cell r="G430">
            <v>3608.41</v>
          </cell>
          <cell r="H430">
            <v>361.32</v>
          </cell>
        </row>
        <row r="431">
          <cell r="A431" t="str">
            <v>481003</v>
          </cell>
          <cell r="B431" t="str">
            <v>01988</v>
          </cell>
          <cell r="D431" t="str">
            <v>200</v>
          </cell>
          <cell r="E431" t="str">
            <v>2009-05-31</v>
          </cell>
          <cell r="F431" t="str">
            <v>BINGV35964</v>
          </cell>
          <cell r="G431">
            <v>8813.59</v>
          </cell>
          <cell r="H431">
            <v>882.45</v>
          </cell>
        </row>
        <row r="432">
          <cell r="A432" t="str">
            <v>481003</v>
          </cell>
          <cell r="B432" t="str">
            <v>01986</v>
          </cell>
          <cell r="D432" t="str">
            <v>200</v>
          </cell>
          <cell r="E432" t="str">
            <v>2009-05-31</v>
          </cell>
          <cell r="F432" t="str">
            <v>BINGV35964</v>
          </cell>
          <cell r="G432">
            <v>18932.07</v>
          </cell>
          <cell r="H432">
            <v>2040.24</v>
          </cell>
        </row>
      </sheetData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</row>
        <row r="38">
          <cell r="A38" t="str">
            <v>Mo</v>
          </cell>
          <cell r="B38" t="str">
            <v>St</v>
          </cell>
          <cell r="C38" t="str">
            <v>Rate</v>
          </cell>
          <cell r="E38" t="str">
            <v>Mo</v>
          </cell>
          <cell r="F38" t="str">
            <v>St</v>
          </cell>
          <cell r="G38" t="str">
            <v>Rate</v>
          </cell>
        </row>
        <row r="39">
          <cell r="A39">
            <v>1</v>
          </cell>
          <cell r="B39" t="str">
            <v>UT</v>
          </cell>
          <cell r="C39" t="str">
            <v xml:space="preserve">GSC </v>
          </cell>
          <cell r="E39">
            <v>4</v>
          </cell>
          <cell r="F39" t="str">
            <v>UT</v>
          </cell>
          <cell r="G39" t="str">
            <v xml:space="preserve">GSC </v>
          </cell>
        </row>
        <row r="40">
          <cell r="A40">
            <v>2</v>
          </cell>
          <cell r="B40" t="str">
            <v>UT</v>
          </cell>
          <cell r="C40" t="str">
            <v xml:space="preserve">GSC </v>
          </cell>
          <cell r="E40">
            <v>5</v>
          </cell>
          <cell r="F40" t="str">
            <v>UT</v>
          </cell>
          <cell r="G40" t="str">
            <v xml:space="preserve">GSC </v>
          </cell>
        </row>
        <row r="41">
          <cell r="A41">
            <v>3</v>
          </cell>
          <cell r="B41" t="str">
            <v>UT</v>
          </cell>
          <cell r="C41" t="str">
            <v xml:space="preserve">GSC </v>
          </cell>
          <cell r="E41">
            <v>6</v>
          </cell>
          <cell r="F41" t="str">
            <v>UT</v>
          </cell>
          <cell r="G41" t="str">
            <v xml:space="preserve">GSC </v>
          </cell>
        </row>
        <row r="42">
          <cell r="A42">
            <v>11</v>
          </cell>
          <cell r="B42" t="str">
            <v>UT</v>
          </cell>
          <cell r="C42" t="str">
            <v xml:space="preserve">GSC </v>
          </cell>
          <cell r="E42">
            <v>7</v>
          </cell>
          <cell r="F42" t="str">
            <v>UT</v>
          </cell>
          <cell r="G42" t="str">
            <v xml:space="preserve">GSC </v>
          </cell>
        </row>
        <row r="43">
          <cell r="A43">
            <v>12</v>
          </cell>
          <cell r="B43" t="str">
            <v>UT</v>
          </cell>
          <cell r="C43" t="str">
            <v xml:space="preserve">GSC </v>
          </cell>
          <cell r="E43">
            <v>8</v>
          </cell>
          <cell r="F43" t="str">
            <v>UT</v>
          </cell>
          <cell r="G43" t="str">
            <v xml:space="preserve">GSC </v>
          </cell>
        </row>
        <row r="44">
          <cell r="E44">
            <v>9</v>
          </cell>
          <cell r="F44" t="str">
            <v>UT</v>
          </cell>
          <cell r="G44" t="str">
            <v xml:space="preserve">GSC </v>
          </cell>
        </row>
        <row r="45">
          <cell r="E45">
            <v>10</v>
          </cell>
          <cell r="F45" t="str">
            <v>UT</v>
          </cell>
          <cell r="G45" t="str">
            <v xml:space="preserve">GSC 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NV"/>
      <sheetName val="DATA"/>
    </sheetNames>
    <sheetDataSet>
      <sheetData sheetId="0">
        <row r="8">
          <cell r="H8">
            <v>42725</v>
          </cell>
          <cell r="I8">
            <v>42755</v>
          </cell>
          <cell r="J8">
            <v>42785</v>
          </cell>
          <cell r="K8">
            <v>42815</v>
          </cell>
          <cell r="L8">
            <v>42845</v>
          </cell>
          <cell r="M8">
            <v>42875</v>
          </cell>
          <cell r="N8">
            <v>42905</v>
          </cell>
          <cell r="O8">
            <v>42935</v>
          </cell>
          <cell r="P8">
            <v>42965</v>
          </cell>
          <cell r="Q8">
            <v>42995</v>
          </cell>
          <cell r="R8">
            <v>43025</v>
          </cell>
          <cell r="S8">
            <v>43055</v>
          </cell>
          <cell r="T8">
            <v>43085</v>
          </cell>
        </row>
        <row r="17">
          <cell r="H17">
            <v>10883.08</v>
          </cell>
          <cell r="I17">
            <v>10883.08</v>
          </cell>
          <cell r="J17">
            <v>10883.08</v>
          </cell>
          <cell r="K17">
            <v>10883.08</v>
          </cell>
          <cell r="L17">
            <v>10883.08</v>
          </cell>
          <cell r="M17">
            <v>10883.08</v>
          </cell>
          <cell r="N17">
            <v>10883.08</v>
          </cell>
          <cell r="O17">
            <v>10883.08</v>
          </cell>
          <cell r="P17">
            <v>10883.08</v>
          </cell>
          <cell r="Q17">
            <v>10883.08</v>
          </cell>
          <cell r="R17">
            <v>10883.08</v>
          </cell>
          <cell r="S17">
            <v>10883.08</v>
          </cell>
          <cell r="T17">
            <v>10883.08</v>
          </cell>
        </row>
        <row r="18">
          <cell r="H18">
            <v>58742.880000000005</v>
          </cell>
          <cell r="I18">
            <v>58742.880000000005</v>
          </cell>
          <cell r="J18">
            <v>58742.880000000005</v>
          </cell>
          <cell r="K18">
            <v>58742.880000000005</v>
          </cell>
          <cell r="L18">
            <v>58742.880000000005</v>
          </cell>
          <cell r="M18">
            <v>58742.880000000005</v>
          </cell>
          <cell r="N18">
            <v>58742.880000000005</v>
          </cell>
          <cell r="O18">
            <v>58742.880000000005</v>
          </cell>
          <cell r="P18">
            <v>58742.880000000005</v>
          </cell>
          <cell r="Q18">
            <v>58742.880000000005</v>
          </cell>
          <cell r="R18">
            <v>58742.880000000005</v>
          </cell>
          <cell r="S18">
            <v>58742.880000000005</v>
          </cell>
          <cell r="T18">
            <v>58742.880000000005</v>
          </cell>
        </row>
        <row r="23">
          <cell r="H23">
            <v>6266900.6900000004</v>
          </cell>
          <cell r="I23">
            <v>6266900.6900000004</v>
          </cell>
          <cell r="J23">
            <v>6266900.6900000004</v>
          </cell>
          <cell r="K23">
            <v>6266900.6900000004</v>
          </cell>
          <cell r="L23">
            <v>6266900.6900000004</v>
          </cell>
          <cell r="M23">
            <v>6266900.6900000004</v>
          </cell>
          <cell r="N23">
            <v>6266900.6900000004</v>
          </cell>
          <cell r="O23">
            <v>6266900.6900000004</v>
          </cell>
          <cell r="P23">
            <v>6266900.6900000004</v>
          </cell>
          <cell r="Q23">
            <v>6266900.6900000004</v>
          </cell>
          <cell r="R23">
            <v>6266900.6900000004</v>
          </cell>
          <cell r="S23">
            <v>6266900.6900000004</v>
          </cell>
          <cell r="T23">
            <v>6266900.6900000004</v>
          </cell>
        </row>
        <row r="24">
          <cell r="H24">
            <v>1437567.99</v>
          </cell>
          <cell r="I24">
            <v>1437567.99</v>
          </cell>
          <cell r="J24">
            <v>1437567.99</v>
          </cell>
          <cell r="K24">
            <v>1437567.99</v>
          </cell>
          <cell r="L24">
            <v>1437567.99</v>
          </cell>
          <cell r="M24">
            <v>1437567.99</v>
          </cell>
          <cell r="N24">
            <v>1437567.99</v>
          </cell>
          <cell r="O24">
            <v>1437567.99</v>
          </cell>
          <cell r="P24">
            <v>1437567.99</v>
          </cell>
          <cell r="Q24">
            <v>1437567.99</v>
          </cell>
          <cell r="R24">
            <v>1437567.99</v>
          </cell>
          <cell r="S24">
            <v>1437567.99</v>
          </cell>
          <cell r="T24">
            <v>1437567.99</v>
          </cell>
        </row>
        <row r="25">
          <cell r="H25">
            <v>52175293.810000002</v>
          </cell>
          <cell r="I25">
            <v>52175293.810000002</v>
          </cell>
          <cell r="J25">
            <v>52175293.810000002</v>
          </cell>
          <cell r="K25">
            <v>52175293.810000002</v>
          </cell>
          <cell r="L25">
            <v>52175293.810000002</v>
          </cell>
          <cell r="M25">
            <v>52175293.810000002</v>
          </cell>
          <cell r="N25">
            <v>52175293.810000002</v>
          </cell>
          <cell r="O25">
            <v>52175293.810000002</v>
          </cell>
          <cell r="P25">
            <v>52175293.810000002</v>
          </cell>
          <cell r="Q25">
            <v>52175293.810000002</v>
          </cell>
          <cell r="R25">
            <v>52175293.810000002</v>
          </cell>
          <cell r="S25">
            <v>52175293.810000002</v>
          </cell>
          <cell r="T25">
            <v>52175293.810000002</v>
          </cell>
        </row>
        <row r="26">
          <cell r="H26">
            <v>17216356.050000001</v>
          </cell>
          <cell r="I26">
            <v>17216356.050000001</v>
          </cell>
          <cell r="J26">
            <v>17216356.050000001</v>
          </cell>
          <cell r="K26">
            <v>17216356.050000001</v>
          </cell>
          <cell r="L26">
            <v>17216356.050000001</v>
          </cell>
          <cell r="M26">
            <v>17216356.050000001</v>
          </cell>
          <cell r="N26">
            <v>17216356.050000001</v>
          </cell>
          <cell r="O26">
            <v>17216356.050000001</v>
          </cell>
          <cell r="P26">
            <v>17216356.050000001</v>
          </cell>
          <cell r="Q26">
            <v>17216356.050000001</v>
          </cell>
          <cell r="R26">
            <v>17216356.050000001</v>
          </cell>
          <cell r="S26">
            <v>17216356.050000001</v>
          </cell>
          <cell r="T26">
            <v>17216356.050000001</v>
          </cell>
        </row>
        <row r="27">
          <cell r="H27">
            <v>2693816.12</v>
          </cell>
          <cell r="I27">
            <v>2693816.12</v>
          </cell>
          <cell r="J27">
            <v>2693816.12</v>
          </cell>
          <cell r="K27">
            <v>2693816.12</v>
          </cell>
          <cell r="L27">
            <v>2693816.12</v>
          </cell>
          <cell r="M27">
            <v>2693816.12</v>
          </cell>
          <cell r="N27">
            <v>2693816.12</v>
          </cell>
          <cell r="O27">
            <v>2693816.12</v>
          </cell>
          <cell r="P27">
            <v>2693816.12</v>
          </cell>
          <cell r="Q27">
            <v>2693816.12</v>
          </cell>
          <cell r="R27">
            <v>2693816.12</v>
          </cell>
          <cell r="S27">
            <v>2693816.12</v>
          </cell>
          <cell r="T27">
            <v>2693816.12</v>
          </cell>
        </row>
        <row r="28">
          <cell r="H28">
            <v>57014.71</v>
          </cell>
          <cell r="I28">
            <v>57014.71</v>
          </cell>
          <cell r="J28">
            <v>57014.71</v>
          </cell>
          <cell r="K28">
            <v>57014.71</v>
          </cell>
          <cell r="L28">
            <v>57014.71</v>
          </cell>
          <cell r="M28">
            <v>57014.71</v>
          </cell>
          <cell r="N28">
            <v>57014.71</v>
          </cell>
          <cell r="O28">
            <v>57014.71</v>
          </cell>
          <cell r="P28">
            <v>57014.71</v>
          </cell>
          <cell r="Q28">
            <v>57014.71</v>
          </cell>
          <cell r="R28">
            <v>57014.71</v>
          </cell>
          <cell r="S28">
            <v>57014.71</v>
          </cell>
          <cell r="T28">
            <v>57014.71</v>
          </cell>
        </row>
        <row r="29">
          <cell r="H29">
            <v>121186.63</v>
          </cell>
          <cell r="I29">
            <v>121186.63</v>
          </cell>
          <cell r="J29">
            <v>121186.63</v>
          </cell>
          <cell r="K29">
            <v>121186.63</v>
          </cell>
          <cell r="L29">
            <v>121186.63</v>
          </cell>
          <cell r="M29">
            <v>121186.63</v>
          </cell>
          <cell r="N29">
            <v>121186.63</v>
          </cell>
          <cell r="O29">
            <v>121186.63</v>
          </cell>
          <cell r="P29">
            <v>121186.63</v>
          </cell>
          <cell r="Q29">
            <v>121186.63</v>
          </cell>
          <cell r="R29">
            <v>121186.63</v>
          </cell>
          <cell r="S29">
            <v>121186.63</v>
          </cell>
          <cell r="T29">
            <v>121186.63</v>
          </cell>
        </row>
        <row r="35">
          <cell r="H35">
            <v>400188.28</v>
          </cell>
          <cell r="I35">
            <v>400188.28</v>
          </cell>
          <cell r="J35">
            <v>400188.28</v>
          </cell>
          <cell r="K35">
            <v>400188.28</v>
          </cell>
          <cell r="L35">
            <v>434507.8</v>
          </cell>
          <cell r="M35">
            <v>434507.8</v>
          </cell>
          <cell r="N35">
            <v>434507.8</v>
          </cell>
          <cell r="O35">
            <v>434507.8</v>
          </cell>
          <cell r="P35">
            <v>434507.8</v>
          </cell>
          <cell r="Q35">
            <v>434507.8</v>
          </cell>
          <cell r="R35">
            <v>434507.8</v>
          </cell>
          <cell r="S35">
            <v>434507.8</v>
          </cell>
          <cell r="T35">
            <v>434011.18</v>
          </cell>
        </row>
        <row r="36">
          <cell r="H36">
            <v>18477460.699999999</v>
          </cell>
          <cell r="I36">
            <v>18477460.699999999</v>
          </cell>
          <cell r="J36">
            <v>18477460.699999999</v>
          </cell>
          <cell r="K36">
            <v>19326879.5</v>
          </cell>
          <cell r="L36">
            <v>20027866.07</v>
          </cell>
          <cell r="M36">
            <v>20028667.969999999</v>
          </cell>
          <cell r="N36">
            <v>20028996.870000001</v>
          </cell>
          <cell r="O36">
            <v>20028996.870000001</v>
          </cell>
          <cell r="P36">
            <v>20034792.789999999</v>
          </cell>
          <cell r="Q36">
            <v>20034792.789999999</v>
          </cell>
          <cell r="R36">
            <v>20034792.789999999</v>
          </cell>
          <cell r="S36">
            <v>20036829.949999999</v>
          </cell>
          <cell r="T36">
            <v>20037679.300000001</v>
          </cell>
        </row>
        <row r="40">
          <cell r="H40">
            <v>982959.23</v>
          </cell>
          <cell r="I40">
            <v>982959.23</v>
          </cell>
          <cell r="J40">
            <v>1006934.23</v>
          </cell>
          <cell r="K40">
            <v>1006934.23</v>
          </cell>
          <cell r="L40">
            <v>1006934.23</v>
          </cell>
          <cell r="M40">
            <v>1006934.23</v>
          </cell>
          <cell r="N40">
            <v>1006934.23</v>
          </cell>
          <cell r="O40">
            <v>1006934.23</v>
          </cell>
          <cell r="P40">
            <v>1006934.23</v>
          </cell>
          <cell r="Q40">
            <v>1006934.23</v>
          </cell>
          <cell r="R40">
            <v>1006934.23</v>
          </cell>
          <cell r="S40">
            <v>1006934.23</v>
          </cell>
          <cell r="T40">
            <v>1004474.53</v>
          </cell>
        </row>
        <row r="41">
          <cell r="H41">
            <v>15717299.49</v>
          </cell>
          <cell r="I41">
            <v>15717299.49</v>
          </cell>
          <cell r="J41">
            <v>15963930.390000001</v>
          </cell>
          <cell r="K41">
            <v>15376216.299999999</v>
          </cell>
          <cell r="L41">
            <v>15404847.799999999</v>
          </cell>
          <cell r="M41">
            <v>15421744.869999999</v>
          </cell>
          <cell r="N41">
            <v>15421744.869999999</v>
          </cell>
          <cell r="O41">
            <v>15421744.869999999</v>
          </cell>
          <cell r="P41">
            <v>15420355.25</v>
          </cell>
          <cell r="Q41">
            <v>15420355.25</v>
          </cell>
          <cell r="R41">
            <v>15410995.889999999</v>
          </cell>
          <cell r="S41">
            <v>15512582.9</v>
          </cell>
          <cell r="T41">
            <v>15501057.690000001</v>
          </cell>
        </row>
        <row r="48">
          <cell r="H48">
            <v>39044359.799999997</v>
          </cell>
          <cell r="I48">
            <v>39090198.479999997</v>
          </cell>
          <cell r="J48">
            <v>39250212.109999999</v>
          </cell>
          <cell r="K48">
            <v>39192146.390000001</v>
          </cell>
          <cell r="L48">
            <v>39229270.780000001</v>
          </cell>
          <cell r="M48">
            <v>39231919.189999998</v>
          </cell>
          <cell r="N48">
            <v>39235900.380000003</v>
          </cell>
          <cell r="O48">
            <v>39238064.979999997</v>
          </cell>
          <cell r="P48">
            <v>39357142.270000003</v>
          </cell>
          <cell r="Q48">
            <v>39357142.270000003</v>
          </cell>
          <cell r="R48">
            <v>40238540.549999997</v>
          </cell>
          <cell r="S48">
            <v>40419135.759999998</v>
          </cell>
          <cell r="T48">
            <v>41533025.009999998</v>
          </cell>
        </row>
        <row r="52">
          <cell r="H52">
            <v>1447530588.71</v>
          </cell>
          <cell r="I52">
            <v>1449459876.51</v>
          </cell>
          <cell r="J52">
            <v>1450999382.7700002</v>
          </cell>
          <cell r="K52">
            <v>1461271901.6499999</v>
          </cell>
          <cell r="L52">
            <v>1475408774.5599999</v>
          </cell>
          <cell r="M52">
            <v>1476524363.8699999</v>
          </cell>
          <cell r="N52">
            <v>1480318381.7299998</v>
          </cell>
          <cell r="O52">
            <v>1480556610.52</v>
          </cell>
          <cell r="P52">
            <v>1522276861.23</v>
          </cell>
          <cell r="Q52">
            <v>1523217908.1600001</v>
          </cell>
          <cell r="R52">
            <v>1544971823.96</v>
          </cell>
          <cell r="S52">
            <v>1549562102.5699999</v>
          </cell>
          <cell r="T52">
            <v>1555365511.3599999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H57">
            <v>18299037.550000001</v>
          </cell>
          <cell r="I57">
            <v>18299037.550000001</v>
          </cell>
          <cell r="J57">
            <v>18299037.550000001</v>
          </cell>
          <cell r="K57">
            <v>14286566.039999999</v>
          </cell>
          <cell r="L57">
            <v>14286566.039999999</v>
          </cell>
          <cell r="M57">
            <v>14286566.039999999</v>
          </cell>
          <cell r="N57">
            <v>14286566.039999999</v>
          </cell>
          <cell r="O57">
            <v>14286566.039999999</v>
          </cell>
          <cell r="P57">
            <v>14286566.039999999</v>
          </cell>
          <cell r="Q57">
            <v>14286566.039999999</v>
          </cell>
          <cell r="R57">
            <v>14286566.039999999</v>
          </cell>
          <cell r="S57">
            <v>14286566.039999999</v>
          </cell>
          <cell r="T57">
            <v>14286566.039999999</v>
          </cell>
        </row>
        <row r="61">
          <cell r="H61">
            <v>7415821.6100000003</v>
          </cell>
          <cell r="I61">
            <v>7415821.6100000003</v>
          </cell>
          <cell r="J61">
            <v>7610196.4800000004</v>
          </cell>
          <cell r="K61">
            <v>7652724.2199999997</v>
          </cell>
          <cell r="L61">
            <v>7657526.3700000001</v>
          </cell>
          <cell r="M61">
            <v>7657526.3700000001</v>
          </cell>
          <cell r="N61">
            <v>7657526.3700000001</v>
          </cell>
          <cell r="O61">
            <v>7657526.3700000001</v>
          </cell>
          <cell r="P61">
            <v>7657082.8099999996</v>
          </cell>
          <cell r="Q61">
            <v>7657082.8099999996</v>
          </cell>
          <cell r="R61">
            <v>7657082.8099999996</v>
          </cell>
          <cell r="S61">
            <v>7657082.8099999996</v>
          </cell>
          <cell r="T61">
            <v>7646803.6600000001</v>
          </cell>
        </row>
        <row r="62">
          <cell r="H62">
            <v>93390624.239999995</v>
          </cell>
          <cell r="I62">
            <v>94192625.209999993</v>
          </cell>
          <cell r="J62">
            <v>95777520.839999989</v>
          </cell>
          <cell r="K62">
            <v>96119085.320000008</v>
          </cell>
          <cell r="L62">
            <v>96486034.219999999</v>
          </cell>
          <cell r="M62">
            <v>96749881.659999996</v>
          </cell>
          <cell r="N62">
            <v>96905219.439999998</v>
          </cell>
          <cell r="O62">
            <v>96905219.439999998</v>
          </cell>
          <cell r="P62">
            <v>97518669.980000004</v>
          </cell>
          <cell r="Q62">
            <v>97518669.980000004</v>
          </cell>
          <cell r="R62">
            <v>98129123.530000001</v>
          </cell>
          <cell r="S62">
            <v>100532052.25999999</v>
          </cell>
          <cell r="T62">
            <v>101237991.53</v>
          </cell>
        </row>
        <row r="66">
          <cell r="H66">
            <v>18560613.77</v>
          </cell>
          <cell r="I66">
            <v>18615215.960000001</v>
          </cell>
          <cell r="J66">
            <v>18615281.229999997</v>
          </cell>
          <cell r="K66">
            <v>18704577.069999997</v>
          </cell>
          <cell r="L66">
            <v>18761099.129999999</v>
          </cell>
          <cell r="M66">
            <v>18761510.43</v>
          </cell>
          <cell r="N66">
            <v>18814962.66</v>
          </cell>
          <cell r="O66">
            <v>18975847.969999999</v>
          </cell>
          <cell r="P66">
            <v>19365906.030000001</v>
          </cell>
          <cell r="Q66">
            <v>19365906.029999997</v>
          </cell>
          <cell r="R66">
            <v>20048852.029999997</v>
          </cell>
          <cell r="S66">
            <v>20063771.109999999</v>
          </cell>
          <cell r="T66">
            <v>20117572.069999997</v>
          </cell>
        </row>
        <row r="67">
          <cell r="H67">
            <v>372177276.20000005</v>
          </cell>
          <cell r="I67">
            <v>375791949.81</v>
          </cell>
          <cell r="J67">
            <v>375812269.87</v>
          </cell>
          <cell r="K67">
            <v>381276386.12</v>
          </cell>
          <cell r="L67">
            <v>382741454.23000002</v>
          </cell>
          <cell r="M67">
            <v>383336380.83999997</v>
          </cell>
          <cell r="N67">
            <v>384402788.77999997</v>
          </cell>
          <cell r="O67">
            <v>385396869.39999998</v>
          </cell>
          <cell r="P67">
            <v>386742438.70000005</v>
          </cell>
          <cell r="Q67">
            <v>386742438.70000005</v>
          </cell>
          <cell r="R67">
            <v>388790955.36000001</v>
          </cell>
          <cell r="S67">
            <v>390273497.38</v>
          </cell>
          <cell r="T67">
            <v>393312976.35000002</v>
          </cell>
        </row>
        <row r="71">
          <cell r="H71">
            <v>9680436.6140000001</v>
          </cell>
          <cell r="I71">
            <v>9728463.6699999999</v>
          </cell>
          <cell r="J71">
            <v>9742610.5539999995</v>
          </cell>
          <cell r="K71">
            <v>9790277.074000001</v>
          </cell>
          <cell r="L71">
            <v>9815017.6140000001</v>
          </cell>
          <cell r="M71">
            <v>9826048.4539999999</v>
          </cell>
          <cell r="N71">
            <v>9804010.2139999997</v>
          </cell>
          <cell r="O71">
            <v>9190454.1940000001</v>
          </cell>
          <cell r="P71">
            <v>10744765.4</v>
          </cell>
          <cell r="Q71">
            <v>10737602.813999999</v>
          </cell>
          <cell r="R71">
            <v>10421673.044</v>
          </cell>
          <cell r="S71">
            <v>10438278.604</v>
          </cell>
          <cell r="T71">
            <v>10480480.653999999</v>
          </cell>
        </row>
        <row r="72">
          <cell r="H72">
            <v>302623091.46600002</v>
          </cell>
          <cell r="I72">
            <v>305777058.38</v>
          </cell>
          <cell r="J72">
            <v>307526144.426</v>
          </cell>
          <cell r="K72">
            <v>309189993.39600003</v>
          </cell>
          <cell r="L72">
            <v>310696462.85599995</v>
          </cell>
          <cell r="M72">
            <v>314409978.90600002</v>
          </cell>
          <cell r="N72">
            <v>315385351.39600003</v>
          </cell>
          <cell r="O72">
            <v>319532399.56599998</v>
          </cell>
          <cell r="P72">
            <v>320756390.40000004</v>
          </cell>
          <cell r="Q72">
            <v>320596593.14600003</v>
          </cell>
          <cell r="R72">
            <v>323928831.48599994</v>
          </cell>
          <cell r="S72">
            <v>326833946.07600003</v>
          </cell>
          <cell r="T72">
            <v>331969358.31600004</v>
          </cell>
        </row>
        <row r="76">
          <cell r="H76">
            <v>777059.48</v>
          </cell>
          <cell r="I76">
            <v>776409.34</v>
          </cell>
          <cell r="J76">
            <v>776300.98</v>
          </cell>
          <cell r="K76">
            <v>772616.83</v>
          </cell>
          <cell r="L76">
            <v>768390.8899999999</v>
          </cell>
          <cell r="M76">
            <v>765194.35000000009</v>
          </cell>
          <cell r="N76">
            <v>764869.28</v>
          </cell>
          <cell r="O76">
            <v>763894.06</v>
          </cell>
          <cell r="P76">
            <v>762593.77</v>
          </cell>
          <cell r="Q76">
            <v>761293.48</v>
          </cell>
          <cell r="R76">
            <v>760372.44</v>
          </cell>
          <cell r="S76">
            <v>759234.69</v>
          </cell>
          <cell r="T76">
            <v>759017.98</v>
          </cell>
        </row>
        <row r="77">
          <cell r="H77">
            <v>13940732.08</v>
          </cell>
          <cell r="I77">
            <v>13937991.460000001</v>
          </cell>
          <cell r="J77">
            <v>13935872.579999998</v>
          </cell>
          <cell r="K77">
            <v>13931237.049999999</v>
          </cell>
          <cell r="L77">
            <v>13926092.819999998</v>
          </cell>
          <cell r="M77">
            <v>13918862.92</v>
          </cell>
          <cell r="N77">
            <v>13913305.380000001</v>
          </cell>
          <cell r="O77">
            <v>13908129.359999999</v>
          </cell>
          <cell r="P77">
            <v>13904015.25</v>
          </cell>
          <cell r="Q77">
            <v>13896899.809999999</v>
          </cell>
          <cell r="R77">
            <v>13896899.810000001</v>
          </cell>
          <cell r="S77">
            <v>13890048.42</v>
          </cell>
          <cell r="T77">
            <v>13889337.84</v>
          </cell>
        </row>
        <row r="81">
          <cell r="H81">
            <v>68977.440000000002</v>
          </cell>
          <cell r="I81">
            <v>68977.440000000002</v>
          </cell>
          <cell r="J81">
            <v>68977.440000000002</v>
          </cell>
          <cell r="K81">
            <v>68977.440000000002</v>
          </cell>
          <cell r="L81">
            <v>68977.440000000002</v>
          </cell>
          <cell r="M81">
            <v>68977.440000000002</v>
          </cell>
          <cell r="N81">
            <v>68977.440000000002</v>
          </cell>
          <cell r="O81">
            <v>68977.440000000002</v>
          </cell>
          <cell r="P81">
            <v>68977.440000000002</v>
          </cell>
          <cell r="Q81">
            <v>68977.440000000002</v>
          </cell>
          <cell r="R81">
            <v>68977.440000000002</v>
          </cell>
          <cell r="S81">
            <v>68977.440000000002</v>
          </cell>
          <cell r="T81">
            <v>68977.440000000002</v>
          </cell>
        </row>
        <row r="82">
          <cell r="H82">
            <v>2231447.98</v>
          </cell>
          <cell r="I82">
            <v>2231447.98</v>
          </cell>
          <cell r="J82">
            <v>2236827.67</v>
          </cell>
          <cell r="K82">
            <v>2237018.35</v>
          </cell>
          <cell r="L82">
            <v>2237018.35</v>
          </cell>
          <cell r="M82">
            <v>2237018.35</v>
          </cell>
          <cell r="N82">
            <v>2237018.35</v>
          </cell>
          <cell r="O82">
            <v>2237018.35</v>
          </cell>
          <cell r="P82">
            <v>2237018.35</v>
          </cell>
          <cell r="Q82">
            <v>2237018.35</v>
          </cell>
          <cell r="R82">
            <v>2237018.35</v>
          </cell>
          <cell r="S82">
            <v>2237018.35</v>
          </cell>
          <cell r="T82">
            <v>2237018.35</v>
          </cell>
        </row>
        <row r="89">
          <cell r="H89">
            <v>11584.02</v>
          </cell>
          <cell r="I89">
            <v>11584.02</v>
          </cell>
          <cell r="J89">
            <v>11584.02</v>
          </cell>
          <cell r="K89">
            <v>11584.02</v>
          </cell>
          <cell r="L89">
            <v>11584.02</v>
          </cell>
          <cell r="M89">
            <v>11584.02</v>
          </cell>
          <cell r="N89">
            <v>11584.02</v>
          </cell>
          <cell r="O89">
            <v>11584.02</v>
          </cell>
          <cell r="P89">
            <v>11584.02</v>
          </cell>
          <cell r="Q89">
            <v>11584.02</v>
          </cell>
          <cell r="R89">
            <v>11584.02</v>
          </cell>
          <cell r="S89">
            <v>11584.02</v>
          </cell>
          <cell r="T89">
            <v>11584.02</v>
          </cell>
        </row>
        <row r="90">
          <cell r="H90">
            <v>3775953.85</v>
          </cell>
          <cell r="I90">
            <v>3775953.85</v>
          </cell>
          <cell r="J90">
            <v>3775953.85</v>
          </cell>
          <cell r="K90">
            <v>3775953.85</v>
          </cell>
          <cell r="L90">
            <v>3775953.85</v>
          </cell>
          <cell r="M90">
            <v>3775953.85</v>
          </cell>
          <cell r="N90">
            <v>3775953.85</v>
          </cell>
          <cell r="O90">
            <v>3775953.85</v>
          </cell>
          <cell r="P90">
            <v>3775953.85</v>
          </cell>
          <cell r="Q90">
            <v>3775953.85</v>
          </cell>
          <cell r="R90">
            <v>3775953.85</v>
          </cell>
          <cell r="S90">
            <v>3775953.85</v>
          </cell>
          <cell r="T90">
            <v>3775953.85</v>
          </cell>
        </row>
        <row r="94">
          <cell r="H94">
            <v>1607117.2</v>
          </cell>
          <cell r="I94">
            <v>1607117.2</v>
          </cell>
          <cell r="J94">
            <v>1607117.2</v>
          </cell>
          <cell r="K94">
            <v>1607117.2</v>
          </cell>
          <cell r="L94">
            <v>1607117.2</v>
          </cell>
          <cell r="M94">
            <v>1610054.2</v>
          </cell>
          <cell r="N94">
            <v>1610054.2</v>
          </cell>
          <cell r="O94">
            <v>1610054.2</v>
          </cell>
          <cell r="P94">
            <v>1610054.2</v>
          </cell>
          <cell r="Q94">
            <v>1610054.2</v>
          </cell>
          <cell r="R94">
            <v>1610054.2</v>
          </cell>
          <cell r="S94">
            <v>1614630.2</v>
          </cell>
          <cell r="T94">
            <v>1617860.54</v>
          </cell>
        </row>
        <row r="95">
          <cell r="H95">
            <v>41645291.410000004</v>
          </cell>
          <cell r="I95">
            <v>42582632.790000007</v>
          </cell>
          <cell r="J95">
            <v>42648696.68999999</v>
          </cell>
          <cell r="K95">
            <v>42696717.989999995</v>
          </cell>
          <cell r="L95">
            <v>43235000.579999991</v>
          </cell>
          <cell r="M95">
            <v>43485867.859999999</v>
          </cell>
          <cell r="N95">
            <v>43277352.829999998</v>
          </cell>
          <cell r="O95">
            <v>43268310.270000003</v>
          </cell>
          <cell r="P95">
            <v>43449156.890000001</v>
          </cell>
          <cell r="Q95">
            <v>43449156.890000001</v>
          </cell>
          <cell r="R95">
            <v>43497520.36999999</v>
          </cell>
          <cell r="S95">
            <v>44011187.289999992</v>
          </cell>
          <cell r="T95">
            <v>44053641.369999982</v>
          </cell>
        </row>
        <row r="96">
          <cell r="H96">
            <v>50926959.789999999</v>
          </cell>
          <cell r="I96">
            <v>50944607.549999997</v>
          </cell>
          <cell r="J96">
            <v>50965884.490000002</v>
          </cell>
          <cell r="K96">
            <v>51041952.799999997</v>
          </cell>
          <cell r="L96">
            <v>51041952.800000004</v>
          </cell>
          <cell r="M96">
            <v>51041952.799999997</v>
          </cell>
          <cell r="N96">
            <v>51079235.469999999</v>
          </cell>
          <cell r="O96">
            <v>51013931.399999999</v>
          </cell>
          <cell r="P96">
            <v>51014683.170000002</v>
          </cell>
          <cell r="Q96">
            <v>51014683.170000002</v>
          </cell>
          <cell r="R96">
            <v>51014683.170000002</v>
          </cell>
          <cell r="S96">
            <v>51071164.450000003</v>
          </cell>
          <cell r="T96">
            <v>51076999.940000005</v>
          </cell>
        </row>
        <row r="100">
          <cell r="H100">
            <v>180960.97999999998</v>
          </cell>
          <cell r="I100">
            <v>180960.98</v>
          </cell>
          <cell r="J100">
            <v>180960.97999999998</v>
          </cell>
          <cell r="K100">
            <v>178421.97999999998</v>
          </cell>
          <cell r="L100">
            <v>178421.98000000004</v>
          </cell>
          <cell r="M100">
            <v>178421.97999999998</v>
          </cell>
          <cell r="N100">
            <v>168421.97999999998</v>
          </cell>
          <cell r="O100">
            <v>168421.97999999998</v>
          </cell>
          <cell r="P100">
            <v>168421.98</v>
          </cell>
          <cell r="Q100">
            <v>168421.97999999998</v>
          </cell>
          <cell r="R100">
            <v>168421.98000000004</v>
          </cell>
          <cell r="S100">
            <v>168421.98000000004</v>
          </cell>
          <cell r="T100">
            <v>147841.16000000003</v>
          </cell>
        </row>
        <row r="101">
          <cell r="H101">
            <v>14434180.159999996</v>
          </cell>
          <cell r="I101">
            <v>14453973.200000003</v>
          </cell>
          <cell r="J101">
            <v>14601103.799999997</v>
          </cell>
          <cell r="K101">
            <v>14177800.730000004</v>
          </cell>
          <cell r="L101">
            <v>14243010.199999996</v>
          </cell>
          <cell r="M101">
            <v>14372516.780000001</v>
          </cell>
          <cell r="N101">
            <v>12787006.360000007</v>
          </cell>
          <cell r="O101">
            <v>12948692.49000001</v>
          </cell>
          <cell r="P101">
            <v>13047737.009999998</v>
          </cell>
          <cell r="Q101">
            <v>13047737.010000005</v>
          </cell>
          <cell r="R101">
            <v>13423552.329999998</v>
          </cell>
          <cell r="S101">
            <v>13581840.189999998</v>
          </cell>
          <cell r="T101">
            <v>12701483.740000002</v>
          </cell>
        </row>
        <row r="102">
          <cell r="H102">
            <v>61972563.670000002</v>
          </cell>
          <cell r="I102">
            <v>44505532.539999999</v>
          </cell>
          <cell r="J102">
            <v>44635858.590000004</v>
          </cell>
          <cell r="K102">
            <v>42082261.390000001</v>
          </cell>
          <cell r="L102">
            <v>42080453.480000004</v>
          </cell>
          <cell r="M102">
            <v>42082261.390000001</v>
          </cell>
          <cell r="N102">
            <v>39391714.5</v>
          </cell>
          <cell r="O102">
            <v>39391644.739999995</v>
          </cell>
          <cell r="P102">
            <v>39582500.490000002</v>
          </cell>
          <cell r="Q102">
            <v>39582500.489999995</v>
          </cell>
          <cell r="R102">
            <v>39582500.490000002</v>
          </cell>
          <cell r="S102">
            <v>39780195.620000005</v>
          </cell>
          <cell r="T102">
            <v>39749385.780000001</v>
          </cell>
        </row>
        <row r="106">
          <cell r="H106">
            <v>2877562.6999999997</v>
          </cell>
          <cell r="I106">
            <v>2845508.48</v>
          </cell>
          <cell r="J106">
            <v>2806503.92</v>
          </cell>
          <cell r="K106">
            <v>2806503.92</v>
          </cell>
          <cell r="L106">
            <v>2806503.92</v>
          </cell>
          <cell r="M106">
            <v>2806503.92</v>
          </cell>
          <cell r="N106">
            <v>2806503.92</v>
          </cell>
          <cell r="O106">
            <v>2806503.92</v>
          </cell>
          <cell r="P106">
            <v>3015429.18</v>
          </cell>
          <cell r="Q106">
            <v>3008166.8099999996</v>
          </cell>
          <cell r="R106">
            <v>2898242.9000000004</v>
          </cell>
          <cell r="S106">
            <v>2956370.4299999997</v>
          </cell>
          <cell r="T106">
            <v>2941469.68</v>
          </cell>
        </row>
        <row r="107">
          <cell r="H107">
            <v>51124024.919999994</v>
          </cell>
          <cell r="I107">
            <v>50349790.300000004</v>
          </cell>
          <cell r="J107">
            <v>49393619.890000001</v>
          </cell>
          <cell r="K107">
            <v>49443229.280000001</v>
          </cell>
          <cell r="L107">
            <v>49443229.280000001</v>
          </cell>
          <cell r="M107">
            <v>49607393.32</v>
          </cell>
          <cell r="N107">
            <v>49793846</v>
          </cell>
          <cell r="O107">
            <v>49828945.350000001</v>
          </cell>
          <cell r="P107">
            <v>49437046.869999997</v>
          </cell>
          <cell r="Q107">
            <v>49508529.099999994</v>
          </cell>
          <cell r="R107">
            <v>49744941.450000003</v>
          </cell>
          <cell r="S107">
            <v>50397564.710000001</v>
          </cell>
          <cell r="T107">
            <v>49990448.509999998</v>
          </cell>
        </row>
        <row r="108"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12">
          <cell r="H112">
            <v>12371.89</v>
          </cell>
          <cell r="I112">
            <v>12371.89</v>
          </cell>
          <cell r="J112">
            <v>12371.89</v>
          </cell>
          <cell r="K112">
            <v>12371.89</v>
          </cell>
          <cell r="L112">
            <v>12371.89</v>
          </cell>
          <cell r="M112">
            <v>12371.89</v>
          </cell>
          <cell r="N112">
            <v>12371.89</v>
          </cell>
          <cell r="O112">
            <v>12371.89</v>
          </cell>
          <cell r="P112">
            <v>12371.89</v>
          </cell>
          <cell r="Q112">
            <v>12371.89</v>
          </cell>
          <cell r="R112">
            <v>12371.89</v>
          </cell>
          <cell r="S112">
            <v>12371.89</v>
          </cell>
          <cell r="T112">
            <v>12371.89</v>
          </cell>
        </row>
        <row r="113">
          <cell r="H113">
            <v>45026.020000000004</v>
          </cell>
          <cell r="I113">
            <v>45026.020000000004</v>
          </cell>
          <cell r="J113">
            <v>45026.020000000004</v>
          </cell>
          <cell r="K113">
            <v>45026.020000000004</v>
          </cell>
          <cell r="L113">
            <v>45026.020000000004</v>
          </cell>
          <cell r="M113">
            <v>45026.020000000004</v>
          </cell>
          <cell r="N113">
            <v>45026.020000000004</v>
          </cell>
          <cell r="O113">
            <v>45026.020000000004</v>
          </cell>
          <cell r="P113">
            <v>45026.020000000004</v>
          </cell>
          <cell r="Q113">
            <v>45026.020000000004</v>
          </cell>
          <cell r="R113">
            <v>45026.020000000004</v>
          </cell>
          <cell r="S113">
            <v>45026.020000000004</v>
          </cell>
          <cell r="T113">
            <v>45026.020000000004</v>
          </cell>
        </row>
        <row r="117">
          <cell r="H117">
            <v>2614218.66</v>
          </cell>
          <cell r="I117">
            <v>2632043.1</v>
          </cell>
          <cell r="J117">
            <v>2632683.1800000002</v>
          </cell>
          <cell r="K117">
            <v>2622572.71</v>
          </cell>
          <cell r="L117">
            <v>2622572.71</v>
          </cell>
          <cell r="M117">
            <v>2625915.9700000002</v>
          </cell>
          <cell r="N117">
            <v>2308319.5200000005</v>
          </cell>
          <cell r="O117">
            <v>2320084.8800000004</v>
          </cell>
          <cell r="P117">
            <v>2344115.19</v>
          </cell>
          <cell r="Q117">
            <v>2349815.1900000004</v>
          </cell>
          <cell r="R117">
            <v>2371963.23</v>
          </cell>
          <cell r="S117">
            <v>2391686.4</v>
          </cell>
          <cell r="T117">
            <v>2395252.1300000004</v>
          </cell>
        </row>
        <row r="118">
          <cell r="H118">
            <v>28776820.039999999</v>
          </cell>
          <cell r="I118">
            <v>29024551.939999998</v>
          </cell>
          <cell r="J118">
            <v>29043445.52</v>
          </cell>
          <cell r="K118">
            <v>28724943.309999999</v>
          </cell>
          <cell r="L118">
            <v>28932884.259999998</v>
          </cell>
          <cell r="M118">
            <v>29099120.420000002</v>
          </cell>
          <cell r="N118">
            <v>29452612.120000001</v>
          </cell>
          <cell r="O118">
            <v>29635233.780000001</v>
          </cell>
          <cell r="P118">
            <v>29872090.709999997</v>
          </cell>
          <cell r="Q118">
            <v>29900590.709999997</v>
          </cell>
          <cell r="R118">
            <v>30145652.960000001</v>
          </cell>
          <cell r="S118">
            <v>29040069.32</v>
          </cell>
          <cell r="T118">
            <v>29287123.41</v>
          </cell>
        </row>
        <row r="119"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H124">
            <v>61117.83</v>
          </cell>
          <cell r="I124">
            <v>61117.83</v>
          </cell>
          <cell r="J124">
            <v>61117.83</v>
          </cell>
          <cell r="K124">
            <v>61117.83</v>
          </cell>
          <cell r="L124">
            <v>61117.83</v>
          </cell>
          <cell r="M124">
            <v>61117.83</v>
          </cell>
          <cell r="N124">
            <v>61117.83</v>
          </cell>
          <cell r="O124">
            <v>61117.83</v>
          </cell>
          <cell r="P124">
            <v>61117.83</v>
          </cell>
          <cell r="Q124">
            <v>61117.83</v>
          </cell>
          <cell r="R124">
            <v>61117.83</v>
          </cell>
          <cell r="S124">
            <v>61117.83</v>
          </cell>
          <cell r="T124">
            <v>61117.83</v>
          </cell>
        </row>
        <row r="125"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9">
          <cell r="H129">
            <v>974544.97000000009</v>
          </cell>
          <cell r="I129">
            <v>971291.14</v>
          </cell>
          <cell r="J129">
            <v>971291.14</v>
          </cell>
          <cell r="K129">
            <v>971291.14</v>
          </cell>
          <cell r="L129">
            <v>971291.14</v>
          </cell>
          <cell r="M129">
            <v>971291.14</v>
          </cell>
          <cell r="N129">
            <v>963408.25999999989</v>
          </cell>
          <cell r="O129">
            <v>965413.25999999989</v>
          </cell>
          <cell r="P129">
            <v>965413.26</v>
          </cell>
          <cell r="Q129">
            <v>962910.48999999987</v>
          </cell>
          <cell r="R129">
            <v>1074376.01</v>
          </cell>
          <cell r="S129">
            <v>1042804.6900000001</v>
          </cell>
          <cell r="T129">
            <v>1042453.89</v>
          </cell>
        </row>
        <row r="130">
          <cell r="H130">
            <v>11282614.43</v>
          </cell>
          <cell r="I130">
            <v>11282614.43</v>
          </cell>
          <cell r="J130">
            <v>11198223.01</v>
          </cell>
          <cell r="K130">
            <v>11193609.779999999</v>
          </cell>
          <cell r="L130">
            <v>11189596.859999999</v>
          </cell>
          <cell r="M130">
            <v>11189596.859999999</v>
          </cell>
          <cell r="N130">
            <v>11180863.27</v>
          </cell>
          <cell r="O130">
            <v>11180863.27</v>
          </cell>
          <cell r="P130">
            <v>11036358.32</v>
          </cell>
          <cell r="Q130">
            <v>11036358.32</v>
          </cell>
          <cell r="R130">
            <v>11036358.32</v>
          </cell>
          <cell r="S130">
            <v>11036358.32</v>
          </cell>
          <cell r="T130">
            <v>11060442.789999999</v>
          </cell>
        </row>
        <row r="131"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5">
          <cell r="H135">
            <v>49809.3100000001</v>
          </cell>
          <cell r="I135">
            <v>49809.31</v>
          </cell>
          <cell r="J135">
            <v>49809.3100000001</v>
          </cell>
          <cell r="K135">
            <v>49809.3100000001</v>
          </cell>
          <cell r="L135">
            <v>91573.830000000075</v>
          </cell>
          <cell r="M135">
            <v>98853.000000000276</v>
          </cell>
          <cell r="N135">
            <v>98857.010000000286</v>
          </cell>
          <cell r="O135">
            <v>100365.69000000022</v>
          </cell>
          <cell r="P135">
            <v>100365.69</v>
          </cell>
          <cell r="Q135">
            <v>100365.69000000022</v>
          </cell>
          <cell r="R135">
            <v>100471.28000000026</v>
          </cell>
          <cell r="S135">
            <v>100471.28000000026</v>
          </cell>
          <cell r="T135">
            <v>100471.2800000003</v>
          </cell>
        </row>
        <row r="136">
          <cell r="H136">
            <v>15675305.119999999</v>
          </cell>
          <cell r="I136">
            <v>15675305.119999999</v>
          </cell>
          <cell r="J136">
            <v>15763113.449999999</v>
          </cell>
          <cell r="K136">
            <v>15652531.799999999</v>
          </cell>
          <cell r="L136">
            <v>15705182.18</v>
          </cell>
          <cell r="M136">
            <v>15715937.99</v>
          </cell>
          <cell r="N136">
            <v>14315009.34</v>
          </cell>
          <cell r="O136">
            <v>14334407.17</v>
          </cell>
          <cell r="P136">
            <v>14370288.33</v>
          </cell>
          <cell r="Q136">
            <v>14370288.33</v>
          </cell>
          <cell r="R136">
            <v>14839806.489999998</v>
          </cell>
          <cell r="S136">
            <v>15146610.449999999</v>
          </cell>
          <cell r="T136">
            <v>15148750.27</v>
          </cell>
        </row>
        <row r="140">
          <cell r="H140">
            <v>3863.92</v>
          </cell>
          <cell r="I140">
            <v>3863.92</v>
          </cell>
          <cell r="J140">
            <v>3863.92</v>
          </cell>
          <cell r="K140">
            <v>3863.92</v>
          </cell>
          <cell r="L140">
            <v>3863.92</v>
          </cell>
          <cell r="M140">
            <v>3863.92</v>
          </cell>
          <cell r="N140">
            <v>3863.92</v>
          </cell>
          <cell r="O140">
            <v>3863.92</v>
          </cell>
          <cell r="P140">
            <v>3863.92</v>
          </cell>
          <cell r="Q140">
            <v>3863.92</v>
          </cell>
          <cell r="R140">
            <v>3863.92</v>
          </cell>
          <cell r="S140">
            <v>3863.92</v>
          </cell>
          <cell r="T140">
            <v>3863.92</v>
          </cell>
        </row>
        <row r="141">
          <cell r="H141">
            <v>325391.74000000005</v>
          </cell>
          <cell r="I141">
            <v>325391.74000000005</v>
          </cell>
          <cell r="J141">
            <v>325391.74000000005</v>
          </cell>
          <cell r="K141">
            <v>328910.55000000005</v>
          </cell>
          <cell r="L141">
            <v>328910.55000000005</v>
          </cell>
          <cell r="M141">
            <v>328910.55000000005</v>
          </cell>
          <cell r="N141">
            <v>325277.08</v>
          </cell>
          <cell r="O141">
            <v>325277.08</v>
          </cell>
          <cell r="P141">
            <v>325277.08</v>
          </cell>
          <cell r="Q141">
            <v>325277.08</v>
          </cell>
          <cell r="R141">
            <v>322484.51</v>
          </cell>
          <cell r="S141">
            <v>322484.51</v>
          </cell>
          <cell r="T141">
            <v>322484.51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55">
          <cell r="H155">
            <v>5036.83</v>
          </cell>
          <cell r="I155">
            <v>5036.83</v>
          </cell>
          <cell r="J155">
            <v>5036.83</v>
          </cell>
          <cell r="K155">
            <v>5036.83</v>
          </cell>
          <cell r="L155">
            <v>5036.83</v>
          </cell>
          <cell r="M155">
            <v>5036.83</v>
          </cell>
          <cell r="N155">
            <v>5036.83</v>
          </cell>
          <cell r="O155">
            <v>5036.83</v>
          </cell>
          <cell r="P155">
            <v>5036.83</v>
          </cell>
          <cell r="Q155">
            <v>5036.83</v>
          </cell>
          <cell r="R155">
            <v>5036.83</v>
          </cell>
          <cell r="S155">
            <v>5036.83</v>
          </cell>
          <cell r="T155">
            <v>5036.83</v>
          </cell>
        </row>
        <row r="159"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H160">
            <v>155755.46</v>
          </cell>
          <cell r="I160">
            <v>118669.23</v>
          </cell>
          <cell r="J160">
            <v>41327.620000000003</v>
          </cell>
          <cell r="K160">
            <v>109182.78</v>
          </cell>
          <cell r="L160">
            <v>276963.56</v>
          </cell>
          <cell r="M160">
            <v>950180.8</v>
          </cell>
          <cell r="N160">
            <v>1588249.67</v>
          </cell>
          <cell r="O160">
            <v>1993330.3800000001</v>
          </cell>
          <cell r="P160">
            <v>2239100.69</v>
          </cell>
          <cell r="Q160">
            <v>2600183.6800000002</v>
          </cell>
          <cell r="R160">
            <v>1576770.89</v>
          </cell>
          <cell r="S160">
            <v>1675193.15</v>
          </cell>
          <cell r="T160">
            <v>710920.69000000006</v>
          </cell>
        </row>
        <row r="161">
          <cell r="H161">
            <v>19167111.399999999</v>
          </cell>
          <cell r="I161">
            <v>11100303.43</v>
          </cell>
          <cell r="J161">
            <v>16627548.82</v>
          </cell>
          <cell r="K161">
            <v>7179101.2120000003</v>
          </cell>
          <cell r="L161">
            <v>6777010.3099999996</v>
          </cell>
          <cell r="M161">
            <v>9121644.75</v>
          </cell>
          <cell r="N161">
            <v>9719600.2219999917</v>
          </cell>
          <cell r="O161">
            <v>12826474.791999988</v>
          </cell>
          <cell r="P161">
            <v>9308466.1199999992</v>
          </cell>
          <cell r="Q161">
            <v>27287883.300000001</v>
          </cell>
          <cell r="R161">
            <v>13704256.67</v>
          </cell>
          <cell r="S161">
            <v>12449806.57</v>
          </cell>
          <cell r="T161">
            <v>22418304.782000002</v>
          </cell>
        </row>
        <row r="162">
          <cell r="H162">
            <v>1995407.03</v>
          </cell>
          <cell r="I162">
            <v>1050953.3899999999</v>
          </cell>
          <cell r="J162">
            <v>1490322.23</v>
          </cell>
          <cell r="K162">
            <v>462115.64999999997</v>
          </cell>
          <cell r="L162">
            <v>471060.27</v>
          </cell>
          <cell r="M162">
            <v>1131562.3699999994</v>
          </cell>
          <cell r="N162">
            <v>1107897.0900000001</v>
          </cell>
          <cell r="O162">
            <v>1200519.75</v>
          </cell>
          <cell r="P162">
            <v>1438369</v>
          </cell>
          <cell r="Q162">
            <v>2628142.71</v>
          </cell>
          <cell r="R162">
            <v>1389351.33</v>
          </cell>
          <cell r="S162">
            <v>1062030.31</v>
          </cell>
          <cell r="T162">
            <v>3618205.25</v>
          </cell>
        </row>
        <row r="166">
          <cell r="H166">
            <v>-68927265.530000001</v>
          </cell>
          <cell r="I166">
            <v>-68992546.739999995</v>
          </cell>
          <cell r="J166">
            <v>-69047109.870000005</v>
          </cell>
          <cell r="K166">
            <v>-69092261.780000001</v>
          </cell>
          <cell r="L166">
            <v>-69148875.269999996</v>
          </cell>
          <cell r="M166">
            <v>-69202397.180000007</v>
          </cell>
          <cell r="N166">
            <v>-69256660.719999999</v>
          </cell>
          <cell r="O166">
            <v>-69314119.849999994</v>
          </cell>
          <cell r="P166">
            <v>-69367366.510000005</v>
          </cell>
          <cell r="Q166">
            <v>-69417627.430000007</v>
          </cell>
          <cell r="R166">
            <v>-69469195</v>
          </cell>
          <cell r="S166">
            <v>-69536528.439999998</v>
          </cell>
          <cell r="T166">
            <v>-69576718.010000005</v>
          </cell>
        </row>
        <row r="167">
          <cell r="H167">
            <v>-21431368.719999999</v>
          </cell>
          <cell r="I167">
            <v>-21551340.98</v>
          </cell>
          <cell r="J167">
            <v>-21565256.16</v>
          </cell>
          <cell r="K167">
            <v>-21440799.239999998</v>
          </cell>
          <cell r="L167">
            <v>-21574450.350000001</v>
          </cell>
          <cell r="M167">
            <v>-21691853.879999999</v>
          </cell>
          <cell r="N167">
            <v>-21221477.809999999</v>
          </cell>
          <cell r="O167">
            <v>-20757179.850000001</v>
          </cell>
          <cell r="P167">
            <v>-20797669.989999998</v>
          </cell>
          <cell r="Q167">
            <v>-20888278.25</v>
          </cell>
          <cell r="R167">
            <v>-20504051.219999999</v>
          </cell>
          <cell r="S167">
            <v>-19646767.719999999</v>
          </cell>
          <cell r="T167">
            <v>-27333445.210000001</v>
          </cell>
        </row>
        <row r="168">
          <cell r="H168">
            <v>-490365351.56999999</v>
          </cell>
          <cell r="I168">
            <v>-493315380.68000001</v>
          </cell>
          <cell r="J168">
            <v>-495628361.25999999</v>
          </cell>
          <cell r="K168">
            <v>-493969005.87</v>
          </cell>
          <cell r="L168">
            <v>-497252232.76999998</v>
          </cell>
          <cell r="M168">
            <v>-500051378.44</v>
          </cell>
          <cell r="N168">
            <v>-503340730.22000003</v>
          </cell>
          <cell r="O168">
            <v>-506346697.06999999</v>
          </cell>
          <cell r="P168">
            <v>-509573960.37</v>
          </cell>
          <cell r="Q168">
            <v>-513389129.88</v>
          </cell>
          <cell r="R168">
            <v>-516209152.38</v>
          </cell>
          <cell r="S168">
            <v>-519918311.72000003</v>
          </cell>
          <cell r="T168">
            <v>-512951843.95999998</v>
          </cell>
        </row>
        <row r="169">
          <cell r="H169">
            <v>-149721236.30000001</v>
          </cell>
          <cell r="I169">
            <v>-132419416.83</v>
          </cell>
          <cell r="J169">
            <v>-132602402.33</v>
          </cell>
          <cell r="K169">
            <v>-129688646.31</v>
          </cell>
          <cell r="L169">
            <v>-130830172.95999999</v>
          </cell>
          <cell r="M169">
            <v>-132007188.29000001</v>
          </cell>
          <cell r="N169">
            <v>-126638206.45</v>
          </cell>
          <cell r="O169">
            <v>-127752212.18000001</v>
          </cell>
          <cell r="P169">
            <v>-127774055.2</v>
          </cell>
          <cell r="Q169">
            <v>-128657090.75</v>
          </cell>
          <cell r="R169">
            <v>-129446678.20999999</v>
          </cell>
          <cell r="S169">
            <v>-129034361.31999999</v>
          </cell>
          <cell r="T169">
            <v>-128844639.09999999</v>
          </cell>
        </row>
        <row r="173">
          <cell r="H173">
            <v>-6133169.1100000003</v>
          </cell>
          <cell r="I173">
            <v>-6134870.6200000001</v>
          </cell>
          <cell r="J173">
            <v>-6136325.9799999995</v>
          </cell>
          <cell r="K173">
            <v>-6137515.3499999996</v>
          </cell>
          <cell r="L173">
            <v>-6139006.6299999999</v>
          </cell>
          <cell r="M173">
            <v>-6140416.4799999995</v>
          </cell>
          <cell r="N173">
            <v>-6141845.8700000001</v>
          </cell>
          <cell r="O173">
            <v>-6143359.4199999999</v>
          </cell>
          <cell r="P173">
            <v>-6144762.0199999996</v>
          </cell>
          <cell r="Q173">
            <v>-6146085.96</v>
          </cell>
          <cell r="R173">
            <v>-6147444.3300000001</v>
          </cell>
          <cell r="S173">
            <v>-6149218</v>
          </cell>
          <cell r="T173">
            <v>-6150276.6600000001</v>
          </cell>
        </row>
        <row r="174">
          <cell r="H174">
            <v>-10883.08</v>
          </cell>
          <cell r="I174">
            <v>-10883.08</v>
          </cell>
          <cell r="J174">
            <v>-10883.08</v>
          </cell>
          <cell r="K174">
            <v>-10883.08</v>
          </cell>
          <cell r="L174">
            <v>-10883.08</v>
          </cell>
          <cell r="M174">
            <v>-10883.08</v>
          </cell>
          <cell r="N174">
            <v>-10883.08</v>
          </cell>
          <cell r="O174">
            <v>-10883.08</v>
          </cell>
          <cell r="P174">
            <v>-10883.08</v>
          </cell>
          <cell r="Q174">
            <v>-10883.08</v>
          </cell>
          <cell r="R174">
            <v>-10883.08</v>
          </cell>
          <cell r="S174">
            <v>-10883.08</v>
          </cell>
          <cell r="T174">
            <v>-10883.08</v>
          </cell>
        </row>
        <row r="175">
          <cell r="H175">
            <v>-58742.880000000005</v>
          </cell>
          <cell r="I175">
            <v>-58742.880000000005</v>
          </cell>
          <cell r="J175">
            <v>-58742.880000000005</v>
          </cell>
          <cell r="K175">
            <v>-58742.880000000005</v>
          </cell>
          <cell r="L175">
            <v>-58742.880000000005</v>
          </cell>
          <cell r="M175">
            <v>-58742.880000000005</v>
          </cell>
          <cell r="N175">
            <v>-58742.880000000005</v>
          </cell>
          <cell r="O175">
            <v>-58742.880000000005</v>
          </cell>
          <cell r="P175">
            <v>-58742.880000000005</v>
          </cell>
          <cell r="Q175">
            <v>-58742.880000000005</v>
          </cell>
          <cell r="R175">
            <v>-58742.880000000005</v>
          </cell>
          <cell r="S175">
            <v>-58742.880000000005</v>
          </cell>
          <cell r="T175">
            <v>-58742.880000000005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80"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H181">
            <v>-6216691.4100000001</v>
          </cell>
          <cell r="I181">
            <v>-6202088.1500000004</v>
          </cell>
          <cell r="J181">
            <v>-6317115.3899999997</v>
          </cell>
          <cell r="K181">
            <v>-6261169.71</v>
          </cell>
          <cell r="L181">
            <v>-6236339.0700000003</v>
          </cell>
          <cell r="M181">
            <v>-6213637.6699999999</v>
          </cell>
          <cell r="N181">
            <v>-6181248.29</v>
          </cell>
          <cell r="O181">
            <v>-6140761.1100000003</v>
          </cell>
          <cell r="P181">
            <v>-6196748.9800000004</v>
          </cell>
          <cell r="Q181">
            <v>-6203191.8399999999</v>
          </cell>
          <cell r="R181">
            <v>-6219898.3900000006</v>
          </cell>
          <cell r="S181">
            <v>-6243591.8199999994</v>
          </cell>
          <cell r="T181">
            <v>-6315729.0099999998</v>
          </cell>
        </row>
        <row r="182">
          <cell r="H182">
            <v>-184187333.43000001</v>
          </cell>
          <cell r="I182">
            <v>-184221250.78</v>
          </cell>
          <cell r="J182">
            <v>-187162682.28999999</v>
          </cell>
          <cell r="K182">
            <v>-186271724.06</v>
          </cell>
          <cell r="L182">
            <v>-186481184.78999999</v>
          </cell>
          <cell r="M182">
            <v>-186218622.28</v>
          </cell>
          <cell r="N182">
            <v>-186141349.55000001</v>
          </cell>
          <cell r="O182">
            <v>-186299261.02000001</v>
          </cell>
          <cell r="P182">
            <v>-186248871.44</v>
          </cell>
          <cell r="Q182">
            <v>-186502363.87</v>
          </cell>
          <cell r="R182">
            <v>-186406251.61000001</v>
          </cell>
          <cell r="S182">
            <v>-187356154.47</v>
          </cell>
          <cell r="T182">
            <v>-188074206.56999999</v>
          </cell>
        </row>
        <row r="183"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-243070289</v>
          </cell>
        </row>
        <row r="202">
          <cell r="H202">
            <v>27456296.739999998</v>
          </cell>
          <cell r="I202">
            <v>28347023.73</v>
          </cell>
          <cell r="J202">
            <v>30117522.52</v>
          </cell>
          <cell r="K202">
            <v>25273283.419999998</v>
          </cell>
          <cell r="L202">
            <v>24060178.699999999</v>
          </cell>
          <cell r="M202">
            <v>24379560.43</v>
          </cell>
          <cell r="N202">
            <v>25423043.52</v>
          </cell>
          <cell r="O202">
            <v>22002243.219999999</v>
          </cell>
          <cell r="P202">
            <v>22628439.690000001</v>
          </cell>
          <cell r="Q202">
            <v>28534652.539999999</v>
          </cell>
          <cell r="R202">
            <v>27391950.32</v>
          </cell>
          <cell r="S202">
            <v>26526745.27</v>
          </cell>
          <cell r="T202">
            <v>25178231.68</v>
          </cell>
        </row>
        <row r="205">
          <cell r="H205">
            <v>49333980.549999997</v>
          </cell>
          <cell r="I205">
            <v>33078465.640000001</v>
          </cell>
          <cell r="J205">
            <v>21745044.18</v>
          </cell>
          <cell r="K205">
            <v>8937825.6400000006</v>
          </cell>
          <cell r="L205">
            <v>5265628.42</v>
          </cell>
          <cell r="M205">
            <v>9895288.8399999999</v>
          </cell>
          <cell r="N205">
            <v>21769885.129999999</v>
          </cell>
          <cell r="O205">
            <v>34448175.630000003</v>
          </cell>
          <cell r="P205">
            <v>48018857.409999996</v>
          </cell>
          <cell r="Q205">
            <v>58860691.740000002</v>
          </cell>
          <cell r="R205">
            <v>59031895.799999997</v>
          </cell>
          <cell r="S205">
            <v>59289969.149999999</v>
          </cell>
          <cell r="T205">
            <v>52891066.75</v>
          </cell>
        </row>
        <row r="209">
          <cell r="H209">
            <v>3471463.42</v>
          </cell>
          <cell r="I209">
            <v>3721756.81</v>
          </cell>
          <cell r="J209">
            <v>3178912.65</v>
          </cell>
          <cell r="K209">
            <v>2679809.7000000002</v>
          </cell>
          <cell r="L209">
            <v>2310232.3199999998</v>
          </cell>
          <cell r="M209">
            <v>3646873.1</v>
          </cell>
          <cell r="N209">
            <v>4896628.5600000005</v>
          </cell>
          <cell r="O209">
            <v>4793895.25</v>
          </cell>
          <cell r="P209">
            <v>4367971.97</v>
          </cell>
          <cell r="Q209">
            <v>3881182.2</v>
          </cell>
          <cell r="R209">
            <v>3073910.14</v>
          </cell>
          <cell r="S209">
            <v>3367819.37</v>
          </cell>
          <cell r="T209">
            <v>3910153.76</v>
          </cell>
        </row>
        <row r="213"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1832178.8287000023</v>
          </cell>
        </row>
        <row r="215"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55602894.171299994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13135753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7">
          <cell r="H227">
            <v>-265894.62</v>
          </cell>
          <cell r="I227">
            <v>-266412.97000000003</v>
          </cell>
          <cell r="J227">
            <v>-270447.93</v>
          </cell>
          <cell r="K227">
            <v>-272492.83</v>
          </cell>
          <cell r="L227">
            <v>-272979.68</v>
          </cell>
          <cell r="M227">
            <v>-261693.76</v>
          </cell>
          <cell r="N227">
            <v>-263417.59999999998</v>
          </cell>
          <cell r="O227">
            <v>-260801</v>
          </cell>
          <cell r="P227">
            <v>-250950.09</v>
          </cell>
          <cell r="Q227">
            <v>-259506.78</v>
          </cell>
          <cell r="R227">
            <v>-267568.71000000002</v>
          </cell>
          <cell r="S227">
            <v>-265128.53999999998</v>
          </cell>
          <cell r="T227">
            <v>-248143.61000000002</v>
          </cell>
        </row>
        <row r="228">
          <cell r="H228">
            <v>-6457564.5700000003</v>
          </cell>
          <cell r="I228">
            <v>-6454721.1000000006</v>
          </cell>
          <cell r="J228">
            <v>-6541838.6500000004</v>
          </cell>
          <cell r="K228">
            <v>-6608572.3300000001</v>
          </cell>
          <cell r="L228">
            <v>-6662069.9500000002</v>
          </cell>
          <cell r="M228">
            <v>-6673252.6200000001</v>
          </cell>
          <cell r="N228">
            <v>-6782840.1100000003</v>
          </cell>
          <cell r="O228">
            <v>-6797581.7400000002</v>
          </cell>
          <cell r="P228">
            <v>-6760662.6600000001</v>
          </cell>
          <cell r="Q228">
            <v>-6873774.2000000002</v>
          </cell>
          <cell r="R228">
            <v>-6791431.4699999997</v>
          </cell>
          <cell r="S228">
            <v>-6357777.7400000002</v>
          </cell>
          <cell r="T228">
            <v>-5457546.1899999995</v>
          </cell>
        </row>
        <row r="232">
          <cell r="H232">
            <v>-510513.99</v>
          </cell>
          <cell r="I232">
            <v>-510513.99</v>
          </cell>
          <cell r="J232">
            <v>-510513.99</v>
          </cell>
          <cell r="K232">
            <v>-510513.99</v>
          </cell>
          <cell r="L232">
            <v>-510513.99</v>
          </cell>
          <cell r="M232">
            <v>-465842.24</v>
          </cell>
          <cell r="N232">
            <v>-465842.24</v>
          </cell>
          <cell r="O232">
            <v>-465842.24</v>
          </cell>
          <cell r="P232">
            <v>-465842.24</v>
          </cell>
          <cell r="Q232">
            <v>-465842.24</v>
          </cell>
          <cell r="R232">
            <v>-465842.24</v>
          </cell>
          <cell r="S232">
            <v>-465842.24</v>
          </cell>
          <cell r="T232">
            <v>-404156.02</v>
          </cell>
        </row>
        <row r="233">
          <cell r="H233">
            <v>-19210044.66</v>
          </cell>
          <cell r="I233">
            <v>-18175778.650000002</v>
          </cell>
          <cell r="J233">
            <v>-18025179.91</v>
          </cell>
          <cell r="K233">
            <v>-17537599.620000001</v>
          </cell>
          <cell r="L233">
            <v>-17278147.050000001</v>
          </cell>
          <cell r="M233">
            <v>-17044300.110000003</v>
          </cell>
          <cell r="N233">
            <v>-17012595.390000001</v>
          </cell>
          <cell r="O233">
            <v>-16967883.640000001</v>
          </cell>
          <cell r="P233">
            <v>-16893271.25</v>
          </cell>
          <cell r="Q233">
            <v>-16720487.58</v>
          </cell>
          <cell r="R233">
            <v>-16552924.540000001</v>
          </cell>
          <cell r="S233">
            <v>-16465396.089999998</v>
          </cell>
          <cell r="T233">
            <v>-11724439</v>
          </cell>
        </row>
        <row r="237">
          <cell r="H237">
            <v>-43731.46</v>
          </cell>
          <cell r="I237">
            <v>-46434.92</v>
          </cell>
          <cell r="J237">
            <v>-45619.700000000004</v>
          </cell>
          <cell r="K237">
            <v>-44176.62</v>
          </cell>
          <cell r="L237">
            <v>-44370.28</v>
          </cell>
          <cell r="M237">
            <v>-45040.33</v>
          </cell>
          <cell r="N237">
            <v>-45851.590000000004</v>
          </cell>
          <cell r="O237">
            <v>-46197.35</v>
          </cell>
          <cell r="P237">
            <v>-16591.05</v>
          </cell>
          <cell r="Q237">
            <v>-18892.05</v>
          </cell>
          <cell r="R237">
            <v>-21718.100000000002</v>
          </cell>
          <cell r="S237">
            <v>-26005.9</v>
          </cell>
          <cell r="T237">
            <v>-29018.39</v>
          </cell>
        </row>
        <row r="241">
          <cell r="H241">
            <v>-1124.79</v>
          </cell>
          <cell r="I241">
            <v>-1140.29</v>
          </cell>
          <cell r="J241">
            <v>-1155.79</v>
          </cell>
          <cell r="K241">
            <v>-1171.29</v>
          </cell>
          <cell r="L241">
            <v>-1186.79</v>
          </cell>
          <cell r="M241">
            <v>-1202.29</v>
          </cell>
          <cell r="N241">
            <v>-1217.79</v>
          </cell>
          <cell r="O241">
            <v>-1233.29</v>
          </cell>
          <cell r="P241">
            <v>-1248.79</v>
          </cell>
          <cell r="Q241">
            <v>-1264.29</v>
          </cell>
          <cell r="R241">
            <v>-1279.79</v>
          </cell>
          <cell r="S241">
            <v>-1295.29</v>
          </cell>
          <cell r="T241">
            <v>-1310.79</v>
          </cell>
        </row>
        <row r="242">
          <cell r="H242">
            <v>-3207.2751887985778</v>
          </cell>
          <cell r="I242">
            <v>-2908.5873809999912</v>
          </cell>
          <cell r="J242">
            <v>-2737.4087950000094</v>
          </cell>
          <cell r="K242">
            <v>-2637.0551160000082</v>
          </cell>
          <cell r="L242">
            <v>-2432.9661690000003</v>
          </cell>
          <cell r="M242">
            <v>-2223.1647870000011</v>
          </cell>
          <cell r="N242">
            <v>-2028.4282110000013</v>
          </cell>
          <cell r="O242">
            <v>-1827.9792000000016</v>
          </cell>
          <cell r="P242">
            <v>-1618.5319430000031</v>
          </cell>
          <cell r="Q242">
            <v>-1430.7211140000024</v>
          </cell>
          <cell r="R242">
            <v>-1237.804506000002</v>
          </cell>
          <cell r="S242">
            <v>-1051.4595199999974</v>
          </cell>
          <cell r="T242">
            <v>-854.65140200000099</v>
          </cell>
        </row>
        <row r="243">
          <cell r="H243">
            <v>-96382.994811201424</v>
          </cell>
          <cell r="I243">
            <v>-90615.122619000016</v>
          </cell>
          <cell r="J243">
            <v>-84719.741204999998</v>
          </cell>
          <cell r="K243">
            <v>-78753.534884000008</v>
          </cell>
          <cell r="L243">
            <v>-72891.063831000007</v>
          </cell>
          <cell r="M243">
            <v>-67034.305213</v>
          </cell>
          <cell r="N243">
            <v>-61162.481789000005</v>
          </cell>
          <cell r="O243">
            <v>-55296.370799999997</v>
          </cell>
          <cell r="P243">
            <v>-49439.258056999999</v>
          </cell>
          <cell r="Q243">
            <v>-43560.508886000003</v>
          </cell>
          <cell r="R243">
            <v>-37686.865493999998</v>
          </cell>
          <cell r="S243">
            <v>-31806.650480000004</v>
          </cell>
          <cell r="T243">
            <v>-25936.928597999999</v>
          </cell>
        </row>
        <row r="244">
          <cell r="H244">
            <v>-713.25</v>
          </cell>
          <cell r="I244">
            <v>-697.75</v>
          </cell>
          <cell r="J244">
            <v>-682.25</v>
          </cell>
          <cell r="K244">
            <v>-666.75</v>
          </cell>
          <cell r="L244">
            <v>-651.25</v>
          </cell>
          <cell r="M244">
            <v>-635.75</v>
          </cell>
          <cell r="N244">
            <v>-620.25</v>
          </cell>
          <cell r="O244">
            <v>-604.75</v>
          </cell>
          <cell r="P244">
            <v>-589.25</v>
          </cell>
          <cell r="Q244">
            <v>-573.75</v>
          </cell>
          <cell r="R244">
            <v>-558.25</v>
          </cell>
          <cell r="S244">
            <v>-542.75</v>
          </cell>
          <cell r="T244">
            <v>-527.25</v>
          </cell>
        </row>
        <row r="248">
          <cell r="H248">
            <v>-501863.93</v>
          </cell>
          <cell r="I248">
            <v>-438066.81</v>
          </cell>
          <cell r="J248">
            <v>-374397.71</v>
          </cell>
          <cell r="K248">
            <v>-310747.40000000002</v>
          </cell>
          <cell r="L248">
            <v>-247869.66</v>
          </cell>
          <cell r="M248">
            <v>-184984.29</v>
          </cell>
          <cell r="N248">
            <v>-121778.19</v>
          </cell>
          <cell r="O248">
            <v>-58772.590000000004</v>
          </cell>
          <cell r="P248">
            <v>3661.83</v>
          </cell>
          <cell r="Q248">
            <v>50611.28</v>
          </cell>
          <cell r="R248">
            <v>110620.48</v>
          </cell>
          <cell r="S248">
            <v>169754.68</v>
          </cell>
          <cell r="T248">
            <v>44147.49</v>
          </cell>
        </row>
        <row r="249">
          <cell r="H249">
            <v>-12933784.639236018</v>
          </cell>
          <cell r="I249">
            <v>-12586227.283711961</v>
          </cell>
          <cell r="J249">
            <v>-12766682.663012043</v>
          </cell>
          <cell r="K249">
            <v>-13508423.98650004</v>
          </cell>
          <cell r="L249">
            <v>-13510450.475503996</v>
          </cell>
          <cell r="M249">
            <v>-13546304.788845006</v>
          </cell>
          <cell r="N249">
            <v>-13648064.698710006</v>
          </cell>
          <cell r="O249">
            <v>-13719206.710080013</v>
          </cell>
          <cell r="P249">
            <v>-13980648.330860028</v>
          </cell>
          <cell r="Q249">
            <v>-13941409.262022022</v>
          </cell>
          <cell r="R249">
            <v>-14058838.210536022</v>
          </cell>
          <cell r="S249">
            <v>-14263175.040319962</v>
          </cell>
          <cell r="T249">
            <v>-8486889.9906229991</v>
          </cell>
        </row>
        <row r="250">
          <cell r="H250">
            <v>-388677872.77076399</v>
          </cell>
          <cell r="I250">
            <v>-392115614.63628799</v>
          </cell>
          <cell r="J250">
            <v>-395114552.57698798</v>
          </cell>
          <cell r="K250">
            <v>-403418242.26349998</v>
          </cell>
          <cell r="L250">
            <v>-404769750.00449598</v>
          </cell>
          <cell r="M250">
            <v>-408456959.66115499</v>
          </cell>
          <cell r="N250">
            <v>-411525290.40128994</v>
          </cell>
          <cell r="O250">
            <v>-415006002.97991997</v>
          </cell>
          <cell r="P250">
            <v>-427049267.46913999</v>
          </cell>
          <cell r="Q250">
            <v>-424467687.027978</v>
          </cell>
          <cell r="R250">
            <v>-428042992.30946398</v>
          </cell>
          <cell r="S250">
            <v>-431461044.96968001</v>
          </cell>
          <cell r="T250">
            <v>-257559818.17937699</v>
          </cell>
        </row>
        <row r="251">
          <cell r="H251">
            <v>-13636285.140000001</v>
          </cell>
          <cell r="I251">
            <v>-13540589.470000001</v>
          </cell>
          <cell r="J251">
            <v>-13445085.810000001</v>
          </cell>
          <cell r="K251">
            <v>-13349610.35</v>
          </cell>
          <cell r="L251">
            <v>-13255293.74</v>
          </cell>
          <cell r="M251">
            <v>-13160965.699999999</v>
          </cell>
          <cell r="N251">
            <v>-13066156.550000001</v>
          </cell>
          <cell r="O251">
            <v>-12971648.16</v>
          </cell>
          <cell r="P251">
            <v>-12877996.529999999</v>
          </cell>
          <cell r="Q251">
            <v>-12807572.34</v>
          </cell>
          <cell r="R251">
            <v>-12717558.550000001</v>
          </cell>
          <cell r="S251">
            <v>-12628857.24</v>
          </cell>
          <cell r="T251">
            <v>-12817268.039999999</v>
          </cell>
        </row>
        <row r="255">
          <cell r="H255">
            <v>-700755.31</v>
          </cell>
          <cell r="I255">
            <v>-700755.31</v>
          </cell>
          <cell r="J255">
            <v>-700755.31</v>
          </cell>
          <cell r="K255">
            <v>-700755.31</v>
          </cell>
          <cell r="L255">
            <v>-700755.31</v>
          </cell>
          <cell r="M255">
            <v>-700755.31</v>
          </cell>
          <cell r="N255">
            <v>-700755.31</v>
          </cell>
          <cell r="O255">
            <v>-700755.31</v>
          </cell>
          <cell r="P255">
            <v>-700755.31</v>
          </cell>
          <cell r="Q255">
            <v>-700755.31</v>
          </cell>
          <cell r="R255">
            <v>-700755.31</v>
          </cell>
          <cell r="S255">
            <v>-700755.31</v>
          </cell>
          <cell r="T255">
            <v>-700755.31</v>
          </cell>
        </row>
        <row r="256"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H257">
            <v>-57918912.489999995</v>
          </cell>
          <cell r="I257">
            <v>-58335847.619999997</v>
          </cell>
          <cell r="J257">
            <v>-58765600.619999997</v>
          </cell>
          <cell r="K257">
            <v>-60030901.839999996</v>
          </cell>
          <cell r="L257">
            <v>-60200680.619999997</v>
          </cell>
          <cell r="M257">
            <v>-60708223.619999997</v>
          </cell>
          <cell r="N257">
            <v>-61137112.379999995</v>
          </cell>
          <cell r="O257">
            <v>-61620621.139999993</v>
          </cell>
          <cell r="P257">
            <v>-63352241.879999995</v>
          </cell>
          <cell r="Q257">
            <v>-62974969.609999999</v>
          </cell>
          <cell r="R257">
            <v>-63479337.649999999</v>
          </cell>
          <cell r="S257">
            <v>-64179921.049999997</v>
          </cell>
          <cell r="T257">
            <v>-64071192.340000004</v>
          </cell>
        </row>
        <row r="258">
          <cell r="H258">
            <v>-1119041.3500000001</v>
          </cell>
          <cell r="I258">
            <v>-1119041.3500000001</v>
          </cell>
          <cell r="J258">
            <v>-1119041.3500000001</v>
          </cell>
          <cell r="K258">
            <v>-1119041.3500000001</v>
          </cell>
          <cell r="L258">
            <v>-1119041.3500000001</v>
          </cell>
          <cell r="M258">
            <v>-1119041.3500000001</v>
          </cell>
          <cell r="N258">
            <v>-1119041.3500000001</v>
          </cell>
          <cell r="O258">
            <v>-1119041.3500000001</v>
          </cell>
          <cell r="P258">
            <v>-1119041.3500000001</v>
          </cell>
          <cell r="Q258">
            <v>-1119041.3500000001</v>
          </cell>
          <cell r="R258">
            <v>-1119041.3500000001</v>
          </cell>
          <cell r="S258">
            <v>-1119041.3500000001</v>
          </cell>
          <cell r="T258">
            <v>-1119041.3500000001</v>
          </cell>
        </row>
        <row r="262">
          <cell r="H262">
            <v>0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ENSES.XNV"/>
    </sheetNames>
    <sheetDataSet>
      <sheetData sheetId="0"/>
      <sheetData sheetId="1">
        <row r="17">
          <cell r="S17">
            <v>20573059.9417121</v>
          </cell>
        </row>
        <row r="18">
          <cell r="S18">
            <v>751115.9782879008</v>
          </cell>
        </row>
        <row r="22">
          <cell r="S22">
            <v>311269.64999999997</v>
          </cell>
        </row>
        <row r="23">
          <cell r="S23">
            <v>0</v>
          </cell>
        </row>
        <row r="27">
          <cell r="S27">
            <v>24917407.16</v>
          </cell>
        </row>
        <row r="28">
          <cell r="S28">
            <v>0</v>
          </cell>
        </row>
        <row r="32">
          <cell r="S32">
            <v>0</v>
          </cell>
        </row>
        <row r="37">
          <cell r="S37">
            <v>501.32868340000005</v>
          </cell>
        </row>
        <row r="38">
          <cell r="S38">
            <v>16.661316600000021</v>
          </cell>
        </row>
        <row r="42">
          <cell r="S42">
            <v>0</v>
          </cell>
        </row>
        <row r="43">
          <cell r="S43">
            <v>0</v>
          </cell>
        </row>
        <row r="47">
          <cell r="S47">
            <v>0</v>
          </cell>
        </row>
        <row r="48">
          <cell r="S48">
            <v>0</v>
          </cell>
        </row>
        <row r="52">
          <cell r="S52">
            <v>119925534.29720469</v>
          </cell>
        </row>
        <row r="53">
          <cell r="S53">
            <v>4247459.4927952997</v>
          </cell>
        </row>
        <row r="57">
          <cell r="S57">
            <v>0</v>
          </cell>
        </row>
        <row r="58">
          <cell r="S58">
            <v>0</v>
          </cell>
        </row>
        <row r="62">
          <cell r="S62">
            <v>1280667.5965049998</v>
          </cell>
        </row>
        <row r="63">
          <cell r="S63">
            <v>47189.803495000058</v>
          </cell>
        </row>
        <row r="67">
          <cell r="S67">
            <v>0</v>
          </cell>
        </row>
        <row r="68">
          <cell r="S68">
            <v>0</v>
          </cell>
        </row>
        <row r="72">
          <cell r="S72">
            <v>-6988002.4825362936</v>
          </cell>
        </row>
        <row r="73">
          <cell r="S73">
            <v>-333710.48746370198</v>
          </cell>
        </row>
        <row r="77">
          <cell r="S77">
            <v>0</v>
          </cell>
        </row>
        <row r="78">
          <cell r="S78">
            <v>0</v>
          </cell>
        </row>
        <row r="82">
          <cell r="S82">
            <v>70911454.520070195</v>
          </cell>
        </row>
        <row r="83">
          <cell r="S83">
            <v>2569744.0599297993</v>
          </cell>
        </row>
        <row r="87">
          <cell r="S87">
            <v>-74590296.669899002</v>
          </cell>
        </row>
        <row r="88">
          <cell r="S88">
            <v>-2447988.1101010013</v>
          </cell>
        </row>
        <row r="92">
          <cell r="S92">
            <v>3829995.61668</v>
          </cell>
        </row>
        <row r="93">
          <cell r="S93">
            <v>138806.38331999991</v>
          </cell>
        </row>
        <row r="97">
          <cell r="S97">
            <v>310247092.58867115</v>
          </cell>
        </row>
        <row r="98">
          <cell r="S98">
            <v>11198142.051328894</v>
          </cell>
        </row>
        <row r="102">
          <cell r="S102">
            <v>0</v>
          </cell>
        </row>
        <row r="103">
          <cell r="S103">
            <v>0</v>
          </cell>
        </row>
        <row r="107">
          <cell r="S107">
            <v>0</v>
          </cell>
        </row>
        <row r="108">
          <cell r="S108">
            <v>0</v>
          </cell>
        </row>
        <row r="112">
          <cell r="S112">
            <v>66406271.801191397</v>
          </cell>
        </row>
        <row r="113">
          <cell r="S113">
            <v>2404857.5888085989</v>
          </cell>
        </row>
        <row r="117">
          <cell r="S117">
            <v>0</v>
          </cell>
        </row>
        <row r="118">
          <cell r="S118">
            <v>0</v>
          </cell>
        </row>
        <row r="133">
          <cell r="S133">
            <v>-14233</v>
          </cell>
        </row>
        <row r="134">
          <cell r="S134">
            <v>-893091.92999999993</v>
          </cell>
        </row>
        <row r="136">
          <cell r="S136">
            <v>-907324.92999999993</v>
          </cell>
        </row>
        <row r="141">
          <cell r="S141">
            <v>11130355.119999999</v>
          </cell>
        </row>
        <row r="142">
          <cell r="S142">
            <v>643277.56000000017</v>
          </cell>
        </row>
        <row r="146">
          <cell r="S146">
            <v>1879996.2199999997</v>
          </cell>
        </row>
        <row r="147">
          <cell r="S147">
            <v>30806.410000000003</v>
          </cell>
        </row>
        <row r="151">
          <cell r="S151">
            <v>0</v>
          </cell>
        </row>
        <row r="152">
          <cell r="S152">
            <v>0</v>
          </cell>
        </row>
        <row r="156">
          <cell r="S156">
            <v>14233</v>
          </cell>
        </row>
        <row r="157">
          <cell r="S157">
            <v>0</v>
          </cell>
        </row>
        <row r="161">
          <cell r="S161">
            <v>12278206.640000001</v>
          </cell>
        </row>
        <row r="162">
          <cell r="S162">
            <v>451742.14</v>
          </cell>
        </row>
        <row r="166">
          <cell r="S166">
            <v>2204987.8800000004</v>
          </cell>
        </row>
        <row r="167">
          <cell r="S167">
            <v>139069.87000000002</v>
          </cell>
        </row>
        <row r="171">
          <cell r="S171">
            <v>2725264.3499999996</v>
          </cell>
        </row>
        <row r="172">
          <cell r="S172">
            <v>214421.77</v>
          </cell>
        </row>
        <row r="176">
          <cell r="S176">
            <v>2960079.4000000004</v>
          </cell>
        </row>
        <row r="177">
          <cell r="S177">
            <v>118847.07999999999</v>
          </cell>
        </row>
        <row r="181">
          <cell r="S181">
            <v>7913746.8099999987</v>
          </cell>
        </row>
        <row r="182">
          <cell r="S182">
            <v>652900.72000000009</v>
          </cell>
        </row>
        <row r="186">
          <cell r="S186">
            <v>42721.05</v>
          </cell>
        </row>
        <row r="187">
          <cell r="S187">
            <v>1403.7900000000002</v>
          </cell>
        </row>
        <row r="191">
          <cell r="S191">
            <v>542083.92999999993</v>
          </cell>
        </row>
        <row r="192">
          <cell r="S192">
            <v>16345.48</v>
          </cell>
        </row>
        <row r="196">
          <cell r="S196">
            <v>88322.179999999978</v>
          </cell>
        </row>
        <row r="197">
          <cell r="S197">
            <v>2954.09</v>
          </cell>
        </row>
        <row r="201">
          <cell r="S201">
            <v>8401730.8399999999</v>
          </cell>
        </row>
        <row r="202">
          <cell r="S202">
            <v>133672.81999999998</v>
          </cell>
        </row>
        <row r="206">
          <cell r="S206">
            <v>973056.72</v>
          </cell>
        </row>
        <row r="207">
          <cell r="S207">
            <v>102474.85</v>
          </cell>
        </row>
        <row r="211">
          <cell r="S211">
            <v>89094.399999999994</v>
          </cell>
        </row>
        <row r="212">
          <cell r="S212">
            <v>81722.52</v>
          </cell>
        </row>
        <row r="216">
          <cell r="S216">
            <v>472098.05</v>
          </cell>
        </row>
        <row r="217">
          <cell r="S217">
            <v>72587.44</v>
          </cell>
        </row>
        <row r="221">
          <cell r="S221">
            <v>569715.0199999999</v>
          </cell>
        </row>
        <row r="222">
          <cell r="S222">
            <v>1965.9800000000005</v>
          </cell>
        </row>
        <row r="226">
          <cell r="S226">
            <v>0</v>
          </cell>
        </row>
        <row r="227">
          <cell r="S227">
            <v>0</v>
          </cell>
        </row>
        <row r="231">
          <cell r="S231">
            <v>0</v>
          </cell>
        </row>
        <row r="232">
          <cell r="S232">
            <v>0</v>
          </cell>
        </row>
        <row r="244">
          <cell r="S244">
            <v>1123201.22</v>
          </cell>
        </row>
        <row r="245">
          <cell r="S245">
            <v>23973.87</v>
          </cell>
        </row>
        <row r="249">
          <cell r="S249">
            <v>1931571.41</v>
          </cell>
        </row>
        <row r="250">
          <cell r="S250">
            <v>66802.97</v>
          </cell>
        </row>
        <row r="254">
          <cell r="S254">
            <v>13163140.24</v>
          </cell>
        </row>
        <row r="255">
          <cell r="S255">
            <v>550191.44000000006</v>
          </cell>
        </row>
        <row r="259">
          <cell r="S259">
            <v>139298.02000000002</v>
          </cell>
        </row>
        <row r="260">
          <cell r="S260">
            <v>34517.85</v>
          </cell>
        </row>
        <row r="264">
          <cell r="S264">
            <v>273728.07</v>
          </cell>
        </row>
        <row r="265">
          <cell r="S265">
            <v>5135.1100000000006</v>
          </cell>
        </row>
        <row r="269">
          <cell r="S269">
            <v>656083.52999999991</v>
          </cell>
        </row>
        <row r="270">
          <cell r="S270">
            <v>63801.19999999999</v>
          </cell>
        </row>
        <row r="274">
          <cell r="S274">
            <v>212317.07000000004</v>
          </cell>
        </row>
        <row r="275">
          <cell r="S275">
            <v>0</v>
          </cell>
        </row>
        <row r="279">
          <cell r="S279">
            <v>841817.97</v>
          </cell>
        </row>
        <row r="280">
          <cell r="S280">
            <v>0</v>
          </cell>
        </row>
        <row r="285">
          <cell r="S285">
            <v>0</v>
          </cell>
        </row>
        <row r="286">
          <cell r="S286">
            <v>0</v>
          </cell>
        </row>
        <row r="297">
          <cell r="S297">
            <v>370305.81000000006</v>
          </cell>
        </row>
        <row r="298">
          <cell r="S298">
            <v>9679.8300000000017</v>
          </cell>
        </row>
        <row r="302">
          <cell r="S302">
            <v>23269929.850000001</v>
          </cell>
        </row>
        <row r="303">
          <cell r="S303">
            <v>237202.52999999997</v>
          </cell>
        </row>
        <row r="307">
          <cell r="S307">
            <v>745487.52</v>
          </cell>
        </row>
        <row r="308">
          <cell r="S308">
            <v>20519.680000000004</v>
          </cell>
        </row>
        <row r="312">
          <cell r="S312">
            <v>0</v>
          </cell>
        </row>
        <row r="313">
          <cell r="S313">
            <v>0</v>
          </cell>
        </row>
        <row r="325">
          <cell r="S325">
            <v>4406724.58</v>
          </cell>
        </row>
        <row r="326">
          <cell r="S326">
            <v>116002.97</v>
          </cell>
        </row>
        <row r="329">
          <cell r="S329">
            <v>32693295.829999998</v>
          </cell>
        </row>
        <row r="330">
          <cell r="S330">
            <v>1489434.61</v>
          </cell>
        </row>
        <row r="333">
          <cell r="S333">
            <v>-3802906.8900000006</v>
          </cell>
        </row>
        <row r="334">
          <cell r="S334">
            <v>-125232.56</v>
          </cell>
        </row>
        <row r="337">
          <cell r="S337">
            <v>1318004.83</v>
          </cell>
        </row>
        <row r="338">
          <cell r="S338">
            <v>81652.27</v>
          </cell>
        </row>
        <row r="341">
          <cell r="S341">
            <v>304598</v>
          </cell>
        </row>
        <row r="342">
          <cell r="S342">
            <v>10049.430000000004</v>
          </cell>
        </row>
        <row r="345">
          <cell r="S345">
            <v>11516.189999999999</v>
          </cell>
        </row>
        <row r="346">
          <cell r="S346">
            <v>224.67000000000002</v>
          </cell>
        </row>
        <row r="349">
          <cell r="S349">
            <v>162902.46000000002</v>
          </cell>
        </row>
        <row r="350">
          <cell r="S350">
            <v>4488.2200000000021</v>
          </cell>
        </row>
        <row r="354">
          <cell r="S354">
            <v>0</v>
          </cell>
        </row>
        <row r="355">
          <cell r="S355">
            <v>0</v>
          </cell>
        </row>
        <row r="357">
          <cell r="S357">
            <v>0</v>
          </cell>
        </row>
        <row r="358">
          <cell r="S358">
            <v>0</v>
          </cell>
        </row>
        <row r="361">
          <cell r="S361">
            <v>2062151.78</v>
          </cell>
        </row>
        <row r="362">
          <cell r="S362">
            <v>42540.13</v>
          </cell>
        </row>
        <row r="365">
          <cell r="S365">
            <v>849584.07999999984</v>
          </cell>
        </row>
        <row r="366">
          <cell r="S366">
            <v>27802.480000000003</v>
          </cell>
        </row>
        <row r="369">
          <cell r="S369">
            <v>0</v>
          </cell>
        </row>
        <row r="370">
          <cell r="S370">
            <v>0</v>
          </cell>
        </row>
        <row r="385">
          <cell r="S385">
            <v>649452.47999999986</v>
          </cell>
        </row>
        <row r="386">
          <cell r="S386">
            <v>1756908.57</v>
          </cell>
        </row>
        <row r="387">
          <cell r="S387">
            <v>55992912.410000004</v>
          </cell>
        </row>
        <row r="388">
          <cell r="S388">
            <v>8318552.7500000047</v>
          </cell>
        </row>
        <row r="392">
          <cell r="S392">
            <v>17107.560000000001</v>
          </cell>
        </row>
        <row r="393">
          <cell r="S393">
            <v>0</v>
          </cell>
        </row>
        <row r="394">
          <cell r="S394">
            <v>0</v>
          </cell>
        </row>
        <row r="395">
          <cell r="S395">
            <v>0</v>
          </cell>
        </row>
        <row r="402">
          <cell r="S402">
            <v>0</v>
          </cell>
        </row>
        <row r="403">
          <cell r="S403">
            <v>843251.16999999993</v>
          </cell>
        </row>
        <row r="404">
          <cell r="S404">
            <v>19756919.129999999</v>
          </cell>
        </row>
        <row r="405">
          <cell r="S405">
            <v>1657671.9599999997</v>
          </cell>
        </row>
        <row r="406">
          <cell r="S406">
            <v>22257842.260000002</v>
          </cell>
        </row>
        <row r="408">
          <cell r="S408">
            <v>41536613.329999991</v>
          </cell>
        </row>
        <row r="410">
          <cell r="S410">
            <v>651828.49000000069</v>
          </cell>
        </row>
        <row r="412">
          <cell r="S412">
            <v>5456116.0800000001</v>
          </cell>
        </row>
        <row r="414">
          <cell r="S414">
            <v>0</v>
          </cell>
        </row>
        <row r="416">
          <cell r="S416">
            <v>0</v>
          </cell>
        </row>
        <row r="418">
          <cell r="S418">
            <v>0</v>
          </cell>
        </row>
        <row r="420">
          <cell r="S4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D3">
            <v>912527.25</v>
          </cell>
        </row>
        <row r="4">
          <cell r="D4">
            <v>205258.13</v>
          </cell>
        </row>
        <row r="5">
          <cell r="D5">
            <v>47329.69</v>
          </cell>
        </row>
        <row r="7">
          <cell r="D7">
            <v>3605033.16</v>
          </cell>
        </row>
        <row r="9">
          <cell r="D9">
            <v>1511343.18</v>
          </cell>
        </row>
        <row r="10">
          <cell r="D10">
            <v>490580.83</v>
          </cell>
        </row>
        <row r="11">
          <cell r="D11">
            <v>51744.6</v>
          </cell>
        </row>
        <row r="14">
          <cell r="D14">
            <v>1410790.45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XNV"/>
    </sheetNames>
    <sheetDataSet>
      <sheetData sheetId="0" refreshError="1"/>
      <sheetData sheetId="1">
        <row r="13">
          <cell r="S13">
            <v>1922718.8614775999</v>
          </cell>
        </row>
        <row r="14">
          <cell r="S14">
            <v>71559.988522400032</v>
          </cell>
        </row>
        <row r="15">
          <cell r="S15">
            <v>1994278.85</v>
          </cell>
        </row>
        <row r="18">
          <cell r="S18">
            <v>2002957.85</v>
          </cell>
        </row>
        <row r="19">
          <cell r="S19">
            <v>101544.61</v>
          </cell>
        </row>
        <row r="20">
          <cell r="S20">
            <v>2104502.46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8">
          <cell r="S28">
            <v>2201.5</v>
          </cell>
        </row>
        <row r="29">
          <cell r="S29">
            <v>823.5</v>
          </cell>
        </row>
        <row r="30">
          <cell r="S30">
            <v>3025</v>
          </cell>
        </row>
        <row r="33">
          <cell r="S33">
            <v>72082.070000000007</v>
          </cell>
        </row>
        <row r="34">
          <cell r="S34">
            <v>957</v>
          </cell>
        </row>
        <row r="35">
          <cell r="S35">
            <v>73039.070000000007</v>
          </cell>
        </row>
        <row r="38">
          <cell r="S38">
            <v>2374708</v>
          </cell>
        </row>
        <row r="39">
          <cell r="S39">
            <v>9075</v>
          </cell>
        </row>
        <row r="40">
          <cell r="S40">
            <v>2383783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8">
          <cell r="S48">
            <v>245060</v>
          </cell>
        </row>
        <row r="49">
          <cell r="S49">
            <v>5040</v>
          </cell>
        </row>
        <row r="50">
          <cell r="S50">
            <v>250100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8">
          <cell r="S58">
            <v>0</v>
          </cell>
        </row>
        <row r="59">
          <cell r="S59">
            <v>0</v>
          </cell>
        </row>
        <row r="60">
          <cell r="S60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8">
          <cell r="S78">
            <v>0</v>
          </cell>
        </row>
        <row r="79">
          <cell r="S79">
            <v>0</v>
          </cell>
        </row>
        <row r="80">
          <cell r="S80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3">
          <cell r="S93">
            <v>5277157.1893031001</v>
          </cell>
        </row>
        <row r="94">
          <cell r="S94">
            <v>179117.15069690009</v>
          </cell>
        </row>
        <row r="95">
          <cell r="S95">
            <v>5456274.3400000008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3">
          <cell r="S103">
            <v>1746447.8848289</v>
          </cell>
        </row>
        <row r="104">
          <cell r="S104">
            <v>62998.605171099989</v>
          </cell>
        </row>
        <row r="105">
          <cell r="S105">
            <v>1809446.49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  <row r="113">
          <cell r="S113">
            <v>-263367.86752480001</v>
          </cell>
        </row>
        <row r="114">
          <cell r="S114">
            <v>-9909.1524752000041</v>
          </cell>
        </row>
        <row r="115">
          <cell r="S115">
            <v>-273277.02</v>
          </cell>
        </row>
        <row r="118">
          <cell r="S118">
            <v>10370524.584048901</v>
          </cell>
        </row>
        <row r="119">
          <cell r="S119">
            <v>375650.00595109991</v>
          </cell>
        </row>
        <row r="120">
          <cell r="S120">
            <v>10746174.590000002</v>
          </cell>
        </row>
        <row r="123">
          <cell r="S123">
            <v>118657.68864000001</v>
          </cell>
        </row>
        <row r="124">
          <cell r="S124">
            <v>4187.3113599999997</v>
          </cell>
        </row>
        <row r="125">
          <cell r="S125">
            <v>122845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2">
          <cell r="S132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CALCULATION"/>
      <sheetName val="CHARGE OFFS"/>
      <sheetName val="COLLECTED"/>
      <sheetName val="Jun 07 fin rpt"/>
      <sheetName val="Jun 08 fin rpt"/>
      <sheetName val="Jun 09 fin rpt"/>
      <sheetName val="Jun 10 fin rpt"/>
      <sheetName val="Jun 11 fin rpt"/>
      <sheetName val="Jun 12 fin rpt"/>
      <sheetName val="Jun 13 fin rpt"/>
      <sheetName val="Jun 14 fin rpt"/>
      <sheetName val="Jun 15 fin rpt"/>
      <sheetName val="Jun 16 fin rpt"/>
      <sheetName val="Jun 17 fin rpt"/>
      <sheetName val="QUERY 20007 2009"/>
      <sheetName val="12 DEC CHARGEOFF VS COLLECTED  "/>
    </sheetNames>
    <sheetDataSet>
      <sheetData sheetId="0">
        <row r="23">
          <cell r="J23">
            <v>3638318.4900000007</v>
          </cell>
          <cell r="K23">
            <v>3798537.9899999993</v>
          </cell>
          <cell r="L23">
            <v>3316135.7399999998</v>
          </cell>
        </row>
        <row r="24">
          <cell r="J24">
            <v>-1856811.4200000002</v>
          </cell>
          <cell r="K24">
            <v>-1689277.55</v>
          </cell>
          <cell r="L24">
            <v>-1683522.24</v>
          </cell>
        </row>
        <row r="30">
          <cell r="J30">
            <v>903873494.43000007</v>
          </cell>
          <cell r="K30">
            <v>914522580.5999999</v>
          </cell>
          <cell r="L30">
            <v>890627731.93000007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AGE"/>
      <sheetName val="XNV"/>
    </sheetNames>
    <sheetDataSet>
      <sheetData sheetId="0">
        <row r="17">
          <cell r="C17">
            <v>0</v>
          </cell>
          <cell r="D17">
            <v>600000000</v>
          </cell>
          <cell r="E17">
            <v>-2684743.1799999988</v>
          </cell>
          <cell r="F17">
            <v>-4071468.21</v>
          </cell>
          <cell r="G17">
            <v>134500000</v>
          </cell>
          <cell r="H17">
            <v>22974065</v>
          </cell>
          <cell r="I17">
            <v>272445462.82999998</v>
          </cell>
          <cell r="J17">
            <v>429591282.39000052</v>
          </cell>
          <cell r="K17">
            <v>33229107.169999998</v>
          </cell>
          <cell r="L17">
            <v>862813.81</v>
          </cell>
        </row>
        <row r="19">
          <cell r="C19">
            <v>108333333.33333333</v>
          </cell>
          <cell r="D19">
            <v>433333333.33333331</v>
          </cell>
          <cell r="E19">
            <v>-2950057.78</v>
          </cell>
          <cell r="F19">
            <v>-3540489.2708333335</v>
          </cell>
          <cell r="G19">
            <v>105333333.33333333</v>
          </cell>
          <cell r="H19">
            <v>22974065</v>
          </cell>
          <cell r="I19">
            <v>272445462.82999998</v>
          </cell>
          <cell r="J19">
            <v>404796597.31208342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CET"/>
      <sheetName val="RATE CLASS"/>
      <sheetName val="Sheet1"/>
      <sheetName val="QUERY_FOR PIVOT"/>
      <sheetName val="NGV REVENUES"/>
      <sheetName val="BOOKED REV"/>
      <sheetName val="Sheet3"/>
    </sheetNames>
    <sheetDataSet>
      <sheetData sheetId="0"/>
      <sheetData sheetId="1" refreshError="1">
        <row r="1">
          <cell r="A1">
            <v>38717</v>
          </cell>
          <cell r="B1">
            <v>0</v>
          </cell>
        </row>
        <row r="2">
          <cell r="A2">
            <v>38748</v>
          </cell>
          <cell r="B2">
            <v>0</v>
          </cell>
        </row>
        <row r="3">
          <cell r="A3">
            <v>38776</v>
          </cell>
          <cell r="B3">
            <v>0</v>
          </cell>
        </row>
        <row r="4">
          <cell r="A4">
            <v>38807</v>
          </cell>
          <cell r="B4">
            <v>0</v>
          </cell>
        </row>
        <row r="5">
          <cell r="A5">
            <v>38837</v>
          </cell>
          <cell r="B5">
            <v>0</v>
          </cell>
        </row>
        <row r="6">
          <cell r="A6">
            <v>38868</v>
          </cell>
          <cell r="B6">
            <v>0</v>
          </cell>
        </row>
        <row r="7">
          <cell r="A7">
            <v>38898</v>
          </cell>
          <cell r="B7">
            <v>0</v>
          </cell>
        </row>
        <row r="8">
          <cell r="A8">
            <v>38929</v>
          </cell>
          <cell r="B8">
            <v>0</v>
          </cell>
        </row>
        <row r="9">
          <cell r="A9">
            <v>38960</v>
          </cell>
          <cell r="B9">
            <v>0</v>
          </cell>
        </row>
        <row r="10">
          <cell r="A10">
            <v>38990</v>
          </cell>
          <cell r="B10">
            <v>-640012.46</v>
          </cell>
        </row>
        <row r="11">
          <cell r="A11">
            <v>39021</v>
          </cell>
          <cell r="B11">
            <v>97509.84</v>
          </cell>
        </row>
        <row r="12">
          <cell r="A12">
            <v>39051</v>
          </cell>
          <cell r="B12">
            <v>-278087.37</v>
          </cell>
        </row>
        <row r="13">
          <cell r="A13">
            <v>39082</v>
          </cell>
          <cell r="B13">
            <v>-928332.14</v>
          </cell>
        </row>
        <row r="14">
          <cell r="A14">
            <v>39113</v>
          </cell>
          <cell r="B14">
            <v>1578025.4</v>
          </cell>
        </row>
        <row r="15">
          <cell r="A15">
            <v>39141</v>
          </cell>
        </row>
        <row r="16">
          <cell r="A16">
            <v>39172</v>
          </cell>
        </row>
        <row r="17">
          <cell r="A17">
            <v>39202</v>
          </cell>
        </row>
        <row r="18">
          <cell r="A18">
            <v>39233</v>
          </cell>
        </row>
        <row r="19">
          <cell r="A19">
            <v>39263</v>
          </cell>
        </row>
        <row r="20">
          <cell r="A20">
            <v>39294</v>
          </cell>
        </row>
        <row r="21">
          <cell r="A21">
            <v>39325</v>
          </cell>
        </row>
        <row r="22">
          <cell r="A22">
            <v>39355</v>
          </cell>
        </row>
        <row r="23">
          <cell r="A23">
            <v>39386</v>
          </cell>
        </row>
        <row r="24">
          <cell r="A24">
            <v>39416</v>
          </cell>
        </row>
        <row r="25">
          <cell r="A25">
            <v>39447</v>
          </cell>
        </row>
        <row r="26">
          <cell r="A26">
            <v>39478</v>
          </cell>
        </row>
        <row r="27">
          <cell r="A27">
            <v>39507</v>
          </cell>
        </row>
        <row r="28">
          <cell r="A28">
            <v>39538</v>
          </cell>
        </row>
        <row r="29">
          <cell r="A29">
            <v>39568</v>
          </cell>
        </row>
        <row r="30">
          <cell r="A30">
            <v>39599</v>
          </cell>
        </row>
        <row r="31">
          <cell r="A31">
            <v>39629</v>
          </cell>
        </row>
        <row r="32">
          <cell r="A32">
            <v>39660</v>
          </cell>
        </row>
        <row r="33">
          <cell r="A33">
            <v>39691</v>
          </cell>
        </row>
        <row r="34">
          <cell r="A34">
            <v>39721</v>
          </cell>
        </row>
        <row r="35">
          <cell r="A35">
            <v>39752</v>
          </cell>
        </row>
        <row r="36">
          <cell r="A36">
            <v>39782</v>
          </cell>
        </row>
        <row r="37">
          <cell r="A37">
            <v>39813</v>
          </cell>
        </row>
        <row r="38">
          <cell r="A38">
            <v>39844</v>
          </cell>
        </row>
        <row r="39">
          <cell r="A39">
            <v>39872</v>
          </cell>
        </row>
        <row r="40">
          <cell r="A40">
            <v>39903</v>
          </cell>
        </row>
        <row r="41">
          <cell r="A41">
            <v>39933</v>
          </cell>
        </row>
        <row r="42">
          <cell r="A42">
            <v>39964</v>
          </cell>
        </row>
        <row r="43">
          <cell r="A43">
            <v>39994</v>
          </cell>
        </row>
        <row r="44">
          <cell r="A44">
            <v>40025</v>
          </cell>
        </row>
        <row r="45">
          <cell r="A45">
            <v>40056</v>
          </cell>
        </row>
        <row r="46">
          <cell r="A46">
            <v>40086</v>
          </cell>
        </row>
        <row r="47">
          <cell r="A47">
            <v>40117</v>
          </cell>
        </row>
        <row r="48">
          <cell r="A48">
            <v>40147</v>
          </cell>
        </row>
        <row r="49">
          <cell r="A49">
            <v>40178</v>
          </cell>
        </row>
        <row r="50">
          <cell r="A50">
            <v>40209</v>
          </cell>
        </row>
        <row r="51">
          <cell r="A51">
            <v>40237</v>
          </cell>
        </row>
        <row r="52">
          <cell r="A52">
            <v>40268</v>
          </cell>
        </row>
        <row r="53">
          <cell r="A53">
            <v>40298</v>
          </cell>
        </row>
        <row r="54">
          <cell r="A54">
            <v>40329</v>
          </cell>
        </row>
        <row r="55">
          <cell r="A55">
            <v>40359</v>
          </cell>
        </row>
        <row r="56">
          <cell r="A56">
            <v>40390</v>
          </cell>
        </row>
        <row r="57">
          <cell r="A57">
            <v>40421</v>
          </cell>
        </row>
        <row r="58">
          <cell r="A58">
            <v>40451</v>
          </cell>
        </row>
        <row r="59">
          <cell r="A59">
            <v>40482</v>
          </cell>
        </row>
        <row r="60">
          <cell r="A60">
            <v>40512</v>
          </cell>
        </row>
        <row r="61">
          <cell r="A61">
            <v>40543</v>
          </cell>
        </row>
        <row r="62">
          <cell r="A62">
            <v>40574</v>
          </cell>
        </row>
        <row r="63">
          <cell r="A63">
            <v>40602</v>
          </cell>
        </row>
        <row r="64">
          <cell r="A64">
            <v>40633</v>
          </cell>
        </row>
        <row r="65">
          <cell r="A65">
            <v>40663</v>
          </cell>
        </row>
        <row r="66">
          <cell r="A66">
            <v>40694</v>
          </cell>
        </row>
        <row r="67">
          <cell r="A67">
            <v>40724</v>
          </cell>
        </row>
        <row r="68">
          <cell r="A68">
            <v>40755</v>
          </cell>
        </row>
        <row r="69">
          <cell r="A69">
            <v>40786</v>
          </cell>
        </row>
        <row r="70">
          <cell r="A70">
            <v>40816</v>
          </cell>
        </row>
        <row r="71">
          <cell r="A71">
            <v>40847</v>
          </cell>
        </row>
        <row r="72">
          <cell r="A72">
            <v>40877</v>
          </cell>
        </row>
        <row r="73">
          <cell r="A73">
            <v>40908</v>
          </cell>
        </row>
        <row r="74">
          <cell r="A74">
            <v>40939</v>
          </cell>
        </row>
        <row r="75">
          <cell r="A75">
            <v>40968</v>
          </cell>
        </row>
        <row r="76">
          <cell r="A76">
            <v>40999</v>
          </cell>
        </row>
        <row r="77">
          <cell r="A77">
            <v>41029</v>
          </cell>
        </row>
        <row r="78">
          <cell r="A78">
            <v>41060</v>
          </cell>
        </row>
        <row r="79">
          <cell r="A79">
            <v>41090</v>
          </cell>
        </row>
        <row r="80">
          <cell r="A80">
            <v>41121</v>
          </cell>
        </row>
        <row r="81">
          <cell r="A81">
            <v>41152</v>
          </cell>
        </row>
        <row r="82">
          <cell r="A82">
            <v>41182</v>
          </cell>
        </row>
        <row r="83">
          <cell r="A83">
            <v>41213</v>
          </cell>
        </row>
        <row r="84">
          <cell r="A84">
            <v>41243</v>
          </cell>
        </row>
        <row r="85">
          <cell r="A85">
            <v>41274</v>
          </cell>
        </row>
        <row r="86">
          <cell r="A86">
            <v>41305</v>
          </cell>
        </row>
        <row r="87">
          <cell r="A87">
            <v>41333</v>
          </cell>
        </row>
        <row r="88">
          <cell r="A88">
            <v>41364</v>
          </cell>
        </row>
        <row r="89">
          <cell r="A89">
            <v>41394</v>
          </cell>
        </row>
        <row r="90">
          <cell r="A90">
            <v>41425</v>
          </cell>
        </row>
        <row r="91">
          <cell r="A91">
            <v>41455</v>
          </cell>
        </row>
        <row r="92">
          <cell r="A92">
            <v>41486</v>
          </cell>
        </row>
        <row r="93">
          <cell r="A93">
            <v>41517</v>
          </cell>
        </row>
        <row r="94">
          <cell r="A94">
            <v>41547</v>
          </cell>
        </row>
        <row r="95">
          <cell r="A95">
            <v>41578</v>
          </cell>
        </row>
        <row r="96">
          <cell r="A96">
            <v>41608</v>
          </cell>
        </row>
        <row r="97">
          <cell r="A97">
            <v>41639</v>
          </cell>
        </row>
        <row r="98">
          <cell r="A98">
            <v>41670</v>
          </cell>
        </row>
        <row r="99">
          <cell r="A99">
            <v>41698</v>
          </cell>
        </row>
        <row r="100">
          <cell r="A100">
            <v>41729</v>
          </cell>
        </row>
        <row r="101">
          <cell r="A101">
            <v>41759</v>
          </cell>
        </row>
        <row r="102">
          <cell r="A102">
            <v>41790</v>
          </cell>
        </row>
        <row r="103">
          <cell r="A103">
            <v>41820</v>
          </cell>
        </row>
        <row r="104">
          <cell r="A104">
            <v>41851</v>
          </cell>
        </row>
        <row r="105">
          <cell r="A105">
            <v>41882</v>
          </cell>
        </row>
        <row r="106">
          <cell r="A106">
            <v>41912</v>
          </cell>
        </row>
        <row r="107">
          <cell r="A107">
            <v>41943</v>
          </cell>
        </row>
        <row r="108">
          <cell r="A108">
            <v>41973</v>
          </cell>
        </row>
        <row r="109">
          <cell r="A109">
            <v>42004</v>
          </cell>
        </row>
        <row r="110">
          <cell r="A110">
            <v>42035</v>
          </cell>
        </row>
        <row r="111">
          <cell r="A111">
            <v>42063</v>
          </cell>
        </row>
        <row r="112">
          <cell r="A112">
            <v>42094</v>
          </cell>
        </row>
        <row r="113">
          <cell r="A113">
            <v>42124</v>
          </cell>
        </row>
        <row r="114">
          <cell r="A114">
            <v>42155</v>
          </cell>
        </row>
        <row r="115">
          <cell r="A115">
            <v>42185</v>
          </cell>
        </row>
        <row r="116">
          <cell r="A116">
            <v>42216</v>
          </cell>
        </row>
        <row r="117">
          <cell r="A117">
            <v>42247</v>
          </cell>
        </row>
        <row r="118">
          <cell r="A118">
            <v>42277</v>
          </cell>
        </row>
        <row r="119">
          <cell r="A119">
            <v>42308</v>
          </cell>
        </row>
        <row r="120">
          <cell r="A120">
            <v>42338</v>
          </cell>
        </row>
        <row r="121">
          <cell r="A121">
            <v>42369</v>
          </cell>
        </row>
        <row r="122">
          <cell r="A122">
            <v>42400</v>
          </cell>
        </row>
        <row r="123">
          <cell r="A123">
            <v>42429</v>
          </cell>
        </row>
        <row r="124">
          <cell r="A124">
            <v>42460</v>
          </cell>
        </row>
        <row r="125">
          <cell r="A125">
            <v>42490</v>
          </cell>
        </row>
        <row r="126">
          <cell r="A126">
            <v>42521</v>
          </cell>
        </row>
        <row r="127">
          <cell r="A127">
            <v>42551</v>
          </cell>
        </row>
        <row r="128">
          <cell r="A128">
            <v>42582</v>
          </cell>
        </row>
        <row r="129">
          <cell r="A129">
            <v>42613</v>
          </cell>
        </row>
        <row r="130">
          <cell r="A130">
            <v>42643</v>
          </cell>
        </row>
        <row r="131">
          <cell r="A131">
            <v>42674</v>
          </cell>
        </row>
        <row r="132">
          <cell r="A132">
            <v>42704</v>
          </cell>
        </row>
        <row r="133">
          <cell r="A133">
            <v>42735</v>
          </cell>
        </row>
        <row r="134">
          <cell r="A134">
            <v>42766</v>
          </cell>
        </row>
        <row r="135">
          <cell r="A135">
            <v>42794</v>
          </cell>
        </row>
        <row r="136">
          <cell r="A136">
            <v>42825</v>
          </cell>
        </row>
        <row r="137">
          <cell r="A137">
            <v>42855</v>
          </cell>
        </row>
        <row r="138">
          <cell r="A138">
            <v>42886</v>
          </cell>
        </row>
        <row r="139">
          <cell r="A139">
            <v>42916</v>
          </cell>
        </row>
        <row r="140">
          <cell r="A140">
            <v>42947</v>
          </cell>
        </row>
        <row r="141">
          <cell r="A141">
            <v>42978</v>
          </cell>
        </row>
        <row r="142">
          <cell r="A142">
            <v>43008</v>
          </cell>
        </row>
        <row r="143">
          <cell r="A143">
            <v>43039</v>
          </cell>
        </row>
        <row r="144">
          <cell r="A144">
            <v>43069</v>
          </cell>
        </row>
        <row r="145">
          <cell r="A145">
            <v>43100</v>
          </cell>
        </row>
        <row r="146">
          <cell r="A146">
            <v>43131</v>
          </cell>
        </row>
        <row r="147">
          <cell r="A147">
            <v>43159</v>
          </cell>
        </row>
        <row r="148">
          <cell r="A148">
            <v>43190</v>
          </cell>
        </row>
        <row r="149">
          <cell r="A149">
            <v>43220</v>
          </cell>
        </row>
        <row r="150">
          <cell r="A150">
            <v>43251</v>
          </cell>
        </row>
        <row r="151">
          <cell r="A151">
            <v>43281</v>
          </cell>
        </row>
        <row r="152">
          <cell r="A152">
            <v>43312</v>
          </cell>
        </row>
        <row r="153">
          <cell r="A153">
            <v>43343</v>
          </cell>
        </row>
        <row r="154">
          <cell r="A154">
            <v>43373</v>
          </cell>
        </row>
        <row r="155">
          <cell r="A155">
            <v>43404</v>
          </cell>
        </row>
        <row r="156">
          <cell r="A156">
            <v>43434</v>
          </cell>
        </row>
        <row r="157">
          <cell r="A157">
            <v>43465</v>
          </cell>
        </row>
        <row r="158">
          <cell r="A158">
            <v>43496</v>
          </cell>
        </row>
        <row r="159">
          <cell r="A159">
            <v>43524</v>
          </cell>
        </row>
        <row r="160">
          <cell r="A160">
            <v>43555</v>
          </cell>
        </row>
        <row r="161">
          <cell r="A161">
            <v>43585</v>
          </cell>
        </row>
        <row r="162">
          <cell r="A162">
            <v>43616</v>
          </cell>
        </row>
        <row r="163">
          <cell r="A163">
            <v>43646</v>
          </cell>
        </row>
        <row r="164">
          <cell r="A164">
            <v>43677</v>
          </cell>
        </row>
        <row r="165">
          <cell r="A165">
            <v>43708</v>
          </cell>
        </row>
        <row r="166">
          <cell r="A166">
            <v>43738</v>
          </cell>
        </row>
        <row r="167">
          <cell r="A167">
            <v>43769</v>
          </cell>
        </row>
        <row r="168">
          <cell r="A168">
            <v>43799</v>
          </cell>
        </row>
        <row r="169">
          <cell r="A169">
            <v>43830</v>
          </cell>
        </row>
        <row r="170">
          <cell r="A170">
            <v>43861</v>
          </cell>
        </row>
        <row r="171">
          <cell r="A171">
            <v>43890</v>
          </cell>
        </row>
        <row r="172">
          <cell r="A172">
            <v>43921</v>
          </cell>
        </row>
        <row r="173">
          <cell r="A173">
            <v>43951</v>
          </cell>
        </row>
        <row r="174">
          <cell r="A174">
            <v>43982</v>
          </cell>
        </row>
        <row r="175">
          <cell r="A175">
            <v>44012</v>
          </cell>
        </row>
        <row r="176">
          <cell r="A176">
            <v>44043</v>
          </cell>
        </row>
        <row r="177">
          <cell r="A177">
            <v>44074</v>
          </cell>
        </row>
        <row r="178">
          <cell r="A178">
            <v>44104</v>
          </cell>
        </row>
        <row r="179">
          <cell r="A179">
            <v>44135</v>
          </cell>
        </row>
      </sheetData>
      <sheetData sheetId="2"/>
      <sheetData sheetId="3"/>
      <sheetData sheetId="4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>
            <v>481000</v>
          </cell>
          <cell r="B2">
            <v>1015</v>
          </cell>
          <cell r="C2">
            <v>-4980289.62</v>
          </cell>
          <cell r="D2" t="str">
            <v>210</v>
          </cell>
          <cell r="E2" t="str">
            <v>402</v>
          </cell>
          <cell r="F2">
            <v>-927877</v>
          </cell>
          <cell r="G2">
            <v>1</v>
          </cell>
          <cell r="H2" t="str">
            <v>2006-01-31</v>
          </cell>
        </row>
        <row r="3">
          <cell r="A3">
            <v>481000</v>
          </cell>
          <cell r="B3">
            <v>1015</v>
          </cell>
          <cell r="C3">
            <v>4980289.51</v>
          </cell>
          <cell r="D3" t="str">
            <v>210</v>
          </cell>
          <cell r="E3" t="str">
            <v>402</v>
          </cell>
          <cell r="F3">
            <v>927877</v>
          </cell>
          <cell r="G3">
            <v>1</v>
          </cell>
          <cell r="H3" t="str">
            <v>2006-01-31</v>
          </cell>
        </row>
        <row r="4">
          <cell r="A4">
            <v>481000</v>
          </cell>
          <cell r="B4">
            <v>1015</v>
          </cell>
          <cell r="C4">
            <v>0.11</v>
          </cell>
          <cell r="D4" t="str">
            <v>210</v>
          </cell>
          <cell r="E4" t="str">
            <v>402</v>
          </cell>
          <cell r="F4">
            <v>0</v>
          </cell>
          <cell r="G4">
            <v>1</v>
          </cell>
          <cell r="H4" t="str">
            <v>2006-01-31</v>
          </cell>
        </row>
        <row r="5">
          <cell r="A5">
            <v>481004</v>
          </cell>
          <cell r="B5">
            <v>1015</v>
          </cell>
          <cell r="C5">
            <v>4327182.79</v>
          </cell>
          <cell r="D5" t="str">
            <v>210</v>
          </cell>
          <cell r="E5" t="str">
            <v>402</v>
          </cell>
          <cell r="F5">
            <v>842511</v>
          </cell>
          <cell r="G5">
            <v>1</v>
          </cell>
          <cell r="H5" t="str">
            <v>2006-01-31</v>
          </cell>
        </row>
        <row r="6">
          <cell r="A6">
            <v>481004</v>
          </cell>
          <cell r="B6">
            <v>1015</v>
          </cell>
          <cell r="C6">
            <v>-4327182.79</v>
          </cell>
          <cell r="D6" t="str">
            <v>210</v>
          </cell>
          <cell r="E6" t="str">
            <v>402</v>
          </cell>
          <cell r="F6">
            <v>-842511</v>
          </cell>
          <cell r="G6">
            <v>1</v>
          </cell>
          <cell r="H6" t="str">
            <v>2006-01-31</v>
          </cell>
        </row>
        <row r="7">
          <cell r="A7">
            <v>481000</v>
          </cell>
          <cell r="B7">
            <v>1015</v>
          </cell>
          <cell r="C7">
            <v>0</v>
          </cell>
          <cell r="D7" t="str">
            <v>210</v>
          </cell>
          <cell r="E7" t="str">
            <v>403</v>
          </cell>
          <cell r="F7">
            <v>0</v>
          </cell>
          <cell r="G7">
            <v>1</v>
          </cell>
          <cell r="H7" t="str">
            <v>2006-01-31</v>
          </cell>
        </row>
        <row r="8">
          <cell r="A8">
            <v>481000</v>
          </cell>
          <cell r="B8">
            <v>1015</v>
          </cell>
          <cell r="C8">
            <v>0</v>
          </cell>
          <cell r="D8" t="str">
            <v>210</v>
          </cell>
          <cell r="E8" t="str">
            <v>403</v>
          </cell>
          <cell r="F8">
            <v>0</v>
          </cell>
          <cell r="G8">
            <v>1</v>
          </cell>
          <cell r="H8" t="str">
            <v>2006-01-31</v>
          </cell>
        </row>
        <row r="9">
          <cell r="A9">
            <v>481004</v>
          </cell>
          <cell r="B9">
            <v>1015</v>
          </cell>
          <cell r="C9">
            <v>0</v>
          </cell>
          <cell r="D9" t="str">
            <v>210</v>
          </cell>
          <cell r="E9" t="str">
            <v>403</v>
          </cell>
          <cell r="F9">
            <v>0</v>
          </cell>
          <cell r="G9">
            <v>1</v>
          </cell>
          <cell r="H9" t="str">
            <v>2006-01-31</v>
          </cell>
        </row>
        <row r="10">
          <cell r="A10">
            <v>481004</v>
          </cell>
          <cell r="B10">
            <v>1015</v>
          </cell>
          <cell r="C10">
            <v>0</v>
          </cell>
          <cell r="D10" t="str">
            <v>210</v>
          </cell>
          <cell r="E10" t="str">
            <v>403</v>
          </cell>
          <cell r="F10">
            <v>0</v>
          </cell>
          <cell r="G10">
            <v>1</v>
          </cell>
          <cell r="H10" t="str">
            <v>2006-01-31</v>
          </cell>
        </row>
        <row r="11">
          <cell r="A11">
            <v>481000</v>
          </cell>
          <cell r="B11">
            <v>1015</v>
          </cell>
          <cell r="C11">
            <v>0</v>
          </cell>
          <cell r="D11" t="str">
            <v>210</v>
          </cell>
          <cell r="E11" t="str">
            <v>404</v>
          </cell>
          <cell r="F11">
            <v>0</v>
          </cell>
          <cell r="G11">
            <v>1</v>
          </cell>
          <cell r="H11" t="str">
            <v>2006-01-31</v>
          </cell>
        </row>
        <row r="12">
          <cell r="A12">
            <v>481000</v>
          </cell>
          <cell r="B12">
            <v>1015</v>
          </cell>
          <cell r="C12">
            <v>0</v>
          </cell>
          <cell r="D12" t="str">
            <v>210</v>
          </cell>
          <cell r="E12" t="str">
            <v>404</v>
          </cell>
          <cell r="F12">
            <v>0</v>
          </cell>
          <cell r="G12">
            <v>1</v>
          </cell>
          <cell r="H12" t="str">
            <v>2006-01-31</v>
          </cell>
        </row>
        <row r="13">
          <cell r="A13">
            <v>481004</v>
          </cell>
          <cell r="B13">
            <v>1015</v>
          </cell>
          <cell r="C13">
            <v>0</v>
          </cell>
          <cell r="D13" t="str">
            <v>210</v>
          </cell>
          <cell r="E13" t="str">
            <v>404</v>
          </cell>
          <cell r="F13">
            <v>0</v>
          </cell>
          <cell r="G13">
            <v>1</v>
          </cell>
          <cell r="H13" t="str">
            <v>2006-01-31</v>
          </cell>
        </row>
        <row r="14">
          <cell r="A14">
            <v>481004</v>
          </cell>
          <cell r="B14">
            <v>1015</v>
          </cell>
          <cell r="C14">
            <v>0</v>
          </cell>
          <cell r="D14" t="str">
            <v>210</v>
          </cell>
          <cell r="E14" t="str">
            <v>404</v>
          </cell>
          <cell r="F14">
            <v>0</v>
          </cell>
          <cell r="G14">
            <v>1</v>
          </cell>
          <cell r="H14" t="str">
            <v>2006-01-31</v>
          </cell>
        </row>
        <row r="15">
          <cell r="A15">
            <v>480000</v>
          </cell>
          <cell r="B15">
            <v>1015</v>
          </cell>
          <cell r="C15">
            <v>2.2999999999999998</v>
          </cell>
          <cell r="D15" t="str">
            <v>210</v>
          </cell>
          <cell r="E15" t="str">
            <v>407</v>
          </cell>
          <cell r="F15">
            <v>0</v>
          </cell>
          <cell r="G15">
            <v>1</v>
          </cell>
          <cell r="H15" t="str">
            <v>2006-01-31</v>
          </cell>
        </row>
        <row r="16">
          <cell r="A16">
            <v>480000</v>
          </cell>
          <cell r="B16">
            <v>1015</v>
          </cell>
          <cell r="C16">
            <v>463.04</v>
          </cell>
          <cell r="D16" t="str">
            <v>210</v>
          </cell>
          <cell r="E16" t="str">
            <v>407</v>
          </cell>
          <cell r="F16">
            <v>59.6</v>
          </cell>
          <cell r="G16">
            <v>1</v>
          </cell>
          <cell r="H16" t="str">
            <v>2006-01-31</v>
          </cell>
        </row>
        <row r="17">
          <cell r="A17">
            <v>480000</v>
          </cell>
          <cell r="B17">
            <v>1015</v>
          </cell>
          <cell r="C17">
            <v>4296.3</v>
          </cell>
          <cell r="D17" t="str">
            <v>210</v>
          </cell>
          <cell r="E17" t="str">
            <v>407</v>
          </cell>
          <cell r="F17">
            <v>645.20000000000005</v>
          </cell>
          <cell r="G17">
            <v>1</v>
          </cell>
          <cell r="H17" t="str">
            <v>2006-01-31</v>
          </cell>
        </row>
        <row r="18">
          <cell r="A18">
            <v>480000</v>
          </cell>
          <cell r="B18">
            <v>1015</v>
          </cell>
          <cell r="C18">
            <v>1371.32</v>
          </cell>
          <cell r="D18" t="str">
            <v>210</v>
          </cell>
          <cell r="E18" t="str">
            <v>407</v>
          </cell>
          <cell r="F18">
            <v>190.3</v>
          </cell>
          <cell r="G18">
            <v>1</v>
          </cell>
          <cell r="H18" t="str">
            <v>2006-01-31</v>
          </cell>
        </row>
        <row r="19">
          <cell r="A19">
            <v>480001</v>
          </cell>
          <cell r="B19">
            <v>1015</v>
          </cell>
          <cell r="C19">
            <v>-6959.2</v>
          </cell>
          <cell r="D19" t="str">
            <v>210</v>
          </cell>
          <cell r="E19" t="str">
            <v>407</v>
          </cell>
          <cell r="F19">
            <v>-1007</v>
          </cell>
          <cell r="G19">
            <v>1</v>
          </cell>
          <cell r="H19" t="str">
            <v>2006-01-31</v>
          </cell>
        </row>
        <row r="20">
          <cell r="A20">
            <v>481004</v>
          </cell>
          <cell r="B20">
            <v>1015</v>
          </cell>
          <cell r="C20">
            <v>20.28</v>
          </cell>
          <cell r="D20" t="str">
            <v>210</v>
          </cell>
          <cell r="E20" t="str">
            <v>407</v>
          </cell>
          <cell r="F20">
            <v>2.5</v>
          </cell>
          <cell r="G20">
            <v>1</v>
          </cell>
          <cell r="H20" t="str">
            <v>2006-01-31</v>
          </cell>
        </row>
        <row r="21">
          <cell r="A21">
            <v>481004</v>
          </cell>
          <cell r="B21">
            <v>1015</v>
          </cell>
          <cell r="C21">
            <v>57.14</v>
          </cell>
          <cell r="D21" t="str">
            <v>210</v>
          </cell>
          <cell r="E21" t="str">
            <v>407</v>
          </cell>
          <cell r="F21">
            <v>6.8</v>
          </cell>
          <cell r="G21">
            <v>1</v>
          </cell>
          <cell r="H21" t="str">
            <v>2006-01-31</v>
          </cell>
        </row>
        <row r="22">
          <cell r="A22">
            <v>481004</v>
          </cell>
          <cell r="B22">
            <v>1015</v>
          </cell>
          <cell r="C22">
            <v>748.82</v>
          </cell>
          <cell r="D22" t="str">
            <v>210</v>
          </cell>
          <cell r="E22" t="str">
            <v>407</v>
          </cell>
          <cell r="F22">
            <v>102.6</v>
          </cell>
          <cell r="G22">
            <v>1</v>
          </cell>
          <cell r="H22" t="str">
            <v>2006-01-31</v>
          </cell>
        </row>
        <row r="23">
          <cell r="A23">
            <v>480001</v>
          </cell>
          <cell r="B23">
            <v>1015</v>
          </cell>
          <cell r="C23">
            <v>0</v>
          </cell>
          <cell r="D23" t="str">
            <v>210</v>
          </cell>
          <cell r="E23" t="str">
            <v>408</v>
          </cell>
          <cell r="F23">
            <v>0</v>
          </cell>
          <cell r="G23">
            <v>1</v>
          </cell>
          <cell r="H23" t="str">
            <v>2006-01-31</v>
          </cell>
        </row>
        <row r="24">
          <cell r="A24">
            <v>481002</v>
          </cell>
          <cell r="B24">
            <v>1015</v>
          </cell>
          <cell r="C24">
            <v>0</v>
          </cell>
          <cell r="D24" t="str">
            <v>210</v>
          </cell>
          <cell r="E24" t="str">
            <v>409</v>
          </cell>
          <cell r="F24">
            <v>0</v>
          </cell>
          <cell r="G24">
            <v>1</v>
          </cell>
          <cell r="H24" t="str">
            <v>2006-01-31</v>
          </cell>
        </row>
        <row r="25">
          <cell r="A25">
            <v>481002</v>
          </cell>
          <cell r="B25">
            <v>1015</v>
          </cell>
          <cell r="C25">
            <v>0</v>
          </cell>
          <cell r="D25" t="str">
            <v>210</v>
          </cell>
          <cell r="E25" t="str">
            <v>409</v>
          </cell>
          <cell r="F25">
            <v>0</v>
          </cell>
          <cell r="G25">
            <v>1</v>
          </cell>
          <cell r="H25" t="str">
            <v>2006-01-31</v>
          </cell>
        </row>
        <row r="26">
          <cell r="A26">
            <v>481002</v>
          </cell>
          <cell r="B26">
            <v>1015</v>
          </cell>
          <cell r="C26">
            <v>0</v>
          </cell>
          <cell r="D26" t="str">
            <v>210</v>
          </cell>
          <cell r="E26" t="str">
            <v>411</v>
          </cell>
          <cell r="F26">
            <v>0</v>
          </cell>
          <cell r="G26">
            <v>1</v>
          </cell>
          <cell r="H26" t="str">
            <v>2006-01-31</v>
          </cell>
        </row>
        <row r="27">
          <cell r="A27">
            <v>481002</v>
          </cell>
          <cell r="B27">
            <v>1015</v>
          </cell>
          <cell r="C27">
            <v>0</v>
          </cell>
          <cell r="D27" t="str">
            <v>210</v>
          </cell>
          <cell r="E27" t="str">
            <v>411</v>
          </cell>
          <cell r="F27">
            <v>0</v>
          </cell>
          <cell r="G27">
            <v>1</v>
          </cell>
          <cell r="H27" t="str">
            <v>2006-01-31</v>
          </cell>
        </row>
        <row r="28">
          <cell r="A28">
            <v>481005</v>
          </cell>
          <cell r="B28">
            <v>1015</v>
          </cell>
          <cell r="C28">
            <v>0</v>
          </cell>
          <cell r="D28" t="str">
            <v>210</v>
          </cell>
          <cell r="E28" t="str">
            <v>411</v>
          </cell>
          <cell r="F28">
            <v>0</v>
          </cell>
          <cell r="G28">
            <v>1</v>
          </cell>
          <cell r="H28" t="str">
            <v>2006-01-31</v>
          </cell>
        </row>
        <row r="29">
          <cell r="A29">
            <v>481005</v>
          </cell>
          <cell r="B29">
            <v>1015</v>
          </cell>
          <cell r="C29">
            <v>0</v>
          </cell>
          <cell r="D29" t="str">
            <v>210</v>
          </cell>
          <cell r="E29" t="str">
            <v>411</v>
          </cell>
          <cell r="F29">
            <v>0</v>
          </cell>
          <cell r="G29">
            <v>1</v>
          </cell>
          <cell r="H29" t="str">
            <v>2006-01-31</v>
          </cell>
        </row>
        <row r="30">
          <cell r="A30">
            <v>481005</v>
          </cell>
          <cell r="B30">
            <v>1015</v>
          </cell>
          <cell r="C30">
            <v>-0.97</v>
          </cell>
          <cell r="D30" t="str">
            <v>210</v>
          </cell>
          <cell r="E30" t="str">
            <v>411</v>
          </cell>
          <cell r="F30">
            <v>0</v>
          </cell>
          <cell r="G30">
            <v>1</v>
          </cell>
          <cell r="H30" t="str">
            <v>2006-01-31</v>
          </cell>
        </row>
        <row r="31">
          <cell r="A31">
            <v>481002</v>
          </cell>
          <cell r="B31">
            <v>1015</v>
          </cell>
          <cell r="C31">
            <v>0</v>
          </cell>
          <cell r="D31" t="str">
            <v>210</v>
          </cell>
          <cell r="E31" t="str">
            <v>412</v>
          </cell>
          <cell r="F31">
            <v>0</v>
          </cell>
          <cell r="G31">
            <v>1</v>
          </cell>
          <cell r="H31" t="str">
            <v>2006-01-31</v>
          </cell>
        </row>
        <row r="32">
          <cell r="A32">
            <v>481002</v>
          </cell>
          <cell r="B32">
            <v>1015</v>
          </cell>
          <cell r="C32">
            <v>0</v>
          </cell>
          <cell r="D32" t="str">
            <v>210</v>
          </cell>
          <cell r="E32" t="str">
            <v>412</v>
          </cell>
          <cell r="F32">
            <v>0</v>
          </cell>
          <cell r="G32">
            <v>1</v>
          </cell>
          <cell r="H32" t="str">
            <v>2006-01-31</v>
          </cell>
        </row>
        <row r="33">
          <cell r="A33">
            <v>481002</v>
          </cell>
          <cell r="B33">
            <v>1015</v>
          </cell>
          <cell r="C33">
            <v>0</v>
          </cell>
          <cell r="D33" t="str">
            <v>210</v>
          </cell>
          <cell r="E33" t="str">
            <v>414</v>
          </cell>
          <cell r="F33">
            <v>0</v>
          </cell>
          <cell r="G33">
            <v>1</v>
          </cell>
          <cell r="H33" t="str">
            <v>2006-01-31</v>
          </cell>
        </row>
        <row r="34">
          <cell r="A34">
            <v>481002</v>
          </cell>
          <cell r="B34">
            <v>1015</v>
          </cell>
          <cell r="C34">
            <v>0</v>
          </cell>
          <cell r="D34" t="str">
            <v>210</v>
          </cell>
          <cell r="E34" t="str">
            <v>414</v>
          </cell>
          <cell r="F34">
            <v>0</v>
          </cell>
          <cell r="G34">
            <v>1</v>
          </cell>
          <cell r="H34" t="str">
            <v>2006-01-31</v>
          </cell>
        </row>
        <row r="35">
          <cell r="A35">
            <v>481005</v>
          </cell>
          <cell r="B35">
            <v>1015</v>
          </cell>
          <cell r="C35">
            <v>0</v>
          </cell>
          <cell r="D35" t="str">
            <v>210</v>
          </cell>
          <cell r="E35" t="str">
            <v>414</v>
          </cell>
          <cell r="F35">
            <v>0</v>
          </cell>
          <cell r="G35">
            <v>1</v>
          </cell>
          <cell r="H35" t="str">
            <v>2006-01-31</v>
          </cell>
        </row>
        <row r="36">
          <cell r="A36">
            <v>481005</v>
          </cell>
          <cell r="B36">
            <v>1015</v>
          </cell>
          <cell r="C36">
            <v>0</v>
          </cell>
          <cell r="D36" t="str">
            <v>210</v>
          </cell>
          <cell r="E36" t="str">
            <v>414</v>
          </cell>
          <cell r="F36">
            <v>0</v>
          </cell>
          <cell r="G36">
            <v>1</v>
          </cell>
          <cell r="H36" t="str">
            <v>2006-01-31</v>
          </cell>
        </row>
        <row r="37">
          <cell r="A37">
            <v>481000</v>
          </cell>
          <cell r="B37">
            <v>1015</v>
          </cell>
          <cell r="C37">
            <v>-124454.62</v>
          </cell>
          <cell r="D37" t="str">
            <v>210</v>
          </cell>
          <cell r="E37" t="str">
            <v>451</v>
          </cell>
          <cell r="F37">
            <v>-20592</v>
          </cell>
          <cell r="G37">
            <v>1</v>
          </cell>
          <cell r="H37" t="str">
            <v>2006-01-31</v>
          </cell>
        </row>
        <row r="38">
          <cell r="A38">
            <v>481000</v>
          </cell>
          <cell r="B38">
            <v>1015</v>
          </cell>
          <cell r="C38">
            <v>124454.62</v>
          </cell>
          <cell r="D38" t="str">
            <v>210</v>
          </cell>
          <cell r="E38" t="str">
            <v>451</v>
          </cell>
          <cell r="F38">
            <v>20592</v>
          </cell>
          <cell r="G38">
            <v>1</v>
          </cell>
          <cell r="H38" t="str">
            <v>2006-01-31</v>
          </cell>
        </row>
        <row r="39">
          <cell r="A39">
            <v>481004</v>
          </cell>
          <cell r="B39">
            <v>1015</v>
          </cell>
          <cell r="C39">
            <v>13438.52</v>
          </cell>
          <cell r="D39" t="str">
            <v>210</v>
          </cell>
          <cell r="E39" t="str">
            <v>451</v>
          </cell>
          <cell r="F39">
            <v>2125</v>
          </cell>
          <cell r="G39">
            <v>1</v>
          </cell>
          <cell r="H39" t="str">
            <v>2006-01-31</v>
          </cell>
        </row>
        <row r="40">
          <cell r="A40">
            <v>481004</v>
          </cell>
          <cell r="B40">
            <v>1015</v>
          </cell>
          <cell r="C40">
            <v>-13438.52</v>
          </cell>
          <cell r="D40" t="str">
            <v>210</v>
          </cell>
          <cell r="E40" t="str">
            <v>451</v>
          </cell>
          <cell r="F40">
            <v>-2125</v>
          </cell>
          <cell r="G40">
            <v>1</v>
          </cell>
          <cell r="H40" t="str">
            <v>2006-01-31</v>
          </cell>
        </row>
        <row r="41">
          <cell r="A41">
            <v>480000</v>
          </cell>
          <cell r="B41">
            <v>1015</v>
          </cell>
          <cell r="C41">
            <v>1277.3599999999999</v>
          </cell>
          <cell r="D41" t="str">
            <v>210</v>
          </cell>
          <cell r="E41" t="str">
            <v>453</v>
          </cell>
          <cell r="F41">
            <v>179</v>
          </cell>
          <cell r="G41">
            <v>1</v>
          </cell>
          <cell r="H41" t="str">
            <v>2006-01-31</v>
          </cell>
        </row>
        <row r="42">
          <cell r="A42">
            <v>480001</v>
          </cell>
          <cell r="B42">
            <v>1015</v>
          </cell>
          <cell r="C42">
            <v>-1277.3599999999999</v>
          </cell>
          <cell r="D42" t="str">
            <v>210</v>
          </cell>
          <cell r="E42" t="str">
            <v>453</v>
          </cell>
          <cell r="F42">
            <v>-179</v>
          </cell>
          <cell r="G42">
            <v>1</v>
          </cell>
          <cell r="H42" t="str">
            <v>2006-01-31</v>
          </cell>
        </row>
        <row r="43">
          <cell r="A43">
            <v>480001</v>
          </cell>
          <cell r="B43">
            <v>1015</v>
          </cell>
          <cell r="C43">
            <v>0</v>
          </cell>
          <cell r="D43" t="str">
            <v>210</v>
          </cell>
          <cell r="E43" t="str">
            <v>455</v>
          </cell>
          <cell r="F43">
            <v>0</v>
          </cell>
          <cell r="G43">
            <v>1</v>
          </cell>
          <cell r="H43" t="str">
            <v>2006-01-31</v>
          </cell>
        </row>
        <row r="44">
          <cell r="A44">
            <v>481002</v>
          </cell>
          <cell r="B44">
            <v>1015</v>
          </cell>
          <cell r="C44">
            <v>0</v>
          </cell>
          <cell r="D44" t="str">
            <v>210</v>
          </cell>
          <cell r="E44" t="str">
            <v>456</v>
          </cell>
          <cell r="F44">
            <v>0</v>
          </cell>
          <cell r="G44">
            <v>1</v>
          </cell>
          <cell r="H44" t="str">
            <v>2006-01-31</v>
          </cell>
        </row>
        <row r="45">
          <cell r="A45">
            <v>481002</v>
          </cell>
          <cell r="B45">
            <v>1015</v>
          </cell>
          <cell r="C45">
            <v>0</v>
          </cell>
          <cell r="D45" t="str">
            <v>210</v>
          </cell>
          <cell r="E45" t="str">
            <v>456</v>
          </cell>
          <cell r="F45">
            <v>0</v>
          </cell>
          <cell r="G45">
            <v>1</v>
          </cell>
          <cell r="H45" t="str">
            <v>2006-01-31</v>
          </cell>
        </row>
        <row r="46">
          <cell r="A46">
            <v>481002</v>
          </cell>
          <cell r="B46">
            <v>1015</v>
          </cell>
          <cell r="C46">
            <v>0</v>
          </cell>
          <cell r="D46" t="str">
            <v>210</v>
          </cell>
          <cell r="E46" t="str">
            <v>457</v>
          </cell>
          <cell r="F46">
            <v>0</v>
          </cell>
          <cell r="G46">
            <v>1</v>
          </cell>
          <cell r="H46" t="str">
            <v>2006-01-31</v>
          </cell>
        </row>
        <row r="47">
          <cell r="A47">
            <v>481002</v>
          </cell>
          <cell r="B47">
            <v>1015</v>
          </cell>
          <cell r="C47">
            <v>0</v>
          </cell>
          <cell r="D47" t="str">
            <v>210</v>
          </cell>
          <cell r="E47" t="str">
            <v>457</v>
          </cell>
          <cell r="F47">
            <v>0</v>
          </cell>
          <cell r="G47">
            <v>1</v>
          </cell>
          <cell r="H47" t="str">
            <v>2006-01-31</v>
          </cell>
        </row>
        <row r="48">
          <cell r="A48">
            <v>481005</v>
          </cell>
          <cell r="B48">
            <v>1015</v>
          </cell>
          <cell r="C48">
            <v>0</v>
          </cell>
          <cell r="D48" t="str">
            <v>210</v>
          </cell>
          <cell r="E48" t="str">
            <v>457</v>
          </cell>
          <cell r="F48">
            <v>0</v>
          </cell>
          <cell r="G48">
            <v>1</v>
          </cell>
          <cell r="H48" t="str">
            <v>2006-01-31</v>
          </cell>
        </row>
        <row r="49">
          <cell r="A49">
            <v>481005</v>
          </cell>
          <cell r="B49">
            <v>1015</v>
          </cell>
          <cell r="C49">
            <v>0</v>
          </cell>
          <cell r="D49" t="str">
            <v>210</v>
          </cell>
          <cell r="E49" t="str">
            <v>457</v>
          </cell>
          <cell r="F49">
            <v>0</v>
          </cell>
          <cell r="G49">
            <v>1</v>
          </cell>
          <cell r="H49" t="str">
            <v>2006-01-31</v>
          </cell>
        </row>
        <row r="50">
          <cell r="A50">
            <v>481000</v>
          </cell>
          <cell r="B50">
            <v>1015</v>
          </cell>
          <cell r="C50">
            <v>-1847966.95</v>
          </cell>
          <cell r="D50" t="str">
            <v>204</v>
          </cell>
          <cell r="E50" t="str">
            <v>402</v>
          </cell>
          <cell r="F50">
            <v>0</v>
          </cell>
          <cell r="G50">
            <v>1</v>
          </cell>
          <cell r="H50" t="str">
            <v>2006-01-31</v>
          </cell>
        </row>
        <row r="51">
          <cell r="A51">
            <v>481000</v>
          </cell>
          <cell r="B51">
            <v>1015</v>
          </cell>
          <cell r="C51">
            <v>537433.12</v>
          </cell>
          <cell r="D51" t="str">
            <v>204</v>
          </cell>
          <cell r="E51" t="str">
            <v>402</v>
          </cell>
          <cell r="F51">
            <v>0</v>
          </cell>
          <cell r="G51">
            <v>1</v>
          </cell>
          <cell r="H51" t="str">
            <v>2006-01-31</v>
          </cell>
        </row>
        <row r="52">
          <cell r="A52">
            <v>481000</v>
          </cell>
          <cell r="B52">
            <v>1015</v>
          </cell>
          <cell r="C52">
            <v>-489619.79</v>
          </cell>
          <cell r="D52" t="str">
            <v>204</v>
          </cell>
          <cell r="E52" t="str">
            <v>402</v>
          </cell>
          <cell r="F52">
            <v>0</v>
          </cell>
          <cell r="G52">
            <v>1</v>
          </cell>
          <cell r="H52" t="str">
            <v>2006-01-31</v>
          </cell>
        </row>
        <row r="53">
          <cell r="A53">
            <v>481000</v>
          </cell>
          <cell r="B53">
            <v>1015</v>
          </cell>
          <cell r="C53">
            <v>-27578.3</v>
          </cell>
          <cell r="D53" t="str">
            <v>204</v>
          </cell>
          <cell r="E53" t="str">
            <v>402</v>
          </cell>
          <cell r="F53">
            <v>0</v>
          </cell>
          <cell r="G53">
            <v>1</v>
          </cell>
          <cell r="H53" t="str">
            <v>2006-01-31</v>
          </cell>
        </row>
        <row r="54">
          <cell r="A54">
            <v>481000</v>
          </cell>
          <cell r="B54">
            <v>1015</v>
          </cell>
          <cell r="C54">
            <v>-104521.32</v>
          </cell>
          <cell r="D54" t="str">
            <v>204</v>
          </cell>
          <cell r="E54" t="str">
            <v>402</v>
          </cell>
          <cell r="F54">
            <v>0</v>
          </cell>
          <cell r="G54">
            <v>1</v>
          </cell>
          <cell r="H54" t="str">
            <v>2006-01-31</v>
          </cell>
        </row>
        <row r="55">
          <cell r="A55">
            <v>481000</v>
          </cell>
          <cell r="B55">
            <v>1015</v>
          </cell>
          <cell r="C55">
            <v>-126102.94</v>
          </cell>
          <cell r="D55" t="str">
            <v>204</v>
          </cell>
          <cell r="E55" t="str">
            <v>402</v>
          </cell>
          <cell r="F55">
            <v>0</v>
          </cell>
          <cell r="G55">
            <v>1</v>
          </cell>
          <cell r="H55" t="str">
            <v>2006-01-31</v>
          </cell>
        </row>
        <row r="56">
          <cell r="A56">
            <v>481000</v>
          </cell>
          <cell r="B56">
            <v>1015</v>
          </cell>
          <cell r="C56">
            <v>-32296.37</v>
          </cell>
          <cell r="D56" t="str">
            <v>204</v>
          </cell>
          <cell r="E56" t="str">
            <v>402</v>
          </cell>
          <cell r="F56">
            <v>0</v>
          </cell>
          <cell r="G56">
            <v>1</v>
          </cell>
          <cell r="H56" t="str">
            <v>2006-01-31</v>
          </cell>
        </row>
        <row r="57">
          <cell r="A57">
            <v>481000</v>
          </cell>
          <cell r="B57">
            <v>1015</v>
          </cell>
          <cell r="C57">
            <v>-55987.24</v>
          </cell>
          <cell r="D57" t="str">
            <v>204</v>
          </cell>
          <cell r="E57" t="str">
            <v>402</v>
          </cell>
          <cell r="F57">
            <v>0</v>
          </cell>
          <cell r="G57">
            <v>1</v>
          </cell>
          <cell r="H57" t="str">
            <v>2006-01-31</v>
          </cell>
        </row>
        <row r="58">
          <cell r="A58">
            <v>481000</v>
          </cell>
          <cell r="B58">
            <v>1015</v>
          </cell>
          <cell r="C58">
            <v>-181846.86</v>
          </cell>
          <cell r="D58" t="str">
            <v>204</v>
          </cell>
          <cell r="E58" t="str">
            <v>402</v>
          </cell>
          <cell r="F58">
            <v>0</v>
          </cell>
          <cell r="G58">
            <v>1</v>
          </cell>
          <cell r="H58" t="str">
            <v>2006-01-31</v>
          </cell>
        </row>
        <row r="59">
          <cell r="A59">
            <v>481000</v>
          </cell>
          <cell r="B59">
            <v>1015</v>
          </cell>
          <cell r="C59">
            <v>-86105.3</v>
          </cell>
          <cell r="D59" t="str">
            <v>204</v>
          </cell>
          <cell r="E59" t="str">
            <v>402</v>
          </cell>
          <cell r="F59">
            <v>0</v>
          </cell>
          <cell r="G59">
            <v>1</v>
          </cell>
          <cell r="H59" t="str">
            <v>2006-01-31</v>
          </cell>
        </row>
        <row r="60">
          <cell r="A60">
            <v>481000</v>
          </cell>
          <cell r="B60">
            <v>1015</v>
          </cell>
          <cell r="C60">
            <v>-37880.449999999997</v>
          </cell>
          <cell r="D60" t="str">
            <v>204</v>
          </cell>
          <cell r="E60" t="str">
            <v>402</v>
          </cell>
          <cell r="F60">
            <v>0</v>
          </cell>
          <cell r="G60">
            <v>1</v>
          </cell>
          <cell r="H60" t="str">
            <v>2006-01-31</v>
          </cell>
        </row>
        <row r="61">
          <cell r="A61">
            <v>481000</v>
          </cell>
          <cell r="B61">
            <v>1015</v>
          </cell>
          <cell r="C61">
            <v>-3101.5</v>
          </cell>
          <cell r="D61" t="str">
            <v>204</v>
          </cell>
          <cell r="E61" t="str">
            <v>402</v>
          </cell>
          <cell r="F61">
            <v>0</v>
          </cell>
          <cell r="G61">
            <v>1</v>
          </cell>
          <cell r="H61" t="str">
            <v>2006-01-31</v>
          </cell>
        </row>
        <row r="62">
          <cell r="A62">
            <v>481000</v>
          </cell>
          <cell r="B62">
            <v>1015</v>
          </cell>
          <cell r="C62">
            <v>-456454.2</v>
          </cell>
          <cell r="D62" t="str">
            <v>204</v>
          </cell>
          <cell r="E62" t="str">
            <v>402</v>
          </cell>
          <cell r="F62">
            <v>0</v>
          </cell>
          <cell r="G62">
            <v>1</v>
          </cell>
          <cell r="H62" t="str">
            <v>2006-01-31</v>
          </cell>
        </row>
        <row r="63">
          <cell r="A63">
            <v>481004</v>
          </cell>
          <cell r="B63">
            <v>1015</v>
          </cell>
          <cell r="C63">
            <v>-2558429.36</v>
          </cell>
          <cell r="D63" t="str">
            <v>204</v>
          </cell>
          <cell r="E63" t="str">
            <v>402</v>
          </cell>
          <cell r="F63">
            <v>0</v>
          </cell>
          <cell r="G63">
            <v>1</v>
          </cell>
          <cell r="H63" t="str">
            <v>2006-01-31</v>
          </cell>
        </row>
        <row r="64">
          <cell r="A64">
            <v>481004</v>
          </cell>
          <cell r="B64">
            <v>1015</v>
          </cell>
          <cell r="C64">
            <v>-423158.62</v>
          </cell>
          <cell r="D64" t="str">
            <v>204</v>
          </cell>
          <cell r="E64" t="str">
            <v>402</v>
          </cell>
          <cell r="F64">
            <v>0</v>
          </cell>
          <cell r="G64">
            <v>1</v>
          </cell>
          <cell r="H64" t="str">
            <v>2006-01-31</v>
          </cell>
        </row>
        <row r="65">
          <cell r="A65">
            <v>481004</v>
          </cell>
          <cell r="B65">
            <v>1015</v>
          </cell>
          <cell r="C65">
            <v>-803611.97</v>
          </cell>
          <cell r="D65" t="str">
            <v>204</v>
          </cell>
          <cell r="E65" t="str">
            <v>402</v>
          </cell>
          <cell r="F65">
            <v>0</v>
          </cell>
          <cell r="G65">
            <v>1</v>
          </cell>
          <cell r="H65" t="str">
            <v>2006-01-31</v>
          </cell>
        </row>
        <row r="66">
          <cell r="A66">
            <v>481004</v>
          </cell>
          <cell r="B66">
            <v>1015</v>
          </cell>
          <cell r="C66">
            <v>-125822.36</v>
          </cell>
          <cell r="D66" t="str">
            <v>204</v>
          </cell>
          <cell r="E66" t="str">
            <v>402</v>
          </cell>
          <cell r="F66">
            <v>0</v>
          </cell>
          <cell r="G66">
            <v>1</v>
          </cell>
          <cell r="H66" t="str">
            <v>2006-01-31</v>
          </cell>
        </row>
        <row r="67">
          <cell r="A67">
            <v>481004</v>
          </cell>
          <cell r="B67">
            <v>1015</v>
          </cell>
          <cell r="C67">
            <v>-75601.850000000006</v>
          </cell>
          <cell r="D67" t="str">
            <v>204</v>
          </cell>
          <cell r="E67" t="str">
            <v>402</v>
          </cell>
          <cell r="F67">
            <v>0</v>
          </cell>
          <cell r="G67">
            <v>1</v>
          </cell>
          <cell r="H67" t="str">
            <v>2006-01-31</v>
          </cell>
        </row>
        <row r="68">
          <cell r="A68">
            <v>481004</v>
          </cell>
          <cell r="B68">
            <v>1015</v>
          </cell>
          <cell r="C68">
            <v>-251546.92</v>
          </cell>
          <cell r="D68" t="str">
            <v>204</v>
          </cell>
          <cell r="E68" t="str">
            <v>402</v>
          </cell>
          <cell r="F68">
            <v>0</v>
          </cell>
          <cell r="G68">
            <v>1</v>
          </cell>
          <cell r="H68" t="str">
            <v>2006-01-31</v>
          </cell>
        </row>
        <row r="69">
          <cell r="A69">
            <v>481004</v>
          </cell>
          <cell r="B69">
            <v>1015</v>
          </cell>
          <cell r="C69">
            <v>-176890.68</v>
          </cell>
          <cell r="D69" t="str">
            <v>204</v>
          </cell>
          <cell r="E69" t="str">
            <v>402</v>
          </cell>
          <cell r="F69">
            <v>0</v>
          </cell>
          <cell r="G69">
            <v>1</v>
          </cell>
          <cell r="H69" t="str">
            <v>2006-01-31</v>
          </cell>
        </row>
        <row r="70">
          <cell r="A70">
            <v>481004</v>
          </cell>
          <cell r="B70">
            <v>1015</v>
          </cell>
          <cell r="C70">
            <v>-221801.58</v>
          </cell>
          <cell r="D70" t="str">
            <v>204</v>
          </cell>
          <cell r="E70" t="str">
            <v>402</v>
          </cell>
          <cell r="F70">
            <v>0</v>
          </cell>
          <cell r="G70">
            <v>1</v>
          </cell>
          <cell r="H70" t="str">
            <v>2006-01-31</v>
          </cell>
        </row>
        <row r="71">
          <cell r="A71">
            <v>481004</v>
          </cell>
          <cell r="B71">
            <v>1015</v>
          </cell>
          <cell r="C71">
            <v>-561617.1</v>
          </cell>
          <cell r="D71" t="str">
            <v>204</v>
          </cell>
          <cell r="E71" t="str">
            <v>402</v>
          </cell>
          <cell r="F71">
            <v>0</v>
          </cell>
          <cell r="G71">
            <v>1</v>
          </cell>
          <cell r="H71" t="str">
            <v>2006-01-31</v>
          </cell>
        </row>
        <row r="72">
          <cell r="A72">
            <v>481004</v>
          </cell>
          <cell r="B72">
            <v>1015</v>
          </cell>
          <cell r="C72">
            <v>-222922.56</v>
          </cell>
          <cell r="D72" t="str">
            <v>204</v>
          </cell>
          <cell r="E72" t="str">
            <v>402</v>
          </cell>
          <cell r="F72">
            <v>0</v>
          </cell>
          <cell r="G72">
            <v>1</v>
          </cell>
          <cell r="H72" t="str">
            <v>2006-01-31</v>
          </cell>
        </row>
        <row r="73">
          <cell r="A73">
            <v>481004</v>
          </cell>
          <cell r="B73">
            <v>1015</v>
          </cell>
          <cell r="C73">
            <v>-50189.39</v>
          </cell>
          <cell r="D73" t="str">
            <v>204</v>
          </cell>
          <cell r="E73" t="str">
            <v>402</v>
          </cell>
          <cell r="F73">
            <v>0</v>
          </cell>
          <cell r="G73">
            <v>1</v>
          </cell>
          <cell r="H73" t="str">
            <v>2006-01-31</v>
          </cell>
        </row>
        <row r="74">
          <cell r="A74">
            <v>481004</v>
          </cell>
          <cell r="B74">
            <v>1015</v>
          </cell>
          <cell r="C74">
            <v>-52087.41</v>
          </cell>
          <cell r="D74" t="str">
            <v>204</v>
          </cell>
          <cell r="E74" t="str">
            <v>402</v>
          </cell>
          <cell r="F74">
            <v>0</v>
          </cell>
          <cell r="G74">
            <v>1</v>
          </cell>
          <cell r="H74" t="str">
            <v>2006-01-31</v>
          </cell>
        </row>
        <row r="75">
          <cell r="A75">
            <v>481004</v>
          </cell>
          <cell r="B75">
            <v>1015</v>
          </cell>
          <cell r="C75">
            <v>-2237308.4700000002</v>
          </cell>
          <cell r="D75" t="str">
            <v>204</v>
          </cell>
          <cell r="E75" t="str">
            <v>402</v>
          </cell>
          <cell r="F75">
            <v>0</v>
          </cell>
          <cell r="G75">
            <v>1</v>
          </cell>
          <cell r="H75" t="str">
            <v>2006-01-31</v>
          </cell>
        </row>
        <row r="76">
          <cell r="A76">
            <v>481000</v>
          </cell>
          <cell r="B76">
            <v>1015</v>
          </cell>
          <cell r="C76">
            <v>3005790.05</v>
          </cell>
          <cell r="D76" t="str">
            <v>204</v>
          </cell>
          <cell r="E76" t="str">
            <v>402</v>
          </cell>
          <cell r="F76">
            <v>0</v>
          </cell>
          <cell r="G76">
            <v>1</v>
          </cell>
          <cell r="H76" t="str">
            <v>2006-01-31</v>
          </cell>
        </row>
        <row r="77">
          <cell r="A77">
            <v>481004</v>
          </cell>
          <cell r="B77">
            <v>1015</v>
          </cell>
          <cell r="C77">
            <v>-55098.55</v>
          </cell>
          <cell r="D77" t="str">
            <v>204</v>
          </cell>
          <cell r="E77" t="str">
            <v>402</v>
          </cell>
          <cell r="F77">
            <v>0</v>
          </cell>
          <cell r="G77">
            <v>1</v>
          </cell>
          <cell r="H77" t="str">
            <v>2006-01-31</v>
          </cell>
        </row>
        <row r="78">
          <cell r="A78">
            <v>481000</v>
          </cell>
          <cell r="B78">
            <v>1015</v>
          </cell>
          <cell r="C78">
            <v>0</v>
          </cell>
          <cell r="D78" t="str">
            <v>204</v>
          </cell>
          <cell r="E78" t="str">
            <v>403</v>
          </cell>
          <cell r="F78">
            <v>0</v>
          </cell>
          <cell r="G78">
            <v>1</v>
          </cell>
          <cell r="H78" t="str">
            <v>2006-01-31</v>
          </cell>
        </row>
        <row r="79">
          <cell r="A79">
            <v>481000</v>
          </cell>
          <cell r="B79">
            <v>1015</v>
          </cell>
          <cell r="C79">
            <v>0</v>
          </cell>
          <cell r="D79" t="str">
            <v>204</v>
          </cell>
          <cell r="E79" t="str">
            <v>403</v>
          </cell>
          <cell r="F79">
            <v>0</v>
          </cell>
          <cell r="G79">
            <v>1</v>
          </cell>
          <cell r="H79" t="str">
            <v>2006-01-31</v>
          </cell>
        </row>
        <row r="80">
          <cell r="A80">
            <v>481000</v>
          </cell>
          <cell r="B80">
            <v>1015</v>
          </cell>
          <cell r="C80">
            <v>-2948.85</v>
          </cell>
          <cell r="D80" t="str">
            <v>204</v>
          </cell>
          <cell r="E80" t="str">
            <v>403</v>
          </cell>
          <cell r="F80">
            <v>0</v>
          </cell>
          <cell r="G80">
            <v>1</v>
          </cell>
          <cell r="H80" t="str">
            <v>2006-01-31</v>
          </cell>
        </row>
        <row r="81">
          <cell r="A81">
            <v>481004</v>
          </cell>
          <cell r="B81">
            <v>1015</v>
          </cell>
          <cell r="C81">
            <v>0</v>
          </cell>
          <cell r="D81" t="str">
            <v>204</v>
          </cell>
          <cell r="E81" t="str">
            <v>403</v>
          </cell>
          <cell r="F81">
            <v>0</v>
          </cell>
          <cell r="G81">
            <v>1</v>
          </cell>
          <cell r="H81" t="str">
            <v>2006-01-31</v>
          </cell>
        </row>
        <row r="82">
          <cell r="A82">
            <v>481004</v>
          </cell>
          <cell r="B82">
            <v>1015</v>
          </cell>
          <cell r="C82">
            <v>0</v>
          </cell>
          <cell r="D82" t="str">
            <v>204</v>
          </cell>
          <cell r="E82" t="str">
            <v>403</v>
          </cell>
          <cell r="F82">
            <v>0</v>
          </cell>
          <cell r="G82">
            <v>1</v>
          </cell>
          <cell r="H82" t="str">
            <v>2006-01-31</v>
          </cell>
        </row>
        <row r="83">
          <cell r="A83">
            <v>481000</v>
          </cell>
          <cell r="B83">
            <v>1015</v>
          </cell>
          <cell r="C83">
            <v>0</v>
          </cell>
          <cell r="D83" t="str">
            <v>204</v>
          </cell>
          <cell r="E83" t="str">
            <v>403</v>
          </cell>
          <cell r="F83">
            <v>0</v>
          </cell>
          <cell r="G83">
            <v>1</v>
          </cell>
          <cell r="H83" t="str">
            <v>2006-01-31</v>
          </cell>
        </row>
        <row r="84">
          <cell r="A84">
            <v>481004</v>
          </cell>
          <cell r="B84">
            <v>1015</v>
          </cell>
          <cell r="C84">
            <v>0</v>
          </cell>
          <cell r="D84" t="str">
            <v>204</v>
          </cell>
          <cell r="E84" t="str">
            <v>403</v>
          </cell>
          <cell r="F84">
            <v>0</v>
          </cell>
          <cell r="G84">
            <v>1</v>
          </cell>
          <cell r="H84" t="str">
            <v>2006-01-31</v>
          </cell>
        </row>
        <row r="85">
          <cell r="A85">
            <v>481000</v>
          </cell>
          <cell r="B85">
            <v>1015</v>
          </cell>
          <cell r="C85">
            <v>-2154583.52</v>
          </cell>
          <cell r="D85" t="str">
            <v>204</v>
          </cell>
          <cell r="E85" t="str">
            <v>404</v>
          </cell>
          <cell r="F85">
            <v>0</v>
          </cell>
          <cell r="G85">
            <v>1</v>
          </cell>
          <cell r="H85" t="str">
            <v>2006-01-31</v>
          </cell>
        </row>
        <row r="86">
          <cell r="A86">
            <v>481000</v>
          </cell>
          <cell r="B86">
            <v>1015</v>
          </cell>
          <cell r="C86">
            <v>201397.54</v>
          </cell>
          <cell r="D86" t="str">
            <v>204</v>
          </cell>
          <cell r="E86" t="str">
            <v>404</v>
          </cell>
          <cell r="F86">
            <v>0</v>
          </cell>
          <cell r="G86">
            <v>1</v>
          </cell>
          <cell r="H86" t="str">
            <v>2006-01-31</v>
          </cell>
        </row>
        <row r="87">
          <cell r="A87">
            <v>481000</v>
          </cell>
          <cell r="B87">
            <v>1015</v>
          </cell>
          <cell r="C87">
            <v>-2162789.52</v>
          </cell>
          <cell r="D87" t="str">
            <v>204</v>
          </cell>
          <cell r="E87" t="str">
            <v>404</v>
          </cell>
          <cell r="F87">
            <v>0</v>
          </cell>
          <cell r="G87">
            <v>1</v>
          </cell>
          <cell r="H87" t="str">
            <v>2006-01-31</v>
          </cell>
        </row>
        <row r="88">
          <cell r="A88">
            <v>481004</v>
          </cell>
          <cell r="B88">
            <v>1015</v>
          </cell>
          <cell r="C88">
            <v>0</v>
          </cell>
          <cell r="D88" t="str">
            <v>204</v>
          </cell>
          <cell r="E88" t="str">
            <v>404</v>
          </cell>
          <cell r="F88">
            <v>0</v>
          </cell>
          <cell r="G88">
            <v>1</v>
          </cell>
          <cell r="H88" t="str">
            <v>2006-01-31</v>
          </cell>
        </row>
        <row r="89">
          <cell r="A89">
            <v>481004</v>
          </cell>
          <cell r="B89">
            <v>1015</v>
          </cell>
          <cell r="C89">
            <v>0</v>
          </cell>
          <cell r="D89" t="str">
            <v>204</v>
          </cell>
          <cell r="E89" t="str">
            <v>404</v>
          </cell>
          <cell r="F89">
            <v>0</v>
          </cell>
          <cell r="G89">
            <v>1</v>
          </cell>
          <cell r="H89" t="str">
            <v>2006-01-31</v>
          </cell>
        </row>
        <row r="90">
          <cell r="A90">
            <v>481000</v>
          </cell>
          <cell r="B90">
            <v>1015</v>
          </cell>
          <cell r="C90">
            <v>2162789.52</v>
          </cell>
          <cell r="D90" t="str">
            <v>204</v>
          </cell>
          <cell r="E90" t="str">
            <v>404</v>
          </cell>
          <cell r="F90">
            <v>0</v>
          </cell>
          <cell r="G90">
            <v>1</v>
          </cell>
          <cell r="H90" t="str">
            <v>2006-01-31</v>
          </cell>
        </row>
        <row r="91">
          <cell r="A91">
            <v>481004</v>
          </cell>
          <cell r="B91">
            <v>1015</v>
          </cell>
          <cell r="C91">
            <v>0</v>
          </cell>
          <cell r="D91" t="str">
            <v>204</v>
          </cell>
          <cell r="E91" t="str">
            <v>404</v>
          </cell>
          <cell r="F91">
            <v>0</v>
          </cell>
          <cell r="G91">
            <v>1</v>
          </cell>
          <cell r="H91" t="str">
            <v>2006-01-31</v>
          </cell>
        </row>
        <row r="92">
          <cell r="A92">
            <v>480000</v>
          </cell>
          <cell r="B92">
            <v>1015</v>
          </cell>
          <cell r="C92">
            <v>0.01</v>
          </cell>
          <cell r="D92" t="str">
            <v>204</v>
          </cell>
          <cell r="E92" t="str">
            <v>407</v>
          </cell>
          <cell r="F92">
            <v>0</v>
          </cell>
          <cell r="G92">
            <v>1</v>
          </cell>
          <cell r="H92" t="str">
            <v>2006-01-31</v>
          </cell>
        </row>
        <row r="93">
          <cell r="A93">
            <v>480000</v>
          </cell>
          <cell r="B93">
            <v>1015</v>
          </cell>
          <cell r="C93">
            <v>-10244797.5</v>
          </cell>
          <cell r="D93" t="str">
            <v>204</v>
          </cell>
          <cell r="E93" t="str">
            <v>407</v>
          </cell>
          <cell r="F93">
            <v>0</v>
          </cell>
          <cell r="G93">
            <v>1</v>
          </cell>
          <cell r="H93" t="str">
            <v>2006-01-31</v>
          </cell>
        </row>
        <row r="94">
          <cell r="A94">
            <v>480000</v>
          </cell>
          <cell r="B94">
            <v>1015</v>
          </cell>
          <cell r="C94">
            <v>-5549011.0700000003</v>
          </cell>
          <cell r="D94" t="str">
            <v>204</v>
          </cell>
          <cell r="E94" t="str">
            <v>407</v>
          </cell>
          <cell r="F94">
            <v>0</v>
          </cell>
          <cell r="G94">
            <v>1</v>
          </cell>
          <cell r="H94" t="str">
            <v>2006-01-31</v>
          </cell>
        </row>
        <row r="95">
          <cell r="A95">
            <v>480000</v>
          </cell>
          <cell r="B95">
            <v>1015</v>
          </cell>
          <cell r="C95">
            <v>-3166321.81</v>
          </cell>
          <cell r="D95" t="str">
            <v>204</v>
          </cell>
          <cell r="E95" t="str">
            <v>407</v>
          </cell>
          <cell r="F95">
            <v>0</v>
          </cell>
          <cell r="G95">
            <v>1</v>
          </cell>
          <cell r="H95" t="str">
            <v>2006-01-31</v>
          </cell>
        </row>
        <row r="96">
          <cell r="A96">
            <v>480000</v>
          </cell>
          <cell r="B96">
            <v>1015</v>
          </cell>
          <cell r="C96">
            <v>-7897368.0700000003</v>
          </cell>
          <cell r="D96" t="str">
            <v>204</v>
          </cell>
          <cell r="E96" t="str">
            <v>407</v>
          </cell>
          <cell r="F96">
            <v>0</v>
          </cell>
          <cell r="G96">
            <v>1</v>
          </cell>
          <cell r="H96" t="str">
            <v>2006-01-31</v>
          </cell>
        </row>
        <row r="97">
          <cell r="A97">
            <v>480000</v>
          </cell>
          <cell r="B97">
            <v>1015</v>
          </cell>
          <cell r="C97">
            <v>-5250161.33</v>
          </cell>
          <cell r="D97" t="str">
            <v>204</v>
          </cell>
          <cell r="E97" t="str">
            <v>407</v>
          </cell>
          <cell r="F97">
            <v>0</v>
          </cell>
          <cell r="G97">
            <v>1</v>
          </cell>
          <cell r="H97" t="str">
            <v>2006-01-31</v>
          </cell>
        </row>
        <row r="98">
          <cell r="A98">
            <v>480000</v>
          </cell>
          <cell r="B98">
            <v>1015</v>
          </cell>
          <cell r="C98">
            <v>-3790187.33</v>
          </cell>
          <cell r="D98" t="str">
            <v>204</v>
          </cell>
          <cell r="E98" t="str">
            <v>407</v>
          </cell>
          <cell r="F98">
            <v>0</v>
          </cell>
          <cell r="G98">
            <v>1</v>
          </cell>
          <cell r="H98" t="str">
            <v>2006-01-31</v>
          </cell>
        </row>
        <row r="99">
          <cell r="A99">
            <v>480000</v>
          </cell>
          <cell r="B99">
            <v>1015</v>
          </cell>
          <cell r="C99">
            <v>-10994484.82</v>
          </cell>
          <cell r="D99" t="str">
            <v>204</v>
          </cell>
          <cell r="E99" t="str">
            <v>407</v>
          </cell>
          <cell r="F99">
            <v>0</v>
          </cell>
          <cell r="G99">
            <v>1</v>
          </cell>
          <cell r="H99" t="str">
            <v>2006-01-31</v>
          </cell>
        </row>
        <row r="100">
          <cell r="A100">
            <v>480000</v>
          </cell>
          <cell r="B100">
            <v>1015</v>
          </cell>
          <cell r="C100">
            <v>-4447266.3</v>
          </cell>
          <cell r="D100" t="str">
            <v>204</v>
          </cell>
          <cell r="E100" t="str">
            <v>407</v>
          </cell>
          <cell r="F100">
            <v>0</v>
          </cell>
          <cell r="G100">
            <v>1</v>
          </cell>
          <cell r="H100" t="str">
            <v>2006-01-31</v>
          </cell>
        </row>
        <row r="101">
          <cell r="A101">
            <v>480000</v>
          </cell>
          <cell r="B101">
            <v>1015</v>
          </cell>
          <cell r="C101">
            <v>-1620135.56</v>
          </cell>
          <cell r="D101" t="str">
            <v>204</v>
          </cell>
          <cell r="E101" t="str">
            <v>407</v>
          </cell>
          <cell r="F101">
            <v>0</v>
          </cell>
          <cell r="G101">
            <v>1</v>
          </cell>
          <cell r="H101" t="str">
            <v>2006-01-31</v>
          </cell>
        </row>
        <row r="102">
          <cell r="A102">
            <v>480000</v>
          </cell>
          <cell r="B102">
            <v>1015</v>
          </cell>
          <cell r="C102">
            <v>-311370.55</v>
          </cell>
          <cell r="D102" t="str">
            <v>204</v>
          </cell>
          <cell r="E102" t="str">
            <v>407</v>
          </cell>
          <cell r="F102">
            <v>0</v>
          </cell>
          <cell r="G102">
            <v>1</v>
          </cell>
          <cell r="H102" t="str">
            <v>2006-01-31</v>
          </cell>
        </row>
        <row r="103">
          <cell r="A103">
            <v>480000</v>
          </cell>
          <cell r="B103">
            <v>1015</v>
          </cell>
          <cell r="C103">
            <v>-29680687.710000001</v>
          </cell>
          <cell r="D103" t="str">
            <v>204</v>
          </cell>
          <cell r="E103" t="str">
            <v>407</v>
          </cell>
          <cell r="F103">
            <v>0</v>
          </cell>
          <cell r="G103">
            <v>1</v>
          </cell>
          <cell r="H103" t="str">
            <v>2006-01-31</v>
          </cell>
        </row>
        <row r="104">
          <cell r="A104">
            <v>480001</v>
          </cell>
          <cell r="B104">
            <v>1015</v>
          </cell>
          <cell r="C104">
            <v>4309030.7699999996</v>
          </cell>
          <cell r="D104" t="str">
            <v>204</v>
          </cell>
          <cell r="E104" t="str">
            <v>407</v>
          </cell>
          <cell r="F104">
            <v>0</v>
          </cell>
          <cell r="G104">
            <v>1</v>
          </cell>
          <cell r="H104" t="str">
            <v>2006-01-31</v>
          </cell>
        </row>
        <row r="105">
          <cell r="A105">
            <v>481004</v>
          </cell>
          <cell r="B105">
            <v>1015</v>
          </cell>
          <cell r="C105">
            <v>-6249136.0499999998</v>
          </cell>
          <cell r="D105" t="str">
            <v>204</v>
          </cell>
          <cell r="E105" t="str">
            <v>407</v>
          </cell>
          <cell r="F105">
            <v>0</v>
          </cell>
          <cell r="G105">
            <v>1</v>
          </cell>
          <cell r="H105" t="str">
            <v>2006-01-31</v>
          </cell>
        </row>
        <row r="106">
          <cell r="A106">
            <v>481004</v>
          </cell>
          <cell r="B106">
            <v>1015</v>
          </cell>
          <cell r="C106">
            <v>-2226651.11</v>
          </cell>
          <cell r="D106" t="str">
            <v>204</v>
          </cell>
          <cell r="E106" t="str">
            <v>407</v>
          </cell>
          <cell r="F106">
            <v>0</v>
          </cell>
          <cell r="G106">
            <v>1</v>
          </cell>
          <cell r="H106" t="str">
            <v>2006-01-31</v>
          </cell>
        </row>
        <row r="107">
          <cell r="A107">
            <v>481004</v>
          </cell>
          <cell r="B107">
            <v>1015</v>
          </cell>
          <cell r="C107">
            <v>-1123668.82</v>
          </cell>
          <cell r="D107" t="str">
            <v>204</v>
          </cell>
          <cell r="E107" t="str">
            <v>407</v>
          </cell>
          <cell r="F107">
            <v>0</v>
          </cell>
          <cell r="G107">
            <v>1</v>
          </cell>
          <cell r="H107" t="str">
            <v>2006-01-31</v>
          </cell>
        </row>
        <row r="108">
          <cell r="A108">
            <v>481004</v>
          </cell>
          <cell r="B108">
            <v>1015</v>
          </cell>
          <cell r="C108">
            <v>-3631035.08</v>
          </cell>
          <cell r="D108" t="str">
            <v>204</v>
          </cell>
          <cell r="E108" t="str">
            <v>407</v>
          </cell>
          <cell r="F108">
            <v>0</v>
          </cell>
          <cell r="G108">
            <v>1</v>
          </cell>
          <cell r="H108" t="str">
            <v>2006-01-31</v>
          </cell>
        </row>
        <row r="109">
          <cell r="A109">
            <v>481004</v>
          </cell>
          <cell r="B109">
            <v>1015</v>
          </cell>
          <cell r="C109">
            <v>-1674980.71</v>
          </cell>
          <cell r="D109" t="str">
            <v>204</v>
          </cell>
          <cell r="E109" t="str">
            <v>407</v>
          </cell>
          <cell r="F109">
            <v>0</v>
          </cell>
          <cell r="G109">
            <v>1</v>
          </cell>
          <cell r="H109" t="str">
            <v>2006-01-31</v>
          </cell>
        </row>
        <row r="110">
          <cell r="A110">
            <v>481004</v>
          </cell>
          <cell r="B110">
            <v>1015</v>
          </cell>
          <cell r="C110">
            <v>-1501477.54</v>
          </cell>
          <cell r="D110" t="str">
            <v>204</v>
          </cell>
          <cell r="E110" t="str">
            <v>407</v>
          </cell>
          <cell r="F110">
            <v>0</v>
          </cell>
          <cell r="G110">
            <v>1</v>
          </cell>
          <cell r="H110" t="str">
            <v>2006-01-31</v>
          </cell>
        </row>
        <row r="111">
          <cell r="A111">
            <v>481004</v>
          </cell>
          <cell r="B111">
            <v>1015</v>
          </cell>
          <cell r="C111">
            <v>-4097291.71</v>
          </cell>
          <cell r="D111" t="str">
            <v>204</v>
          </cell>
          <cell r="E111" t="str">
            <v>407</v>
          </cell>
          <cell r="F111">
            <v>0</v>
          </cell>
          <cell r="G111">
            <v>1</v>
          </cell>
          <cell r="H111" t="str">
            <v>2006-01-31</v>
          </cell>
        </row>
        <row r="112">
          <cell r="A112">
            <v>481004</v>
          </cell>
          <cell r="B112">
            <v>1015</v>
          </cell>
          <cell r="C112">
            <v>-1711276.68</v>
          </cell>
          <cell r="D112" t="str">
            <v>204</v>
          </cell>
          <cell r="E112" t="str">
            <v>407</v>
          </cell>
          <cell r="F112">
            <v>0</v>
          </cell>
          <cell r="G112">
            <v>1</v>
          </cell>
          <cell r="H112" t="str">
            <v>2006-01-31</v>
          </cell>
        </row>
        <row r="113">
          <cell r="A113">
            <v>481004</v>
          </cell>
          <cell r="B113">
            <v>1015</v>
          </cell>
          <cell r="C113">
            <v>-753908.97</v>
          </cell>
          <cell r="D113" t="str">
            <v>204</v>
          </cell>
          <cell r="E113" t="str">
            <v>407</v>
          </cell>
          <cell r="F113">
            <v>0</v>
          </cell>
          <cell r="G113">
            <v>1</v>
          </cell>
          <cell r="H113" t="str">
            <v>2006-01-31</v>
          </cell>
        </row>
        <row r="114">
          <cell r="A114">
            <v>481004</v>
          </cell>
          <cell r="B114">
            <v>1015</v>
          </cell>
          <cell r="C114">
            <v>-276338.3</v>
          </cell>
          <cell r="D114" t="str">
            <v>204</v>
          </cell>
          <cell r="E114" t="str">
            <v>407</v>
          </cell>
          <cell r="F114">
            <v>0</v>
          </cell>
          <cell r="G114">
            <v>1</v>
          </cell>
          <cell r="H114" t="str">
            <v>2006-01-31</v>
          </cell>
        </row>
        <row r="115">
          <cell r="A115">
            <v>481004</v>
          </cell>
          <cell r="B115">
            <v>1015</v>
          </cell>
          <cell r="C115">
            <v>-12155331.76</v>
          </cell>
          <cell r="D115" t="str">
            <v>204</v>
          </cell>
          <cell r="E115" t="str">
            <v>407</v>
          </cell>
          <cell r="F115">
            <v>0</v>
          </cell>
          <cell r="G115">
            <v>1</v>
          </cell>
          <cell r="H115" t="str">
            <v>2006-01-31</v>
          </cell>
        </row>
        <row r="116">
          <cell r="A116">
            <v>480000</v>
          </cell>
          <cell r="B116">
            <v>1015</v>
          </cell>
          <cell r="C116">
            <v>-1457.31</v>
          </cell>
          <cell r="D116" t="str">
            <v>204</v>
          </cell>
          <cell r="E116" t="str">
            <v>408</v>
          </cell>
          <cell r="F116">
            <v>0</v>
          </cell>
          <cell r="G116">
            <v>1</v>
          </cell>
          <cell r="H116" t="str">
            <v>2006-01-31</v>
          </cell>
        </row>
        <row r="117">
          <cell r="A117">
            <v>480000</v>
          </cell>
          <cell r="B117">
            <v>1015</v>
          </cell>
          <cell r="C117">
            <v>-100326.46</v>
          </cell>
          <cell r="D117" t="str">
            <v>204</v>
          </cell>
          <cell r="E117" t="str">
            <v>408</v>
          </cell>
          <cell r="F117">
            <v>0</v>
          </cell>
          <cell r="G117">
            <v>1</v>
          </cell>
          <cell r="H117" t="str">
            <v>2006-01-31</v>
          </cell>
        </row>
        <row r="118">
          <cell r="A118">
            <v>480000</v>
          </cell>
          <cell r="B118">
            <v>1015</v>
          </cell>
          <cell r="C118">
            <v>-3742.59</v>
          </cell>
          <cell r="D118" t="str">
            <v>204</v>
          </cell>
          <cell r="E118" t="str">
            <v>408</v>
          </cell>
          <cell r="F118">
            <v>0</v>
          </cell>
          <cell r="G118">
            <v>1</v>
          </cell>
          <cell r="H118" t="str">
            <v>2006-01-31</v>
          </cell>
        </row>
        <row r="119">
          <cell r="A119">
            <v>480000</v>
          </cell>
          <cell r="B119">
            <v>1015</v>
          </cell>
          <cell r="C119">
            <v>-132556.65</v>
          </cell>
          <cell r="D119" t="str">
            <v>204</v>
          </cell>
          <cell r="E119" t="str">
            <v>408</v>
          </cell>
          <cell r="F119">
            <v>0</v>
          </cell>
          <cell r="G119">
            <v>1</v>
          </cell>
          <cell r="H119" t="str">
            <v>2006-01-31</v>
          </cell>
        </row>
        <row r="120">
          <cell r="A120">
            <v>480000</v>
          </cell>
          <cell r="B120">
            <v>1015</v>
          </cell>
          <cell r="C120">
            <v>-111902.92</v>
          </cell>
          <cell r="D120" t="str">
            <v>204</v>
          </cell>
          <cell r="E120" t="str">
            <v>408</v>
          </cell>
          <cell r="F120">
            <v>0</v>
          </cell>
          <cell r="G120">
            <v>1</v>
          </cell>
          <cell r="H120" t="str">
            <v>2006-01-31</v>
          </cell>
        </row>
        <row r="121">
          <cell r="A121">
            <v>480000</v>
          </cell>
          <cell r="B121">
            <v>1015</v>
          </cell>
          <cell r="C121">
            <v>-1698.14</v>
          </cell>
          <cell r="D121" t="str">
            <v>204</v>
          </cell>
          <cell r="E121" t="str">
            <v>408</v>
          </cell>
          <cell r="F121">
            <v>0</v>
          </cell>
          <cell r="G121">
            <v>1</v>
          </cell>
          <cell r="H121" t="str">
            <v>2006-01-31</v>
          </cell>
        </row>
        <row r="122">
          <cell r="A122">
            <v>480000</v>
          </cell>
          <cell r="B122">
            <v>1015</v>
          </cell>
          <cell r="C122">
            <v>-33102.730000000003</v>
          </cell>
          <cell r="D122" t="str">
            <v>204</v>
          </cell>
          <cell r="E122" t="str">
            <v>408</v>
          </cell>
          <cell r="F122">
            <v>0</v>
          </cell>
          <cell r="G122">
            <v>1</v>
          </cell>
          <cell r="H122" t="str">
            <v>2006-01-31</v>
          </cell>
        </row>
        <row r="123">
          <cell r="A123">
            <v>480000</v>
          </cell>
          <cell r="B123">
            <v>1015</v>
          </cell>
          <cell r="C123">
            <v>-569.29</v>
          </cell>
          <cell r="D123" t="str">
            <v>204</v>
          </cell>
          <cell r="E123" t="str">
            <v>408</v>
          </cell>
          <cell r="F123">
            <v>0</v>
          </cell>
          <cell r="G123">
            <v>1</v>
          </cell>
          <cell r="H123" t="str">
            <v>2006-01-31</v>
          </cell>
        </row>
        <row r="124">
          <cell r="A124">
            <v>480000</v>
          </cell>
          <cell r="B124">
            <v>1015</v>
          </cell>
          <cell r="C124">
            <v>-398.51</v>
          </cell>
          <cell r="D124" t="str">
            <v>204</v>
          </cell>
          <cell r="E124" t="str">
            <v>408</v>
          </cell>
          <cell r="F124">
            <v>0</v>
          </cell>
          <cell r="G124">
            <v>1</v>
          </cell>
          <cell r="H124" t="str">
            <v>2006-01-31</v>
          </cell>
        </row>
        <row r="125">
          <cell r="A125">
            <v>480000</v>
          </cell>
          <cell r="B125">
            <v>1015</v>
          </cell>
          <cell r="C125">
            <v>-732.51</v>
          </cell>
          <cell r="D125" t="str">
            <v>204</v>
          </cell>
          <cell r="E125" t="str">
            <v>408</v>
          </cell>
          <cell r="F125">
            <v>0</v>
          </cell>
          <cell r="G125">
            <v>1</v>
          </cell>
          <cell r="H125" t="str">
            <v>2006-01-31</v>
          </cell>
        </row>
        <row r="126">
          <cell r="A126">
            <v>480000</v>
          </cell>
          <cell r="B126">
            <v>1015</v>
          </cell>
          <cell r="C126">
            <v>-141071.96</v>
          </cell>
          <cell r="D126" t="str">
            <v>204</v>
          </cell>
          <cell r="E126" t="str">
            <v>408</v>
          </cell>
          <cell r="F126">
            <v>0</v>
          </cell>
          <cell r="G126">
            <v>1</v>
          </cell>
          <cell r="H126" t="str">
            <v>2006-01-31</v>
          </cell>
        </row>
        <row r="127">
          <cell r="A127">
            <v>480001</v>
          </cell>
          <cell r="B127">
            <v>1015</v>
          </cell>
          <cell r="C127">
            <v>3224.39</v>
          </cell>
          <cell r="D127" t="str">
            <v>204</v>
          </cell>
          <cell r="E127" t="str">
            <v>408</v>
          </cell>
          <cell r="F127">
            <v>0</v>
          </cell>
          <cell r="G127">
            <v>1</v>
          </cell>
          <cell r="H127" t="str">
            <v>2006-01-31</v>
          </cell>
        </row>
        <row r="128">
          <cell r="A128">
            <v>481004</v>
          </cell>
          <cell r="B128">
            <v>1015</v>
          </cell>
          <cell r="C128">
            <v>-76.739999999999995</v>
          </cell>
          <cell r="D128" t="str">
            <v>204</v>
          </cell>
          <cell r="E128" t="str">
            <v>408</v>
          </cell>
          <cell r="F128">
            <v>0</v>
          </cell>
          <cell r="G128">
            <v>1</v>
          </cell>
          <cell r="H128" t="str">
            <v>2006-01-31</v>
          </cell>
        </row>
        <row r="129">
          <cell r="A129">
            <v>481004</v>
          </cell>
          <cell r="B129">
            <v>1015</v>
          </cell>
          <cell r="C129">
            <v>-55662.44</v>
          </cell>
          <cell r="D129" t="str">
            <v>204</v>
          </cell>
          <cell r="E129" t="str">
            <v>408</v>
          </cell>
          <cell r="F129">
            <v>0</v>
          </cell>
          <cell r="G129">
            <v>1</v>
          </cell>
          <cell r="H129" t="str">
            <v>2006-01-31</v>
          </cell>
        </row>
        <row r="130">
          <cell r="A130">
            <v>481004</v>
          </cell>
          <cell r="B130">
            <v>1015</v>
          </cell>
          <cell r="C130">
            <v>-8821.4699999999993</v>
          </cell>
          <cell r="D130" t="str">
            <v>204</v>
          </cell>
          <cell r="E130" t="str">
            <v>408</v>
          </cell>
          <cell r="F130">
            <v>0</v>
          </cell>
          <cell r="G130">
            <v>1</v>
          </cell>
          <cell r="H130" t="str">
            <v>2006-01-31</v>
          </cell>
        </row>
        <row r="131">
          <cell r="A131">
            <v>481004</v>
          </cell>
          <cell r="B131">
            <v>1015</v>
          </cell>
          <cell r="C131">
            <v>-86914.77</v>
          </cell>
          <cell r="D131" t="str">
            <v>204</v>
          </cell>
          <cell r="E131" t="str">
            <v>408</v>
          </cell>
          <cell r="F131">
            <v>0</v>
          </cell>
          <cell r="G131">
            <v>1</v>
          </cell>
          <cell r="H131" t="str">
            <v>2006-01-31</v>
          </cell>
        </row>
        <row r="132">
          <cell r="A132">
            <v>481004</v>
          </cell>
          <cell r="B132">
            <v>1015</v>
          </cell>
          <cell r="C132">
            <v>-66703.399999999994</v>
          </cell>
          <cell r="D132" t="str">
            <v>204</v>
          </cell>
          <cell r="E132" t="str">
            <v>408</v>
          </cell>
          <cell r="F132">
            <v>0</v>
          </cell>
          <cell r="G132">
            <v>1</v>
          </cell>
          <cell r="H132" t="str">
            <v>2006-01-31</v>
          </cell>
        </row>
        <row r="133">
          <cell r="A133">
            <v>481004</v>
          </cell>
          <cell r="B133">
            <v>1015</v>
          </cell>
          <cell r="C133">
            <v>-432.79</v>
          </cell>
          <cell r="D133" t="str">
            <v>204</v>
          </cell>
          <cell r="E133" t="str">
            <v>408</v>
          </cell>
          <cell r="F133">
            <v>0</v>
          </cell>
          <cell r="G133">
            <v>1</v>
          </cell>
          <cell r="H133" t="str">
            <v>2006-01-31</v>
          </cell>
        </row>
        <row r="134">
          <cell r="A134">
            <v>481004</v>
          </cell>
          <cell r="B134">
            <v>1015</v>
          </cell>
          <cell r="C134">
            <v>-1764.81</v>
          </cell>
          <cell r="D134" t="str">
            <v>204</v>
          </cell>
          <cell r="E134" t="str">
            <v>408</v>
          </cell>
          <cell r="F134">
            <v>0</v>
          </cell>
          <cell r="G134">
            <v>1</v>
          </cell>
          <cell r="H134" t="str">
            <v>2006-01-31</v>
          </cell>
        </row>
        <row r="135">
          <cell r="A135">
            <v>481004</v>
          </cell>
          <cell r="B135">
            <v>1015</v>
          </cell>
          <cell r="C135">
            <v>-328.27</v>
          </cell>
          <cell r="D135" t="str">
            <v>204</v>
          </cell>
          <cell r="E135" t="str">
            <v>408</v>
          </cell>
          <cell r="F135">
            <v>0</v>
          </cell>
          <cell r="G135">
            <v>1</v>
          </cell>
          <cell r="H135" t="str">
            <v>2006-01-31</v>
          </cell>
        </row>
        <row r="136">
          <cell r="A136">
            <v>481004</v>
          </cell>
          <cell r="B136">
            <v>1015</v>
          </cell>
          <cell r="C136">
            <v>-6403.79</v>
          </cell>
          <cell r="D136" t="str">
            <v>204</v>
          </cell>
          <cell r="E136" t="str">
            <v>408</v>
          </cell>
          <cell r="F136">
            <v>0</v>
          </cell>
          <cell r="G136">
            <v>1</v>
          </cell>
          <cell r="H136" t="str">
            <v>2006-01-31</v>
          </cell>
        </row>
        <row r="137">
          <cell r="A137">
            <v>481004</v>
          </cell>
          <cell r="B137">
            <v>1015</v>
          </cell>
          <cell r="C137">
            <v>-19522.84</v>
          </cell>
          <cell r="D137" t="str">
            <v>204</v>
          </cell>
          <cell r="E137" t="str">
            <v>408</v>
          </cell>
          <cell r="F137">
            <v>0</v>
          </cell>
          <cell r="G137">
            <v>1</v>
          </cell>
          <cell r="H137" t="str">
            <v>2006-01-31</v>
          </cell>
        </row>
        <row r="138">
          <cell r="A138">
            <v>481002</v>
          </cell>
          <cell r="B138">
            <v>1015</v>
          </cell>
          <cell r="C138">
            <v>0</v>
          </cell>
          <cell r="D138" t="str">
            <v>204</v>
          </cell>
          <cell r="E138" t="str">
            <v>409</v>
          </cell>
          <cell r="F138">
            <v>0</v>
          </cell>
          <cell r="G138">
            <v>1</v>
          </cell>
          <cell r="H138" t="str">
            <v>2006-01-31</v>
          </cell>
        </row>
        <row r="139">
          <cell r="A139">
            <v>481002</v>
          </cell>
          <cell r="B139">
            <v>1015</v>
          </cell>
          <cell r="C139">
            <v>0</v>
          </cell>
          <cell r="D139" t="str">
            <v>204</v>
          </cell>
          <cell r="E139" t="str">
            <v>409</v>
          </cell>
          <cell r="F139">
            <v>0</v>
          </cell>
          <cell r="G139">
            <v>1</v>
          </cell>
          <cell r="H139" t="str">
            <v>2006-01-31</v>
          </cell>
        </row>
        <row r="140">
          <cell r="A140">
            <v>481002</v>
          </cell>
          <cell r="B140">
            <v>1015</v>
          </cell>
          <cell r="C140">
            <v>0</v>
          </cell>
          <cell r="D140" t="str">
            <v>204</v>
          </cell>
          <cell r="E140" t="str">
            <v>409</v>
          </cell>
          <cell r="F140">
            <v>0</v>
          </cell>
          <cell r="G140">
            <v>1</v>
          </cell>
          <cell r="H140" t="str">
            <v>2006-01-31</v>
          </cell>
        </row>
        <row r="141">
          <cell r="A141">
            <v>481002</v>
          </cell>
          <cell r="B141">
            <v>1015</v>
          </cell>
          <cell r="C141">
            <v>2002370.44</v>
          </cell>
          <cell r="D141" t="str">
            <v>204</v>
          </cell>
          <cell r="E141" t="str">
            <v>411</v>
          </cell>
          <cell r="F141">
            <v>0</v>
          </cell>
          <cell r="G141">
            <v>1</v>
          </cell>
          <cell r="H141" t="str">
            <v>2006-01-31</v>
          </cell>
        </row>
        <row r="142">
          <cell r="A142">
            <v>481002</v>
          </cell>
          <cell r="B142">
            <v>1015</v>
          </cell>
          <cell r="C142">
            <v>-17389.96</v>
          </cell>
          <cell r="D142" t="str">
            <v>204</v>
          </cell>
          <cell r="E142" t="str">
            <v>411</v>
          </cell>
          <cell r="F142">
            <v>0</v>
          </cell>
          <cell r="G142">
            <v>1</v>
          </cell>
          <cell r="H142" t="str">
            <v>2006-01-31</v>
          </cell>
        </row>
        <row r="143">
          <cell r="A143">
            <v>481002</v>
          </cell>
          <cell r="B143">
            <v>1015</v>
          </cell>
          <cell r="C143">
            <v>-84711.27</v>
          </cell>
          <cell r="D143" t="str">
            <v>204</v>
          </cell>
          <cell r="E143" t="str">
            <v>411</v>
          </cell>
          <cell r="F143">
            <v>0</v>
          </cell>
          <cell r="G143">
            <v>1</v>
          </cell>
          <cell r="H143" t="str">
            <v>2006-01-31</v>
          </cell>
        </row>
        <row r="144">
          <cell r="A144">
            <v>481002</v>
          </cell>
          <cell r="B144">
            <v>1015</v>
          </cell>
          <cell r="C144">
            <v>-55795.02</v>
          </cell>
          <cell r="D144" t="str">
            <v>204</v>
          </cell>
          <cell r="E144" t="str">
            <v>411</v>
          </cell>
          <cell r="F144">
            <v>0</v>
          </cell>
          <cell r="G144">
            <v>1</v>
          </cell>
          <cell r="H144" t="str">
            <v>2006-01-31</v>
          </cell>
        </row>
        <row r="145">
          <cell r="A145">
            <v>481002</v>
          </cell>
          <cell r="B145">
            <v>1015</v>
          </cell>
          <cell r="C145">
            <v>-70820.179999999993</v>
          </cell>
          <cell r="D145" t="str">
            <v>204</v>
          </cell>
          <cell r="E145" t="str">
            <v>411</v>
          </cell>
          <cell r="F145">
            <v>0</v>
          </cell>
          <cell r="G145">
            <v>1</v>
          </cell>
          <cell r="H145" t="str">
            <v>2006-01-31</v>
          </cell>
        </row>
        <row r="146">
          <cell r="A146">
            <v>481002</v>
          </cell>
          <cell r="B146">
            <v>1015</v>
          </cell>
          <cell r="C146">
            <v>-59767.1</v>
          </cell>
          <cell r="D146" t="str">
            <v>204</v>
          </cell>
          <cell r="E146" t="str">
            <v>411</v>
          </cell>
          <cell r="F146">
            <v>0</v>
          </cell>
          <cell r="G146">
            <v>1</v>
          </cell>
          <cell r="H146" t="str">
            <v>2006-01-31</v>
          </cell>
        </row>
        <row r="147">
          <cell r="A147">
            <v>481002</v>
          </cell>
          <cell r="B147">
            <v>1015</v>
          </cell>
          <cell r="C147">
            <v>-19.170000000000002</v>
          </cell>
          <cell r="D147" t="str">
            <v>204</v>
          </cell>
          <cell r="E147" t="str">
            <v>411</v>
          </cell>
          <cell r="F147">
            <v>0</v>
          </cell>
          <cell r="G147">
            <v>1</v>
          </cell>
          <cell r="H147" t="str">
            <v>2006-01-31</v>
          </cell>
        </row>
        <row r="148">
          <cell r="A148">
            <v>481002</v>
          </cell>
          <cell r="B148">
            <v>1015</v>
          </cell>
          <cell r="C148">
            <v>-69347.67</v>
          </cell>
          <cell r="D148" t="str">
            <v>204</v>
          </cell>
          <cell r="E148" t="str">
            <v>411</v>
          </cell>
          <cell r="F148">
            <v>0</v>
          </cell>
          <cell r="G148">
            <v>1</v>
          </cell>
          <cell r="H148" t="str">
            <v>2006-01-31</v>
          </cell>
        </row>
        <row r="149">
          <cell r="A149">
            <v>481002</v>
          </cell>
          <cell r="B149">
            <v>1015</v>
          </cell>
          <cell r="C149">
            <v>-28896.62</v>
          </cell>
          <cell r="D149" t="str">
            <v>204</v>
          </cell>
          <cell r="E149" t="str">
            <v>411</v>
          </cell>
          <cell r="F149">
            <v>0</v>
          </cell>
          <cell r="G149">
            <v>1</v>
          </cell>
          <cell r="H149" t="str">
            <v>2006-01-31</v>
          </cell>
        </row>
        <row r="150">
          <cell r="A150">
            <v>481002</v>
          </cell>
          <cell r="B150">
            <v>1015</v>
          </cell>
          <cell r="C150">
            <v>-842822.2</v>
          </cell>
          <cell r="D150" t="str">
            <v>204</v>
          </cell>
          <cell r="E150" t="str">
            <v>411</v>
          </cell>
          <cell r="F150">
            <v>0</v>
          </cell>
          <cell r="G150">
            <v>1</v>
          </cell>
          <cell r="H150" t="str">
            <v>2006-01-31</v>
          </cell>
        </row>
        <row r="151">
          <cell r="A151">
            <v>481005</v>
          </cell>
          <cell r="B151">
            <v>1015</v>
          </cell>
          <cell r="C151">
            <v>-3271782.48</v>
          </cell>
          <cell r="D151" t="str">
            <v>204</v>
          </cell>
          <cell r="E151" t="str">
            <v>411</v>
          </cell>
          <cell r="F151">
            <v>0</v>
          </cell>
          <cell r="G151">
            <v>1</v>
          </cell>
          <cell r="H151" t="str">
            <v>2006-01-31</v>
          </cell>
        </row>
        <row r="152">
          <cell r="A152">
            <v>481005</v>
          </cell>
          <cell r="B152">
            <v>1015</v>
          </cell>
          <cell r="C152">
            <v>40699.769999999997</v>
          </cell>
          <cell r="D152" t="str">
            <v>204</v>
          </cell>
          <cell r="E152" t="str">
            <v>411</v>
          </cell>
          <cell r="F152">
            <v>0</v>
          </cell>
          <cell r="G152">
            <v>1</v>
          </cell>
          <cell r="H152" t="str">
            <v>2006-01-31</v>
          </cell>
        </row>
        <row r="153">
          <cell r="A153">
            <v>481005</v>
          </cell>
          <cell r="B153">
            <v>1015</v>
          </cell>
          <cell r="C153">
            <v>-64450.55</v>
          </cell>
          <cell r="D153" t="str">
            <v>204</v>
          </cell>
          <cell r="E153" t="str">
            <v>411</v>
          </cell>
          <cell r="F153">
            <v>0</v>
          </cell>
          <cell r="G153">
            <v>1</v>
          </cell>
          <cell r="H153" t="str">
            <v>2006-01-31</v>
          </cell>
        </row>
        <row r="154">
          <cell r="A154">
            <v>481005</v>
          </cell>
          <cell r="B154">
            <v>1015</v>
          </cell>
          <cell r="C154">
            <v>-15007.35</v>
          </cell>
          <cell r="D154" t="str">
            <v>204</v>
          </cell>
          <cell r="E154" t="str">
            <v>411</v>
          </cell>
          <cell r="F154">
            <v>0</v>
          </cell>
          <cell r="G154">
            <v>1</v>
          </cell>
          <cell r="H154" t="str">
            <v>2006-01-31</v>
          </cell>
        </row>
        <row r="155">
          <cell r="A155">
            <v>481005</v>
          </cell>
          <cell r="B155">
            <v>1015</v>
          </cell>
          <cell r="C155">
            <v>-56076.69</v>
          </cell>
          <cell r="D155" t="str">
            <v>204</v>
          </cell>
          <cell r="E155" t="str">
            <v>411</v>
          </cell>
          <cell r="F155">
            <v>0</v>
          </cell>
          <cell r="G155">
            <v>1</v>
          </cell>
          <cell r="H155" t="str">
            <v>2006-01-31</v>
          </cell>
        </row>
        <row r="156">
          <cell r="A156">
            <v>481005</v>
          </cell>
          <cell r="B156">
            <v>1015</v>
          </cell>
          <cell r="C156">
            <v>-13090.6</v>
          </cell>
          <cell r="D156" t="str">
            <v>204</v>
          </cell>
          <cell r="E156" t="str">
            <v>411</v>
          </cell>
          <cell r="F156">
            <v>0</v>
          </cell>
          <cell r="G156">
            <v>1</v>
          </cell>
          <cell r="H156" t="str">
            <v>2006-01-31</v>
          </cell>
        </row>
        <row r="157">
          <cell r="A157">
            <v>481005</v>
          </cell>
          <cell r="B157">
            <v>1015</v>
          </cell>
          <cell r="C157">
            <v>-25483.69</v>
          </cell>
          <cell r="D157" t="str">
            <v>204</v>
          </cell>
          <cell r="E157" t="str">
            <v>411</v>
          </cell>
          <cell r="F157">
            <v>0</v>
          </cell>
          <cell r="G157">
            <v>1</v>
          </cell>
          <cell r="H157" t="str">
            <v>2006-01-31</v>
          </cell>
        </row>
        <row r="158">
          <cell r="A158">
            <v>481005</v>
          </cell>
          <cell r="B158">
            <v>1015</v>
          </cell>
          <cell r="C158">
            <v>-91973.09</v>
          </cell>
          <cell r="D158" t="str">
            <v>204</v>
          </cell>
          <cell r="E158" t="str">
            <v>411</v>
          </cell>
          <cell r="F158">
            <v>0</v>
          </cell>
          <cell r="G158">
            <v>1</v>
          </cell>
          <cell r="H158" t="str">
            <v>2006-01-31</v>
          </cell>
        </row>
        <row r="159">
          <cell r="A159">
            <v>481005</v>
          </cell>
          <cell r="B159">
            <v>1015</v>
          </cell>
          <cell r="C159">
            <v>-20791.009999999998</v>
          </cell>
          <cell r="D159" t="str">
            <v>204</v>
          </cell>
          <cell r="E159" t="str">
            <v>411</v>
          </cell>
          <cell r="F159">
            <v>0</v>
          </cell>
          <cell r="G159">
            <v>1</v>
          </cell>
          <cell r="H159" t="str">
            <v>2006-01-31</v>
          </cell>
        </row>
        <row r="160">
          <cell r="A160">
            <v>481005</v>
          </cell>
          <cell r="B160">
            <v>1015</v>
          </cell>
          <cell r="C160">
            <v>-180787.14</v>
          </cell>
          <cell r="D160" t="str">
            <v>204</v>
          </cell>
          <cell r="E160" t="str">
            <v>411</v>
          </cell>
          <cell r="F160">
            <v>0</v>
          </cell>
          <cell r="G160">
            <v>1</v>
          </cell>
          <cell r="H160" t="str">
            <v>2006-01-31</v>
          </cell>
        </row>
        <row r="161">
          <cell r="A161">
            <v>481002</v>
          </cell>
          <cell r="B161">
            <v>1015</v>
          </cell>
          <cell r="C161">
            <v>-1231542.17</v>
          </cell>
          <cell r="D161" t="str">
            <v>204</v>
          </cell>
          <cell r="E161" t="str">
            <v>411</v>
          </cell>
          <cell r="F161">
            <v>0</v>
          </cell>
          <cell r="G161">
            <v>1</v>
          </cell>
          <cell r="H161" t="str">
            <v>2006-01-31</v>
          </cell>
        </row>
        <row r="162">
          <cell r="A162">
            <v>481005</v>
          </cell>
          <cell r="B162">
            <v>1015</v>
          </cell>
          <cell r="C162">
            <v>2629643.7000000002</v>
          </cell>
          <cell r="D162" t="str">
            <v>204</v>
          </cell>
          <cell r="E162" t="str">
            <v>411</v>
          </cell>
          <cell r="F162">
            <v>0</v>
          </cell>
          <cell r="G162">
            <v>1</v>
          </cell>
          <cell r="H162" t="str">
            <v>2006-01-31</v>
          </cell>
        </row>
        <row r="163">
          <cell r="A163">
            <v>481002</v>
          </cell>
          <cell r="B163">
            <v>1015</v>
          </cell>
          <cell r="C163">
            <v>239664.23</v>
          </cell>
          <cell r="D163" t="str">
            <v>204</v>
          </cell>
          <cell r="E163" t="str">
            <v>414</v>
          </cell>
          <cell r="F163">
            <v>0</v>
          </cell>
          <cell r="G163">
            <v>1</v>
          </cell>
          <cell r="H163" t="str">
            <v>2006-01-31</v>
          </cell>
        </row>
        <row r="164">
          <cell r="A164">
            <v>481002</v>
          </cell>
          <cell r="B164">
            <v>1015</v>
          </cell>
          <cell r="C164">
            <v>-1308.04</v>
          </cell>
          <cell r="D164" t="str">
            <v>204</v>
          </cell>
          <cell r="E164" t="str">
            <v>414</v>
          </cell>
          <cell r="F164">
            <v>0</v>
          </cell>
          <cell r="G164">
            <v>1</v>
          </cell>
          <cell r="H164" t="str">
            <v>2006-01-31</v>
          </cell>
        </row>
        <row r="165">
          <cell r="A165">
            <v>481002</v>
          </cell>
          <cell r="B165">
            <v>1015</v>
          </cell>
          <cell r="C165">
            <v>0</v>
          </cell>
          <cell r="D165" t="str">
            <v>204</v>
          </cell>
          <cell r="E165" t="str">
            <v>414</v>
          </cell>
          <cell r="F165">
            <v>0</v>
          </cell>
          <cell r="G165">
            <v>1</v>
          </cell>
          <cell r="H165" t="str">
            <v>2006-01-31</v>
          </cell>
        </row>
        <row r="166">
          <cell r="A166">
            <v>481002</v>
          </cell>
          <cell r="B166">
            <v>1015</v>
          </cell>
          <cell r="C166">
            <v>-80955.960000000006</v>
          </cell>
          <cell r="D166" t="str">
            <v>204</v>
          </cell>
          <cell r="E166" t="str">
            <v>414</v>
          </cell>
          <cell r="F166">
            <v>0</v>
          </cell>
          <cell r="G166">
            <v>1</v>
          </cell>
          <cell r="H166" t="str">
            <v>2006-01-31</v>
          </cell>
        </row>
        <row r="167">
          <cell r="A167">
            <v>481002</v>
          </cell>
          <cell r="B167">
            <v>1015</v>
          </cell>
          <cell r="C167">
            <v>-4878.18</v>
          </cell>
          <cell r="D167" t="str">
            <v>204</v>
          </cell>
          <cell r="E167" t="str">
            <v>414</v>
          </cell>
          <cell r="F167">
            <v>0</v>
          </cell>
          <cell r="G167">
            <v>1</v>
          </cell>
          <cell r="H167" t="str">
            <v>2006-01-31</v>
          </cell>
        </row>
        <row r="168">
          <cell r="A168">
            <v>481002</v>
          </cell>
          <cell r="B168">
            <v>1015</v>
          </cell>
          <cell r="C168">
            <v>-103243.65</v>
          </cell>
          <cell r="D168" t="str">
            <v>204</v>
          </cell>
          <cell r="E168" t="str">
            <v>414</v>
          </cell>
          <cell r="F168">
            <v>0</v>
          </cell>
          <cell r="G168">
            <v>1</v>
          </cell>
          <cell r="H168" t="str">
            <v>2006-01-31</v>
          </cell>
        </row>
        <row r="169">
          <cell r="A169">
            <v>481005</v>
          </cell>
          <cell r="B169">
            <v>1015</v>
          </cell>
          <cell r="C169">
            <v>-343059.63</v>
          </cell>
          <cell r="D169" t="str">
            <v>204</v>
          </cell>
          <cell r="E169" t="str">
            <v>414</v>
          </cell>
          <cell r="F169">
            <v>0</v>
          </cell>
          <cell r="G169">
            <v>1</v>
          </cell>
          <cell r="H169" t="str">
            <v>2006-01-31</v>
          </cell>
        </row>
        <row r="170">
          <cell r="A170">
            <v>481005</v>
          </cell>
          <cell r="B170">
            <v>1015</v>
          </cell>
          <cell r="C170">
            <v>3304.74</v>
          </cell>
          <cell r="D170" t="str">
            <v>204</v>
          </cell>
          <cell r="E170" t="str">
            <v>414</v>
          </cell>
          <cell r="F170">
            <v>0</v>
          </cell>
          <cell r="G170">
            <v>1</v>
          </cell>
          <cell r="H170" t="str">
            <v>2006-01-31</v>
          </cell>
        </row>
        <row r="171">
          <cell r="A171">
            <v>481005</v>
          </cell>
          <cell r="B171">
            <v>1015</v>
          </cell>
          <cell r="C171">
            <v>-9046.32</v>
          </cell>
          <cell r="D171" t="str">
            <v>204</v>
          </cell>
          <cell r="E171" t="str">
            <v>414</v>
          </cell>
          <cell r="F171">
            <v>0</v>
          </cell>
          <cell r="G171">
            <v>1</v>
          </cell>
          <cell r="H171" t="str">
            <v>2006-01-31</v>
          </cell>
        </row>
        <row r="172">
          <cell r="A172">
            <v>481002</v>
          </cell>
          <cell r="B172">
            <v>1015</v>
          </cell>
          <cell r="C172">
            <v>-108727.03</v>
          </cell>
          <cell r="D172" t="str">
            <v>204</v>
          </cell>
          <cell r="E172" t="str">
            <v>414</v>
          </cell>
          <cell r="F172">
            <v>0</v>
          </cell>
          <cell r="G172">
            <v>1</v>
          </cell>
          <cell r="H172" t="str">
            <v>2006-01-31</v>
          </cell>
        </row>
        <row r="173">
          <cell r="A173">
            <v>481005</v>
          </cell>
          <cell r="B173">
            <v>1015</v>
          </cell>
          <cell r="C173">
            <v>179883.7</v>
          </cell>
          <cell r="D173" t="str">
            <v>204</v>
          </cell>
          <cell r="E173" t="str">
            <v>414</v>
          </cell>
          <cell r="F173">
            <v>0</v>
          </cell>
          <cell r="G173">
            <v>1</v>
          </cell>
          <cell r="H173" t="str">
            <v>2006-01-31</v>
          </cell>
        </row>
        <row r="174">
          <cell r="A174">
            <v>481000</v>
          </cell>
          <cell r="B174">
            <v>1015</v>
          </cell>
          <cell r="C174">
            <v>-3490.69</v>
          </cell>
          <cell r="D174" t="str">
            <v>204</v>
          </cell>
          <cell r="E174" t="str">
            <v>451</v>
          </cell>
          <cell r="F174">
            <v>0</v>
          </cell>
          <cell r="G174">
            <v>1</v>
          </cell>
          <cell r="H174" t="str">
            <v>2006-01-31</v>
          </cell>
        </row>
        <row r="175">
          <cell r="A175">
            <v>481000</v>
          </cell>
          <cell r="B175">
            <v>1015</v>
          </cell>
          <cell r="C175">
            <v>0</v>
          </cell>
          <cell r="D175" t="str">
            <v>204</v>
          </cell>
          <cell r="E175" t="str">
            <v>451</v>
          </cell>
          <cell r="F175">
            <v>0</v>
          </cell>
          <cell r="G175">
            <v>1</v>
          </cell>
          <cell r="H175" t="str">
            <v>2006-01-31</v>
          </cell>
        </row>
        <row r="176">
          <cell r="A176">
            <v>481000</v>
          </cell>
          <cell r="B176">
            <v>1015</v>
          </cell>
          <cell r="C176">
            <v>-2191.81</v>
          </cell>
          <cell r="D176" t="str">
            <v>204</v>
          </cell>
          <cell r="E176" t="str">
            <v>451</v>
          </cell>
          <cell r="F176">
            <v>0</v>
          </cell>
          <cell r="G176">
            <v>1</v>
          </cell>
          <cell r="H176" t="str">
            <v>2006-01-31</v>
          </cell>
        </row>
        <row r="177">
          <cell r="A177">
            <v>481004</v>
          </cell>
          <cell r="B177">
            <v>1015</v>
          </cell>
          <cell r="C177">
            <v>-28259.55</v>
          </cell>
          <cell r="D177" t="str">
            <v>204</v>
          </cell>
          <cell r="E177" t="str">
            <v>451</v>
          </cell>
          <cell r="F177">
            <v>0</v>
          </cell>
          <cell r="G177">
            <v>1</v>
          </cell>
          <cell r="H177" t="str">
            <v>2006-01-31</v>
          </cell>
        </row>
        <row r="178">
          <cell r="A178">
            <v>481004</v>
          </cell>
          <cell r="B178">
            <v>1015</v>
          </cell>
          <cell r="C178">
            <v>0</v>
          </cell>
          <cell r="D178" t="str">
            <v>204</v>
          </cell>
          <cell r="E178" t="str">
            <v>451</v>
          </cell>
          <cell r="F178">
            <v>0</v>
          </cell>
          <cell r="G178">
            <v>1</v>
          </cell>
          <cell r="H178" t="str">
            <v>2006-01-31</v>
          </cell>
        </row>
        <row r="179">
          <cell r="A179">
            <v>481004</v>
          </cell>
          <cell r="B179">
            <v>1015</v>
          </cell>
          <cell r="C179">
            <v>-10250.73</v>
          </cell>
          <cell r="D179" t="str">
            <v>204</v>
          </cell>
          <cell r="E179" t="str">
            <v>451</v>
          </cell>
          <cell r="F179">
            <v>0</v>
          </cell>
          <cell r="G179">
            <v>1</v>
          </cell>
          <cell r="H179" t="str">
            <v>2006-01-31</v>
          </cell>
        </row>
        <row r="180">
          <cell r="A180">
            <v>481004</v>
          </cell>
          <cell r="B180">
            <v>1015</v>
          </cell>
          <cell r="C180">
            <v>-59058.080000000002</v>
          </cell>
          <cell r="D180" t="str">
            <v>204</v>
          </cell>
          <cell r="E180" t="str">
            <v>451</v>
          </cell>
          <cell r="F180">
            <v>0</v>
          </cell>
          <cell r="G180">
            <v>1</v>
          </cell>
          <cell r="H180" t="str">
            <v>2006-01-31</v>
          </cell>
        </row>
        <row r="181">
          <cell r="A181">
            <v>481004</v>
          </cell>
          <cell r="B181">
            <v>1015</v>
          </cell>
          <cell r="C181">
            <v>-16624.060000000001</v>
          </cell>
          <cell r="D181" t="str">
            <v>204</v>
          </cell>
          <cell r="E181" t="str">
            <v>451</v>
          </cell>
          <cell r="F181">
            <v>0</v>
          </cell>
          <cell r="G181">
            <v>1</v>
          </cell>
          <cell r="H181" t="str">
            <v>2006-01-31</v>
          </cell>
        </row>
        <row r="182">
          <cell r="A182">
            <v>481004</v>
          </cell>
          <cell r="B182">
            <v>1015</v>
          </cell>
          <cell r="C182">
            <v>-17054.919999999998</v>
          </cell>
          <cell r="D182" t="str">
            <v>204</v>
          </cell>
          <cell r="E182" t="str">
            <v>451</v>
          </cell>
          <cell r="F182">
            <v>0</v>
          </cell>
          <cell r="G182">
            <v>1</v>
          </cell>
          <cell r="H182" t="str">
            <v>2006-01-31</v>
          </cell>
        </row>
        <row r="183">
          <cell r="A183">
            <v>481004</v>
          </cell>
          <cell r="B183">
            <v>1015</v>
          </cell>
          <cell r="C183">
            <v>-6968.03</v>
          </cell>
          <cell r="D183" t="str">
            <v>204</v>
          </cell>
          <cell r="E183" t="str">
            <v>451</v>
          </cell>
          <cell r="F183">
            <v>0</v>
          </cell>
          <cell r="G183">
            <v>1</v>
          </cell>
          <cell r="H183" t="str">
            <v>2006-01-31</v>
          </cell>
        </row>
        <row r="184">
          <cell r="A184">
            <v>481004</v>
          </cell>
          <cell r="B184">
            <v>1015</v>
          </cell>
          <cell r="C184">
            <v>-19500.060000000001</v>
          </cell>
          <cell r="D184" t="str">
            <v>204</v>
          </cell>
          <cell r="E184" t="str">
            <v>451</v>
          </cell>
          <cell r="F184">
            <v>0</v>
          </cell>
          <cell r="G184">
            <v>1</v>
          </cell>
          <cell r="H184" t="str">
            <v>2006-01-31</v>
          </cell>
        </row>
        <row r="185">
          <cell r="A185">
            <v>481004</v>
          </cell>
          <cell r="B185">
            <v>1015</v>
          </cell>
          <cell r="C185">
            <v>-32137.06</v>
          </cell>
          <cell r="D185" t="str">
            <v>204</v>
          </cell>
          <cell r="E185" t="str">
            <v>451</v>
          </cell>
          <cell r="F185">
            <v>0</v>
          </cell>
          <cell r="G185">
            <v>1</v>
          </cell>
          <cell r="H185" t="str">
            <v>2006-01-31</v>
          </cell>
        </row>
        <row r="186">
          <cell r="A186">
            <v>481004</v>
          </cell>
          <cell r="B186">
            <v>1015</v>
          </cell>
          <cell r="C186">
            <v>-145914.41</v>
          </cell>
          <cell r="D186" t="str">
            <v>204</v>
          </cell>
          <cell r="E186" t="str">
            <v>451</v>
          </cell>
          <cell r="F186">
            <v>0</v>
          </cell>
          <cell r="G186">
            <v>1</v>
          </cell>
          <cell r="H186" t="str">
            <v>2006-01-31</v>
          </cell>
        </row>
        <row r="187">
          <cell r="A187">
            <v>481000</v>
          </cell>
          <cell r="B187">
            <v>1015</v>
          </cell>
          <cell r="C187">
            <v>5682.5</v>
          </cell>
          <cell r="D187" t="str">
            <v>204</v>
          </cell>
          <cell r="E187" t="str">
            <v>451</v>
          </cell>
          <cell r="F187">
            <v>0</v>
          </cell>
          <cell r="G187">
            <v>1</v>
          </cell>
          <cell r="H187" t="str">
            <v>2006-01-31</v>
          </cell>
        </row>
        <row r="188">
          <cell r="A188">
            <v>481004</v>
          </cell>
          <cell r="B188">
            <v>1015</v>
          </cell>
          <cell r="C188">
            <v>20000.900000000001</v>
          </cell>
          <cell r="D188" t="str">
            <v>204</v>
          </cell>
          <cell r="E188" t="str">
            <v>451</v>
          </cell>
          <cell r="F188">
            <v>0</v>
          </cell>
          <cell r="G188">
            <v>1</v>
          </cell>
          <cell r="H188" t="str">
            <v>2006-01-31</v>
          </cell>
        </row>
        <row r="189">
          <cell r="A189">
            <v>480000</v>
          </cell>
          <cell r="B189">
            <v>1015</v>
          </cell>
          <cell r="C189">
            <v>-188953.41</v>
          </cell>
          <cell r="D189" t="str">
            <v>204</v>
          </cell>
          <cell r="E189" t="str">
            <v>453</v>
          </cell>
          <cell r="F189">
            <v>0</v>
          </cell>
          <cell r="G189">
            <v>1</v>
          </cell>
          <cell r="H189" t="str">
            <v>2006-01-31</v>
          </cell>
        </row>
        <row r="190">
          <cell r="A190">
            <v>480000</v>
          </cell>
          <cell r="B190">
            <v>1015</v>
          </cell>
          <cell r="C190">
            <v>-12746.4</v>
          </cell>
          <cell r="D190" t="str">
            <v>204</v>
          </cell>
          <cell r="E190" t="str">
            <v>453</v>
          </cell>
          <cell r="F190">
            <v>0</v>
          </cell>
          <cell r="G190">
            <v>1</v>
          </cell>
          <cell r="H190" t="str">
            <v>2006-01-31</v>
          </cell>
        </row>
        <row r="191">
          <cell r="A191">
            <v>480000</v>
          </cell>
          <cell r="B191">
            <v>1015</v>
          </cell>
          <cell r="C191">
            <v>-172246.8</v>
          </cell>
          <cell r="D191" t="str">
            <v>204</v>
          </cell>
          <cell r="E191" t="str">
            <v>453</v>
          </cell>
          <cell r="F191">
            <v>0</v>
          </cell>
          <cell r="G191">
            <v>1</v>
          </cell>
          <cell r="H191" t="str">
            <v>2006-01-31</v>
          </cell>
        </row>
        <row r="192">
          <cell r="A192">
            <v>480000</v>
          </cell>
          <cell r="B192">
            <v>1015</v>
          </cell>
          <cell r="C192">
            <v>-261791.39</v>
          </cell>
          <cell r="D192" t="str">
            <v>204</v>
          </cell>
          <cell r="E192" t="str">
            <v>453</v>
          </cell>
          <cell r="F192">
            <v>0</v>
          </cell>
          <cell r="G192">
            <v>1</v>
          </cell>
          <cell r="H192" t="str">
            <v>2006-01-31</v>
          </cell>
        </row>
        <row r="193">
          <cell r="A193">
            <v>480000</v>
          </cell>
          <cell r="B193">
            <v>1015</v>
          </cell>
          <cell r="C193">
            <v>-412221.77</v>
          </cell>
          <cell r="D193" t="str">
            <v>204</v>
          </cell>
          <cell r="E193" t="str">
            <v>453</v>
          </cell>
          <cell r="F193">
            <v>0</v>
          </cell>
          <cell r="G193">
            <v>1</v>
          </cell>
          <cell r="H193" t="str">
            <v>2006-01-31</v>
          </cell>
        </row>
        <row r="194">
          <cell r="A194">
            <v>480000</v>
          </cell>
          <cell r="B194">
            <v>1015</v>
          </cell>
          <cell r="C194">
            <v>-176178.48</v>
          </cell>
          <cell r="D194" t="str">
            <v>204</v>
          </cell>
          <cell r="E194" t="str">
            <v>453</v>
          </cell>
          <cell r="F194">
            <v>0</v>
          </cell>
          <cell r="G194">
            <v>1</v>
          </cell>
          <cell r="H194" t="str">
            <v>2006-01-31</v>
          </cell>
        </row>
        <row r="195">
          <cell r="A195">
            <v>480000</v>
          </cell>
          <cell r="B195">
            <v>1015</v>
          </cell>
          <cell r="C195">
            <v>-194980.18</v>
          </cell>
          <cell r="D195" t="str">
            <v>204</v>
          </cell>
          <cell r="E195" t="str">
            <v>453</v>
          </cell>
          <cell r="F195">
            <v>0</v>
          </cell>
          <cell r="G195">
            <v>1</v>
          </cell>
          <cell r="H195" t="str">
            <v>2006-01-31</v>
          </cell>
        </row>
        <row r="196">
          <cell r="A196">
            <v>480000</v>
          </cell>
          <cell r="B196">
            <v>1015</v>
          </cell>
          <cell r="C196">
            <v>-6210.34</v>
          </cell>
          <cell r="D196" t="str">
            <v>204</v>
          </cell>
          <cell r="E196" t="str">
            <v>453</v>
          </cell>
          <cell r="F196">
            <v>0</v>
          </cell>
          <cell r="G196">
            <v>1</v>
          </cell>
          <cell r="H196" t="str">
            <v>2006-01-31</v>
          </cell>
        </row>
        <row r="197">
          <cell r="A197">
            <v>480000</v>
          </cell>
          <cell r="B197">
            <v>1015</v>
          </cell>
          <cell r="C197">
            <v>-143335.1</v>
          </cell>
          <cell r="D197" t="str">
            <v>204</v>
          </cell>
          <cell r="E197" t="str">
            <v>453</v>
          </cell>
          <cell r="F197">
            <v>0</v>
          </cell>
          <cell r="G197">
            <v>1</v>
          </cell>
          <cell r="H197" t="str">
            <v>2006-01-31</v>
          </cell>
        </row>
        <row r="198">
          <cell r="A198">
            <v>480000</v>
          </cell>
          <cell r="B198">
            <v>1015</v>
          </cell>
          <cell r="C198">
            <v>-10206.25</v>
          </cell>
          <cell r="D198" t="str">
            <v>204</v>
          </cell>
          <cell r="E198" t="str">
            <v>453</v>
          </cell>
          <cell r="F198">
            <v>0</v>
          </cell>
          <cell r="G198">
            <v>1</v>
          </cell>
          <cell r="H198" t="str">
            <v>2006-01-31</v>
          </cell>
        </row>
        <row r="199">
          <cell r="A199">
            <v>480000</v>
          </cell>
          <cell r="B199">
            <v>1015</v>
          </cell>
          <cell r="C199">
            <v>-1189977.02</v>
          </cell>
          <cell r="D199" t="str">
            <v>204</v>
          </cell>
          <cell r="E199" t="str">
            <v>453</v>
          </cell>
          <cell r="F199">
            <v>0</v>
          </cell>
          <cell r="G199">
            <v>1</v>
          </cell>
          <cell r="H199" t="str">
            <v>2006-01-31</v>
          </cell>
        </row>
        <row r="200">
          <cell r="A200">
            <v>480001</v>
          </cell>
          <cell r="B200">
            <v>1015</v>
          </cell>
          <cell r="C200">
            <v>199337.9</v>
          </cell>
          <cell r="D200" t="str">
            <v>204</v>
          </cell>
          <cell r="E200" t="str">
            <v>453</v>
          </cell>
          <cell r="F200">
            <v>0</v>
          </cell>
          <cell r="G200">
            <v>1</v>
          </cell>
          <cell r="H200" t="str">
            <v>2006-01-31</v>
          </cell>
        </row>
        <row r="201">
          <cell r="A201">
            <v>481004</v>
          </cell>
          <cell r="B201">
            <v>1015</v>
          </cell>
          <cell r="C201">
            <v>-108832.78</v>
          </cell>
          <cell r="D201" t="str">
            <v>204</v>
          </cell>
          <cell r="E201" t="str">
            <v>453</v>
          </cell>
          <cell r="F201">
            <v>0</v>
          </cell>
          <cell r="G201">
            <v>1</v>
          </cell>
          <cell r="H201" t="str">
            <v>2006-01-31</v>
          </cell>
        </row>
        <row r="202">
          <cell r="A202">
            <v>481004</v>
          </cell>
          <cell r="B202">
            <v>1015</v>
          </cell>
          <cell r="C202">
            <v>-3290.8</v>
          </cell>
          <cell r="D202" t="str">
            <v>204</v>
          </cell>
          <cell r="E202" t="str">
            <v>453</v>
          </cell>
          <cell r="F202">
            <v>0</v>
          </cell>
          <cell r="G202">
            <v>1</v>
          </cell>
          <cell r="H202" t="str">
            <v>2006-01-31</v>
          </cell>
        </row>
        <row r="203">
          <cell r="A203">
            <v>481004</v>
          </cell>
          <cell r="B203">
            <v>1015</v>
          </cell>
          <cell r="C203">
            <v>-274931.12</v>
          </cell>
          <cell r="D203" t="str">
            <v>204</v>
          </cell>
          <cell r="E203" t="str">
            <v>453</v>
          </cell>
          <cell r="F203">
            <v>0</v>
          </cell>
          <cell r="G203">
            <v>1</v>
          </cell>
          <cell r="H203" t="str">
            <v>2006-01-31</v>
          </cell>
        </row>
        <row r="204">
          <cell r="A204">
            <v>481004</v>
          </cell>
          <cell r="B204">
            <v>1015</v>
          </cell>
          <cell r="C204">
            <v>-171551.01</v>
          </cell>
          <cell r="D204" t="str">
            <v>204</v>
          </cell>
          <cell r="E204" t="str">
            <v>453</v>
          </cell>
          <cell r="F204">
            <v>0</v>
          </cell>
          <cell r="G204">
            <v>1</v>
          </cell>
          <cell r="H204" t="str">
            <v>2006-01-31</v>
          </cell>
        </row>
        <row r="205">
          <cell r="A205">
            <v>481004</v>
          </cell>
          <cell r="B205">
            <v>1015</v>
          </cell>
          <cell r="C205">
            <v>-174626.79</v>
          </cell>
          <cell r="D205" t="str">
            <v>204</v>
          </cell>
          <cell r="E205" t="str">
            <v>453</v>
          </cell>
          <cell r="F205">
            <v>0</v>
          </cell>
          <cell r="G205">
            <v>1</v>
          </cell>
          <cell r="H205" t="str">
            <v>2006-01-31</v>
          </cell>
        </row>
        <row r="206">
          <cell r="A206">
            <v>481004</v>
          </cell>
          <cell r="B206">
            <v>1015</v>
          </cell>
          <cell r="C206">
            <v>-66419.710000000006</v>
          </cell>
          <cell r="D206" t="str">
            <v>204</v>
          </cell>
          <cell r="E206" t="str">
            <v>453</v>
          </cell>
          <cell r="F206">
            <v>0</v>
          </cell>
          <cell r="G206">
            <v>1</v>
          </cell>
          <cell r="H206" t="str">
            <v>2006-01-31</v>
          </cell>
        </row>
        <row r="207">
          <cell r="A207">
            <v>481004</v>
          </cell>
          <cell r="B207">
            <v>1015</v>
          </cell>
          <cell r="C207">
            <v>-111914.64</v>
          </cell>
          <cell r="D207" t="str">
            <v>204</v>
          </cell>
          <cell r="E207" t="str">
            <v>453</v>
          </cell>
          <cell r="F207">
            <v>0</v>
          </cell>
          <cell r="G207">
            <v>1</v>
          </cell>
          <cell r="H207" t="str">
            <v>2006-01-31</v>
          </cell>
        </row>
        <row r="208">
          <cell r="A208">
            <v>481004</v>
          </cell>
          <cell r="B208">
            <v>1015</v>
          </cell>
          <cell r="C208">
            <v>-916.31</v>
          </cell>
          <cell r="D208" t="str">
            <v>204</v>
          </cell>
          <cell r="E208" t="str">
            <v>453</v>
          </cell>
          <cell r="F208">
            <v>0</v>
          </cell>
          <cell r="G208">
            <v>1</v>
          </cell>
          <cell r="H208" t="str">
            <v>2006-01-31</v>
          </cell>
        </row>
        <row r="209">
          <cell r="A209">
            <v>481004</v>
          </cell>
          <cell r="B209">
            <v>1015</v>
          </cell>
          <cell r="C209">
            <v>-122856.89</v>
          </cell>
          <cell r="D209" t="str">
            <v>204</v>
          </cell>
          <cell r="E209" t="str">
            <v>453</v>
          </cell>
          <cell r="F209">
            <v>0</v>
          </cell>
          <cell r="G209">
            <v>1</v>
          </cell>
          <cell r="H209" t="str">
            <v>2006-01-31</v>
          </cell>
        </row>
        <row r="210">
          <cell r="A210">
            <v>481004</v>
          </cell>
          <cell r="B210">
            <v>1015</v>
          </cell>
          <cell r="C210">
            <v>-3929.52</v>
          </cell>
          <cell r="D210" t="str">
            <v>204</v>
          </cell>
          <cell r="E210" t="str">
            <v>453</v>
          </cell>
          <cell r="F210">
            <v>0</v>
          </cell>
          <cell r="G210">
            <v>1</v>
          </cell>
          <cell r="H210" t="str">
            <v>2006-01-31</v>
          </cell>
        </row>
        <row r="211">
          <cell r="A211">
            <v>481004</v>
          </cell>
          <cell r="B211">
            <v>1015</v>
          </cell>
          <cell r="C211">
            <v>-657732.18999999994</v>
          </cell>
          <cell r="D211" t="str">
            <v>204</v>
          </cell>
          <cell r="E211" t="str">
            <v>453</v>
          </cell>
          <cell r="F211">
            <v>0</v>
          </cell>
          <cell r="G211">
            <v>1</v>
          </cell>
          <cell r="H211" t="str">
            <v>2006-01-31</v>
          </cell>
        </row>
        <row r="212">
          <cell r="A212">
            <v>480000</v>
          </cell>
          <cell r="B212">
            <v>1015</v>
          </cell>
          <cell r="C212">
            <v>-111355.05</v>
          </cell>
          <cell r="D212" t="str">
            <v>204</v>
          </cell>
          <cell r="E212" t="str">
            <v>455</v>
          </cell>
          <cell r="F212">
            <v>0</v>
          </cell>
          <cell r="G212">
            <v>1</v>
          </cell>
          <cell r="H212" t="str">
            <v>2006-01-31</v>
          </cell>
        </row>
        <row r="213">
          <cell r="A213">
            <v>480000</v>
          </cell>
          <cell r="B213">
            <v>1015</v>
          </cell>
          <cell r="C213">
            <v>-2423.94</v>
          </cell>
          <cell r="D213" t="str">
            <v>204</v>
          </cell>
          <cell r="E213" t="str">
            <v>455</v>
          </cell>
          <cell r="F213">
            <v>0</v>
          </cell>
          <cell r="G213">
            <v>1</v>
          </cell>
          <cell r="H213" t="str">
            <v>2006-01-31</v>
          </cell>
        </row>
        <row r="214">
          <cell r="A214">
            <v>480000</v>
          </cell>
          <cell r="B214">
            <v>1015</v>
          </cell>
          <cell r="C214">
            <v>-378.3</v>
          </cell>
          <cell r="D214" t="str">
            <v>204</v>
          </cell>
          <cell r="E214" t="str">
            <v>455</v>
          </cell>
          <cell r="F214">
            <v>0</v>
          </cell>
          <cell r="G214">
            <v>1</v>
          </cell>
          <cell r="H214" t="str">
            <v>2006-01-31</v>
          </cell>
        </row>
        <row r="215">
          <cell r="A215">
            <v>480000</v>
          </cell>
          <cell r="B215">
            <v>1015</v>
          </cell>
          <cell r="C215">
            <v>0</v>
          </cell>
          <cell r="D215" t="str">
            <v>204</v>
          </cell>
          <cell r="E215" t="str">
            <v>455</v>
          </cell>
          <cell r="F215">
            <v>0</v>
          </cell>
          <cell r="G215">
            <v>1</v>
          </cell>
          <cell r="H215" t="str">
            <v>2006-01-31</v>
          </cell>
        </row>
        <row r="216">
          <cell r="A216">
            <v>480000</v>
          </cell>
          <cell r="B216">
            <v>1015</v>
          </cell>
          <cell r="C216">
            <v>-97.81</v>
          </cell>
          <cell r="D216" t="str">
            <v>204</v>
          </cell>
          <cell r="E216" t="str">
            <v>455</v>
          </cell>
          <cell r="F216">
            <v>0</v>
          </cell>
          <cell r="G216">
            <v>1</v>
          </cell>
          <cell r="H216" t="str">
            <v>2006-01-31</v>
          </cell>
        </row>
        <row r="217">
          <cell r="A217">
            <v>480000</v>
          </cell>
          <cell r="B217">
            <v>1015</v>
          </cell>
          <cell r="C217">
            <v>-567.47</v>
          </cell>
          <cell r="D217" t="str">
            <v>204</v>
          </cell>
          <cell r="E217" t="str">
            <v>455</v>
          </cell>
          <cell r="F217">
            <v>0</v>
          </cell>
          <cell r="G217">
            <v>1</v>
          </cell>
          <cell r="H217" t="str">
            <v>2006-01-31</v>
          </cell>
        </row>
        <row r="218">
          <cell r="A218">
            <v>480001</v>
          </cell>
          <cell r="B218">
            <v>1015</v>
          </cell>
          <cell r="C218">
            <v>-871.62</v>
          </cell>
          <cell r="D218" t="str">
            <v>204</v>
          </cell>
          <cell r="E218" t="str">
            <v>455</v>
          </cell>
          <cell r="F218">
            <v>0</v>
          </cell>
          <cell r="G218">
            <v>1</v>
          </cell>
          <cell r="H218" t="str">
            <v>2006-01-31</v>
          </cell>
        </row>
        <row r="219">
          <cell r="A219">
            <v>481004</v>
          </cell>
          <cell r="B219">
            <v>1015</v>
          </cell>
          <cell r="C219">
            <v>-79569.67</v>
          </cell>
          <cell r="D219" t="str">
            <v>204</v>
          </cell>
          <cell r="E219" t="str">
            <v>455</v>
          </cell>
          <cell r="F219">
            <v>0</v>
          </cell>
          <cell r="G219">
            <v>1</v>
          </cell>
          <cell r="H219" t="str">
            <v>2006-01-31</v>
          </cell>
        </row>
        <row r="220">
          <cell r="A220">
            <v>481004</v>
          </cell>
          <cell r="B220">
            <v>1015</v>
          </cell>
          <cell r="C220">
            <v>-5000.32</v>
          </cell>
          <cell r="D220" t="str">
            <v>204</v>
          </cell>
          <cell r="E220" t="str">
            <v>455</v>
          </cell>
          <cell r="F220">
            <v>0</v>
          </cell>
          <cell r="G220">
            <v>1</v>
          </cell>
          <cell r="H220" t="str">
            <v>2006-01-31</v>
          </cell>
        </row>
        <row r="221">
          <cell r="A221">
            <v>481004</v>
          </cell>
          <cell r="B221">
            <v>1015</v>
          </cell>
          <cell r="C221">
            <v>-4001.02</v>
          </cell>
          <cell r="D221" t="str">
            <v>204</v>
          </cell>
          <cell r="E221" t="str">
            <v>455</v>
          </cell>
          <cell r="F221">
            <v>0</v>
          </cell>
          <cell r="G221">
            <v>1</v>
          </cell>
          <cell r="H221" t="str">
            <v>2006-01-31</v>
          </cell>
        </row>
        <row r="222">
          <cell r="A222">
            <v>481004</v>
          </cell>
          <cell r="B222">
            <v>1015</v>
          </cell>
          <cell r="C222">
            <v>-271.18</v>
          </cell>
          <cell r="D222" t="str">
            <v>204</v>
          </cell>
          <cell r="E222" t="str">
            <v>455</v>
          </cell>
          <cell r="F222">
            <v>0</v>
          </cell>
          <cell r="G222">
            <v>1</v>
          </cell>
          <cell r="H222" t="str">
            <v>2006-01-31</v>
          </cell>
        </row>
        <row r="223">
          <cell r="A223">
            <v>481004</v>
          </cell>
          <cell r="B223">
            <v>1015</v>
          </cell>
          <cell r="C223">
            <v>-2379.62</v>
          </cell>
          <cell r="D223" t="str">
            <v>204</v>
          </cell>
          <cell r="E223" t="str">
            <v>455</v>
          </cell>
          <cell r="F223">
            <v>0</v>
          </cell>
          <cell r="G223">
            <v>1</v>
          </cell>
          <cell r="H223" t="str">
            <v>2006-01-31</v>
          </cell>
        </row>
        <row r="224">
          <cell r="A224">
            <v>481002</v>
          </cell>
          <cell r="B224">
            <v>1015</v>
          </cell>
          <cell r="C224">
            <v>0</v>
          </cell>
          <cell r="D224" t="str">
            <v>204</v>
          </cell>
          <cell r="E224" t="str">
            <v>456</v>
          </cell>
          <cell r="F224">
            <v>0</v>
          </cell>
          <cell r="G224">
            <v>1</v>
          </cell>
          <cell r="H224" t="str">
            <v>2006-01-31</v>
          </cell>
        </row>
        <row r="225">
          <cell r="A225">
            <v>481002</v>
          </cell>
          <cell r="B225">
            <v>1015</v>
          </cell>
          <cell r="C225">
            <v>0</v>
          </cell>
          <cell r="D225" t="str">
            <v>204</v>
          </cell>
          <cell r="E225" t="str">
            <v>456</v>
          </cell>
          <cell r="F225">
            <v>0</v>
          </cell>
          <cell r="G225">
            <v>1</v>
          </cell>
          <cell r="H225" t="str">
            <v>2006-01-31</v>
          </cell>
        </row>
        <row r="226">
          <cell r="A226">
            <v>481002</v>
          </cell>
          <cell r="B226">
            <v>1015</v>
          </cell>
          <cell r="C226">
            <v>0</v>
          </cell>
          <cell r="D226" t="str">
            <v>204</v>
          </cell>
          <cell r="E226" t="str">
            <v>456</v>
          </cell>
          <cell r="F226">
            <v>0</v>
          </cell>
          <cell r="G226">
            <v>1</v>
          </cell>
          <cell r="H226" t="str">
            <v>2006-01-31</v>
          </cell>
        </row>
        <row r="227">
          <cell r="A227">
            <v>481002</v>
          </cell>
          <cell r="B227">
            <v>1015</v>
          </cell>
          <cell r="C227">
            <v>155419.07</v>
          </cell>
          <cell r="D227" t="str">
            <v>204</v>
          </cell>
          <cell r="E227" t="str">
            <v>457</v>
          </cell>
          <cell r="F227">
            <v>0</v>
          </cell>
          <cell r="G227">
            <v>1</v>
          </cell>
          <cell r="H227" t="str">
            <v>2006-01-31</v>
          </cell>
        </row>
        <row r="228">
          <cell r="A228">
            <v>481002</v>
          </cell>
          <cell r="B228">
            <v>1015</v>
          </cell>
          <cell r="C228">
            <v>3180.86</v>
          </cell>
          <cell r="D228" t="str">
            <v>204</v>
          </cell>
          <cell r="E228" t="str">
            <v>457</v>
          </cell>
          <cell r="F228">
            <v>0</v>
          </cell>
          <cell r="G228">
            <v>1</v>
          </cell>
          <cell r="H228" t="str">
            <v>2006-01-31</v>
          </cell>
        </row>
        <row r="229">
          <cell r="A229">
            <v>481002</v>
          </cell>
          <cell r="B229">
            <v>1015</v>
          </cell>
          <cell r="C229">
            <v>-3087.42</v>
          </cell>
          <cell r="D229" t="str">
            <v>204</v>
          </cell>
          <cell r="E229" t="str">
            <v>457</v>
          </cell>
          <cell r="F229">
            <v>0</v>
          </cell>
          <cell r="G229">
            <v>1</v>
          </cell>
          <cell r="H229" t="str">
            <v>2006-01-31</v>
          </cell>
        </row>
        <row r="230">
          <cell r="A230">
            <v>481002</v>
          </cell>
          <cell r="B230">
            <v>1015</v>
          </cell>
          <cell r="C230">
            <v>-23921.24</v>
          </cell>
          <cell r="D230" t="str">
            <v>204</v>
          </cell>
          <cell r="E230" t="str">
            <v>457</v>
          </cell>
          <cell r="F230">
            <v>0</v>
          </cell>
          <cell r="G230">
            <v>1</v>
          </cell>
          <cell r="H230" t="str">
            <v>2006-01-31</v>
          </cell>
        </row>
        <row r="231">
          <cell r="A231">
            <v>481005</v>
          </cell>
          <cell r="B231">
            <v>1015</v>
          </cell>
          <cell r="C231">
            <v>-153712.31</v>
          </cell>
          <cell r="D231" t="str">
            <v>204</v>
          </cell>
          <cell r="E231" t="str">
            <v>457</v>
          </cell>
          <cell r="F231">
            <v>0</v>
          </cell>
          <cell r="G231">
            <v>1</v>
          </cell>
          <cell r="H231" t="str">
            <v>2006-01-31</v>
          </cell>
        </row>
        <row r="232">
          <cell r="A232">
            <v>481005</v>
          </cell>
          <cell r="B232">
            <v>1015</v>
          </cell>
          <cell r="C232">
            <v>4887.3</v>
          </cell>
          <cell r="D232" t="str">
            <v>204</v>
          </cell>
          <cell r="E232" t="str">
            <v>457</v>
          </cell>
          <cell r="F232">
            <v>0</v>
          </cell>
          <cell r="G232">
            <v>1</v>
          </cell>
          <cell r="H232" t="str">
            <v>2006-01-31</v>
          </cell>
        </row>
        <row r="233">
          <cell r="A233">
            <v>481005</v>
          </cell>
          <cell r="B233">
            <v>1015</v>
          </cell>
          <cell r="C233">
            <v>-83206.37</v>
          </cell>
          <cell r="D233" t="str">
            <v>204</v>
          </cell>
          <cell r="E233" t="str">
            <v>457</v>
          </cell>
          <cell r="F233">
            <v>0</v>
          </cell>
          <cell r="G233">
            <v>1</v>
          </cell>
          <cell r="H233" t="str">
            <v>2006-01-31</v>
          </cell>
        </row>
        <row r="234">
          <cell r="A234">
            <v>481005</v>
          </cell>
          <cell r="B234">
            <v>1015</v>
          </cell>
          <cell r="C234">
            <v>-38932.089999999997</v>
          </cell>
          <cell r="D234" t="str">
            <v>204</v>
          </cell>
          <cell r="E234" t="str">
            <v>457</v>
          </cell>
          <cell r="F234">
            <v>0</v>
          </cell>
          <cell r="G234">
            <v>1</v>
          </cell>
          <cell r="H234" t="str">
            <v>2006-01-31</v>
          </cell>
        </row>
        <row r="235">
          <cell r="A235">
            <v>481005</v>
          </cell>
          <cell r="B235">
            <v>1015</v>
          </cell>
          <cell r="C235">
            <v>-13523.87</v>
          </cell>
          <cell r="D235" t="str">
            <v>204</v>
          </cell>
          <cell r="E235" t="str">
            <v>457</v>
          </cell>
          <cell r="F235">
            <v>0</v>
          </cell>
          <cell r="G235">
            <v>1</v>
          </cell>
          <cell r="H235" t="str">
            <v>2006-01-31</v>
          </cell>
        </row>
        <row r="236">
          <cell r="A236">
            <v>481002</v>
          </cell>
          <cell r="B236">
            <v>1015</v>
          </cell>
          <cell r="C236">
            <v>-153312.46</v>
          </cell>
          <cell r="D236" t="str">
            <v>204</v>
          </cell>
          <cell r="E236" t="str">
            <v>457</v>
          </cell>
          <cell r="F236">
            <v>0</v>
          </cell>
          <cell r="G236">
            <v>1</v>
          </cell>
          <cell r="H236" t="str">
            <v>2006-01-31</v>
          </cell>
        </row>
        <row r="237">
          <cell r="A237">
            <v>481005</v>
          </cell>
          <cell r="B237">
            <v>1015</v>
          </cell>
          <cell r="C237">
            <v>236898.64</v>
          </cell>
          <cell r="D237" t="str">
            <v>204</v>
          </cell>
          <cell r="E237" t="str">
            <v>457</v>
          </cell>
          <cell r="F237">
            <v>0</v>
          </cell>
          <cell r="G237">
            <v>1</v>
          </cell>
          <cell r="H237" t="str">
            <v>2006-01-31</v>
          </cell>
        </row>
        <row r="238">
          <cell r="A238">
            <v>481000</v>
          </cell>
          <cell r="B238">
            <v>1015</v>
          </cell>
          <cell r="C238">
            <v>-244692.87</v>
          </cell>
          <cell r="D238" t="str">
            <v>202</v>
          </cell>
          <cell r="E238" t="str">
            <v>402</v>
          </cell>
          <cell r="F238">
            <v>-405781</v>
          </cell>
          <cell r="G238">
            <v>1</v>
          </cell>
          <cell r="H238" t="str">
            <v>2006-01-31</v>
          </cell>
        </row>
        <row r="239">
          <cell r="A239">
            <v>481000</v>
          </cell>
          <cell r="B239">
            <v>1015</v>
          </cell>
          <cell r="C239">
            <v>327367.89</v>
          </cell>
          <cell r="D239" t="str">
            <v>202</v>
          </cell>
          <cell r="E239" t="str">
            <v>402</v>
          </cell>
          <cell r="F239">
            <v>553930</v>
          </cell>
          <cell r="G239">
            <v>1</v>
          </cell>
          <cell r="H239" t="str">
            <v>2006-01-31</v>
          </cell>
        </row>
        <row r="240">
          <cell r="A240">
            <v>481000</v>
          </cell>
          <cell r="B240">
            <v>1015</v>
          </cell>
          <cell r="C240">
            <v>3.4</v>
          </cell>
          <cell r="D240" t="str">
            <v>202</v>
          </cell>
          <cell r="E240" t="str">
            <v>402</v>
          </cell>
          <cell r="F240">
            <v>0</v>
          </cell>
          <cell r="G240">
            <v>1</v>
          </cell>
          <cell r="H240" t="str">
            <v>2006-01-31</v>
          </cell>
        </row>
        <row r="241">
          <cell r="A241">
            <v>481000</v>
          </cell>
          <cell r="B241">
            <v>1015</v>
          </cell>
          <cell r="C241">
            <v>-34125.449999999997</v>
          </cell>
          <cell r="D241" t="str">
            <v>202</v>
          </cell>
          <cell r="E241" t="str">
            <v>402</v>
          </cell>
          <cell r="F241">
            <v>-62649.120000000003</v>
          </cell>
          <cell r="G241">
            <v>1</v>
          </cell>
          <cell r="H241" t="str">
            <v>2006-01-31</v>
          </cell>
        </row>
        <row r="242">
          <cell r="A242">
            <v>481000</v>
          </cell>
          <cell r="B242">
            <v>1015</v>
          </cell>
          <cell r="C242">
            <v>-2147.81</v>
          </cell>
          <cell r="D242" t="str">
            <v>202</v>
          </cell>
          <cell r="E242" t="str">
            <v>402</v>
          </cell>
          <cell r="F242">
            <v>-3528.76</v>
          </cell>
          <cell r="G242">
            <v>1</v>
          </cell>
          <cell r="H242" t="str">
            <v>2006-01-31</v>
          </cell>
        </row>
        <row r="243">
          <cell r="A243">
            <v>481000</v>
          </cell>
          <cell r="B243">
            <v>1015</v>
          </cell>
          <cell r="C243">
            <v>-6820.48</v>
          </cell>
          <cell r="D243" t="str">
            <v>202</v>
          </cell>
          <cell r="E243" t="str">
            <v>402</v>
          </cell>
          <cell r="F243">
            <v>-13374.01</v>
          </cell>
          <cell r="G243">
            <v>1</v>
          </cell>
          <cell r="H243" t="str">
            <v>2006-01-31</v>
          </cell>
        </row>
        <row r="244">
          <cell r="A244">
            <v>481000</v>
          </cell>
          <cell r="B244">
            <v>1015</v>
          </cell>
          <cell r="C244">
            <v>-9365.33</v>
          </cell>
          <cell r="D244" t="str">
            <v>202</v>
          </cell>
          <cell r="E244" t="str">
            <v>402</v>
          </cell>
          <cell r="F244">
            <v>-16135.44</v>
          </cell>
          <cell r="G244">
            <v>1</v>
          </cell>
          <cell r="H244" t="str">
            <v>2006-01-31</v>
          </cell>
        </row>
        <row r="245">
          <cell r="A245">
            <v>481000</v>
          </cell>
          <cell r="B245">
            <v>1015</v>
          </cell>
          <cell r="C245">
            <v>-2413.2600000000002</v>
          </cell>
          <cell r="D245" t="str">
            <v>202</v>
          </cell>
          <cell r="E245" t="str">
            <v>402</v>
          </cell>
          <cell r="F245">
            <v>-4132.47</v>
          </cell>
          <cell r="G245">
            <v>1</v>
          </cell>
          <cell r="H245" t="str">
            <v>2006-01-31</v>
          </cell>
        </row>
        <row r="246">
          <cell r="A246">
            <v>481000</v>
          </cell>
          <cell r="B246">
            <v>1015</v>
          </cell>
          <cell r="C246">
            <v>-3969.73</v>
          </cell>
          <cell r="D246" t="str">
            <v>202</v>
          </cell>
          <cell r="E246" t="str">
            <v>402</v>
          </cell>
          <cell r="F246">
            <v>-7163.82</v>
          </cell>
          <cell r="G246">
            <v>1</v>
          </cell>
          <cell r="H246" t="str">
            <v>2006-01-31</v>
          </cell>
        </row>
        <row r="247">
          <cell r="A247">
            <v>481000</v>
          </cell>
          <cell r="B247">
            <v>1015</v>
          </cell>
          <cell r="C247">
            <v>-12500.32</v>
          </cell>
          <cell r="D247" t="str">
            <v>202</v>
          </cell>
          <cell r="E247" t="str">
            <v>402</v>
          </cell>
          <cell r="F247">
            <v>-23268.16</v>
          </cell>
          <cell r="G247">
            <v>1</v>
          </cell>
          <cell r="H247" t="str">
            <v>2006-01-31</v>
          </cell>
        </row>
        <row r="248">
          <cell r="A248">
            <v>481000</v>
          </cell>
          <cell r="B248">
            <v>1015</v>
          </cell>
          <cell r="C248">
            <v>-5972.21</v>
          </cell>
          <cell r="D248" t="str">
            <v>202</v>
          </cell>
          <cell r="E248" t="str">
            <v>402</v>
          </cell>
          <cell r="F248">
            <v>-11017.59</v>
          </cell>
          <cell r="G248">
            <v>1</v>
          </cell>
          <cell r="H248" t="str">
            <v>2006-01-31</v>
          </cell>
        </row>
        <row r="249">
          <cell r="A249">
            <v>481000</v>
          </cell>
          <cell r="B249">
            <v>1015</v>
          </cell>
          <cell r="C249">
            <v>-2616.46</v>
          </cell>
          <cell r="D249" t="str">
            <v>202</v>
          </cell>
          <cell r="E249" t="str">
            <v>402</v>
          </cell>
          <cell r="F249">
            <v>-4846.97</v>
          </cell>
          <cell r="G249">
            <v>1</v>
          </cell>
          <cell r="H249" t="str">
            <v>2006-01-31</v>
          </cell>
        </row>
        <row r="250">
          <cell r="A250">
            <v>481000</v>
          </cell>
          <cell r="B250">
            <v>1015</v>
          </cell>
          <cell r="C250">
            <v>-274.67</v>
          </cell>
          <cell r="D250" t="str">
            <v>202</v>
          </cell>
          <cell r="E250" t="str">
            <v>402</v>
          </cell>
          <cell r="F250">
            <v>-396.85</v>
          </cell>
          <cell r="G250">
            <v>1</v>
          </cell>
          <cell r="H250" t="str">
            <v>2006-01-31</v>
          </cell>
        </row>
        <row r="251">
          <cell r="A251">
            <v>481000</v>
          </cell>
          <cell r="B251">
            <v>1015</v>
          </cell>
          <cell r="C251">
            <v>-29746.15</v>
          </cell>
          <cell r="D251" t="str">
            <v>202</v>
          </cell>
          <cell r="E251" t="str">
            <v>402</v>
          </cell>
          <cell r="F251">
            <v>-58405.56</v>
          </cell>
          <cell r="G251">
            <v>1</v>
          </cell>
          <cell r="H251" t="str">
            <v>2006-01-31</v>
          </cell>
        </row>
        <row r="252">
          <cell r="A252">
            <v>481004</v>
          </cell>
          <cell r="B252">
            <v>1015</v>
          </cell>
          <cell r="C252">
            <v>330751.77</v>
          </cell>
          <cell r="D252" t="str">
            <v>202</v>
          </cell>
          <cell r="E252" t="str">
            <v>402</v>
          </cell>
          <cell r="F252">
            <v>29920.93</v>
          </cell>
          <cell r="G252">
            <v>1</v>
          </cell>
          <cell r="H252" t="str">
            <v>2006-01-31</v>
          </cell>
        </row>
        <row r="253">
          <cell r="A253">
            <v>481004</v>
          </cell>
          <cell r="B253">
            <v>1015</v>
          </cell>
          <cell r="C253">
            <v>-480457.96</v>
          </cell>
          <cell r="D253" t="str">
            <v>202</v>
          </cell>
          <cell r="E253" t="str">
            <v>402</v>
          </cell>
          <cell r="F253">
            <v>-365663.93</v>
          </cell>
          <cell r="G253">
            <v>1</v>
          </cell>
          <cell r="H253" t="str">
            <v>2006-01-31</v>
          </cell>
        </row>
        <row r="254">
          <cell r="A254">
            <v>481004</v>
          </cell>
          <cell r="B254">
            <v>1015</v>
          </cell>
          <cell r="C254">
            <v>-59010.92</v>
          </cell>
          <cell r="D254" t="str">
            <v>202</v>
          </cell>
          <cell r="E254" t="str">
            <v>402</v>
          </cell>
          <cell r="F254">
            <v>-102825.7</v>
          </cell>
          <cell r="G254">
            <v>1</v>
          </cell>
          <cell r="H254" t="str">
            <v>2006-01-31</v>
          </cell>
        </row>
        <row r="255">
          <cell r="A255">
            <v>481004</v>
          </cell>
          <cell r="B255">
            <v>1015</v>
          </cell>
          <cell r="C255">
            <v>-8794.42</v>
          </cell>
          <cell r="D255" t="str">
            <v>202</v>
          </cell>
          <cell r="E255" t="str">
            <v>402</v>
          </cell>
          <cell r="F255">
            <v>-16099.55</v>
          </cell>
          <cell r="G255">
            <v>1</v>
          </cell>
          <cell r="H255" t="str">
            <v>2006-01-31</v>
          </cell>
        </row>
        <row r="256">
          <cell r="A256">
            <v>481004</v>
          </cell>
          <cell r="B256">
            <v>1015</v>
          </cell>
          <cell r="C256">
            <v>-5449.23</v>
          </cell>
          <cell r="D256" t="str">
            <v>202</v>
          </cell>
          <cell r="E256" t="str">
            <v>402</v>
          </cell>
          <cell r="F256">
            <v>-9673.6</v>
          </cell>
          <cell r="G256">
            <v>1</v>
          </cell>
          <cell r="H256" t="str">
            <v>2006-01-31</v>
          </cell>
        </row>
        <row r="257">
          <cell r="A257">
            <v>481004</v>
          </cell>
          <cell r="B257">
            <v>1015</v>
          </cell>
          <cell r="C257">
            <v>-19214.18</v>
          </cell>
          <cell r="D257" t="str">
            <v>202</v>
          </cell>
          <cell r="E257" t="str">
            <v>402</v>
          </cell>
          <cell r="F257">
            <v>-32186.49</v>
          </cell>
          <cell r="G257">
            <v>1</v>
          </cell>
          <cell r="H257" t="str">
            <v>2006-01-31</v>
          </cell>
        </row>
        <row r="258">
          <cell r="A258">
            <v>481004</v>
          </cell>
          <cell r="B258">
            <v>1015</v>
          </cell>
          <cell r="C258">
            <v>-13459.98</v>
          </cell>
          <cell r="D258" t="str">
            <v>202</v>
          </cell>
          <cell r="E258" t="str">
            <v>402</v>
          </cell>
          <cell r="F258">
            <v>-22633.9</v>
          </cell>
          <cell r="G258">
            <v>1</v>
          </cell>
          <cell r="H258" t="str">
            <v>2006-01-31</v>
          </cell>
        </row>
        <row r="259">
          <cell r="A259">
            <v>481004</v>
          </cell>
          <cell r="B259">
            <v>1015</v>
          </cell>
          <cell r="C259">
            <v>-15198.75</v>
          </cell>
          <cell r="D259" t="str">
            <v>202</v>
          </cell>
          <cell r="E259" t="str">
            <v>402</v>
          </cell>
          <cell r="F259">
            <v>-28380.52</v>
          </cell>
          <cell r="G259">
            <v>1</v>
          </cell>
          <cell r="H259" t="str">
            <v>2006-01-31</v>
          </cell>
        </row>
        <row r="260">
          <cell r="A260">
            <v>481004</v>
          </cell>
          <cell r="B260">
            <v>1015</v>
          </cell>
          <cell r="C260">
            <v>-40542.21</v>
          </cell>
          <cell r="D260" t="str">
            <v>202</v>
          </cell>
          <cell r="E260" t="str">
            <v>402</v>
          </cell>
          <cell r="F260">
            <v>-71861.39</v>
          </cell>
          <cell r="G260">
            <v>1</v>
          </cell>
          <cell r="H260" t="str">
            <v>2006-01-31</v>
          </cell>
        </row>
        <row r="261">
          <cell r="A261">
            <v>481004</v>
          </cell>
          <cell r="B261">
            <v>1015</v>
          </cell>
          <cell r="C261">
            <v>-16016.02</v>
          </cell>
          <cell r="D261" t="str">
            <v>202</v>
          </cell>
          <cell r="E261" t="str">
            <v>402</v>
          </cell>
          <cell r="F261">
            <v>-28525.57</v>
          </cell>
          <cell r="G261">
            <v>1</v>
          </cell>
          <cell r="H261" t="str">
            <v>2006-01-31</v>
          </cell>
        </row>
        <row r="262">
          <cell r="A262">
            <v>481004</v>
          </cell>
          <cell r="B262">
            <v>1015</v>
          </cell>
          <cell r="C262">
            <v>-4386.4399999999996</v>
          </cell>
          <cell r="D262" t="str">
            <v>202</v>
          </cell>
          <cell r="E262" t="str">
            <v>402</v>
          </cell>
          <cell r="F262">
            <v>-6421.94</v>
          </cell>
          <cell r="G262">
            <v>1</v>
          </cell>
          <cell r="H262" t="str">
            <v>2006-01-31</v>
          </cell>
        </row>
        <row r="263">
          <cell r="A263">
            <v>481004</v>
          </cell>
          <cell r="B263">
            <v>1015</v>
          </cell>
          <cell r="C263">
            <v>-3725.7</v>
          </cell>
          <cell r="D263" t="str">
            <v>202</v>
          </cell>
          <cell r="E263" t="str">
            <v>402</v>
          </cell>
          <cell r="F263">
            <v>-6664.82</v>
          </cell>
          <cell r="G263">
            <v>1</v>
          </cell>
          <cell r="H263" t="str">
            <v>2006-01-31</v>
          </cell>
        </row>
        <row r="264">
          <cell r="A264">
            <v>481004</v>
          </cell>
          <cell r="B264">
            <v>1015</v>
          </cell>
          <cell r="C264">
            <v>-149787.18</v>
          </cell>
          <cell r="D264" t="str">
            <v>202</v>
          </cell>
          <cell r="E264" t="str">
            <v>402</v>
          </cell>
          <cell r="F264">
            <v>-284946.58</v>
          </cell>
          <cell r="G264">
            <v>1</v>
          </cell>
          <cell r="H264" t="str">
            <v>2006-01-31</v>
          </cell>
        </row>
        <row r="265">
          <cell r="A265">
            <v>481000</v>
          </cell>
          <cell r="B265">
            <v>1015</v>
          </cell>
          <cell r="C265">
            <v>0</v>
          </cell>
          <cell r="D265" t="str">
            <v>202</v>
          </cell>
          <cell r="E265" t="str">
            <v>403</v>
          </cell>
          <cell r="F265">
            <v>0</v>
          </cell>
          <cell r="G265">
            <v>1</v>
          </cell>
          <cell r="H265" t="str">
            <v>2006-01-31</v>
          </cell>
        </row>
        <row r="266">
          <cell r="A266">
            <v>481000</v>
          </cell>
          <cell r="B266">
            <v>1015</v>
          </cell>
          <cell r="C266">
            <v>0</v>
          </cell>
          <cell r="D266" t="str">
            <v>202</v>
          </cell>
          <cell r="E266" t="str">
            <v>403</v>
          </cell>
          <cell r="F266">
            <v>0</v>
          </cell>
          <cell r="G266">
            <v>1</v>
          </cell>
          <cell r="H266" t="str">
            <v>2006-01-31</v>
          </cell>
        </row>
        <row r="267">
          <cell r="A267">
            <v>481000</v>
          </cell>
          <cell r="B267">
            <v>1015</v>
          </cell>
          <cell r="C267">
            <v>-7324.64</v>
          </cell>
          <cell r="D267" t="str">
            <v>202</v>
          </cell>
          <cell r="E267" t="str">
            <v>403</v>
          </cell>
          <cell r="F267">
            <v>0</v>
          </cell>
          <cell r="G267">
            <v>1</v>
          </cell>
          <cell r="H267" t="str">
            <v>2006-01-31</v>
          </cell>
        </row>
        <row r="268">
          <cell r="A268">
            <v>481004</v>
          </cell>
          <cell r="B268">
            <v>1015</v>
          </cell>
          <cell r="C268">
            <v>0</v>
          </cell>
          <cell r="D268" t="str">
            <v>202</v>
          </cell>
          <cell r="E268" t="str">
            <v>403</v>
          </cell>
          <cell r="F268">
            <v>0</v>
          </cell>
          <cell r="G268">
            <v>1</v>
          </cell>
          <cell r="H268" t="str">
            <v>2006-01-31</v>
          </cell>
        </row>
        <row r="269">
          <cell r="A269">
            <v>481004</v>
          </cell>
          <cell r="B269">
            <v>1015</v>
          </cell>
          <cell r="C269">
            <v>0</v>
          </cell>
          <cell r="D269" t="str">
            <v>202</v>
          </cell>
          <cell r="E269" t="str">
            <v>403</v>
          </cell>
          <cell r="F269">
            <v>0</v>
          </cell>
          <cell r="G269">
            <v>1</v>
          </cell>
          <cell r="H269" t="str">
            <v>2006-01-31</v>
          </cell>
        </row>
        <row r="270">
          <cell r="A270">
            <v>481000</v>
          </cell>
          <cell r="B270">
            <v>1015</v>
          </cell>
          <cell r="C270">
            <v>-89936.31</v>
          </cell>
          <cell r="D270" t="str">
            <v>202</v>
          </cell>
          <cell r="E270" t="str">
            <v>404</v>
          </cell>
          <cell r="F270">
            <v>-275690</v>
          </cell>
          <cell r="G270">
            <v>1</v>
          </cell>
          <cell r="H270" t="str">
            <v>2006-01-31</v>
          </cell>
        </row>
        <row r="271">
          <cell r="A271">
            <v>481000</v>
          </cell>
          <cell r="B271">
            <v>1015</v>
          </cell>
          <cell r="C271">
            <v>90276.96</v>
          </cell>
          <cell r="D271" t="str">
            <v>202</v>
          </cell>
          <cell r="E271" t="str">
            <v>404</v>
          </cell>
          <cell r="F271">
            <v>276740</v>
          </cell>
          <cell r="G271">
            <v>1</v>
          </cell>
          <cell r="H271" t="str">
            <v>2006-01-31</v>
          </cell>
        </row>
        <row r="272">
          <cell r="A272">
            <v>481000</v>
          </cell>
          <cell r="B272">
            <v>1015</v>
          </cell>
          <cell r="C272">
            <v>-90276.96</v>
          </cell>
          <cell r="D272" t="str">
            <v>202</v>
          </cell>
          <cell r="E272" t="str">
            <v>404</v>
          </cell>
          <cell r="F272">
            <v>-276740</v>
          </cell>
          <cell r="G272">
            <v>1</v>
          </cell>
          <cell r="H272" t="str">
            <v>2006-01-31</v>
          </cell>
        </row>
        <row r="273">
          <cell r="A273">
            <v>481004</v>
          </cell>
          <cell r="B273">
            <v>1015</v>
          </cell>
          <cell r="C273">
            <v>0</v>
          </cell>
          <cell r="D273" t="str">
            <v>202</v>
          </cell>
          <cell r="E273" t="str">
            <v>404</v>
          </cell>
          <cell r="F273">
            <v>0</v>
          </cell>
          <cell r="G273">
            <v>1</v>
          </cell>
          <cell r="H273" t="str">
            <v>2006-01-31</v>
          </cell>
        </row>
        <row r="274">
          <cell r="A274">
            <v>481004</v>
          </cell>
          <cell r="B274">
            <v>1015</v>
          </cell>
          <cell r="C274">
            <v>0</v>
          </cell>
          <cell r="D274" t="str">
            <v>202</v>
          </cell>
          <cell r="E274" t="str">
            <v>404</v>
          </cell>
          <cell r="F274">
            <v>0</v>
          </cell>
          <cell r="G274">
            <v>1</v>
          </cell>
          <cell r="H274" t="str">
            <v>2006-01-31</v>
          </cell>
        </row>
        <row r="275">
          <cell r="A275">
            <v>480000</v>
          </cell>
          <cell r="B275">
            <v>1015</v>
          </cell>
          <cell r="C275">
            <v>-3146952.41</v>
          </cell>
          <cell r="D275" t="str">
            <v>202</v>
          </cell>
          <cell r="E275" t="str">
            <v>407</v>
          </cell>
          <cell r="F275">
            <v>-1310446.46</v>
          </cell>
          <cell r="G275">
            <v>1</v>
          </cell>
          <cell r="H275" t="str">
            <v>2006-01-31</v>
          </cell>
        </row>
        <row r="276">
          <cell r="A276">
            <v>480000</v>
          </cell>
          <cell r="B276">
            <v>1015</v>
          </cell>
          <cell r="C276">
            <v>-1704714.31</v>
          </cell>
          <cell r="D276" t="str">
            <v>202</v>
          </cell>
          <cell r="E276" t="str">
            <v>407</v>
          </cell>
          <cell r="F276">
            <v>-709784.65</v>
          </cell>
          <cell r="G276">
            <v>1</v>
          </cell>
          <cell r="H276" t="str">
            <v>2006-01-31</v>
          </cell>
        </row>
        <row r="277">
          <cell r="A277">
            <v>480000</v>
          </cell>
          <cell r="B277">
            <v>1015</v>
          </cell>
          <cell r="C277">
            <v>-992623.54</v>
          </cell>
          <cell r="D277" t="str">
            <v>202</v>
          </cell>
          <cell r="E277" t="str">
            <v>407</v>
          </cell>
          <cell r="F277">
            <v>-404995.55</v>
          </cell>
          <cell r="G277">
            <v>1</v>
          </cell>
          <cell r="H277" t="str">
            <v>2006-01-31</v>
          </cell>
        </row>
        <row r="278">
          <cell r="A278">
            <v>480000</v>
          </cell>
          <cell r="B278">
            <v>1015</v>
          </cell>
          <cell r="C278">
            <v>-2437461.2599999998</v>
          </cell>
          <cell r="D278" t="str">
            <v>202</v>
          </cell>
          <cell r="E278" t="str">
            <v>407</v>
          </cell>
          <cell r="F278">
            <v>-1010154.06</v>
          </cell>
          <cell r="G278">
            <v>1</v>
          </cell>
          <cell r="H278" t="str">
            <v>2006-01-31</v>
          </cell>
        </row>
        <row r="279">
          <cell r="A279">
            <v>480000</v>
          </cell>
          <cell r="B279">
            <v>1015</v>
          </cell>
          <cell r="C279">
            <v>-1614914.23</v>
          </cell>
          <cell r="D279" t="str">
            <v>202</v>
          </cell>
          <cell r="E279" t="str">
            <v>407</v>
          </cell>
          <cell r="F279">
            <v>-671535.27</v>
          </cell>
          <cell r="G279">
            <v>1</v>
          </cell>
          <cell r="H279" t="str">
            <v>2006-01-31</v>
          </cell>
        </row>
        <row r="280">
          <cell r="A280">
            <v>480000</v>
          </cell>
          <cell r="B280">
            <v>1015</v>
          </cell>
          <cell r="C280">
            <v>-1181392.99</v>
          </cell>
          <cell r="D280" t="str">
            <v>202</v>
          </cell>
          <cell r="E280" t="str">
            <v>407</v>
          </cell>
          <cell r="F280">
            <v>-485105.77</v>
          </cell>
          <cell r="G280">
            <v>1</v>
          </cell>
          <cell r="H280" t="str">
            <v>2006-01-31</v>
          </cell>
        </row>
        <row r="281">
          <cell r="A281">
            <v>480000</v>
          </cell>
          <cell r="B281">
            <v>1015</v>
          </cell>
          <cell r="C281">
            <v>-3445058.78</v>
          </cell>
          <cell r="D281" t="str">
            <v>202</v>
          </cell>
          <cell r="E281" t="str">
            <v>407</v>
          </cell>
          <cell r="F281">
            <v>-1406300.86</v>
          </cell>
          <cell r="G281">
            <v>1</v>
          </cell>
          <cell r="H281" t="str">
            <v>2006-01-31</v>
          </cell>
        </row>
        <row r="282">
          <cell r="A282">
            <v>480000</v>
          </cell>
          <cell r="B282">
            <v>1015</v>
          </cell>
          <cell r="C282">
            <v>-1371737.53</v>
          </cell>
          <cell r="D282" t="str">
            <v>202</v>
          </cell>
          <cell r="E282" t="str">
            <v>407</v>
          </cell>
          <cell r="F282">
            <v>-568869.38</v>
          </cell>
          <cell r="G282">
            <v>1</v>
          </cell>
          <cell r="H282" t="str">
            <v>2006-01-31</v>
          </cell>
        </row>
        <row r="283">
          <cell r="A283">
            <v>480000</v>
          </cell>
          <cell r="B283">
            <v>1015</v>
          </cell>
          <cell r="C283">
            <v>-509059.65</v>
          </cell>
          <cell r="D283" t="str">
            <v>202</v>
          </cell>
          <cell r="E283" t="str">
            <v>407</v>
          </cell>
          <cell r="F283">
            <v>-207229.33</v>
          </cell>
          <cell r="G283">
            <v>1</v>
          </cell>
          <cell r="H283" t="str">
            <v>2006-01-31</v>
          </cell>
        </row>
        <row r="284">
          <cell r="A284">
            <v>480000</v>
          </cell>
          <cell r="B284">
            <v>1015</v>
          </cell>
          <cell r="C284">
            <v>-86032.49</v>
          </cell>
          <cell r="D284" t="str">
            <v>202</v>
          </cell>
          <cell r="E284" t="str">
            <v>407</v>
          </cell>
          <cell r="F284">
            <v>-39843.31</v>
          </cell>
          <cell r="G284">
            <v>1</v>
          </cell>
          <cell r="H284" t="str">
            <v>2006-01-31</v>
          </cell>
        </row>
        <row r="285">
          <cell r="A285">
            <v>480000</v>
          </cell>
          <cell r="B285">
            <v>1015</v>
          </cell>
          <cell r="C285">
            <v>-9025647.1999999993</v>
          </cell>
          <cell r="D285" t="str">
            <v>202</v>
          </cell>
          <cell r="E285" t="str">
            <v>407</v>
          </cell>
          <cell r="F285">
            <v>-3796789.22</v>
          </cell>
          <cell r="G285">
            <v>1</v>
          </cell>
          <cell r="H285" t="str">
            <v>2006-01-31</v>
          </cell>
        </row>
        <row r="286">
          <cell r="A286">
            <v>480001</v>
          </cell>
          <cell r="B286">
            <v>1015</v>
          </cell>
          <cell r="C286">
            <v>550189.37</v>
          </cell>
          <cell r="D286" t="str">
            <v>202</v>
          </cell>
          <cell r="E286" t="str">
            <v>407</v>
          </cell>
          <cell r="F286">
            <v>550533</v>
          </cell>
          <cell r="G286">
            <v>1</v>
          </cell>
          <cell r="H286" t="str">
            <v>2006-01-31</v>
          </cell>
        </row>
        <row r="287">
          <cell r="A287">
            <v>481004</v>
          </cell>
          <cell r="B287">
            <v>1015</v>
          </cell>
          <cell r="C287">
            <v>-1086116.57</v>
          </cell>
          <cell r="D287" t="str">
            <v>202</v>
          </cell>
          <cell r="E287" t="str">
            <v>407</v>
          </cell>
          <cell r="F287">
            <v>-799579.81</v>
          </cell>
          <cell r="G287">
            <v>1</v>
          </cell>
          <cell r="H287" t="str">
            <v>2006-01-31</v>
          </cell>
        </row>
        <row r="288">
          <cell r="A288">
            <v>481004</v>
          </cell>
          <cell r="B288">
            <v>1015</v>
          </cell>
          <cell r="C288">
            <v>-371301.95</v>
          </cell>
          <cell r="D288" t="str">
            <v>202</v>
          </cell>
          <cell r="E288" t="str">
            <v>407</v>
          </cell>
          <cell r="F288">
            <v>-284898.32</v>
          </cell>
          <cell r="G288">
            <v>1</v>
          </cell>
          <cell r="H288" t="str">
            <v>2006-01-31</v>
          </cell>
        </row>
        <row r="289">
          <cell r="A289">
            <v>481004</v>
          </cell>
          <cell r="B289">
            <v>1015</v>
          </cell>
          <cell r="C289">
            <v>-209907.84</v>
          </cell>
          <cell r="D289" t="str">
            <v>202</v>
          </cell>
          <cell r="E289" t="str">
            <v>407</v>
          </cell>
          <cell r="F289">
            <v>-143762.25</v>
          </cell>
          <cell r="G289">
            <v>1</v>
          </cell>
          <cell r="H289" t="str">
            <v>2006-01-31</v>
          </cell>
        </row>
        <row r="290">
          <cell r="A290">
            <v>481004</v>
          </cell>
          <cell r="B290">
            <v>1015</v>
          </cell>
          <cell r="C290">
            <v>-663275.54</v>
          </cell>
          <cell r="D290" t="str">
            <v>202</v>
          </cell>
          <cell r="E290" t="str">
            <v>407</v>
          </cell>
          <cell r="F290">
            <v>-464559.05</v>
          </cell>
          <cell r="G290">
            <v>1</v>
          </cell>
          <cell r="H290" t="str">
            <v>2006-01-31</v>
          </cell>
        </row>
        <row r="291">
          <cell r="A291">
            <v>481004</v>
          </cell>
          <cell r="B291">
            <v>1015</v>
          </cell>
          <cell r="C291">
            <v>-324284.13</v>
          </cell>
          <cell r="D291" t="str">
            <v>202</v>
          </cell>
          <cell r="E291" t="str">
            <v>407</v>
          </cell>
          <cell r="F291">
            <v>-214326.86</v>
          </cell>
          <cell r="G291">
            <v>1</v>
          </cell>
          <cell r="H291" t="str">
            <v>2006-01-31</v>
          </cell>
        </row>
        <row r="292">
          <cell r="A292">
            <v>481004</v>
          </cell>
          <cell r="B292">
            <v>1015</v>
          </cell>
          <cell r="C292">
            <v>-282662.83</v>
          </cell>
          <cell r="D292" t="str">
            <v>202</v>
          </cell>
          <cell r="E292" t="str">
            <v>407</v>
          </cell>
          <cell r="F292">
            <v>-192095.14</v>
          </cell>
          <cell r="G292">
            <v>1</v>
          </cell>
          <cell r="H292" t="str">
            <v>2006-01-31</v>
          </cell>
        </row>
        <row r="293">
          <cell r="A293">
            <v>481004</v>
          </cell>
          <cell r="B293">
            <v>1015</v>
          </cell>
          <cell r="C293">
            <v>-728580.92</v>
          </cell>
          <cell r="D293" t="str">
            <v>202</v>
          </cell>
          <cell r="E293" t="str">
            <v>407</v>
          </cell>
          <cell r="F293">
            <v>-524918.04</v>
          </cell>
          <cell r="G293">
            <v>1</v>
          </cell>
          <cell r="H293" t="str">
            <v>2006-01-31</v>
          </cell>
        </row>
        <row r="294">
          <cell r="A294">
            <v>481004</v>
          </cell>
          <cell r="B294">
            <v>1015</v>
          </cell>
          <cell r="C294">
            <v>-299325.63</v>
          </cell>
          <cell r="D294" t="str">
            <v>202</v>
          </cell>
          <cell r="E294" t="str">
            <v>407</v>
          </cell>
          <cell r="F294">
            <v>-218976.97</v>
          </cell>
          <cell r="G294">
            <v>1</v>
          </cell>
          <cell r="H294" t="str">
            <v>2006-01-31</v>
          </cell>
        </row>
        <row r="295">
          <cell r="A295">
            <v>481004</v>
          </cell>
          <cell r="B295">
            <v>1015</v>
          </cell>
          <cell r="C295">
            <v>-138787.68</v>
          </cell>
          <cell r="D295" t="str">
            <v>202</v>
          </cell>
          <cell r="E295" t="str">
            <v>407</v>
          </cell>
          <cell r="F295">
            <v>-96472.86</v>
          </cell>
          <cell r="G295">
            <v>1</v>
          </cell>
          <cell r="H295" t="str">
            <v>2006-01-31</v>
          </cell>
        </row>
        <row r="296">
          <cell r="A296">
            <v>481004</v>
          </cell>
          <cell r="B296">
            <v>1015</v>
          </cell>
          <cell r="C296">
            <v>-42351.39</v>
          </cell>
          <cell r="D296" t="str">
            <v>202</v>
          </cell>
          <cell r="E296" t="str">
            <v>407</v>
          </cell>
          <cell r="F296">
            <v>-35357.980000000003</v>
          </cell>
          <cell r="G296">
            <v>1</v>
          </cell>
          <cell r="H296" t="str">
            <v>2006-01-31</v>
          </cell>
        </row>
        <row r="297">
          <cell r="A297">
            <v>481004</v>
          </cell>
          <cell r="B297">
            <v>1015</v>
          </cell>
          <cell r="C297">
            <v>-2202293.5</v>
          </cell>
          <cell r="D297" t="str">
            <v>202</v>
          </cell>
          <cell r="E297" t="str">
            <v>407</v>
          </cell>
          <cell r="F297">
            <v>-1557028.11</v>
          </cell>
          <cell r="G297">
            <v>1</v>
          </cell>
          <cell r="H297" t="str">
            <v>2006-01-31</v>
          </cell>
        </row>
        <row r="298">
          <cell r="A298">
            <v>480000</v>
          </cell>
          <cell r="B298">
            <v>1015</v>
          </cell>
          <cell r="C298">
            <v>-757.3</v>
          </cell>
          <cell r="D298" t="str">
            <v>202</v>
          </cell>
          <cell r="E298" t="str">
            <v>408</v>
          </cell>
          <cell r="F298">
            <v>-186.39</v>
          </cell>
          <cell r="G298">
            <v>1</v>
          </cell>
          <cell r="H298" t="str">
            <v>2006-01-31</v>
          </cell>
        </row>
        <row r="299">
          <cell r="A299">
            <v>480000</v>
          </cell>
          <cell r="B299">
            <v>1015</v>
          </cell>
          <cell r="C299">
            <v>-51941.77</v>
          </cell>
          <cell r="D299" t="str">
            <v>202</v>
          </cell>
          <cell r="E299" t="str">
            <v>408</v>
          </cell>
          <cell r="F299">
            <v>-12830.5</v>
          </cell>
          <cell r="G299">
            <v>1</v>
          </cell>
          <cell r="H299" t="str">
            <v>2006-01-31</v>
          </cell>
        </row>
        <row r="300">
          <cell r="A300">
            <v>480000</v>
          </cell>
          <cell r="B300">
            <v>1015</v>
          </cell>
          <cell r="C300">
            <v>-1959.39</v>
          </cell>
          <cell r="D300" t="str">
            <v>202</v>
          </cell>
          <cell r="E300" t="str">
            <v>408</v>
          </cell>
          <cell r="F300">
            <v>-479.91</v>
          </cell>
          <cell r="G300">
            <v>1</v>
          </cell>
          <cell r="H300" t="str">
            <v>2006-01-31</v>
          </cell>
        </row>
        <row r="301">
          <cell r="A301">
            <v>480000</v>
          </cell>
          <cell r="B301">
            <v>1015</v>
          </cell>
          <cell r="C301">
            <v>-68581.399999999994</v>
          </cell>
          <cell r="D301" t="str">
            <v>202</v>
          </cell>
          <cell r="E301" t="str">
            <v>408</v>
          </cell>
          <cell r="F301">
            <v>-16953.13</v>
          </cell>
          <cell r="G301">
            <v>1</v>
          </cell>
          <cell r="H301" t="str">
            <v>2006-01-31</v>
          </cell>
        </row>
        <row r="302">
          <cell r="A302">
            <v>480000</v>
          </cell>
          <cell r="B302">
            <v>1015</v>
          </cell>
          <cell r="C302">
            <v>-57897.06</v>
          </cell>
          <cell r="D302" t="str">
            <v>202</v>
          </cell>
          <cell r="E302" t="str">
            <v>408</v>
          </cell>
          <cell r="F302">
            <v>-14310.95</v>
          </cell>
          <cell r="G302">
            <v>1</v>
          </cell>
          <cell r="H302" t="str">
            <v>2006-01-31</v>
          </cell>
        </row>
        <row r="303">
          <cell r="A303">
            <v>480000</v>
          </cell>
          <cell r="B303">
            <v>1015</v>
          </cell>
          <cell r="C303">
            <v>-888.77</v>
          </cell>
          <cell r="D303" t="str">
            <v>202</v>
          </cell>
          <cell r="E303" t="str">
            <v>408</v>
          </cell>
          <cell r="F303">
            <v>-217.17</v>
          </cell>
          <cell r="G303">
            <v>1</v>
          </cell>
          <cell r="H303" t="str">
            <v>2006-01-31</v>
          </cell>
        </row>
        <row r="304">
          <cell r="A304">
            <v>480000</v>
          </cell>
          <cell r="B304">
            <v>1015</v>
          </cell>
          <cell r="C304">
            <v>-17060.12</v>
          </cell>
          <cell r="D304" t="str">
            <v>202</v>
          </cell>
          <cell r="E304" t="str">
            <v>408</v>
          </cell>
          <cell r="F304">
            <v>-4234.05</v>
          </cell>
          <cell r="G304">
            <v>1</v>
          </cell>
          <cell r="H304" t="str">
            <v>2006-01-31</v>
          </cell>
        </row>
        <row r="305">
          <cell r="A305">
            <v>480000</v>
          </cell>
          <cell r="B305">
            <v>1015</v>
          </cell>
          <cell r="C305">
            <v>-300.88</v>
          </cell>
          <cell r="D305" t="str">
            <v>202</v>
          </cell>
          <cell r="E305" t="str">
            <v>408</v>
          </cell>
          <cell r="F305">
            <v>-72.83</v>
          </cell>
          <cell r="G305">
            <v>1</v>
          </cell>
          <cell r="H305" t="str">
            <v>2006-01-31</v>
          </cell>
        </row>
        <row r="306">
          <cell r="A306">
            <v>480000</v>
          </cell>
          <cell r="B306">
            <v>1015</v>
          </cell>
          <cell r="C306">
            <v>-212.86</v>
          </cell>
          <cell r="D306" t="str">
            <v>202</v>
          </cell>
          <cell r="E306" t="str">
            <v>408</v>
          </cell>
          <cell r="F306">
            <v>-50.96</v>
          </cell>
          <cell r="G306">
            <v>1</v>
          </cell>
          <cell r="H306" t="str">
            <v>2006-01-31</v>
          </cell>
        </row>
        <row r="307">
          <cell r="A307">
            <v>480000</v>
          </cell>
          <cell r="B307">
            <v>1015</v>
          </cell>
          <cell r="C307">
            <v>-379.74</v>
          </cell>
          <cell r="D307" t="str">
            <v>202</v>
          </cell>
          <cell r="E307" t="str">
            <v>408</v>
          </cell>
          <cell r="F307">
            <v>-93.7</v>
          </cell>
          <cell r="G307">
            <v>1</v>
          </cell>
          <cell r="H307" t="str">
            <v>2006-01-31</v>
          </cell>
        </row>
        <row r="308">
          <cell r="A308">
            <v>480000</v>
          </cell>
          <cell r="B308">
            <v>1015</v>
          </cell>
          <cell r="C308">
            <v>-72971.899999999994</v>
          </cell>
          <cell r="D308" t="str">
            <v>202</v>
          </cell>
          <cell r="E308" t="str">
            <v>408</v>
          </cell>
          <cell r="F308">
            <v>-18043.54</v>
          </cell>
          <cell r="G308">
            <v>1</v>
          </cell>
          <cell r="H308" t="str">
            <v>2006-01-31</v>
          </cell>
        </row>
        <row r="309">
          <cell r="A309">
            <v>480001</v>
          </cell>
          <cell r="B309">
            <v>1015</v>
          </cell>
          <cell r="C309">
            <v>1261.8399999999999</v>
          </cell>
          <cell r="D309" t="str">
            <v>202</v>
          </cell>
          <cell r="E309" t="str">
            <v>408</v>
          </cell>
          <cell r="F309">
            <v>379</v>
          </cell>
          <cell r="G309">
            <v>1</v>
          </cell>
          <cell r="H309" t="str">
            <v>2006-01-31</v>
          </cell>
        </row>
        <row r="310">
          <cell r="A310">
            <v>481004</v>
          </cell>
          <cell r="B310">
            <v>1015</v>
          </cell>
          <cell r="C310">
            <v>-39.549999999999997</v>
          </cell>
          <cell r="D310" t="str">
            <v>202</v>
          </cell>
          <cell r="E310" t="str">
            <v>408</v>
          </cell>
          <cell r="F310">
            <v>-9.81</v>
          </cell>
          <cell r="G310">
            <v>1</v>
          </cell>
          <cell r="H310" t="str">
            <v>2006-01-31</v>
          </cell>
        </row>
        <row r="311">
          <cell r="A311">
            <v>481004</v>
          </cell>
          <cell r="B311">
            <v>1015</v>
          </cell>
          <cell r="C311">
            <v>-28731.119999999999</v>
          </cell>
          <cell r="D311" t="str">
            <v>202</v>
          </cell>
          <cell r="E311" t="str">
            <v>408</v>
          </cell>
          <cell r="F311">
            <v>-7121.51</v>
          </cell>
          <cell r="G311">
            <v>1</v>
          </cell>
          <cell r="H311" t="str">
            <v>2006-01-31</v>
          </cell>
        </row>
        <row r="312">
          <cell r="A312">
            <v>481004</v>
          </cell>
          <cell r="B312">
            <v>1015</v>
          </cell>
          <cell r="C312">
            <v>-4560.93</v>
          </cell>
          <cell r="D312" t="str">
            <v>202</v>
          </cell>
          <cell r="E312" t="str">
            <v>408</v>
          </cell>
          <cell r="F312">
            <v>-1128.71</v>
          </cell>
          <cell r="G312">
            <v>1</v>
          </cell>
          <cell r="H312" t="str">
            <v>2006-01-31</v>
          </cell>
        </row>
        <row r="313">
          <cell r="A313">
            <v>481004</v>
          </cell>
          <cell r="B313">
            <v>1015</v>
          </cell>
          <cell r="C313">
            <v>-44843.87</v>
          </cell>
          <cell r="D313" t="str">
            <v>202</v>
          </cell>
          <cell r="E313" t="str">
            <v>408</v>
          </cell>
          <cell r="F313">
            <v>-11120.1</v>
          </cell>
          <cell r="G313">
            <v>1</v>
          </cell>
          <cell r="H313" t="str">
            <v>2006-01-31</v>
          </cell>
        </row>
        <row r="314">
          <cell r="A314">
            <v>481004</v>
          </cell>
          <cell r="B314">
            <v>1015</v>
          </cell>
          <cell r="C314">
            <v>-34406.65</v>
          </cell>
          <cell r="D314" t="str">
            <v>202</v>
          </cell>
          <cell r="E314" t="str">
            <v>408</v>
          </cell>
          <cell r="F314">
            <v>-8534.16</v>
          </cell>
          <cell r="G314">
            <v>1</v>
          </cell>
          <cell r="H314" t="str">
            <v>2006-01-31</v>
          </cell>
        </row>
        <row r="315">
          <cell r="A315">
            <v>481004</v>
          </cell>
          <cell r="B315">
            <v>1015</v>
          </cell>
          <cell r="C315">
            <v>-231.06</v>
          </cell>
          <cell r="D315" t="str">
            <v>202</v>
          </cell>
          <cell r="E315" t="str">
            <v>408</v>
          </cell>
          <cell r="F315">
            <v>-55.34</v>
          </cell>
          <cell r="G315">
            <v>1</v>
          </cell>
          <cell r="H315" t="str">
            <v>2006-01-31</v>
          </cell>
        </row>
        <row r="316">
          <cell r="A316">
            <v>481004</v>
          </cell>
          <cell r="B316">
            <v>1015</v>
          </cell>
          <cell r="C316">
            <v>-916.95</v>
          </cell>
          <cell r="D316" t="str">
            <v>202</v>
          </cell>
          <cell r="E316" t="str">
            <v>408</v>
          </cell>
          <cell r="F316">
            <v>-225.74</v>
          </cell>
          <cell r="G316">
            <v>1</v>
          </cell>
          <cell r="H316" t="str">
            <v>2006-01-31</v>
          </cell>
        </row>
        <row r="317">
          <cell r="A317">
            <v>481004</v>
          </cell>
          <cell r="B317">
            <v>1015</v>
          </cell>
          <cell r="C317">
            <v>-169.16</v>
          </cell>
          <cell r="D317" t="str">
            <v>202</v>
          </cell>
          <cell r="E317" t="str">
            <v>408</v>
          </cell>
          <cell r="F317">
            <v>-42</v>
          </cell>
          <cell r="G317">
            <v>1</v>
          </cell>
          <cell r="H317" t="str">
            <v>2006-01-31</v>
          </cell>
        </row>
        <row r="318">
          <cell r="A318">
            <v>481004</v>
          </cell>
          <cell r="B318">
            <v>1015</v>
          </cell>
          <cell r="C318">
            <v>-3300.03</v>
          </cell>
          <cell r="D318" t="str">
            <v>202</v>
          </cell>
          <cell r="E318" t="str">
            <v>408</v>
          </cell>
          <cell r="F318">
            <v>-819.36</v>
          </cell>
          <cell r="G318">
            <v>1</v>
          </cell>
          <cell r="H318" t="str">
            <v>2006-01-31</v>
          </cell>
        </row>
        <row r="319">
          <cell r="A319">
            <v>481004</v>
          </cell>
          <cell r="B319">
            <v>1015</v>
          </cell>
          <cell r="C319">
            <v>-10074.33</v>
          </cell>
          <cell r="D319" t="str">
            <v>202</v>
          </cell>
          <cell r="E319" t="str">
            <v>408</v>
          </cell>
          <cell r="F319">
            <v>-2497.71</v>
          </cell>
          <cell r="G319">
            <v>1</v>
          </cell>
          <cell r="H319" t="str">
            <v>2006-01-31</v>
          </cell>
        </row>
        <row r="320">
          <cell r="A320">
            <v>481002</v>
          </cell>
          <cell r="B320">
            <v>1015</v>
          </cell>
          <cell r="C320">
            <v>0</v>
          </cell>
          <cell r="D320" t="str">
            <v>202</v>
          </cell>
          <cell r="E320" t="str">
            <v>409</v>
          </cell>
          <cell r="F320">
            <v>0</v>
          </cell>
          <cell r="G320">
            <v>1</v>
          </cell>
          <cell r="H320" t="str">
            <v>2006-01-31</v>
          </cell>
        </row>
        <row r="321">
          <cell r="A321">
            <v>481002</v>
          </cell>
          <cell r="B321">
            <v>1015</v>
          </cell>
          <cell r="C321">
            <v>0</v>
          </cell>
          <cell r="D321" t="str">
            <v>202</v>
          </cell>
          <cell r="E321" t="str">
            <v>409</v>
          </cell>
          <cell r="F321">
            <v>0</v>
          </cell>
          <cell r="G321">
            <v>1</v>
          </cell>
          <cell r="H321" t="str">
            <v>2006-01-31</v>
          </cell>
        </row>
        <row r="322">
          <cell r="A322">
            <v>481002</v>
          </cell>
          <cell r="B322">
            <v>1015</v>
          </cell>
          <cell r="C322">
            <v>41500.22</v>
          </cell>
          <cell r="D322" t="str">
            <v>202</v>
          </cell>
          <cell r="E322" t="str">
            <v>411</v>
          </cell>
          <cell r="F322">
            <v>180372</v>
          </cell>
          <cell r="G322">
            <v>1</v>
          </cell>
          <cell r="H322" t="str">
            <v>2006-01-31</v>
          </cell>
        </row>
        <row r="323">
          <cell r="A323">
            <v>481002</v>
          </cell>
          <cell r="B323">
            <v>1015</v>
          </cell>
          <cell r="C323">
            <v>-22174.799999999999</v>
          </cell>
          <cell r="D323" t="str">
            <v>202</v>
          </cell>
          <cell r="E323" t="str">
            <v>411</v>
          </cell>
          <cell r="F323">
            <v>-95068</v>
          </cell>
          <cell r="G323">
            <v>1</v>
          </cell>
          <cell r="H323" t="str">
            <v>2006-01-31</v>
          </cell>
        </row>
        <row r="324">
          <cell r="A324">
            <v>481002</v>
          </cell>
          <cell r="B324">
            <v>1015</v>
          </cell>
          <cell r="C324">
            <v>-1979.82</v>
          </cell>
          <cell r="D324" t="str">
            <v>202</v>
          </cell>
          <cell r="E324" t="str">
            <v>411</v>
          </cell>
          <cell r="F324">
            <v>-9362.64</v>
          </cell>
          <cell r="G324">
            <v>1</v>
          </cell>
          <cell r="H324" t="str">
            <v>2006-01-31</v>
          </cell>
        </row>
        <row r="325">
          <cell r="A325">
            <v>481002</v>
          </cell>
          <cell r="B325">
            <v>1015</v>
          </cell>
          <cell r="C325">
            <v>-1153.51</v>
          </cell>
          <cell r="D325" t="str">
            <v>202</v>
          </cell>
          <cell r="E325" t="str">
            <v>411</v>
          </cell>
          <cell r="F325">
            <v>-6162.41</v>
          </cell>
          <cell r="G325">
            <v>1</v>
          </cell>
          <cell r="H325" t="str">
            <v>2006-01-31</v>
          </cell>
        </row>
        <row r="326">
          <cell r="A326">
            <v>481002</v>
          </cell>
          <cell r="B326">
            <v>1015</v>
          </cell>
          <cell r="C326">
            <v>-1562.49</v>
          </cell>
          <cell r="D326" t="str">
            <v>202</v>
          </cell>
          <cell r="E326" t="str">
            <v>411</v>
          </cell>
          <cell r="F326">
            <v>-7817.36</v>
          </cell>
          <cell r="G326">
            <v>1</v>
          </cell>
          <cell r="H326" t="str">
            <v>2006-01-31</v>
          </cell>
        </row>
        <row r="327">
          <cell r="A327">
            <v>481002</v>
          </cell>
          <cell r="B327">
            <v>1015</v>
          </cell>
          <cell r="C327">
            <v>-1920.11</v>
          </cell>
          <cell r="D327" t="str">
            <v>202</v>
          </cell>
          <cell r="E327" t="str">
            <v>411</v>
          </cell>
          <cell r="F327">
            <v>-6565.82</v>
          </cell>
          <cell r="G327">
            <v>1</v>
          </cell>
          <cell r="H327" t="str">
            <v>2006-01-31</v>
          </cell>
        </row>
        <row r="328">
          <cell r="A328">
            <v>481002</v>
          </cell>
          <cell r="B328">
            <v>1015</v>
          </cell>
          <cell r="C328">
            <v>-615.33000000000004</v>
          </cell>
          <cell r="D328" t="str">
            <v>202</v>
          </cell>
          <cell r="E328" t="str">
            <v>411</v>
          </cell>
          <cell r="F328">
            <v>-2.1</v>
          </cell>
          <cell r="G328">
            <v>1</v>
          </cell>
          <cell r="H328" t="str">
            <v>2006-01-31</v>
          </cell>
        </row>
        <row r="329">
          <cell r="A329">
            <v>481002</v>
          </cell>
          <cell r="B329">
            <v>1015</v>
          </cell>
          <cell r="C329">
            <v>-1715.98</v>
          </cell>
          <cell r="D329" t="str">
            <v>202</v>
          </cell>
          <cell r="E329" t="str">
            <v>411</v>
          </cell>
          <cell r="F329">
            <v>-7590.46</v>
          </cell>
          <cell r="G329">
            <v>1</v>
          </cell>
          <cell r="H329" t="str">
            <v>2006-01-31</v>
          </cell>
        </row>
        <row r="330">
          <cell r="A330">
            <v>481002</v>
          </cell>
          <cell r="B330">
            <v>1015</v>
          </cell>
          <cell r="C330">
            <v>-731.33</v>
          </cell>
          <cell r="D330" t="str">
            <v>202</v>
          </cell>
          <cell r="E330" t="str">
            <v>411</v>
          </cell>
          <cell r="F330">
            <v>-3158.69</v>
          </cell>
          <cell r="G330">
            <v>1</v>
          </cell>
          <cell r="H330" t="str">
            <v>2006-01-31</v>
          </cell>
        </row>
        <row r="331">
          <cell r="A331">
            <v>481002</v>
          </cell>
          <cell r="B331">
            <v>1015</v>
          </cell>
          <cell r="C331">
            <v>-274</v>
          </cell>
          <cell r="D331" t="str">
            <v>202</v>
          </cell>
          <cell r="E331" t="str">
            <v>411</v>
          </cell>
          <cell r="F331">
            <v>0</v>
          </cell>
          <cell r="G331">
            <v>1</v>
          </cell>
          <cell r="H331" t="str">
            <v>2006-01-31</v>
          </cell>
        </row>
        <row r="332">
          <cell r="A332">
            <v>481002</v>
          </cell>
          <cell r="B332">
            <v>1015</v>
          </cell>
          <cell r="C332">
            <v>-18150.2</v>
          </cell>
          <cell r="D332" t="str">
            <v>202</v>
          </cell>
          <cell r="E332" t="str">
            <v>411</v>
          </cell>
          <cell r="F332">
            <v>-93933.26</v>
          </cell>
          <cell r="G332">
            <v>1</v>
          </cell>
          <cell r="H332" t="str">
            <v>2006-01-31</v>
          </cell>
        </row>
        <row r="333">
          <cell r="A333">
            <v>481005</v>
          </cell>
          <cell r="B333">
            <v>1015</v>
          </cell>
          <cell r="C333">
            <v>-91220.11</v>
          </cell>
          <cell r="D333" t="str">
            <v>202</v>
          </cell>
          <cell r="E333" t="str">
            <v>411</v>
          </cell>
          <cell r="F333">
            <v>-334996</v>
          </cell>
          <cell r="G333">
            <v>1</v>
          </cell>
          <cell r="H333" t="str">
            <v>2006-01-31</v>
          </cell>
        </row>
        <row r="334">
          <cell r="A334">
            <v>481005</v>
          </cell>
          <cell r="B334">
            <v>1015</v>
          </cell>
          <cell r="C334">
            <v>67963.990000000005</v>
          </cell>
          <cell r="D334" t="str">
            <v>202</v>
          </cell>
          <cell r="E334" t="str">
            <v>411</v>
          </cell>
          <cell r="F334">
            <v>264964</v>
          </cell>
          <cell r="G334">
            <v>1</v>
          </cell>
          <cell r="H334" t="str">
            <v>2006-01-31</v>
          </cell>
        </row>
        <row r="335">
          <cell r="A335">
            <v>481005</v>
          </cell>
          <cell r="B335">
            <v>1015</v>
          </cell>
          <cell r="C335">
            <v>-1563.44</v>
          </cell>
          <cell r="D335" t="str">
            <v>202</v>
          </cell>
          <cell r="E335" t="str">
            <v>411</v>
          </cell>
          <cell r="F335">
            <v>-7129.55</v>
          </cell>
          <cell r="G335">
            <v>1</v>
          </cell>
          <cell r="H335" t="str">
            <v>2006-01-31</v>
          </cell>
        </row>
        <row r="336">
          <cell r="A336">
            <v>481005</v>
          </cell>
          <cell r="B336">
            <v>1015</v>
          </cell>
          <cell r="C336">
            <v>-312.87</v>
          </cell>
          <cell r="D336" t="str">
            <v>202</v>
          </cell>
          <cell r="E336" t="str">
            <v>411</v>
          </cell>
          <cell r="F336">
            <v>-1654.15</v>
          </cell>
          <cell r="G336">
            <v>1</v>
          </cell>
          <cell r="H336" t="str">
            <v>2006-01-31</v>
          </cell>
        </row>
        <row r="337">
          <cell r="A337">
            <v>481005</v>
          </cell>
          <cell r="B337">
            <v>1015</v>
          </cell>
          <cell r="C337">
            <v>-1409.22</v>
          </cell>
          <cell r="D337" t="str">
            <v>202</v>
          </cell>
          <cell r="E337" t="str">
            <v>411</v>
          </cell>
          <cell r="F337">
            <v>-6154.98</v>
          </cell>
          <cell r="G337">
            <v>1</v>
          </cell>
          <cell r="H337" t="str">
            <v>2006-01-31</v>
          </cell>
        </row>
        <row r="338">
          <cell r="A338">
            <v>481005</v>
          </cell>
          <cell r="B338">
            <v>1015</v>
          </cell>
          <cell r="C338">
            <v>-282.29000000000002</v>
          </cell>
          <cell r="D338" t="str">
            <v>202</v>
          </cell>
          <cell r="E338" t="str">
            <v>411</v>
          </cell>
          <cell r="F338">
            <v>-1436.59</v>
          </cell>
          <cell r="G338">
            <v>1</v>
          </cell>
          <cell r="H338" t="str">
            <v>2006-01-31</v>
          </cell>
        </row>
        <row r="339">
          <cell r="A339">
            <v>481005</v>
          </cell>
          <cell r="B339">
            <v>1015</v>
          </cell>
          <cell r="C339">
            <v>-553.47</v>
          </cell>
          <cell r="D339" t="str">
            <v>202</v>
          </cell>
          <cell r="E339" t="str">
            <v>411</v>
          </cell>
          <cell r="F339">
            <v>-2794.08</v>
          </cell>
          <cell r="G339">
            <v>1</v>
          </cell>
          <cell r="H339" t="str">
            <v>2006-01-31</v>
          </cell>
        </row>
        <row r="340">
          <cell r="A340">
            <v>481005</v>
          </cell>
          <cell r="B340">
            <v>1015</v>
          </cell>
          <cell r="C340">
            <v>-1808.29</v>
          </cell>
          <cell r="D340" t="str">
            <v>202</v>
          </cell>
          <cell r="E340" t="str">
            <v>411</v>
          </cell>
          <cell r="F340">
            <v>-10041.790000000001</v>
          </cell>
          <cell r="G340">
            <v>1</v>
          </cell>
          <cell r="H340" t="str">
            <v>2006-01-31</v>
          </cell>
        </row>
        <row r="341">
          <cell r="A341">
            <v>481005</v>
          </cell>
          <cell r="B341">
            <v>1015</v>
          </cell>
          <cell r="C341">
            <v>-740.7</v>
          </cell>
          <cell r="D341" t="str">
            <v>202</v>
          </cell>
          <cell r="E341" t="str">
            <v>411</v>
          </cell>
          <cell r="F341">
            <v>-2271.9499999999998</v>
          </cell>
          <cell r="G341">
            <v>1</v>
          </cell>
          <cell r="H341" t="str">
            <v>2006-01-31</v>
          </cell>
        </row>
        <row r="342">
          <cell r="A342">
            <v>481005</v>
          </cell>
          <cell r="B342">
            <v>1015</v>
          </cell>
          <cell r="C342">
            <v>-3795.91</v>
          </cell>
          <cell r="D342" t="str">
            <v>202</v>
          </cell>
          <cell r="E342" t="str">
            <v>411</v>
          </cell>
          <cell r="F342">
            <v>-20006.23</v>
          </cell>
          <cell r="G342">
            <v>1</v>
          </cell>
          <cell r="H342" t="str">
            <v>2006-01-31</v>
          </cell>
        </row>
        <row r="343">
          <cell r="A343">
            <v>481002</v>
          </cell>
          <cell r="B343">
            <v>1015</v>
          </cell>
          <cell r="C343">
            <v>18014.57</v>
          </cell>
          <cell r="D343" t="str">
            <v>202</v>
          </cell>
          <cell r="E343" t="str">
            <v>414</v>
          </cell>
          <cell r="F343">
            <v>21624</v>
          </cell>
          <cell r="G343">
            <v>1</v>
          </cell>
          <cell r="H343" t="str">
            <v>2006-01-31</v>
          </cell>
        </row>
        <row r="344">
          <cell r="A344">
            <v>481002</v>
          </cell>
          <cell r="B344">
            <v>1015</v>
          </cell>
          <cell r="C344">
            <v>-6975.52</v>
          </cell>
          <cell r="D344" t="str">
            <v>202</v>
          </cell>
          <cell r="E344" t="str">
            <v>414</v>
          </cell>
          <cell r="F344">
            <v>-7151</v>
          </cell>
          <cell r="G344">
            <v>1</v>
          </cell>
          <cell r="H344" t="str">
            <v>2006-01-31</v>
          </cell>
        </row>
        <row r="345">
          <cell r="A345">
            <v>481002</v>
          </cell>
          <cell r="B345">
            <v>1015</v>
          </cell>
          <cell r="C345">
            <v>0</v>
          </cell>
          <cell r="D345" t="str">
            <v>202</v>
          </cell>
          <cell r="E345" t="str">
            <v>414</v>
          </cell>
          <cell r="F345">
            <v>0</v>
          </cell>
          <cell r="G345">
            <v>1</v>
          </cell>
          <cell r="H345" t="str">
            <v>2006-01-31</v>
          </cell>
        </row>
        <row r="346">
          <cell r="A346">
            <v>481002</v>
          </cell>
          <cell r="B346">
            <v>1015</v>
          </cell>
          <cell r="C346">
            <v>-6226.17</v>
          </cell>
          <cell r="D346" t="str">
            <v>202</v>
          </cell>
          <cell r="E346" t="str">
            <v>414</v>
          </cell>
          <cell r="F346">
            <v>-8900.51</v>
          </cell>
          <cell r="G346">
            <v>1</v>
          </cell>
          <cell r="H346" t="str">
            <v>2006-01-31</v>
          </cell>
        </row>
        <row r="347">
          <cell r="A347">
            <v>481002</v>
          </cell>
          <cell r="B347">
            <v>1015</v>
          </cell>
          <cell r="C347">
            <v>-1614.93</v>
          </cell>
          <cell r="D347" t="str">
            <v>202</v>
          </cell>
          <cell r="E347" t="str">
            <v>414</v>
          </cell>
          <cell r="F347">
            <v>-535.57000000000005</v>
          </cell>
          <cell r="G347">
            <v>1</v>
          </cell>
          <cell r="H347" t="str">
            <v>2006-01-31</v>
          </cell>
        </row>
        <row r="348">
          <cell r="A348">
            <v>481002</v>
          </cell>
          <cell r="B348">
            <v>1015</v>
          </cell>
          <cell r="C348">
            <v>-6606.5</v>
          </cell>
          <cell r="D348" t="str">
            <v>202</v>
          </cell>
          <cell r="E348" t="str">
            <v>414</v>
          </cell>
          <cell r="F348">
            <v>-11530</v>
          </cell>
          <cell r="G348">
            <v>1</v>
          </cell>
          <cell r="H348" t="str">
            <v>2006-01-31</v>
          </cell>
        </row>
        <row r="349">
          <cell r="A349">
            <v>481005</v>
          </cell>
          <cell r="B349">
            <v>1015</v>
          </cell>
          <cell r="C349">
            <v>-29817.97</v>
          </cell>
          <cell r="D349" t="str">
            <v>202</v>
          </cell>
          <cell r="E349" t="str">
            <v>414</v>
          </cell>
          <cell r="F349">
            <v>-35856</v>
          </cell>
          <cell r="G349">
            <v>1</v>
          </cell>
          <cell r="H349" t="str">
            <v>2006-01-31</v>
          </cell>
        </row>
        <row r="350">
          <cell r="A350">
            <v>481005</v>
          </cell>
          <cell r="B350">
            <v>1015</v>
          </cell>
          <cell r="C350">
            <v>17661.72</v>
          </cell>
          <cell r="D350" t="str">
            <v>202</v>
          </cell>
          <cell r="E350" t="str">
            <v>414</v>
          </cell>
          <cell r="F350">
            <v>18072</v>
          </cell>
          <cell r="G350">
            <v>1</v>
          </cell>
          <cell r="H350" t="str">
            <v>2006-01-31</v>
          </cell>
        </row>
        <row r="351">
          <cell r="A351">
            <v>481005</v>
          </cell>
          <cell r="B351">
            <v>1015</v>
          </cell>
          <cell r="C351">
            <v>-2613.2600000000002</v>
          </cell>
          <cell r="D351" t="str">
            <v>202</v>
          </cell>
          <cell r="E351" t="str">
            <v>414</v>
          </cell>
          <cell r="F351">
            <v>-994.57</v>
          </cell>
          <cell r="G351">
            <v>1</v>
          </cell>
          <cell r="H351" t="str">
            <v>2006-01-31</v>
          </cell>
        </row>
        <row r="352">
          <cell r="A352">
            <v>481000</v>
          </cell>
          <cell r="B352">
            <v>1015</v>
          </cell>
          <cell r="C352">
            <v>-355.67</v>
          </cell>
          <cell r="D352" t="str">
            <v>202</v>
          </cell>
          <cell r="E352" t="str">
            <v>451</v>
          </cell>
          <cell r="F352">
            <v>-726</v>
          </cell>
          <cell r="G352">
            <v>1</v>
          </cell>
          <cell r="H352" t="str">
            <v>2006-01-31</v>
          </cell>
        </row>
        <row r="353">
          <cell r="A353">
            <v>481000</v>
          </cell>
          <cell r="B353">
            <v>1015</v>
          </cell>
          <cell r="C353">
            <v>878.79</v>
          </cell>
          <cell r="D353" t="str">
            <v>202</v>
          </cell>
          <cell r="E353" t="str">
            <v>451</v>
          </cell>
          <cell r="F353">
            <v>987</v>
          </cell>
          <cell r="G353">
            <v>1</v>
          </cell>
          <cell r="H353" t="str">
            <v>2006-01-31</v>
          </cell>
        </row>
        <row r="354">
          <cell r="A354">
            <v>481000</v>
          </cell>
          <cell r="B354">
            <v>1015</v>
          </cell>
          <cell r="C354">
            <v>-298.12</v>
          </cell>
          <cell r="D354" t="str">
            <v>202</v>
          </cell>
          <cell r="E354" t="str">
            <v>451</v>
          </cell>
          <cell r="F354">
            <v>-260.52999999999997</v>
          </cell>
          <cell r="G354">
            <v>1</v>
          </cell>
          <cell r="H354" t="str">
            <v>2006-01-31</v>
          </cell>
        </row>
        <row r="355">
          <cell r="A355">
            <v>481000</v>
          </cell>
          <cell r="B355">
            <v>1015</v>
          </cell>
          <cell r="C355">
            <v>-225</v>
          </cell>
          <cell r="D355" t="str">
            <v>202</v>
          </cell>
          <cell r="E355" t="str">
            <v>451</v>
          </cell>
          <cell r="F355">
            <v>0</v>
          </cell>
          <cell r="G355">
            <v>1</v>
          </cell>
          <cell r="H355" t="str">
            <v>2006-01-31</v>
          </cell>
        </row>
        <row r="356">
          <cell r="A356">
            <v>481004</v>
          </cell>
          <cell r="B356">
            <v>1015</v>
          </cell>
          <cell r="C356">
            <v>20280.46</v>
          </cell>
          <cell r="D356" t="str">
            <v>202</v>
          </cell>
          <cell r="E356" t="str">
            <v>451</v>
          </cell>
          <cell r="F356">
            <v>-1387.34</v>
          </cell>
          <cell r="G356">
            <v>1</v>
          </cell>
          <cell r="H356" t="str">
            <v>2006-01-31</v>
          </cell>
        </row>
        <row r="357">
          <cell r="A357">
            <v>481004</v>
          </cell>
          <cell r="B357">
            <v>1015</v>
          </cell>
          <cell r="C357">
            <v>-19885.66</v>
          </cell>
          <cell r="D357" t="str">
            <v>202</v>
          </cell>
          <cell r="E357" t="str">
            <v>451</v>
          </cell>
          <cell r="F357">
            <v>405.34</v>
          </cell>
          <cell r="G357">
            <v>1</v>
          </cell>
          <cell r="H357" t="str">
            <v>2006-01-31</v>
          </cell>
        </row>
        <row r="358">
          <cell r="A358">
            <v>481004</v>
          </cell>
          <cell r="B358">
            <v>1015</v>
          </cell>
          <cell r="C358">
            <v>-1358.25</v>
          </cell>
          <cell r="D358" t="str">
            <v>202</v>
          </cell>
          <cell r="E358" t="str">
            <v>451</v>
          </cell>
          <cell r="F358">
            <v>-1218.49</v>
          </cell>
          <cell r="G358">
            <v>1</v>
          </cell>
          <cell r="H358" t="str">
            <v>2006-01-31</v>
          </cell>
        </row>
        <row r="359">
          <cell r="A359">
            <v>481004</v>
          </cell>
          <cell r="B359">
            <v>1015</v>
          </cell>
          <cell r="C359">
            <v>-6309.82</v>
          </cell>
          <cell r="D359" t="str">
            <v>202</v>
          </cell>
          <cell r="E359" t="str">
            <v>451</v>
          </cell>
          <cell r="F359">
            <v>-7020.17</v>
          </cell>
          <cell r="G359">
            <v>1</v>
          </cell>
          <cell r="H359" t="str">
            <v>2006-01-31</v>
          </cell>
        </row>
        <row r="360">
          <cell r="A360">
            <v>481004</v>
          </cell>
          <cell r="B360">
            <v>1015</v>
          </cell>
          <cell r="C360">
            <v>-1833.33</v>
          </cell>
          <cell r="D360" t="str">
            <v>202</v>
          </cell>
          <cell r="E360" t="str">
            <v>451</v>
          </cell>
          <cell r="F360">
            <v>-1976.09</v>
          </cell>
          <cell r="G360">
            <v>1</v>
          </cell>
          <cell r="H360" t="str">
            <v>2006-01-31</v>
          </cell>
        </row>
        <row r="361">
          <cell r="A361">
            <v>481004</v>
          </cell>
          <cell r="B361">
            <v>1015</v>
          </cell>
          <cell r="C361">
            <v>-1873.93</v>
          </cell>
          <cell r="D361" t="str">
            <v>202</v>
          </cell>
          <cell r="E361" t="str">
            <v>451</v>
          </cell>
          <cell r="F361">
            <v>-2027.3</v>
          </cell>
          <cell r="G361">
            <v>1</v>
          </cell>
          <cell r="H361" t="str">
            <v>2006-01-31</v>
          </cell>
        </row>
        <row r="362">
          <cell r="A362">
            <v>481004</v>
          </cell>
          <cell r="B362">
            <v>1015</v>
          </cell>
          <cell r="C362">
            <v>-914.51</v>
          </cell>
          <cell r="D362" t="str">
            <v>202</v>
          </cell>
          <cell r="E362" t="str">
            <v>451</v>
          </cell>
          <cell r="F362">
            <v>-828.28</v>
          </cell>
          <cell r="G362">
            <v>1</v>
          </cell>
          <cell r="H362" t="str">
            <v>2006-01-31</v>
          </cell>
        </row>
        <row r="363">
          <cell r="A363">
            <v>481004</v>
          </cell>
          <cell r="B363">
            <v>1015</v>
          </cell>
          <cell r="C363">
            <v>-2157.5700000000002</v>
          </cell>
          <cell r="D363" t="str">
            <v>202</v>
          </cell>
          <cell r="E363" t="str">
            <v>451</v>
          </cell>
          <cell r="F363">
            <v>-2317.94</v>
          </cell>
          <cell r="G363">
            <v>1</v>
          </cell>
          <cell r="H363" t="str">
            <v>2006-01-31</v>
          </cell>
        </row>
        <row r="364">
          <cell r="A364">
            <v>481004</v>
          </cell>
          <cell r="B364">
            <v>1015</v>
          </cell>
          <cell r="C364">
            <v>-3117.75</v>
          </cell>
          <cell r="D364" t="str">
            <v>202</v>
          </cell>
          <cell r="E364" t="str">
            <v>451</v>
          </cell>
          <cell r="F364">
            <v>-3820.11</v>
          </cell>
          <cell r="G364">
            <v>1</v>
          </cell>
          <cell r="H364" t="str">
            <v>2006-01-31</v>
          </cell>
        </row>
        <row r="365">
          <cell r="A365">
            <v>481004</v>
          </cell>
          <cell r="B365">
            <v>1015</v>
          </cell>
          <cell r="C365">
            <v>-15795.64</v>
          </cell>
          <cell r="D365" t="str">
            <v>202</v>
          </cell>
          <cell r="E365" t="str">
            <v>451</v>
          </cell>
          <cell r="F365">
            <v>-17344.71</v>
          </cell>
          <cell r="G365">
            <v>1</v>
          </cell>
          <cell r="H365" t="str">
            <v>2006-01-31</v>
          </cell>
        </row>
        <row r="366">
          <cell r="A366">
            <v>480000</v>
          </cell>
          <cell r="B366">
            <v>1015</v>
          </cell>
          <cell r="C366">
            <v>0.28999999999999998</v>
          </cell>
          <cell r="D366" t="str">
            <v>202</v>
          </cell>
          <cell r="E366" t="str">
            <v>453</v>
          </cell>
          <cell r="F366">
            <v>0</v>
          </cell>
          <cell r="G366">
            <v>1</v>
          </cell>
          <cell r="H366" t="str">
            <v>2006-01-31</v>
          </cell>
        </row>
        <row r="367">
          <cell r="A367">
            <v>480000</v>
          </cell>
          <cell r="B367">
            <v>1015</v>
          </cell>
          <cell r="C367">
            <v>-58789.87</v>
          </cell>
          <cell r="D367" t="str">
            <v>202</v>
          </cell>
          <cell r="E367" t="str">
            <v>453</v>
          </cell>
          <cell r="F367">
            <v>-22466.23</v>
          </cell>
          <cell r="G367">
            <v>1</v>
          </cell>
          <cell r="H367" t="str">
            <v>2006-01-31</v>
          </cell>
        </row>
        <row r="368">
          <cell r="A368">
            <v>480000</v>
          </cell>
          <cell r="B368">
            <v>1015</v>
          </cell>
          <cell r="C368">
            <v>-3380.18</v>
          </cell>
          <cell r="D368" t="str">
            <v>202</v>
          </cell>
          <cell r="E368" t="str">
            <v>453</v>
          </cell>
          <cell r="F368">
            <v>-1524.44</v>
          </cell>
          <cell r="G368">
            <v>1</v>
          </cell>
          <cell r="H368" t="str">
            <v>2006-01-31</v>
          </cell>
        </row>
        <row r="369">
          <cell r="A369">
            <v>480000</v>
          </cell>
          <cell r="B369">
            <v>1015</v>
          </cell>
          <cell r="C369">
            <v>-53678.98</v>
          </cell>
          <cell r="D369" t="str">
            <v>202</v>
          </cell>
          <cell r="E369" t="str">
            <v>453</v>
          </cell>
          <cell r="F369">
            <v>-20470.759999999998</v>
          </cell>
          <cell r="G369">
            <v>1</v>
          </cell>
          <cell r="H369" t="str">
            <v>2006-01-31</v>
          </cell>
        </row>
        <row r="370">
          <cell r="A370">
            <v>480000</v>
          </cell>
          <cell r="B370">
            <v>1015</v>
          </cell>
          <cell r="C370">
            <v>-74658.38</v>
          </cell>
          <cell r="D370" t="str">
            <v>202</v>
          </cell>
          <cell r="E370" t="str">
            <v>453</v>
          </cell>
          <cell r="F370">
            <v>-31111.25</v>
          </cell>
          <cell r="G370">
            <v>1</v>
          </cell>
          <cell r="H370" t="str">
            <v>2006-01-31</v>
          </cell>
        </row>
        <row r="371">
          <cell r="A371">
            <v>480000</v>
          </cell>
          <cell r="B371">
            <v>1015</v>
          </cell>
          <cell r="C371">
            <v>-127411.34</v>
          </cell>
          <cell r="D371" t="str">
            <v>202</v>
          </cell>
          <cell r="E371" t="str">
            <v>453</v>
          </cell>
          <cell r="F371">
            <v>-48984.67</v>
          </cell>
          <cell r="G371">
            <v>1</v>
          </cell>
          <cell r="H371" t="str">
            <v>2006-01-31</v>
          </cell>
        </row>
        <row r="372">
          <cell r="A372">
            <v>480000</v>
          </cell>
          <cell r="B372">
            <v>1015</v>
          </cell>
          <cell r="C372">
            <v>-53585.72</v>
          </cell>
          <cell r="D372" t="str">
            <v>202</v>
          </cell>
          <cell r="E372" t="str">
            <v>453</v>
          </cell>
          <cell r="F372">
            <v>-20935.52</v>
          </cell>
          <cell r="G372">
            <v>1</v>
          </cell>
          <cell r="H372" t="str">
            <v>2006-01-31</v>
          </cell>
        </row>
        <row r="373">
          <cell r="A373">
            <v>480000</v>
          </cell>
          <cell r="B373">
            <v>1015</v>
          </cell>
          <cell r="C373">
            <v>-59242.1</v>
          </cell>
          <cell r="D373" t="str">
            <v>202</v>
          </cell>
          <cell r="E373" t="str">
            <v>453</v>
          </cell>
          <cell r="F373">
            <v>-23173.41</v>
          </cell>
          <cell r="G373">
            <v>1</v>
          </cell>
          <cell r="H373" t="str">
            <v>2006-01-31</v>
          </cell>
        </row>
        <row r="374">
          <cell r="A374">
            <v>480000</v>
          </cell>
          <cell r="B374">
            <v>1015</v>
          </cell>
          <cell r="C374">
            <v>-1577.08</v>
          </cell>
          <cell r="D374" t="str">
            <v>202</v>
          </cell>
          <cell r="E374" t="str">
            <v>453</v>
          </cell>
          <cell r="F374">
            <v>-738.01</v>
          </cell>
          <cell r="G374">
            <v>1</v>
          </cell>
          <cell r="H374" t="str">
            <v>2006-01-31</v>
          </cell>
        </row>
        <row r="375">
          <cell r="A375">
            <v>480000</v>
          </cell>
          <cell r="B375">
            <v>1015</v>
          </cell>
          <cell r="C375">
            <v>-43681.71</v>
          </cell>
          <cell r="D375" t="str">
            <v>202</v>
          </cell>
          <cell r="E375" t="str">
            <v>453</v>
          </cell>
          <cell r="F375">
            <v>-17032.97</v>
          </cell>
          <cell r="G375">
            <v>1</v>
          </cell>
          <cell r="H375" t="str">
            <v>2006-01-31</v>
          </cell>
        </row>
        <row r="376">
          <cell r="A376">
            <v>480000</v>
          </cell>
          <cell r="B376">
            <v>1015</v>
          </cell>
          <cell r="C376">
            <v>-2223.65</v>
          </cell>
          <cell r="D376" t="str">
            <v>202</v>
          </cell>
          <cell r="E376" t="str">
            <v>453</v>
          </cell>
          <cell r="F376">
            <v>-1215.51</v>
          </cell>
          <cell r="G376">
            <v>1</v>
          </cell>
          <cell r="H376" t="str">
            <v>2006-01-31</v>
          </cell>
        </row>
        <row r="377">
          <cell r="A377">
            <v>480000</v>
          </cell>
          <cell r="B377">
            <v>1015</v>
          </cell>
          <cell r="C377">
            <v>-361942.02</v>
          </cell>
          <cell r="D377" t="str">
            <v>202</v>
          </cell>
          <cell r="E377" t="str">
            <v>453</v>
          </cell>
          <cell r="F377">
            <v>-141500.88</v>
          </cell>
          <cell r="G377">
            <v>1</v>
          </cell>
          <cell r="H377" t="str">
            <v>2006-01-31</v>
          </cell>
        </row>
        <row r="378">
          <cell r="A378">
            <v>480001</v>
          </cell>
          <cell r="B378">
            <v>1015</v>
          </cell>
          <cell r="C378">
            <v>-54094.38</v>
          </cell>
          <cell r="D378" t="str">
            <v>202</v>
          </cell>
          <cell r="E378" t="str">
            <v>453</v>
          </cell>
          <cell r="F378">
            <v>23780</v>
          </cell>
          <cell r="G378">
            <v>1</v>
          </cell>
          <cell r="H378" t="str">
            <v>2006-01-31</v>
          </cell>
        </row>
        <row r="379">
          <cell r="A379">
            <v>481004</v>
          </cell>
          <cell r="B379">
            <v>1015</v>
          </cell>
          <cell r="C379">
            <v>-24076.07</v>
          </cell>
          <cell r="D379" t="str">
            <v>202</v>
          </cell>
          <cell r="E379" t="str">
            <v>453</v>
          </cell>
          <cell r="F379">
            <v>-12968.07</v>
          </cell>
          <cell r="G379">
            <v>1</v>
          </cell>
          <cell r="H379" t="str">
            <v>2006-01-31</v>
          </cell>
        </row>
        <row r="380">
          <cell r="A380">
            <v>481004</v>
          </cell>
          <cell r="B380">
            <v>1015</v>
          </cell>
          <cell r="C380">
            <v>-893.68</v>
          </cell>
          <cell r="D380" t="str">
            <v>202</v>
          </cell>
          <cell r="E380" t="str">
            <v>453</v>
          </cell>
          <cell r="F380">
            <v>-392.09</v>
          </cell>
          <cell r="G380">
            <v>1</v>
          </cell>
          <cell r="H380" t="str">
            <v>2006-01-31</v>
          </cell>
        </row>
        <row r="381">
          <cell r="A381">
            <v>481004</v>
          </cell>
          <cell r="B381">
            <v>1015</v>
          </cell>
          <cell r="C381">
            <v>-53861.48</v>
          </cell>
          <cell r="D381" t="str">
            <v>202</v>
          </cell>
          <cell r="E381" t="str">
            <v>453</v>
          </cell>
          <cell r="F381">
            <v>-32679.25</v>
          </cell>
          <cell r="G381">
            <v>1</v>
          </cell>
          <cell r="H381" t="str">
            <v>2006-01-31</v>
          </cell>
        </row>
        <row r="382">
          <cell r="A382">
            <v>481004</v>
          </cell>
          <cell r="B382">
            <v>1015</v>
          </cell>
          <cell r="C382">
            <v>-33263.21</v>
          </cell>
          <cell r="D382" t="str">
            <v>202</v>
          </cell>
          <cell r="E382" t="str">
            <v>453</v>
          </cell>
          <cell r="F382">
            <v>-20391.75</v>
          </cell>
          <cell r="G382">
            <v>1</v>
          </cell>
          <cell r="H382" t="str">
            <v>2006-01-31</v>
          </cell>
        </row>
        <row r="383">
          <cell r="A383">
            <v>481004</v>
          </cell>
          <cell r="B383">
            <v>1015</v>
          </cell>
          <cell r="C383">
            <v>-32359.57</v>
          </cell>
          <cell r="D383" t="str">
            <v>202</v>
          </cell>
          <cell r="E383" t="str">
            <v>453</v>
          </cell>
          <cell r="F383">
            <v>-20756.96</v>
          </cell>
          <cell r="G383">
            <v>1</v>
          </cell>
          <cell r="H383" t="str">
            <v>2006-01-31</v>
          </cell>
        </row>
        <row r="384">
          <cell r="A384">
            <v>481004</v>
          </cell>
          <cell r="B384">
            <v>1015</v>
          </cell>
          <cell r="C384">
            <v>-13461.05</v>
          </cell>
          <cell r="D384" t="str">
            <v>202</v>
          </cell>
          <cell r="E384" t="str">
            <v>453</v>
          </cell>
          <cell r="F384">
            <v>-7894.29</v>
          </cell>
          <cell r="G384">
            <v>1</v>
          </cell>
          <cell r="H384" t="str">
            <v>2006-01-31</v>
          </cell>
        </row>
        <row r="385">
          <cell r="A385">
            <v>481004</v>
          </cell>
          <cell r="B385">
            <v>1015</v>
          </cell>
          <cell r="C385">
            <v>-23233.08</v>
          </cell>
          <cell r="D385" t="str">
            <v>202</v>
          </cell>
          <cell r="E385" t="str">
            <v>453</v>
          </cell>
          <cell r="F385">
            <v>-13304.29</v>
          </cell>
          <cell r="G385">
            <v>1</v>
          </cell>
          <cell r="H385" t="str">
            <v>2006-01-31</v>
          </cell>
        </row>
        <row r="386">
          <cell r="A386">
            <v>481004</v>
          </cell>
          <cell r="B386">
            <v>1015</v>
          </cell>
          <cell r="C386">
            <v>-237.8</v>
          </cell>
          <cell r="D386" t="str">
            <v>202</v>
          </cell>
          <cell r="E386" t="str">
            <v>453</v>
          </cell>
          <cell r="F386">
            <v>-108.88</v>
          </cell>
          <cell r="G386">
            <v>1</v>
          </cell>
          <cell r="H386" t="str">
            <v>2006-01-31</v>
          </cell>
        </row>
        <row r="387">
          <cell r="A387">
            <v>481004</v>
          </cell>
          <cell r="B387">
            <v>1015</v>
          </cell>
          <cell r="C387">
            <v>-26592.94</v>
          </cell>
          <cell r="D387" t="str">
            <v>202</v>
          </cell>
          <cell r="E387" t="str">
            <v>453</v>
          </cell>
          <cell r="F387">
            <v>-14602.66</v>
          </cell>
          <cell r="G387">
            <v>1</v>
          </cell>
          <cell r="H387" t="str">
            <v>2006-01-31</v>
          </cell>
        </row>
        <row r="388">
          <cell r="A388">
            <v>481004</v>
          </cell>
          <cell r="B388">
            <v>1015</v>
          </cell>
          <cell r="C388">
            <v>-858.41</v>
          </cell>
          <cell r="D388" t="str">
            <v>202</v>
          </cell>
          <cell r="E388" t="str">
            <v>453</v>
          </cell>
          <cell r="F388">
            <v>-467.07</v>
          </cell>
          <cell r="G388">
            <v>1</v>
          </cell>
          <cell r="H388" t="str">
            <v>2006-01-31</v>
          </cell>
        </row>
        <row r="389">
          <cell r="A389">
            <v>481004</v>
          </cell>
          <cell r="B389">
            <v>1015</v>
          </cell>
          <cell r="C389">
            <v>-128880.59</v>
          </cell>
          <cell r="D389" t="str">
            <v>202</v>
          </cell>
          <cell r="E389" t="str">
            <v>453</v>
          </cell>
          <cell r="F389">
            <v>-78220.5</v>
          </cell>
          <cell r="G389">
            <v>1</v>
          </cell>
          <cell r="H389" t="str">
            <v>2006-01-31</v>
          </cell>
        </row>
        <row r="390">
          <cell r="A390">
            <v>480000</v>
          </cell>
          <cell r="B390">
            <v>1015</v>
          </cell>
          <cell r="C390">
            <v>-37232.74</v>
          </cell>
          <cell r="D390" t="str">
            <v>202</v>
          </cell>
          <cell r="E390" t="str">
            <v>455</v>
          </cell>
          <cell r="F390">
            <v>-13232.53</v>
          </cell>
          <cell r="G390">
            <v>1</v>
          </cell>
          <cell r="H390" t="str">
            <v>2006-01-31</v>
          </cell>
        </row>
        <row r="391">
          <cell r="A391">
            <v>480000</v>
          </cell>
          <cell r="B391">
            <v>1015</v>
          </cell>
          <cell r="C391">
            <v>-761.23</v>
          </cell>
          <cell r="D391" t="str">
            <v>202</v>
          </cell>
          <cell r="E391" t="str">
            <v>455</v>
          </cell>
          <cell r="F391">
            <v>-288.08</v>
          </cell>
          <cell r="G391">
            <v>1</v>
          </cell>
          <cell r="H391" t="str">
            <v>2006-01-31</v>
          </cell>
        </row>
        <row r="392">
          <cell r="A392">
            <v>480000</v>
          </cell>
          <cell r="B392">
            <v>1015</v>
          </cell>
          <cell r="C392">
            <v>-131.96</v>
          </cell>
          <cell r="D392" t="str">
            <v>202</v>
          </cell>
          <cell r="E392" t="str">
            <v>455</v>
          </cell>
          <cell r="F392">
            <v>-44.95</v>
          </cell>
          <cell r="G392">
            <v>1</v>
          </cell>
          <cell r="H392" t="str">
            <v>2006-01-31</v>
          </cell>
        </row>
        <row r="393">
          <cell r="A393">
            <v>480000</v>
          </cell>
          <cell r="B393">
            <v>1015</v>
          </cell>
          <cell r="C393">
            <v>0</v>
          </cell>
          <cell r="D393" t="str">
            <v>202</v>
          </cell>
          <cell r="E393" t="str">
            <v>455</v>
          </cell>
          <cell r="F393">
            <v>0</v>
          </cell>
          <cell r="G393">
            <v>1</v>
          </cell>
          <cell r="H393" t="str">
            <v>2006-01-31</v>
          </cell>
        </row>
        <row r="394">
          <cell r="A394">
            <v>480000</v>
          </cell>
          <cell r="B394">
            <v>1015</v>
          </cell>
          <cell r="C394">
            <v>-34.22</v>
          </cell>
          <cell r="D394" t="str">
            <v>202</v>
          </cell>
          <cell r="E394" t="str">
            <v>455</v>
          </cell>
          <cell r="F394">
            <v>-11.62</v>
          </cell>
          <cell r="G394">
            <v>1</v>
          </cell>
          <cell r="H394" t="str">
            <v>2006-01-31</v>
          </cell>
        </row>
        <row r="395">
          <cell r="A395">
            <v>480000</v>
          </cell>
          <cell r="B395">
            <v>1015</v>
          </cell>
          <cell r="C395">
            <v>-203.25</v>
          </cell>
          <cell r="D395" t="str">
            <v>202</v>
          </cell>
          <cell r="E395" t="str">
            <v>455</v>
          </cell>
          <cell r="F395">
            <v>-68.849999999999994</v>
          </cell>
          <cell r="G395">
            <v>1</v>
          </cell>
          <cell r="H395" t="str">
            <v>2006-01-31</v>
          </cell>
        </row>
        <row r="396">
          <cell r="A396">
            <v>480001</v>
          </cell>
          <cell r="B396">
            <v>1015</v>
          </cell>
          <cell r="C396">
            <v>-2239.71</v>
          </cell>
          <cell r="D396" t="str">
            <v>202</v>
          </cell>
          <cell r="E396" t="str">
            <v>455</v>
          </cell>
          <cell r="F396">
            <v>-90</v>
          </cell>
          <cell r="G396">
            <v>1</v>
          </cell>
          <cell r="H396" t="str">
            <v>2006-01-31</v>
          </cell>
        </row>
        <row r="397">
          <cell r="A397">
            <v>481004</v>
          </cell>
          <cell r="B397">
            <v>1015</v>
          </cell>
          <cell r="C397">
            <v>-23023.4</v>
          </cell>
          <cell r="D397" t="str">
            <v>202</v>
          </cell>
          <cell r="E397" t="str">
            <v>455</v>
          </cell>
          <cell r="F397">
            <v>-9457.7099999999991</v>
          </cell>
          <cell r="G397">
            <v>1</v>
          </cell>
          <cell r="H397" t="str">
            <v>2006-01-31</v>
          </cell>
        </row>
        <row r="398">
          <cell r="A398">
            <v>481004</v>
          </cell>
          <cell r="B398">
            <v>1015</v>
          </cell>
          <cell r="C398">
            <v>-1452.67</v>
          </cell>
          <cell r="D398" t="str">
            <v>202</v>
          </cell>
          <cell r="E398" t="str">
            <v>455</v>
          </cell>
          <cell r="F398">
            <v>-594.34</v>
          </cell>
          <cell r="G398">
            <v>1</v>
          </cell>
          <cell r="H398" t="str">
            <v>2006-01-31</v>
          </cell>
        </row>
        <row r="399">
          <cell r="A399">
            <v>481004</v>
          </cell>
          <cell r="B399">
            <v>1015</v>
          </cell>
          <cell r="C399">
            <v>-1173.98</v>
          </cell>
          <cell r="D399" t="str">
            <v>202</v>
          </cell>
          <cell r="E399" t="str">
            <v>455</v>
          </cell>
          <cell r="F399">
            <v>-485.94</v>
          </cell>
          <cell r="G399">
            <v>1</v>
          </cell>
          <cell r="H399" t="str">
            <v>2006-01-31</v>
          </cell>
        </row>
        <row r="400">
          <cell r="A400">
            <v>481004</v>
          </cell>
          <cell r="B400">
            <v>1015</v>
          </cell>
          <cell r="C400">
            <v>-89.8</v>
          </cell>
          <cell r="D400" t="str">
            <v>202</v>
          </cell>
          <cell r="E400" t="str">
            <v>455</v>
          </cell>
          <cell r="F400">
            <v>-32.22</v>
          </cell>
          <cell r="G400">
            <v>1</v>
          </cell>
          <cell r="H400" t="str">
            <v>2006-01-31</v>
          </cell>
        </row>
        <row r="401">
          <cell r="A401">
            <v>481004</v>
          </cell>
          <cell r="B401">
            <v>1015</v>
          </cell>
          <cell r="C401">
            <v>-676.04</v>
          </cell>
          <cell r="D401" t="str">
            <v>202</v>
          </cell>
          <cell r="E401" t="str">
            <v>455</v>
          </cell>
          <cell r="F401">
            <v>-289.83999999999997</v>
          </cell>
          <cell r="G401">
            <v>1</v>
          </cell>
          <cell r="H401" t="str">
            <v>2006-01-31</v>
          </cell>
        </row>
        <row r="402">
          <cell r="A402">
            <v>481002</v>
          </cell>
          <cell r="B402">
            <v>1015</v>
          </cell>
          <cell r="C402">
            <v>0</v>
          </cell>
          <cell r="D402" t="str">
            <v>202</v>
          </cell>
          <cell r="E402" t="str">
            <v>456</v>
          </cell>
          <cell r="F402">
            <v>0</v>
          </cell>
          <cell r="G402">
            <v>1</v>
          </cell>
          <cell r="H402" t="str">
            <v>2006-01-31</v>
          </cell>
        </row>
        <row r="403">
          <cell r="A403">
            <v>481002</v>
          </cell>
          <cell r="B403">
            <v>1015</v>
          </cell>
          <cell r="C403">
            <v>0</v>
          </cell>
          <cell r="D403" t="str">
            <v>202</v>
          </cell>
          <cell r="E403" t="str">
            <v>456</v>
          </cell>
          <cell r="F403">
            <v>0</v>
          </cell>
          <cell r="G403">
            <v>1</v>
          </cell>
          <cell r="H403" t="str">
            <v>2006-01-31</v>
          </cell>
        </row>
        <row r="404">
          <cell r="A404">
            <v>481002</v>
          </cell>
          <cell r="B404">
            <v>1015</v>
          </cell>
          <cell r="C404">
            <v>2204.27</v>
          </cell>
          <cell r="D404" t="str">
            <v>202</v>
          </cell>
          <cell r="E404" t="str">
            <v>457</v>
          </cell>
          <cell r="F404">
            <v>12810</v>
          </cell>
          <cell r="G404">
            <v>1</v>
          </cell>
          <cell r="H404" t="str">
            <v>2006-01-31</v>
          </cell>
        </row>
        <row r="405">
          <cell r="A405">
            <v>481002</v>
          </cell>
          <cell r="B405">
            <v>1015</v>
          </cell>
          <cell r="C405">
            <v>-2114.04</v>
          </cell>
          <cell r="D405" t="str">
            <v>202</v>
          </cell>
          <cell r="E405" t="str">
            <v>457</v>
          </cell>
          <cell r="F405">
            <v>-12640</v>
          </cell>
          <cell r="G405">
            <v>1</v>
          </cell>
          <cell r="H405" t="str">
            <v>2006-01-31</v>
          </cell>
        </row>
        <row r="406">
          <cell r="A406">
            <v>481002</v>
          </cell>
          <cell r="B406">
            <v>1015</v>
          </cell>
          <cell r="C406">
            <v>-112.54</v>
          </cell>
          <cell r="D406" t="str">
            <v>202</v>
          </cell>
          <cell r="E406" t="str">
            <v>457</v>
          </cell>
          <cell r="F406">
            <v>-332.75</v>
          </cell>
          <cell r="G406">
            <v>1</v>
          </cell>
          <cell r="H406" t="str">
            <v>2006-01-31</v>
          </cell>
        </row>
        <row r="407">
          <cell r="A407">
            <v>481002</v>
          </cell>
          <cell r="B407">
            <v>1015</v>
          </cell>
          <cell r="C407">
            <v>-425.33</v>
          </cell>
          <cell r="D407" t="str">
            <v>202</v>
          </cell>
          <cell r="E407" t="str">
            <v>457</v>
          </cell>
          <cell r="F407">
            <v>-2618</v>
          </cell>
          <cell r="G407">
            <v>1</v>
          </cell>
          <cell r="H407" t="str">
            <v>2006-01-31</v>
          </cell>
        </row>
        <row r="408">
          <cell r="A408">
            <v>481005</v>
          </cell>
          <cell r="B408">
            <v>1015</v>
          </cell>
          <cell r="C408">
            <v>-3507.08</v>
          </cell>
          <cell r="D408" t="str">
            <v>202</v>
          </cell>
          <cell r="E408" t="str">
            <v>457</v>
          </cell>
          <cell r="F408">
            <v>-15016</v>
          </cell>
          <cell r="G408">
            <v>1</v>
          </cell>
          <cell r="H408" t="str">
            <v>2006-01-31</v>
          </cell>
        </row>
        <row r="409">
          <cell r="A409">
            <v>481005</v>
          </cell>
          <cell r="B409">
            <v>1015</v>
          </cell>
          <cell r="C409">
            <v>4433.05</v>
          </cell>
          <cell r="D409" t="str">
            <v>202</v>
          </cell>
          <cell r="E409" t="str">
            <v>457</v>
          </cell>
          <cell r="F409">
            <v>24040</v>
          </cell>
          <cell r="G409">
            <v>1</v>
          </cell>
          <cell r="H409" t="str">
            <v>2006-01-31</v>
          </cell>
        </row>
        <row r="410">
          <cell r="A410">
            <v>481005</v>
          </cell>
          <cell r="B410">
            <v>1015</v>
          </cell>
          <cell r="C410">
            <v>-1301.82</v>
          </cell>
          <cell r="D410" t="str">
            <v>202</v>
          </cell>
          <cell r="E410" t="str">
            <v>457</v>
          </cell>
          <cell r="F410">
            <v>-9021.82</v>
          </cell>
          <cell r="G410">
            <v>1</v>
          </cell>
          <cell r="H410" t="str">
            <v>2006-01-31</v>
          </cell>
        </row>
        <row r="411">
          <cell r="A411">
            <v>481005</v>
          </cell>
          <cell r="B411">
            <v>1015</v>
          </cell>
          <cell r="C411">
            <v>-891.57</v>
          </cell>
          <cell r="D411" t="str">
            <v>202</v>
          </cell>
          <cell r="E411" t="str">
            <v>457</v>
          </cell>
          <cell r="F411">
            <v>-4197.92</v>
          </cell>
          <cell r="G411">
            <v>1</v>
          </cell>
          <cell r="H411" t="str">
            <v>2006-01-31</v>
          </cell>
        </row>
        <row r="412">
          <cell r="A412">
            <v>481005</v>
          </cell>
          <cell r="B412">
            <v>1015</v>
          </cell>
          <cell r="C412">
            <v>-202.58</v>
          </cell>
          <cell r="D412" t="str">
            <v>202</v>
          </cell>
          <cell r="E412" t="str">
            <v>457</v>
          </cell>
          <cell r="F412">
            <v>-1480.08</v>
          </cell>
          <cell r="G412">
            <v>1</v>
          </cell>
          <cell r="H412" t="str">
            <v>2006-01-31</v>
          </cell>
        </row>
        <row r="413">
          <cell r="A413">
            <v>481003</v>
          </cell>
          <cell r="B413">
            <v>1015</v>
          </cell>
          <cell r="C413">
            <v>-927.75</v>
          </cell>
          <cell r="D413" t="str">
            <v>200</v>
          </cell>
          <cell r="F413">
            <v>-79.08</v>
          </cell>
          <cell r="G413">
            <v>1</v>
          </cell>
          <cell r="H413" t="str">
            <v>2006-01-31</v>
          </cell>
        </row>
        <row r="414">
          <cell r="A414">
            <v>481003</v>
          </cell>
          <cell r="B414">
            <v>1015</v>
          </cell>
          <cell r="C414">
            <v>-5295.94</v>
          </cell>
          <cell r="D414" t="str">
            <v>200</v>
          </cell>
          <cell r="F414">
            <v>-427.79</v>
          </cell>
          <cell r="G414">
            <v>1</v>
          </cell>
          <cell r="H414" t="str">
            <v>2006-01-31</v>
          </cell>
        </row>
        <row r="415">
          <cell r="A415">
            <v>481003</v>
          </cell>
          <cell r="B415">
            <v>1015</v>
          </cell>
          <cell r="C415">
            <v>536.92999999999995</v>
          </cell>
          <cell r="D415" t="str">
            <v>200</v>
          </cell>
          <cell r="F415">
            <v>0</v>
          </cell>
          <cell r="G415">
            <v>1</v>
          </cell>
          <cell r="H415" t="str">
            <v>2006-01-31</v>
          </cell>
        </row>
        <row r="416">
          <cell r="A416">
            <v>481003</v>
          </cell>
          <cell r="B416">
            <v>1015</v>
          </cell>
          <cell r="C416">
            <v>-92347.11</v>
          </cell>
          <cell r="D416" t="str">
            <v>200</v>
          </cell>
          <cell r="F416">
            <v>-8202.8799999999992</v>
          </cell>
          <cell r="G416">
            <v>1</v>
          </cell>
          <cell r="H416" t="str">
            <v>2006-01-31</v>
          </cell>
        </row>
        <row r="417">
          <cell r="A417">
            <v>481003</v>
          </cell>
          <cell r="B417">
            <v>1515</v>
          </cell>
          <cell r="C417">
            <v>-962.27</v>
          </cell>
          <cell r="D417" t="str">
            <v>200</v>
          </cell>
          <cell r="F417">
            <v>-77.66</v>
          </cell>
          <cell r="G417">
            <v>1</v>
          </cell>
          <cell r="H417" t="str">
            <v>2006-01-31</v>
          </cell>
        </row>
        <row r="418">
          <cell r="A418">
            <v>481000</v>
          </cell>
          <cell r="B418">
            <v>1015</v>
          </cell>
          <cell r="C418">
            <v>-383313.26</v>
          </cell>
          <cell r="D418" t="str">
            <v>203</v>
          </cell>
          <cell r="E418" t="str">
            <v>402</v>
          </cell>
          <cell r="F418">
            <v>0</v>
          </cell>
          <cell r="G418">
            <v>1</v>
          </cell>
          <cell r="H418" t="str">
            <v>2006-01-31</v>
          </cell>
        </row>
        <row r="419">
          <cell r="A419">
            <v>481000</v>
          </cell>
          <cell r="B419">
            <v>1015</v>
          </cell>
          <cell r="C419">
            <v>-65174.16</v>
          </cell>
          <cell r="D419" t="str">
            <v>203</v>
          </cell>
          <cell r="E419" t="str">
            <v>402</v>
          </cell>
          <cell r="F419">
            <v>0</v>
          </cell>
          <cell r="G419">
            <v>1</v>
          </cell>
          <cell r="H419" t="str">
            <v>2006-01-31</v>
          </cell>
        </row>
        <row r="420">
          <cell r="A420">
            <v>481000</v>
          </cell>
          <cell r="B420">
            <v>1015</v>
          </cell>
          <cell r="C420">
            <v>-3670.98</v>
          </cell>
          <cell r="D420" t="str">
            <v>203</v>
          </cell>
          <cell r="E420" t="str">
            <v>402</v>
          </cell>
          <cell r="F420">
            <v>0</v>
          </cell>
          <cell r="G420">
            <v>1</v>
          </cell>
          <cell r="H420" t="str">
            <v>2006-01-31</v>
          </cell>
        </row>
        <row r="421">
          <cell r="A421">
            <v>481000</v>
          </cell>
          <cell r="B421">
            <v>1015</v>
          </cell>
          <cell r="C421">
            <v>-13913.02</v>
          </cell>
          <cell r="D421" t="str">
            <v>203</v>
          </cell>
          <cell r="E421" t="str">
            <v>402</v>
          </cell>
          <cell r="F421">
            <v>0</v>
          </cell>
          <cell r="G421">
            <v>1</v>
          </cell>
          <cell r="H421" t="str">
            <v>2006-01-31</v>
          </cell>
        </row>
        <row r="422">
          <cell r="A422">
            <v>481000</v>
          </cell>
          <cell r="B422">
            <v>1015</v>
          </cell>
          <cell r="C422">
            <v>-16785.78</v>
          </cell>
          <cell r="D422" t="str">
            <v>203</v>
          </cell>
          <cell r="E422" t="str">
            <v>402</v>
          </cell>
          <cell r="F422">
            <v>0</v>
          </cell>
          <cell r="G422">
            <v>1</v>
          </cell>
          <cell r="H422" t="str">
            <v>2006-01-31</v>
          </cell>
        </row>
        <row r="423">
          <cell r="A423">
            <v>481000</v>
          </cell>
          <cell r="B423">
            <v>1015</v>
          </cell>
          <cell r="C423">
            <v>-4299.03</v>
          </cell>
          <cell r="D423" t="str">
            <v>203</v>
          </cell>
          <cell r="E423" t="str">
            <v>402</v>
          </cell>
          <cell r="F423">
            <v>0</v>
          </cell>
          <cell r="G423">
            <v>1</v>
          </cell>
          <cell r="H423" t="str">
            <v>2006-01-31</v>
          </cell>
        </row>
        <row r="424">
          <cell r="A424">
            <v>481000</v>
          </cell>
          <cell r="B424">
            <v>1015</v>
          </cell>
          <cell r="C424">
            <v>-7452.55</v>
          </cell>
          <cell r="D424" t="str">
            <v>203</v>
          </cell>
          <cell r="E424" t="str">
            <v>402</v>
          </cell>
          <cell r="F424">
            <v>0</v>
          </cell>
          <cell r="G424">
            <v>1</v>
          </cell>
          <cell r="H424" t="str">
            <v>2006-01-31</v>
          </cell>
        </row>
        <row r="425">
          <cell r="A425">
            <v>481000</v>
          </cell>
          <cell r="B425">
            <v>1015</v>
          </cell>
          <cell r="C425">
            <v>-24205.95</v>
          </cell>
          <cell r="D425" t="str">
            <v>203</v>
          </cell>
          <cell r="E425" t="str">
            <v>402</v>
          </cell>
          <cell r="F425">
            <v>0</v>
          </cell>
          <cell r="G425">
            <v>1</v>
          </cell>
          <cell r="H425" t="str">
            <v>2006-01-31</v>
          </cell>
        </row>
        <row r="426">
          <cell r="A426">
            <v>481000</v>
          </cell>
          <cell r="B426">
            <v>1015</v>
          </cell>
          <cell r="C426">
            <v>-11461.62</v>
          </cell>
          <cell r="D426" t="str">
            <v>203</v>
          </cell>
          <cell r="E426" t="str">
            <v>402</v>
          </cell>
          <cell r="F426">
            <v>0</v>
          </cell>
          <cell r="G426">
            <v>1</v>
          </cell>
          <cell r="H426" t="str">
            <v>2006-01-31</v>
          </cell>
        </row>
        <row r="427">
          <cell r="A427">
            <v>481000</v>
          </cell>
          <cell r="B427">
            <v>1015</v>
          </cell>
          <cell r="C427">
            <v>-5042.33</v>
          </cell>
          <cell r="D427" t="str">
            <v>203</v>
          </cell>
          <cell r="E427" t="str">
            <v>402</v>
          </cell>
          <cell r="F427">
            <v>0</v>
          </cell>
          <cell r="G427">
            <v>1</v>
          </cell>
          <cell r="H427" t="str">
            <v>2006-01-31</v>
          </cell>
        </row>
        <row r="428">
          <cell r="A428">
            <v>481000</v>
          </cell>
          <cell r="B428">
            <v>1015</v>
          </cell>
          <cell r="C428">
            <v>-412.85</v>
          </cell>
          <cell r="D428" t="str">
            <v>203</v>
          </cell>
          <cell r="E428" t="str">
            <v>402</v>
          </cell>
          <cell r="F428">
            <v>0</v>
          </cell>
          <cell r="G428">
            <v>1</v>
          </cell>
          <cell r="H428" t="str">
            <v>2006-01-31</v>
          </cell>
        </row>
        <row r="429">
          <cell r="A429">
            <v>481000</v>
          </cell>
          <cell r="B429">
            <v>1015</v>
          </cell>
          <cell r="C429">
            <v>-60759.42</v>
          </cell>
          <cell r="D429" t="str">
            <v>203</v>
          </cell>
          <cell r="E429" t="str">
            <v>402</v>
          </cell>
          <cell r="F429">
            <v>0</v>
          </cell>
          <cell r="G429">
            <v>1</v>
          </cell>
          <cell r="H429" t="str">
            <v>2006-01-31</v>
          </cell>
        </row>
        <row r="430">
          <cell r="A430">
            <v>481004</v>
          </cell>
          <cell r="B430">
            <v>1015</v>
          </cell>
          <cell r="C430">
            <v>75052.41</v>
          </cell>
          <cell r="D430" t="str">
            <v>203</v>
          </cell>
          <cell r="E430" t="str">
            <v>402</v>
          </cell>
          <cell r="F430">
            <v>0</v>
          </cell>
          <cell r="G430">
            <v>1</v>
          </cell>
          <cell r="H430" t="str">
            <v>2006-01-31</v>
          </cell>
        </row>
        <row r="431">
          <cell r="A431">
            <v>481004</v>
          </cell>
          <cell r="B431">
            <v>1015</v>
          </cell>
          <cell r="C431">
            <v>-106970.17</v>
          </cell>
          <cell r="D431" t="str">
            <v>203</v>
          </cell>
          <cell r="E431" t="str">
            <v>402</v>
          </cell>
          <cell r="F431">
            <v>0</v>
          </cell>
          <cell r="G431">
            <v>1</v>
          </cell>
          <cell r="H431" t="str">
            <v>2006-01-31</v>
          </cell>
        </row>
        <row r="432">
          <cell r="A432">
            <v>481004</v>
          </cell>
          <cell r="B432">
            <v>1015</v>
          </cell>
          <cell r="C432">
            <v>-16748.45</v>
          </cell>
          <cell r="D432" t="str">
            <v>203</v>
          </cell>
          <cell r="E432" t="str">
            <v>402</v>
          </cell>
          <cell r="F432">
            <v>0</v>
          </cell>
          <cell r="G432">
            <v>1</v>
          </cell>
          <cell r="H432" t="str">
            <v>2006-01-31</v>
          </cell>
        </row>
        <row r="433">
          <cell r="A433">
            <v>481004</v>
          </cell>
          <cell r="B433">
            <v>1015</v>
          </cell>
          <cell r="C433">
            <v>-10063.5</v>
          </cell>
          <cell r="D433" t="str">
            <v>203</v>
          </cell>
          <cell r="E433" t="str">
            <v>402</v>
          </cell>
          <cell r="F433">
            <v>0</v>
          </cell>
          <cell r="G433">
            <v>1</v>
          </cell>
          <cell r="H433" t="str">
            <v>2006-01-31</v>
          </cell>
        </row>
        <row r="434">
          <cell r="A434">
            <v>481004</v>
          </cell>
          <cell r="B434">
            <v>1015</v>
          </cell>
          <cell r="C434">
            <v>-33483.86</v>
          </cell>
          <cell r="D434" t="str">
            <v>203</v>
          </cell>
          <cell r="E434" t="str">
            <v>402</v>
          </cell>
          <cell r="F434">
            <v>0</v>
          </cell>
          <cell r="G434">
            <v>1</v>
          </cell>
          <cell r="H434" t="str">
            <v>2006-01-31</v>
          </cell>
        </row>
        <row r="435">
          <cell r="A435">
            <v>481004</v>
          </cell>
          <cell r="B435">
            <v>1015</v>
          </cell>
          <cell r="C435">
            <v>-23546.27</v>
          </cell>
          <cell r="D435" t="str">
            <v>203</v>
          </cell>
          <cell r="E435" t="str">
            <v>402</v>
          </cell>
          <cell r="F435">
            <v>0</v>
          </cell>
          <cell r="G435">
            <v>1</v>
          </cell>
          <cell r="H435" t="str">
            <v>2006-01-31</v>
          </cell>
        </row>
        <row r="436">
          <cell r="A436">
            <v>481004</v>
          </cell>
          <cell r="B436">
            <v>1015</v>
          </cell>
          <cell r="C436">
            <v>-29524.400000000001</v>
          </cell>
          <cell r="D436" t="str">
            <v>203</v>
          </cell>
          <cell r="E436" t="str">
            <v>402</v>
          </cell>
          <cell r="F436">
            <v>0</v>
          </cell>
          <cell r="G436">
            <v>1</v>
          </cell>
          <cell r="H436" t="str">
            <v>2006-01-31</v>
          </cell>
        </row>
        <row r="437">
          <cell r="A437">
            <v>481004</v>
          </cell>
          <cell r="B437">
            <v>1015</v>
          </cell>
          <cell r="C437">
            <v>-74757.84</v>
          </cell>
          <cell r="D437" t="str">
            <v>203</v>
          </cell>
          <cell r="E437" t="str">
            <v>402</v>
          </cell>
          <cell r="F437">
            <v>0</v>
          </cell>
          <cell r="G437">
            <v>1</v>
          </cell>
          <cell r="H437" t="str">
            <v>2006-01-31</v>
          </cell>
        </row>
        <row r="438">
          <cell r="A438">
            <v>481004</v>
          </cell>
          <cell r="B438">
            <v>1015</v>
          </cell>
          <cell r="C438">
            <v>-29671.14</v>
          </cell>
          <cell r="D438" t="str">
            <v>203</v>
          </cell>
          <cell r="E438" t="str">
            <v>402</v>
          </cell>
          <cell r="F438">
            <v>0</v>
          </cell>
          <cell r="G438">
            <v>1</v>
          </cell>
          <cell r="H438" t="str">
            <v>2006-01-31</v>
          </cell>
        </row>
        <row r="439">
          <cell r="A439">
            <v>481004</v>
          </cell>
          <cell r="B439">
            <v>1015</v>
          </cell>
          <cell r="C439">
            <v>-6680.8</v>
          </cell>
          <cell r="D439" t="str">
            <v>203</v>
          </cell>
          <cell r="E439" t="str">
            <v>402</v>
          </cell>
          <cell r="F439">
            <v>0</v>
          </cell>
          <cell r="G439">
            <v>1</v>
          </cell>
          <cell r="H439" t="str">
            <v>2006-01-31</v>
          </cell>
        </row>
        <row r="440">
          <cell r="A440">
            <v>481004</v>
          </cell>
          <cell r="B440">
            <v>1015</v>
          </cell>
          <cell r="C440">
            <v>-6933.44</v>
          </cell>
          <cell r="D440" t="str">
            <v>203</v>
          </cell>
          <cell r="E440" t="str">
            <v>402</v>
          </cell>
          <cell r="F440">
            <v>0</v>
          </cell>
          <cell r="G440">
            <v>1</v>
          </cell>
          <cell r="H440" t="str">
            <v>2006-01-31</v>
          </cell>
        </row>
        <row r="441">
          <cell r="A441">
            <v>481004</v>
          </cell>
          <cell r="B441">
            <v>1015</v>
          </cell>
          <cell r="C441">
            <v>-297599.14</v>
          </cell>
          <cell r="D441" t="str">
            <v>203</v>
          </cell>
          <cell r="E441" t="str">
            <v>402</v>
          </cell>
          <cell r="F441">
            <v>0</v>
          </cell>
          <cell r="G441">
            <v>1</v>
          </cell>
          <cell r="H441" t="str">
            <v>2006-01-31</v>
          </cell>
        </row>
        <row r="442">
          <cell r="A442">
            <v>481000</v>
          </cell>
          <cell r="B442">
            <v>1015</v>
          </cell>
          <cell r="C442">
            <v>0</v>
          </cell>
          <cell r="D442" t="str">
            <v>203</v>
          </cell>
          <cell r="E442" t="str">
            <v>403</v>
          </cell>
          <cell r="F442">
            <v>0</v>
          </cell>
          <cell r="G442">
            <v>1</v>
          </cell>
          <cell r="H442" t="str">
            <v>2006-01-31</v>
          </cell>
        </row>
        <row r="443">
          <cell r="A443">
            <v>481000</v>
          </cell>
          <cell r="B443">
            <v>1015</v>
          </cell>
          <cell r="C443">
            <v>-1635.26</v>
          </cell>
          <cell r="D443" t="str">
            <v>203</v>
          </cell>
          <cell r="E443" t="str">
            <v>403</v>
          </cell>
          <cell r="F443">
            <v>0</v>
          </cell>
          <cell r="G443">
            <v>1</v>
          </cell>
          <cell r="H443" t="str">
            <v>2006-01-31</v>
          </cell>
        </row>
        <row r="444">
          <cell r="A444">
            <v>481004</v>
          </cell>
          <cell r="B444">
            <v>1015</v>
          </cell>
          <cell r="C444">
            <v>0</v>
          </cell>
          <cell r="D444" t="str">
            <v>203</v>
          </cell>
          <cell r="E444" t="str">
            <v>403</v>
          </cell>
          <cell r="F444">
            <v>0</v>
          </cell>
          <cell r="G444">
            <v>1</v>
          </cell>
          <cell r="H444" t="str">
            <v>2006-01-31</v>
          </cell>
        </row>
        <row r="445">
          <cell r="A445">
            <v>481000</v>
          </cell>
          <cell r="B445">
            <v>1015</v>
          </cell>
          <cell r="C445">
            <v>-200633.4</v>
          </cell>
          <cell r="D445" t="str">
            <v>203</v>
          </cell>
          <cell r="E445" t="str">
            <v>404</v>
          </cell>
          <cell r="F445">
            <v>0</v>
          </cell>
          <cell r="G445">
            <v>1</v>
          </cell>
          <cell r="H445" t="str">
            <v>2006-01-31</v>
          </cell>
        </row>
        <row r="446">
          <cell r="A446">
            <v>481000</v>
          </cell>
          <cell r="B446">
            <v>1015</v>
          </cell>
          <cell r="C446">
            <v>-201397.54</v>
          </cell>
          <cell r="D446" t="str">
            <v>203</v>
          </cell>
          <cell r="E446" t="str">
            <v>404</v>
          </cell>
          <cell r="F446">
            <v>0</v>
          </cell>
          <cell r="G446">
            <v>1</v>
          </cell>
          <cell r="H446" t="str">
            <v>2006-01-31</v>
          </cell>
        </row>
        <row r="447">
          <cell r="A447">
            <v>481004</v>
          </cell>
          <cell r="B447">
            <v>1015</v>
          </cell>
          <cell r="C447">
            <v>0</v>
          </cell>
          <cell r="D447" t="str">
            <v>203</v>
          </cell>
          <cell r="E447" t="str">
            <v>404</v>
          </cell>
          <cell r="F447">
            <v>0</v>
          </cell>
          <cell r="G447">
            <v>1</v>
          </cell>
          <cell r="H447" t="str">
            <v>2006-01-31</v>
          </cell>
        </row>
        <row r="448">
          <cell r="A448">
            <v>480000</v>
          </cell>
          <cell r="B448">
            <v>1015</v>
          </cell>
          <cell r="C448">
            <v>-1400122.49</v>
          </cell>
          <cell r="D448" t="str">
            <v>203</v>
          </cell>
          <cell r="E448" t="str">
            <v>407</v>
          </cell>
          <cell r="F448">
            <v>0</v>
          </cell>
          <cell r="G448">
            <v>1</v>
          </cell>
          <cell r="H448" t="str">
            <v>2006-01-31</v>
          </cell>
        </row>
        <row r="449">
          <cell r="A449">
            <v>480000</v>
          </cell>
          <cell r="B449">
            <v>1015</v>
          </cell>
          <cell r="C449">
            <v>-758361.41</v>
          </cell>
          <cell r="D449" t="str">
            <v>203</v>
          </cell>
          <cell r="E449" t="str">
            <v>407</v>
          </cell>
          <cell r="F449">
            <v>0</v>
          </cell>
          <cell r="G449">
            <v>1</v>
          </cell>
          <cell r="H449" t="str">
            <v>2006-01-31</v>
          </cell>
        </row>
        <row r="450">
          <cell r="A450">
            <v>480000</v>
          </cell>
          <cell r="B450">
            <v>1015</v>
          </cell>
          <cell r="C450">
            <v>-432737.8</v>
          </cell>
          <cell r="D450" t="str">
            <v>203</v>
          </cell>
          <cell r="E450" t="str">
            <v>407</v>
          </cell>
          <cell r="F450">
            <v>0</v>
          </cell>
          <cell r="G450">
            <v>1</v>
          </cell>
          <cell r="H450" t="str">
            <v>2006-01-31</v>
          </cell>
        </row>
        <row r="451">
          <cell r="A451">
            <v>480000</v>
          </cell>
          <cell r="B451">
            <v>1015</v>
          </cell>
          <cell r="C451">
            <v>-1079347.43</v>
          </cell>
          <cell r="D451" t="str">
            <v>203</v>
          </cell>
          <cell r="E451" t="str">
            <v>407</v>
          </cell>
          <cell r="F451">
            <v>0</v>
          </cell>
          <cell r="G451">
            <v>1</v>
          </cell>
          <cell r="H451" t="str">
            <v>2006-01-31</v>
          </cell>
        </row>
        <row r="452">
          <cell r="A452">
            <v>480000</v>
          </cell>
          <cell r="B452">
            <v>1015</v>
          </cell>
          <cell r="C452">
            <v>-717543.25</v>
          </cell>
          <cell r="D452" t="str">
            <v>203</v>
          </cell>
          <cell r="E452" t="str">
            <v>407</v>
          </cell>
          <cell r="F452">
            <v>0</v>
          </cell>
          <cell r="G452">
            <v>1</v>
          </cell>
          <cell r="H452" t="str">
            <v>2006-01-31</v>
          </cell>
        </row>
        <row r="453">
          <cell r="A453">
            <v>480000</v>
          </cell>
          <cell r="B453">
            <v>1015</v>
          </cell>
          <cell r="C453">
            <v>-518084.89</v>
          </cell>
          <cell r="D453" t="str">
            <v>203</v>
          </cell>
          <cell r="E453" t="str">
            <v>407</v>
          </cell>
          <cell r="F453">
            <v>0</v>
          </cell>
          <cell r="G453">
            <v>1</v>
          </cell>
          <cell r="H453" t="str">
            <v>2006-01-31</v>
          </cell>
        </row>
        <row r="454">
          <cell r="A454">
            <v>480000</v>
          </cell>
          <cell r="B454">
            <v>1015</v>
          </cell>
          <cell r="C454">
            <v>-1502574.64</v>
          </cell>
          <cell r="D454" t="str">
            <v>203</v>
          </cell>
          <cell r="E454" t="str">
            <v>407</v>
          </cell>
          <cell r="F454">
            <v>0</v>
          </cell>
          <cell r="G454">
            <v>1</v>
          </cell>
          <cell r="H454" t="str">
            <v>2006-01-31</v>
          </cell>
        </row>
        <row r="455">
          <cell r="A455">
            <v>480000</v>
          </cell>
          <cell r="B455">
            <v>1015</v>
          </cell>
          <cell r="C455">
            <v>-607828.37</v>
          </cell>
          <cell r="D455" t="str">
            <v>203</v>
          </cell>
          <cell r="E455" t="str">
            <v>407</v>
          </cell>
          <cell r="F455">
            <v>0</v>
          </cell>
          <cell r="G455">
            <v>1</v>
          </cell>
          <cell r="H455" t="str">
            <v>2006-01-31</v>
          </cell>
        </row>
        <row r="456">
          <cell r="A456">
            <v>480000</v>
          </cell>
          <cell r="B456">
            <v>1015</v>
          </cell>
          <cell r="C456">
            <v>-221424.47</v>
          </cell>
          <cell r="D456" t="str">
            <v>203</v>
          </cell>
          <cell r="E456" t="str">
            <v>407</v>
          </cell>
          <cell r="F456">
            <v>0</v>
          </cell>
          <cell r="G456">
            <v>1</v>
          </cell>
          <cell r="H456" t="str">
            <v>2006-01-31</v>
          </cell>
        </row>
        <row r="457">
          <cell r="A457">
            <v>480000</v>
          </cell>
          <cell r="B457">
            <v>1015</v>
          </cell>
          <cell r="C457">
            <v>-42546.97</v>
          </cell>
          <cell r="D457" t="str">
            <v>203</v>
          </cell>
          <cell r="E457" t="str">
            <v>407</v>
          </cell>
          <cell r="F457">
            <v>0</v>
          </cell>
          <cell r="G457">
            <v>1</v>
          </cell>
          <cell r="H457" t="str">
            <v>2006-01-31</v>
          </cell>
        </row>
        <row r="458">
          <cell r="A458">
            <v>480000</v>
          </cell>
          <cell r="B458">
            <v>1015</v>
          </cell>
          <cell r="C458">
            <v>-4056591.73</v>
          </cell>
          <cell r="D458" t="str">
            <v>203</v>
          </cell>
          <cell r="E458" t="str">
            <v>407</v>
          </cell>
          <cell r="F458">
            <v>0</v>
          </cell>
          <cell r="G458">
            <v>1</v>
          </cell>
          <cell r="H458" t="str">
            <v>2006-01-31</v>
          </cell>
        </row>
        <row r="459">
          <cell r="A459">
            <v>480001</v>
          </cell>
          <cell r="B459">
            <v>1015</v>
          </cell>
          <cell r="C459">
            <v>589318.75</v>
          </cell>
          <cell r="D459" t="str">
            <v>203</v>
          </cell>
          <cell r="E459" t="str">
            <v>407</v>
          </cell>
          <cell r="F459">
            <v>0</v>
          </cell>
          <cell r="G459">
            <v>1</v>
          </cell>
          <cell r="H459" t="str">
            <v>2006-01-31</v>
          </cell>
        </row>
        <row r="460">
          <cell r="A460">
            <v>481004</v>
          </cell>
          <cell r="B460">
            <v>1015</v>
          </cell>
          <cell r="C460">
            <v>-854059.79</v>
          </cell>
          <cell r="D460" t="str">
            <v>203</v>
          </cell>
          <cell r="E460" t="str">
            <v>407</v>
          </cell>
          <cell r="F460">
            <v>0</v>
          </cell>
          <cell r="G460">
            <v>1</v>
          </cell>
          <cell r="H460" t="str">
            <v>2006-01-31</v>
          </cell>
        </row>
        <row r="461">
          <cell r="A461">
            <v>481004</v>
          </cell>
          <cell r="B461">
            <v>1015</v>
          </cell>
          <cell r="C461">
            <v>-304319.34000000003</v>
          </cell>
          <cell r="D461" t="str">
            <v>203</v>
          </cell>
          <cell r="E461" t="str">
            <v>407</v>
          </cell>
          <cell r="F461">
            <v>0</v>
          </cell>
          <cell r="G461">
            <v>1</v>
          </cell>
          <cell r="H461" t="str">
            <v>2006-01-31</v>
          </cell>
        </row>
        <row r="462">
          <cell r="A462">
            <v>481004</v>
          </cell>
          <cell r="B462">
            <v>1015</v>
          </cell>
          <cell r="C462">
            <v>-153584.82999999999</v>
          </cell>
          <cell r="D462" t="str">
            <v>203</v>
          </cell>
          <cell r="E462" t="str">
            <v>407</v>
          </cell>
          <cell r="F462">
            <v>0</v>
          </cell>
          <cell r="G462">
            <v>1</v>
          </cell>
          <cell r="H462" t="str">
            <v>2006-01-31</v>
          </cell>
        </row>
        <row r="463">
          <cell r="A463">
            <v>481004</v>
          </cell>
          <cell r="B463">
            <v>1015</v>
          </cell>
          <cell r="C463">
            <v>-496289.66</v>
          </cell>
          <cell r="D463" t="str">
            <v>203</v>
          </cell>
          <cell r="E463" t="str">
            <v>407</v>
          </cell>
          <cell r="F463">
            <v>0</v>
          </cell>
          <cell r="G463">
            <v>1</v>
          </cell>
          <cell r="H463" t="str">
            <v>2006-01-31</v>
          </cell>
        </row>
        <row r="464">
          <cell r="A464">
            <v>481004</v>
          </cell>
          <cell r="B464">
            <v>1015</v>
          </cell>
          <cell r="C464">
            <v>-228905.89</v>
          </cell>
          <cell r="D464" t="str">
            <v>203</v>
          </cell>
          <cell r="E464" t="str">
            <v>407</v>
          </cell>
          <cell r="F464">
            <v>0</v>
          </cell>
          <cell r="G464">
            <v>1</v>
          </cell>
          <cell r="H464" t="str">
            <v>2006-01-31</v>
          </cell>
        </row>
        <row r="465">
          <cell r="A465">
            <v>481004</v>
          </cell>
          <cell r="B465">
            <v>1015</v>
          </cell>
          <cell r="C465">
            <v>-205230.54</v>
          </cell>
          <cell r="D465" t="str">
            <v>203</v>
          </cell>
          <cell r="E465" t="str">
            <v>407</v>
          </cell>
          <cell r="F465">
            <v>0</v>
          </cell>
          <cell r="G465">
            <v>1</v>
          </cell>
          <cell r="H465" t="str">
            <v>2006-01-31</v>
          </cell>
        </row>
        <row r="466">
          <cell r="A466">
            <v>481004</v>
          </cell>
          <cell r="B466">
            <v>1015</v>
          </cell>
          <cell r="C466">
            <v>-560223.73</v>
          </cell>
          <cell r="D466" t="str">
            <v>203</v>
          </cell>
          <cell r="E466" t="str">
            <v>407</v>
          </cell>
          <cell r="F466">
            <v>0</v>
          </cell>
          <cell r="G466">
            <v>1</v>
          </cell>
          <cell r="H466" t="str">
            <v>2006-01-31</v>
          </cell>
        </row>
        <row r="467">
          <cell r="A467">
            <v>481004</v>
          </cell>
          <cell r="B467">
            <v>1015</v>
          </cell>
          <cell r="C467">
            <v>-233846.62</v>
          </cell>
          <cell r="D467" t="str">
            <v>203</v>
          </cell>
          <cell r="E467" t="str">
            <v>407</v>
          </cell>
          <cell r="F467">
            <v>0</v>
          </cell>
          <cell r="G467">
            <v>1</v>
          </cell>
          <cell r="H467" t="str">
            <v>2006-01-31</v>
          </cell>
        </row>
        <row r="468">
          <cell r="A468">
            <v>481004</v>
          </cell>
          <cell r="B468">
            <v>1015</v>
          </cell>
          <cell r="C468">
            <v>-103020.37</v>
          </cell>
          <cell r="D468" t="str">
            <v>203</v>
          </cell>
          <cell r="E468" t="str">
            <v>407</v>
          </cell>
          <cell r="F468">
            <v>0</v>
          </cell>
          <cell r="G468">
            <v>1</v>
          </cell>
          <cell r="H468" t="str">
            <v>2006-01-31</v>
          </cell>
        </row>
        <row r="469">
          <cell r="A469">
            <v>481004</v>
          </cell>
          <cell r="B469">
            <v>1015</v>
          </cell>
          <cell r="C469">
            <v>-37767.17</v>
          </cell>
          <cell r="D469" t="str">
            <v>203</v>
          </cell>
          <cell r="E469" t="str">
            <v>407</v>
          </cell>
          <cell r="F469">
            <v>0</v>
          </cell>
          <cell r="G469">
            <v>1</v>
          </cell>
          <cell r="H469" t="str">
            <v>2006-01-31</v>
          </cell>
        </row>
        <row r="470">
          <cell r="A470">
            <v>481004</v>
          </cell>
          <cell r="B470">
            <v>1015</v>
          </cell>
          <cell r="C470">
            <v>-1661444.36</v>
          </cell>
          <cell r="D470" t="str">
            <v>203</v>
          </cell>
          <cell r="E470" t="str">
            <v>407</v>
          </cell>
          <cell r="F470">
            <v>0</v>
          </cell>
          <cell r="G470">
            <v>1</v>
          </cell>
          <cell r="H470" t="str">
            <v>2006-01-31</v>
          </cell>
        </row>
        <row r="471">
          <cell r="A471">
            <v>480000</v>
          </cell>
          <cell r="B471">
            <v>1015</v>
          </cell>
          <cell r="C471">
            <v>-199.19</v>
          </cell>
          <cell r="D471" t="str">
            <v>203</v>
          </cell>
          <cell r="E471" t="str">
            <v>408</v>
          </cell>
          <cell r="F471">
            <v>0</v>
          </cell>
          <cell r="G471">
            <v>1</v>
          </cell>
          <cell r="H471" t="str">
            <v>2006-01-31</v>
          </cell>
        </row>
        <row r="472">
          <cell r="A472">
            <v>480000</v>
          </cell>
          <cell r="B472">
            <v>1015</v>
          </cell>
          <cell r="C472">
            <v>-13711.79</v>
          </cell>
          <cell r="D472" t="str">
            <v>203</v>
          </cell>
          <cell r="E472" t="str">
            <v>408</v>
          </cell>
          <cell r="F472">
            <v>0</v>
          </cell>
          <cell r="G472">
            <v>1</v>
          </cell>
          <cell r="H472" t="str">
            <v>2006-01-31</v>
          </cell>
        </row>
        <row r="473">
          <cell r="A473">
            <v>480000</v>
          </cell>
          <cell r="B473">
            <v>1015</v>
          </cell>
          <cell r="C473">
            <v>-509.64</v>
          </cell>
          <cell r="D473" t="str">
            <v>203</v>
          </cell>
          <cell r="E473" t="str">
            <v>408</v>
          </cell>
          <cell r="F473">
            <v>0</v>
          </cell>
          <cell r="G473">
            <v>1</v>
          </cell>
          <cell r="H473" t="str">
            <v>2006-01-31</v>
          </cell>
        </row>
        <row r="474">
          <cell r="A474">
            <v>480000</v>
          </cell>
          <cell r="B474">
            <v>1015</v>
          </cell>
          <cell r="C474">
            <v>-18116.759999999998</v>
          </cell>
          <cell r="D474" t="str">
            <v>203</v>
          </cell>
          <cell r="E474" t="str">
            <v>408</v>
          </cell>
          <cell r="F474">
            <v>0</v>
          </cell>
          <cell r="G474">
            <v>1</v>
          </cell>
          <cell r="H474" t="str">
            <v>2006-01-31</v>
          </cell>
        </row>
        <row r="475">
          <cell r="A475">
            <v>480000</v>
          </cell>
          <cell r="B475">
            <v>1015</v>
          </cell>
          <cell r="C475">
            <v>-15294.08</v>
          </cell>
          <cell r="D475" t="str">
            <v>203</v>
          </cell>
          <cell r="E475" t="str">
            <v>408</v>
          </cell>
          <cell r="F475">
            <v>0</v>
          </cell>
          <cell r="G475">
            <v>1</v>
          </cell>
          <cell r="H475" t="str">
            <v>2006-01-31</v>
          </cell>
        </row>
        <row r="476">
          <cell r="A476">
            <v>480000</v>
          </cell>
          <cell r="B476">
            <v>1015</v>
          </cell>
          <cell r="C476">
            <v>-232.08</v>
          </cell>
          <cell r="D476" t="str">
            <v>203</v>
          </cell>
          <cell r="E476" t="str">
            <v>408</v>
          </cell>
          <cell r="F476">
            <v>0</v>
          </cell>
          <cell r="G476">
            <v>1</v>
          </cell>
          <cell r="H476" t="str">
            <v>2006-01-31</v>
          </cell>
        </row>
        <row r="477">
          <cell r="A477">
            <v>480000</v>
          </cell>
          <cell r="B477">
            <v>1015</v>
          </cell>
          <cell r="C477">
            <v>-4524.21</v>
          </cell>
          <cell r="D477" t="str">
            <v>203</v>
          </cell>
          <cell r="E477" t="str">
            <v>408</v>
          </cell>
          <cell r="F477">
            <v>0</v>
          </cell>
          <cell r="G477">
            <v>1</v>
          </cell>
          <cell r="H477" t="str">
            <v>2006-01-31</v>
          </cell>
        </row>
        <row r="478">
          <cell r="A478">
            <v>480000</v>
          </cell>
          <cell r="B478">
            <v>1015</v>
          </cell>
          <cell r="C478">
            <v>-77.81</v>
          </cell>
          <cell r="D478" t="str">
            <v>203</v>
          </cell>
          <cell r="E478" t="str">
            <v>408</v>
          </cell>
          <cell r="F478">
            <v>0</v>
          </cell>
          <cell r="G478">
            <v>1</v>
          </cell>
          <cell r="H478" t="str">
            <v>2006-01-31</v>
          </cell>
        </row>
        <row r="479">
          <cell r="A479">
            <v>480000</v>
          </cell>
          <cell r="B479">
            <v>1015</v>
          </cell>
          <cell r="C479">
            <v>-54.47</v>
          </cell>
          <cell r="D479" t="str">
            <v>203</v>
          </cell>
          <cell r="E479" t="str">
            <v>408</v>
          </cell>
          <cell r="F479">
            <v>0</v>
          </cell>
          <cell r="G479">
            <v>1</v>
          </cell>
          <cell r="H479" t="str">
            <v>2006-01-31</v>
          </cell>
        </row>
        <row r="480">
          <cell r="A480">
            <v>480000</v>
          </cell>
          <cell r="B480">
            <v>1015</v>
          </cell>
          <cell r="C480">
            <v>-100.11</v>
          </cell>
          <cell r="D480" t="str">
            <v>203</v>
          </cell>
          <cell r="E480" t="str">
            <v>408</v>
          </cell>
          <cell r="F480">
            <v>0</v>
          </cell>
          <cell r="G480">
            <v>1</v>
          </cell>
          <cell r="H480" t="str">
            <v>2006-01-31</v>
          </cell>
        </row>
        <row r="481">
          <cell r="A481">
            <v>480000</v>
          </cell>
          <cell r="B481">
            <v>1015</v>
          </cell>
          <cell r="C481">
            <v>-19280.669999999998</v>
          </cell>
          <cell r="D481" t="str">
            <v>203</v>
          </cell>
          <cell r="E481" t="str">
            <v>408</v>
          </cell>
          <cell r="F481">
            <v>0</v>
          </cell>
          <cell r="G481">
            <v>1</v>
          </cell>
          <cell r="H481" t="str">
            <v>2006-01-31</v>
          </cell>
        </row>
        <row r="482">
          <cell r="A482">
            <v>480001</v>
          </cell>
          <cell r="B482">
            <v>1015</v>
          </cell>
          <cell r="C482">
            <v>439.28</v>
          </cell>
          <cell r="D482" t="str">
            <v>203</v>
          </cell>
          <cell r="E482" t="str">
            <v>408</v>
          </cell>
          <cell r="F482">
            <v>0</v>
          </cell>
          <cell r="G482">
            <v>1</v>
          </cell>
          <cell r="H482" t="str">
            <v>2006-01-31</v>
          </cell>
        </row>
        <row r="483">
          <cell r="A483">
            <v>481004</v>
          </cell>
          <cell r="B483">
            <v>1015</v>
          </cell>
          <cell r="C483">
            <v>-10.49</v>
          </cell>
          <cell r="D483" t="str">
            <v>203</v>
          </cell>
          <cell r="E483" t="str">
            <v>408</v>
          </cell>
          <cell r="F483">
            <v>0</v>
          </cell>
          <cell r="G483">
            <v>1</v>
          </cell>
          <cell r="H483" t="str">
            <v>2006-01-31</v>
          </cell>
        </row>
        <row r="484">
          <cell r="A484">
            <v>481004</v>
          </cell>
          <cell r="B484">
            <v>1015</v>
          </cell>
          <cell r="C484">
            <v>-7607.43</v>
          </cell>
          <cell r="D484" t="str">
            <v>203</v>
          </cell>
          <cell r="E484" t="str">
            <v>408</v>
          </cell>
          <cell r="F484">
            <v>0</v>
          </cell>
          <cell r="G484">
            <v>1</v>
          </cell>
          <cell r="H484" t="str">
            <v>2006-01-31</v>
          </cell>
        </row>
        <row r="485">
          <cell r="A485">
            <v>481004</v>
          </cell>
          <cell r="B485">
            <v>1015</v>
          </cell>
          <cell r="C485">
            <v>-1205.6500000000001</v>
          </cell>
          <cell r="D485" t="str">
            <v>203</v>
          </cell>
          <cell r="E485" t="str">
            <v>408</v>
          </cell>
          <cell r="F485">
            <v>0</v>
          </cell>
          <cell r="G485">
            <v>1</v>
          </cell>
          <cell r="H485" t="str">
            <v>2006-01-31</v>
          </cell>
        </row>
        <row r="486">
          <cell r="A486">
            <v>481004</v>
          </cell>
          <cell r="B486">
            <v>1015</v>
          </cell>
          <cell r="C486">
            <v>-11878.78</v>
          </cell>
          <cell r="D486" t="str">
            <v>203</v>
          </cell>
          <cell r="E486" t="str">
            <v>408</v>
          </cell>
          <cell r="F486">
            <v>0</v>
          </cell>
          <cell r="G486">
            <v>1</v>
          </cell>
          <cell r="H486" t="str">
            <v>2006-01-31</v>
          </cell>
        </row>
        <row r="487">
          <cell r="A487">
            <v>481004</v>
          </cell>
          <cell r="B487">
            <v>1015</v>
          </cell>
          <cell r="C487">
            <v>-9116.49</v>
          </cell>
          <cell r="D487" t="str">
            <v>203</v>
          </cell>
          <cell r="E487" t="str">
            <v>408</v>
          </cell>
          <cell r="F487">
            <v>0</v>
          </cell>
          <cell r="G487">
            <v>1</v>
          </cell>
          <cell r="H487" t="str">
            <v>2006-01-31</v>
          </cell>
        </row>
        <row r="488">
          <cell r="A488">
            <v>481004</v>
          </cell>
          <cell r="B488">
            <v>1015</v>
          </cell>
          <cell r="C488">
            <v>-59.15</v>
          </cell>
          <cell r="D488" t="str">
            <v>203</v>
          </cell>
          <cell r="E488" t="str">
            <v>408</v>
          </cell>
          <cell r="F488">
            <v>0</v>
          </cell>
          <cell r="G488">
            <v>1</v>
          </cell>
          <cell r="H488" t="str">
            <v>2006-01-31</v>
          </cell>
        </row>
        <row r="489">
          <cell r="A489">
            <v>481004</v>
          </cell>
          <cell r="B489">
            <v>1015</v>
          </cell>
          <cell r="C489">
            <v>-241.22</v>
          </cell>
          <cell r="D489" t="str">
            <v>203</v>
          </cell>
          <cell r="E489" t="str">
            <v>408</v>
          </cell>
          <cell r="F489">
            <v>0</v>
          </cell>
          <cell r="G489">
            <v>1</v>
          </cell>
          <cell r="H489" t="str">
            <v>2006-01-31</v>
          </cell>
        </row>
        <row r="490">
          <cell r="A490">
            <v>481004</v>
          </cell>
          <cell r="B490">
            <v>1015</v>
          </cell>
          <cell r="C490">
            <v>-44.86</v>
          </cell>
          <cell r="D490" t="str">
            <v>203</v>
          </cell>
          <cell r="E490" t="str">
            <v>408</v>
          </cell>
          <cell r="F490">
            <v>0</v>
          </cell>
          <cell r="G490">
            <v>1</v>
          </cell>
          <cell r="H490" t="str">
            <v>2006-01-31</v>
          </cell>
        </row>
        <row r="491">
          <cell r="A491">
            <v>481004</v>
          </cell>
          <cell r="B491">
            <v>1015</v>
          </cell>
          <cell r="C491">
            <v>-875.22</v>
          </cell>
          <cell r="D491" t="str">
            <v>203</v>
          </cell>
          <cell r="E491" t="str">
            <v>408</v>
          </cell>
          <cell r="F491">
            <v>0</v>
          </cell>
          <cell r="G491">
            <v>1</v>
          </cell>
          <cell r="H491" t="str">
            <v>2006-01-31</v>
          </cell>
        </row>
        <row r="492">
          <cell r="A492">
            <v>481004</v>
          </cell>
          <cell r="B492">
            <v>1015</v>
          </cell>
          <cell r="C492">
            <v>-2668.18</v>
          </cell>
          <cell r="D492" t="str">
            <v>203</v>
          </cell>
          <cell r="E492" t="str">
            <v>408</v>
          </cell>
          <cell r="F492">
            <v>0</v>
          </cell>
          <cell r="G492">
            <v>1</v>
          </cell>
          <cell r="H492" t="str">
            <v>2006-01-31</v>
          </cell>
        </row>
        <row r="493">
          <cell r="A493">
            <v>481002</v>
          </cell>
          <cell r="B493">
            <v>1015</v>
          </cell>
          <cell r="C493">
            <v>0</v>
          </cell>
          <cell r="D493" t="str">
            <v>203</v>
          </cell>
          <cell r="E493" t="str">
            <v>409</v>
          </cell>
          <cell r="F493">
            <v>0</v>
          </cell>
          <cell r="G493">
            <v>1</v>
          </cell>
          <cell r="H493" t="str">
            <v>2006-01-31</v>
          </cell>
        </row>
        <row r="494">
          <cell r="A494">
            <v>481002</v>
          </cell>
          <cell r="B494">
            <v>1015</v>
          </cell>
          <cell r="C494">
            <v>32989.5</v>
          </cell>
          <cell r="D494" t="str">
            <v>203</v>
          </cell>
          <cell r="E494" t="str">
            <v>411</v>
          </cell>
          <cell r="F494">
            <v>0</v>
          </cell>
          <cell r="G494">
            <v>1</v>
          </cell>
          <cell r="H494" t="str">
            <v>2006-01-31</v>
          </cell>
        </row>
        <row r="495">
          <cell r="A495">
            <v>481002</v>
          </cell>
          <cell r="B495">
            <v>1015</v>
          </cell>
          <cell r="C495">
            <v>-1712.14</v>
          </cell>
          <cell r="D495" t="str">
            <v>203</v>
          </cell>
          <cell r="E495" t="str">
            <v>411</v>
          </cell>
          <cell r="F495">
            <v>0</v>
          </cell>
          <cell r="G495">
            <v>1</v>
          </cell>
          <cell r="H495" t="str">
            <v>2006-01-31</v>
          </cell>
        </row>
        <row r="496">
          <cell r="A496">
            <v>481002</v>
          </cell>
          <cell r="B496">
            <v>1015</v>
          </cell>
          <cell r="C496">
            <v>-1126.92</v>
          </cell>
          <cell r="D496" t="str">
            <v>203</v>
          </cell>
          <cell r="E496" t="str">
            <v>411</v>
          </cell>
          <cell r="F496">
            <v>0</v>
          </cell>
          <cell r="G496">
            <v>1</v>
          </cell>
          <cell r="H496" t="str">
            <v>2006-01-31</v>
          </cell>
        </row>
        <row r="497">
          <cell r="A497">
            <v>481002</v>
          </cell>
          <cell r="B497">
            <v>1015</v>
          </cell>
          <cell r="C497">
            <v>-1429.56</v>
          </cell>
          <cell r="D497" t="str">
            <v>203</v>
          </cell>
          <cell r="E497" t="str">
            <v>411</v>
          </cell>
          <cell r="F497">
            <v>0</v>
          </cell>
          <cell r="G497">
            <v>1</v>
          </cell>
          <cell r="H497" t="str">
            <v>2006-01-31</v>
          </cell>
        </row>
        <row r="498">
          <cell r="A498">
            <v>481002</v>
          </cell>
          <cell r="B498">
            <v>1015</v>
          </cell>
          <cell r="C498">
            <v>-1200.7</v>
          </cell>
          <cell r="D498" t="str">
            <v>203</v>
          </cell>
          <cell r="E498" t="str">
            <v>411</v>
          </cell>
          <cell r="F498">
            <v>0</v>
          </cell>
          <cell r="G498">
            <v>1</v>
          </cell>
          <cell r="H498" t="str">
            <v>2006-01-31</v>
          </cell>
        </row>
        <row r="499">
          <cell r="A499">
            <v>481002</v>
          </cell>
          <cell r="B499">
            <v>1015</v>
          </cell>
          <cell r="C499">
            <v>-0.39</v>
          </cell>
          <cell r="D499" t="str">
            <v>203</v>
          </cell>
          <cell r="E499" t="str">
            <v>411</v>
          </cell>
          <cell r="F499">
            <v>0</v>
          </cell>
          <cell r="G499">
            <v>1</v>
          </cell>
          <cell r="H499" t="str">
            <v>2006-01-31</v>
          </cell>
        </row>
        <row r="500">
          <cell r="A500">
            <v>481002</v>
          </cell>
          <cell r="B500">
            <v>1015</v>
          </cell>
          <cell r="C500">
            <v>-1388.07</v>
          </cell>
          <cell r="D500" t="str">
            <v>203</v>
          </cell>
          <cell r="E500" t="str">
            <v>411</v>
          </cell>
          <cell r="F500">
            <v>0</v>
          </cell>
          <cell r="G500">
            <v>1</v>
          </cell>
          <cell r="H500" t="str">
            <v>2006-01-31</v>
          </cell>
        </row>
        <row r="501">
          <cell r="A501">
            <v>481002</v>
          </cell>
          <cell r="B501">
            <v>1015</v>
          </cell>
          <cell r="C501">
            <v>-577.63</v>
          </cell>
          <cell r="D501" t="str">
            <v>203</v>
          </cell>
          <cell r="E501" t="str">
            <v>411</v>
          </cell>
          <cell r="F501">
            <v>0</v>
          </cell>
          <cell r="G501">
            <v>1</v>
          </cell>
          <cell r="H501" t="str">
            <v>2006-01-31</v>
          </cell>
        </row>
        <row r="502">
          <cell r="A502">
            <v>481002</v>
          </cell>
          <cell r="B502">
            <v>1015</v>
          </cell>
          <cell r="C502">
            <v>-17177.599999999999</v>
          </cell>
          <cell r="D502" t="str">
            <v>203</v>
          </cell>
          <cell r="E502" t="str">
            <v>411</v>
          </cell>
          <cell r="F502">
            <v>0</v>
          </cell>
          <cell r="G502">
            <v>1</v>
          </cell>
          <cell r="H502" t="str">
            <v>2006-01-31</v>
          </cell>
        </row>
        <row r="503">
          <cell r="A503">
            <v>481005</v>
          </cell>
          <cell r="B503">
            <v>1015</v>
          </cell>
          <cell r="C503">
            <v>-61257.85</v>
          </cell>
          <cell r="D503" t="str">
            <v>203</v>
          </cell>
          <cell r="E503" t="str">
            <v>411</v>
          </cell>
          <cell r="F503">
            <v>0</v>
          </cell>
          <cell r="G503">
            <v>1</v>
          </cell>
          <cell r="H503" t="str">
            <v>2006-01-31</v>
          </cell>
        </row>
        <row r="504">
          <cell r="A504">
            <v>481005</v>
          </cell>
          <cell r="B504">
            <v>1015</v>
          </cell>
          <cell r="C504">
            <v>-148.44</v>
          </cell>
          <cell r="D504" t="str">
            <v>203</v>
          </cell>
          <cell r="E504" t="str">
            <v>411</v>
          </cell>
          <cell r="F504">
            <v>0</v>
          </cell>
          <cell r="G504">
            <v>1</v>
          </cell>
          <cell r="H504" t="str">
            <v>2006-01-31</v>
          </cell>
        </row>
        <row r="505">
          <cell r="A505">
            <v>481005</v>
          </cell>
          <cell r="B505">
            <v>1015</v>
          </cell>
          <cell r="C505">
            <v>-1303.78</v>
          </cell>
          <cell r="D505" t="str">
            <v>203</v>
          </cell>
          <cell r="E505" t="str">
            <v>411</v>
          </cell>
          <cell r="F505">
            <v>0</v>
          </cell>
          <cell r="G505">
            <v>1</v>
          </cell>
          <cell r="H505" t="str">
            <v>2006-01-31</v>
          </cell>
        </row>
        <row r="506">
          <cell r="A506">
            <v>481005</v>
          </cell>
          <cell r="B506">
            <v>1015</v>
          </cell>
          <cell r="C506">
            <v>-302.49</v>
          </cell>
          <cell r="D506" t="str">
            <v>203</v>
          </cell>
          <cell r="E506" t="str">
            <v>411</v>
          </cell>
          <cell r="F506">
            <v>0</v>
          </cell>
          <cell r="G506">
            <v>1</v>
          </cell>
          <cell r="H506" t="str">
            <v>2006-01-31</v>
          </cell>
        </row>
        <row r="507">
          <cell r="A507">
            <v>481005</v>
          </cell>
          <cell r="B507">
            <v>1015</v>
          </cell>
          <cell r="C507">
            <v>-1125.57</v>
          </cell>
          <cell r="D507" t="str">
            <v>203</v>
          </cell>
          <cell r="E507" t="str">
            <v>411</v>
          </cell>
          <cell r="F507">
            <v>0</v>
          </cell>
          <cell r="G507">
            <v>1</v>
          </cell>
          <cell r="H507" t="str">
            <v>2006-01-31</v>
          </cell>
        </row>
        <row r="508">
          <cell r="A508">
            <v>481005</v>
          </cell>
          <cell r="B508">
            <v>1015</v>
          </cell>
          <cell r="C508">
            <v>-262.70999999999998</v>
          </cell>
          <cell r="D508" t="str">
            <v>203</v>
          </cell>
          <cell r="E508" t="str">
            <v>411</v>
          </cell>
          <cell r="F508">
            <v>0</v>
          </cell>
          <cell r="G508">
            <v>1</v>
          </cell>
          <cell r="H508" t="str">
            <v>2006-01-31</v>
          </cell>
        </row>
        <row r="509">
          <cell r="A509">
            <v>481005</v>
          </cell>
          <cell r="B509">
            <v>1015</v>
          </cell>
          <cell r="C509">
            <v>-510.96</v>
          </cell>
          <cell r="D509" t="str">
            <v>203</v>
          </cell>
          <cell r="E509" t="str">
            <v>411</v>
          </cell>
          <cell r="F509">
            <v>0</v>
          </cell>
          <cell r="G509">
            <v>1</v>
          </cell>
          <cell r="H509" t="str">
            <v>2006-01-31</v>
          </cell>
        </row>
        <row r="510">
          <cell r="A510">
            <v>481005</v>
          </cell>
          <cell r="B510">
            <v>1015</v>
          </cell>
          <cell r="C510">
            <v>-1836.35</v>
          </cell>
          <cell r="D510" t="str">
            <v>203</v>
          </cell>
          <cell r="E510" t="str">
            <v>411</v>
          </cell>
          <cell r="F510">
            <v>0</v>
          </cell>
          <cell r="G510">
            <v>1</v>
          </cell>
          <cell r="H510" t="str">
            <v>2006-01-31</v>
          </cell>
        </row>
        <row r="511">
          <cell r="A511">
            <v>481005</v>
          </cell>
          <cell r="B511">
            <v>1015</v>
          </cell>
          <cell r="C511">
            <v>-415.47</v>
          </cell>
          <cell r="D511" t="str">
            <v>203</v>
          </cell>
          <cell r="E511" t="str">
            <v>411</v>
          </cell>
          <cell r="F511">
            <v>0</v>
          </cell>
          <cell r="G511">
            <v>1</v>
          </cell>
          <cell r="H511" t="str">
            <v>2006-01-31</v>
          </cell>
        </row>
        <row r="512">
          <cell r="A512">
            <v>481005</v>
          </cell>
          <cell r="B512">
            <v>1015</v>
          </cell>
          <cell r="C512">
            <v>-3658.54</v>
          </cell>
          <cell r="D512" t="str">
            <v>203</v>
          </cell>
          <cell r="E512" t="str">
            <v>411</v>
          </cell>
          <cell r="F512">
            <v>0</v>
          </cell>
          <cell r="G512">
            <v>1</v>
          </cell>
          <cell r="H512" t="str">
            <v>2006-01-31</v>
          </cell>
        </row>
        <row r="513">
          <cell r="A513">
            <v>481002</v>
          </cell>
          <cell r="B513">
            <v>1015</v>
          </cell>
          <cell r="C513">
            <v>3954.74</v>
          </cell>
          <cell r="D513" t="str">
            <v>203</v>
          </cell>
          <cell r="E513" t="str">
            <v>414</v>
          </cell>
          <cell r="F513">
            <v>0</v>
          </cell>
          <cell r="G513">
            <v>1</v>
          </cell>
          <cell r="H513" t="str">
            <v>2006-01-31</v>
          </cell>
        </row>
        <row r="514">
          <cell r="A514">
            <v>481002</v>
          </cell>
          <cell r="B514">
            <v>1015</v>
          </cell>
          <cell r="C514">
            <v>0</v>
          </cell>
          <cell r="D514" t="str">
            <v>203</v>
          </cell>
          <cell r="E514" t="str">
            <v>414</v>
          </cell>
          <cell r="F514">
            <v>0</v>
          </cell>
          <cell r="G514">
            <v>1</v>
          </cell>
          <cell r="H514" t="str">
            <v>2006-01-31</v>
          </cell>
        </row>
        <row r="515">
          <cell r="A515">
            <v>481002</v>
          </cell>
          <cell r="B515">
            <v>1015</v>
          </cell>
          <cell r="C515">
            <v>-1627.64</v>
          </cell>
          <cell r="D515" t="str">
            <v>203</v>
          </cell>
          <cell r="E515" t="str">
            <v>414</v>
          </cell>
          <cell r="F515">
            <v>0</v>
          </cell>
          <cell r="G515">
            <v>1</v>
          </cell>
          <cell r="H515" t="str">
            <v>2006-01-31</v>
          </cell>
        </row>
        <row r="516">
          <cell r="A516">
            <v>481002</v>
          </cell>
          <cell r="B516">
            <v>1015</v>
          </cell>
          <cell r="C516">
            <v>-97.94</v>
          </cell>
          <cell r="D516" t="str">
            <v>203</v>
          </cell>
          <cell r="E516" t="str">
            <v>414</v>
          </cell>
          <cell r="F516">
            <v>0</v>
          </cell>
          <cell r="G516">
            <v>1</v>
          </cell>
          <cell r="H516" t="str">
            <v>2006-01-31</v>
          </cell>
        </row>
        <row r="517">
          <cell r="A517">
            <v>481002</v>
          </cell>
          <cell r="B517">
            <v>1015</v>
          </cell>
          <cell r="C517">
            <v>-2108.4899999999998</v>
          </cell>
          <cell r="D517" t="str">
            <v>203</v>
          </cell>
          <cell r="E517" t="str">
            <v>414</v>
          </cell>
          <cell r="F517">
            <v>0</v>
          </cell>
          <cell r="G517">
            <v>1</v>
          </cell>
          <cell r="H517" t="str">
            <v>2006-01-31</v>
          </cell>
        </row>
        <row r="518">
          <cell r="A518">
            <v>481005</v>
          </cell>
          <cell r="B518">
            <v>1015</v>
          </cell>
          <cell r="C518">
            <v>-6557.17</v>
          </cell>
          <cell r="D518" t="str">
            <v>203</v>
          </cell>
          <cell r="E518" t="str">
            <v>414</v>
          </cell>
          <cell r="F518">
            <v>0</v>
          </cell>
          <cell r="G518">
            <v>1</v>
          </cell>
          <cell r="H518" t="str">
            <v>2006-01-31</v>
          </cell>
        </row>
        <row r="519">
          <cell r="A519">
            <v>481005</v>
          </cell>
          <cell r="B519">
            <v>1015</v>
          </cell>
          <cell r="C519">
            <v>-181.88</v>
          </cell>
          <cell r="D519" t="str">
            <v>203</v>
          </cell>
          <cell r="E519" t="str">
            <v>414</v>
          </cell>
          <cell r="F519">
            <v>0</v>
          </cell>
          <cell r="G519">
            <v>1</v>
          </cell>
          <cell r="H519" t="str">
            <v>2006-01-31</v>
          </cell>
        </row>
        <row r="520">
          <cell r="A520">
            <v>481000</v>
          </cell>
          <cell r="B520">
            <v>1015</v>
          </cell>
          <cell r="C520">
            <v>0</v>
          </cell>
          <cell r="D520" t="str">
            <v>203</v>
          </cell>
          <cell r="E520" t="str">
            <v>451</v>
          </cell>
          <cell r="F520">
            <v>0</v>
          </cell>
          <cell r="G520">
            <v>1</v>
          </cell>
          <cell r="H520" t="str">
            <v>2006-01-31</v>
          </cell>
        </row>
        <row r="521">
          <cell r="A521">
            <v>481004</v>
          </cell>
          <cell r="B521">
            <v>1015</v>
          </cell>
          <cell r="C521">
            <v>0</v>
          </cell>
          <cell r="D521" t="str">
            <v>203</v>
          </cell>
          <cell r="E521" t="str">
            <v>451</v>
          </cell>
          <cell r="F521">
            <v>0</v>
          </cell>
          <cell r="G521">
            <v>1</v>
          </cell>
          <cell r="H521" t="str">
            <v>2006-01-31</v>
          </cell>
        </row>
        <row r="522">
          <cell r="A522">
            <v>480001</v>
          </cell>
          <cell r="B522">
            <v>1015</v>
          </cell>
          <cell r="C522">
            <v>0</v>
          </cell>
          <cell r="D522" t="str">
            <v>203</v>
          </cell>
          <cell r="E522" t="str">
            <v>453</v>
          </cell>
          <cell r="F522">
            <v>0</v>
          </cell>
          <cell r="G522">
            <v>1</v>
          </cell>
          <cell r="H522" t="str">
            <v>2006-01-31</v>
          </cell>
        </row>
        <row r="523">
          <cell r="A523">
            <v>480001</v>
          </cell>
          <cell r="B523">
            <v>1015</v>
          </cell>
          <cell r="C523">
            <v>0</v>
          </cell>
          <cell r="D523" t="str">
            <v>203</v>
          </cell>
          <cell r="E523" t="str">
            <v>455</v>
          </cell>
          <cell r="F523">
            <v>0</v>
          </cell>
          <cell r="G523">
            <v>1</v>
          </cell>
          <cell r="H523" t="str">
            <v>2006-01-31</v>
          </cell>
        </row>
        <row r="524">
          <cell r="A524">
            <v>481002</v>
          </cell>
          <cell r="B524">
            <v>1015</v>
          </cell>
          <cell r="C524">
            <v>0</v>
          </cell>
          <cell r="D524" t="str">
            <v>203</v>
          </cell>
          <cell r="E524" t="str">
            <v>456</v>
          </cell>
          <cell r="F524">
            <v>0</v>
          </cell>
          <cell r="G524">
            <v>1</v>
          </cell>
          <cell r="H524" t="str">
            <v>2006-01-31</v>
          </cell>
        </row>
        <row r="525">
          <cell r="A525">
            <v>481002</v>
          </cell>
          <cell r="B525">
            <v>1015</v>
          </cell>
          <cell r="C525">
            <v>-3689.42</v>
          </cell>
          <cell r="D525" t="str">
            <v>203</v>
          </cell>
          <cell r="E525" t="str">
            <v>457</v>
          </cell>
          <cell r="F525">
            <v>0</v>
          </cell>
          <cell r="G525">
            <v>1</v>
          </cell>
          <cell r="H525" t="str">
            <v>2006-01-31</v>
          </cell>
        </row>
        <row r="526">
          <cell r="A526">
            <v>481005</v>
          </cell>
          <cell r="B526">
            <v>1015</v>
          </cell>
          <cell r="C526">
            <v>-5925.3</v>
          </cell>
          <cell r="D526" t="str">
            <v>203</v>
          </cell>
          <cell r="E526" t="str">
            <v>457</v>
          </cell>
          <cell r="F526">
            <v>0</v>
          </cell>
          <cell r="G526">
            <v>1</v>
          </cell>
          <cell r="H526" t="str">
            <v>2006-01-31</v>
          </cell>
        </row>
        <row r="527">
          <cell r="A527">
            <v>489300</v>
          </cell>
          <cell r="B527">
            <v>1015</v>
          </cell>
          <cell r="C527">
            <v>-60469.26</v>
          </cell>
          <cell r="D527" t="str">
            <v>250</v>
          </cell>
          <cell r="E527" t="str">
            <v>405</v>
          </cell>
          <cell r="F527">
            <v>-326858</v>
          </cell>
          <cell r="G527">
            <v>1</v>
          </cell>
          <cell r="H527" t="str">
            <v>2006-01-31</v>
          </cell>
        </row>
        <row r="528">
          <cell r="A528">
            <v>489300</v>
          </cell>
          <cell r="B528">
            <v>1015</v>
          </cell>
          <cell r="C528">
            <v>63496.85</v>
          </cell>
          <cell r="D528" t="str">
            <v>250</v>
          </cell>
          <cell r="E528" t="str">
            <v>405</v>
          </cell>
          <cell r="F528">
            <v>355462</v>
          </cell>
          <cell r="G528">
            <v>1</v>
          </cell>
          <cell r="H528" t="str">
            <v>2006-01-31</v>
          </cell>
        </row>
        <row r="529">
          <cell r="A529">
            <v>489300</v>
          </cell>
          <cell r="B529">
            <v>1015</v>
          </cell>
          <cell r="C529">
            <v>-1.75</v>
          </cell>
          <cell r="D529" t="str">
            <v>250</v>
          </cell>
          <cell r="E529" t="str">
            <v>405</v>
          </cell>
          <cell r="F529">
            <v>0</v>
          </cell>
          <cell r="G529">
            <v>1</v>
          </cell>
          <cell r="H529" t="str">
            <v>2006-01-31</v>
          </cell>
        </row>
        <row r="530">
          <cell r="A530">
            <v>489300</v>
          </cell>
          <cell r="B530">
            <v>1015</v>
          </cell>
          <cell r="C530">
            <v>0.73</v>
          </cell>
          <cell r="D530" t="str">
            <v>250</v>
          </cell>
          <cell r="E530" t="str">
            <v>405</v>
          </cell>
          <cell r="F530">
            <v>0</v>
          </cell>
          <cell r="G530">
            <v>1</v>
          </cell>
          <cell r="H530" t="str">
            <v>2006-01-31</v>
          </cell>
        </row>
        <row r="531">
          <cell r="A531">
            <v>489300</v>
          </cell>
          <cell r="B531">
            <v>1015</v>
          </cell>
          <cell r="C531">
            <v>-2952.95</v>
          </cell>
          <cell r="D531" t="str">
            <v>250</v>
          </cell>
          <cell r="E531" t="str">
            <v>405</v>
          </cell>
          <cell r="F531">
            <v>0</v>
          </cell>
          <cell r="G531">
            <v>1</v>
          </cell>
          <cell r="H531" t="str">
            <v>2006-01-31</v>
          </cell>
        </row>
        <row r="532">
          <cell r="A532">
            <v>489300</v>
          </cell>
          <cell r="B532">
            <v>1015</v>
          </cell>
          <cell r="C532">
            <v>-115391.58</v>
          </cell>
          <cell r="D532" t="str">
            <v>250</v>
          </cell>
          <cell r="E532" t="str">
            <v>405</v>
          </cell>
          <cell r="F532">
            <v>-648164</v>
          </cell>
          <cell r="G532">
            <v>1</v>
          </cell>
          <cell r="H532" t="str">
            <v>2006-01-31</v>
          </cell>
        </row>
        <row r="533">
          <cell r="A533">
            <v>489304</v>
          </cell>
          <cell r="B533">
            <v>1015</v>
          </cell>
          <cell r="C533">
            <v>-32558.23</v>
          </cell>
          <cell r="D533" t="str">
            <v>250</v>
          </cell>
          <cell r="E533" t="str">
            <v>405</v>
          </cell>
          <cell r="F533">
            <v>-178720</v>
          </cell>
          <cell r="G533">
            <v>1</v>
          </cell>
          <cell r="H533" t="str">
            <v>2006-01-31</v>
          </cell>
        </row>
        <row r="534">
          <cell r="A534">
            <v>489304</v>
          </cell>
          <cell r="B534">
            <v>1015</v>
          </cell>
          <cell r="C534">
            <v>51894.73</v>
          </cell>
          <cell r="D534" t="str">
            <v>250</v>
          </cell>
          <cell r="E534" t="str">
            <v>405</v>
          </cell>
          <cell r="F534">
            <v>292702</v>
          </cell>
          <cell r="G534">
            <v>1</v>
          </cell>
          <cell r="H534" t="str">
            <v>2006-01-31</v>
          </cell>
        </row>
        <row r="535">
          <cell r="A535">
            <v>489300</v>
          </cell>
          <cell r="B535">
            <v>1015</v>
          </cell>
          <cell r="C535">
            <v>-79549.09</v>
          </cell>
          <cell r="D535" t="str">
            <v>250</v>
          </cell>
          <cell r="E535" t="str">
            <v>405</v>
          </cell>
          <cell r="F535">
            <v>-328298</v>
          </cell>
          <cell r="G535">
            <v>1</v>
          </cell>
          <cell r="H535" t="str">
            <v>2006-01-31</v>
          </cell>
        </row>
        <row r="536">
          <cell r="A536">
            <v>489300</v>
          </cell>
          <cell r="B536">
            <v>1015</v>
          </cell>
          <cell r="C536">
            <v>77113.789999999994</v>
          </cell>
          <cell r="D536" t="str">
            <v>250</v>
          </cell>
          <cell r="E536" t="str">
            <v>405</v>
          </cell>
          <cell r="F536">
            <v>315019</v>
          </cell>
          <cell r="G536">
            <v>1</v>
          </cell>
          <cell r="H536" t="str">
            <v>2006-01-31</v>
          </cell>
        </row>
        <row r="537">
          <cell r="A537">
            <v>489300</v>
          </cell>
          <cell r="B537">
            <v>1015</v>
          </cell>
          <cell r="C537">
            <v>-482.4</v>
          </cell>
          <cell r="D537" t="str">
            <v>250</v>
          </cell>
          <cell r="E537" t="str">
            <v>405</v>
          </cell>
          <cell r="F537">
            <v>0</v>
          </cell>
          <cell r="G537">
            <v>1</v>
          </cell>
          <cell r="H537" t="str">
            <v>2006-01-31</v>
          </cell>
        </row>
        <row r="538">
          <cell r="A538">
            <v>489300</v>
          </cell>
          <cell r="B538">
            <v>1015</v>
          </cell>
          <cell r="C538">
            <v>-27583.200000000001</v>
          </cell>
          <cell r="D538" t="str">
            <v>250</v>
          </cell>
          <cell r="E538" t="str">
            <v>405</v>
          </cell>
          <cell r="F538">
            <v>0</v>
          </cell>
          <cell r="G538">
            <v>1</v>
          </cell>
          <cell r="H538" t="str">
            <v>2006-01-31</v>
          </cell>
        </row>
        <row r="539">
          <cell r="A539">
            <v>489300</v>
          </cell>
          <cell r="B539">
            <v>1015</v>
          </cell>
          <cell r="C539">
            <v>-115872.74</v>
          </cell>
          <cell r="D539" t="str">
            <v>250</v>
          </cell>
          <cell r="E539" t="str">
            <v>405</v>
          </cell>
          <cell r="F539">
            <v>-523905</v>
          </cell>
          <cell r="G539">
            <v>1</v>
          </cell>
          <cell r="H539" t="str">
            <v>2006-01-31</v>
          </cell>
        </row>
        <row r="540">
          <cell r="A540">
            <v>489304</v>
          </cell>
          <cell r="B540">
            <v>1015</v>
          </cell>
          <cell r="C540">
            <v>-42930.05</v>
          </cell>
          <cell r="D540" t="str">
            <v>250</v>
          </cell>
          <cell r="E540" t="str">
            <v>405</v>
          </cell>
          <cell r="F540">
            <v>-224361</v>
          </cell>
          <cell r="G540">
            <v>1</v>
          </cell>
          <cell r="H540" t="str">
            <v>2006-01-31</v>
          </cell>
        </row>
        <row r="541">
          <cell r="A541">
            <v>489304</v>
          </cell>
          <cell r="B541">
            <v>1015</v>
          </cell>
          <cell r="C541">
            <v>41609.22</v>
          </cell>
          <cell r="D541" t="str">
            <v>250</v>
          </cell>
          <cell r="E541" t="str">
            <v>405</v>
          </cell>
          <cell r="F541">
            <v>215946</v>
          </cell>
          <cell r="G541">
            <v>1</v>
          </cell>
          <cell r="H541" t="str">
            <v>2006-01-31</v>
          </cell>
        </row>
        <row r="542">
          <cell r="A542">
            <v>489304</v>
          </cell>
          <cell r="B542">
            <v>1015</v>
          </cell>
          <cell r="C542">
            <v>-2850.27</v>
          </cell>
          <cell r="D542" t="str">
            <v>250</v>
          </cell>
          <cell r="E542" t="str">
            <v>405</v>
          </cell>
          <cell r="F542">
            <v>-7060</v>
          </cell>
          <cell r="G542">
            <v>1</v>
          </cell>
          <cell r="H542" t="str">
            <v>2006-01-31</v>
          </cell>
        </row>
        <row r="543">
          <cell r="A543">
            <v>489300</v>
          </cell>
          <cell r="B543">
            <v>1015</v>
          </cell>
          <cell r="C543">
            <v>-202946.29</v>
          </cell>
          <cell r="D543" t="str">
            <v>250</v>
          </cell>
          <cell r="E543" t="str">
            <v>415</v>
          </cell>
          <cell r="F543">
            <v>-1421071</v>
          </cell>
          <cell r="G543">
            <v>1</v>
          </cell>
          <cell r="H543" t="str">
            <v>2006-01-31</v>
          </cell>
        </row>
        <row r="544">
          <cell r="A544">
            <v>489300</v>
          </cell>
          <cell r="B544">
            <v>1015</v>
          </cell>
          <cell r="C544">
            <v>202186.96</v>
          </cell>
          <cell r="D544" t="str">
            <v>250</v>
          </cell>
          <cell r="E544" t="str">
            <v>415</v>
          </cell>
          <cell r="F544">
            <v>1415434</v>
          </cell>
          <cell r="G544">
            <v>1</v>
          </cell>
          <cell r="H544" t="str">
            <v>2006-01-31</v>
          </cell>
        </row>
        <row r="545">
          <cell r="A545">
            <v>489300</v>
          </cell>
          <cell r="B545">
            <v>1015</v>
          </cell>
          <cell r="C545">
            <v>-40795.550000000003</v>
          </cell>
          <cell r="D545" t="str">
            <v>250</v>
          </cell>
          <cell r="E545" t="str">
            <v>415</v>
          </cell>
          <cell r="F545">
            <v>0</v>
          </cell>
          <cell r="G545">
            <v>1</v>
          </cell>
          <cell r="H545" t="str">
            <v>2006-01-31</v>
          </cell>
        </row>
        <row r="546">
          <cell r="A546">
            <v>489300</v>
          </cell>
          <cell r="B546">
            <v>1015</v>
          </cell>
          <cell r="C546">
            <v>-250228.92</v>
          </cell>
          <cell r="D546" t="str">
            <v>250</v>
          </cell>
          <cell r="E546" t="str">
            <v>415</v>
          </cell>
          <cell r="F546">
            <v>-1679168</v>
          </cell>
          <cell r="G546">
            <v>1</v>
          </cell>
          <cell r="H546" t="str">
            <v>2006-01-31</v>
          </cell>
        </row>
        <row r="547">
          <cell r="A547">
            <v>489300</v>
          </cell>
          <cell r="B547">
            <v>4015</v>
          </cell>
          <cell r="C547">
            <v>0</v>
          </cell>
          <cell r="D547" t="str">
            <v>250</v>
          </cell>
          <cell r="E547" t="str">
            <v>415</v>
          </cell>
          <cell r="F547">
            <v>0</v>
          </cell>
          <cell r="G547">
            <v>1</v>
          </cell>
          <cell r="H547" t="str">
            <v>2006-01-31</v>
          </cell>
        </row>
        <row r="548">
          <cell r="A548">
            <v>489304</v>
          </cell>
          <cell r="B548">
            <v>1015</v>
          </cell>
          <cell r="C548">
            <v>-83924.68</v>
          </cell>
          <cell r="D548" t="str">
            <v>250</v>
          </cell>
          <cell r="E548" t="str">
            <v>415</v>
          </cell>
          <cell r="F548">
            <v>-487278</v>
          </cell>
          <cell r="G548">
            <v>1</v>
          </cell>
          <cell r="H548" t="str">
            <v>2006-01-31</v>
          </cell>
        </row>
        <row r="549">
          <cell r="A549">
            <v>489304</v>
          </cell>
          <cell r="B549">
            <v>1015</v>
          </cell>
          <cell r="C549">
            <v>93089.77</v>
          </cell>
          <cell r="D549" t="str">
            <v>250</v>
          </cell>
          <cell r="E549" t="str">
            <v>415</v>
          </cell>
          <cell r="F549">
            <v>542164</v>
          </cell>
          <cell r="G549">
            <v>1</v>
          </cell>
          <cell r="H549" t="str">
            <v>2006-01-31</v>
          </cell>
        </row>
        <row r="550">
          <cell r="A550">
            <v>489304</v>
          </cell>
          <cell r="B550">
            <v>1015</v>
          </cell>
          <cell r="C550">
            <v>-42497.79</v>
          </cell>
          <cell r="D550" t="str">
            <v>250</v>
          </cell>
          <cell r="E550" t="str">
            <v>415</v>
          </cell>
          <cell r="F550">
            <v>-278430</v>
          </cell>
          <cell r="G550">
            <v>1</v>
          </cell>
          <cell r="H550" t="str">
            <v>2006-01-31</v>
          </cell>
        </row>
        <row r="551">
          <cell r="A551">
            <v>489300</v>
          </cell>
          <cell r="B551">
            <v>1015</v>
          </cell>
          <cell r="C551">
            <v>0</v>
          </cell>
          <cell r="D551" t="str">
            <v>250</v>
          </cell>
          <cell r="E551" t="str">
            <v>416</v>
          </cell>
          <cell r="F551">
            <v>0</v>
          </cell>
          <cell r="G551">
            <v>1</v>
          </cell>
          <cell r="H551" t="str">
            <v>2006-01-31</v>
          </cell>
        </row>
        <row r="552">
          <cell r="A552">
            <v>489300</v>
          </cell>
          <cell r="B552">
            <v>1015</v>
          </cell>
          <cell r="C552">
            <v>0</v>
          </cell>
          <cell r="D552" t="str">
            <v>250</v>
          </cell>
          <cell r="E552" t="str">
            <v>416</v>
          </cell>
          <cell r="F552">
            <v>0</v>
          </cell>
          <cell r="G552">
            <v>1</v>
          </cell>
          <cell r="H552" t="str">
            <v>2006-01-31</v>
          </cell>
        </row>
        <row r="553">
          <cell r="A553">
            <v>489304</v>
          </cell>
          <cell r="B553">
            <v>1015</v>
          </cell>
          <cell r="C553">
            <v>-1903.51</v>
          </cell>
          <cell r="D553" t="str">
            <v>250</v>
          </cell>
          <cell r="E553" t="str">
            <v>416</v>
          </cell>
          <cell r="F553">
            <v>-3600</v>
          </cell>
          <cell r="G553">
            <v>1</v>
          </cell>
          <cell r="H553" t="str">
            <v>2006-01-31</v>
          </cell>
        </row>
        <row r="554">
          <cell r="A554">
            <v>489304</v>
          </cell>
          <cell r="B554">
            <v>1015</v>
          </cell>
          <cell r="C554">
            <v>1909.38</v>
          </cell>
          <cell r="D554" t="str">
            <v>250</v>
          </cell>
          <cell r="E554" t="str">
            <v>416</v>
          </cell>
          <cell r="F554">
            <v>3615</v>
          </cell>
          <cell r="G554">
            <v>1</v>
          </cell>
          <cell r="H554" t="str">
            <v>2006-01-31</v>
          </cell>
        </row>
        <row r="555">
          <cell r="A555">
            <v>489304</v>
          </cell>
          <cell r="B555">
            <v>1015</v>
          </cell>
          <cell r="C555">
            <v>-1909.38</v>
          </cell>
          <cell r="D555" t="str">
            <v>250</v>
          </cell>
          <cell r="E555" t="str">
            <v>416</v>
          </cell>
          <cell r="F555">
            <v>-3615</v>
          </cell>
          <cell r="G555">
            <v>1</v>
          </cell>
          <cell r="H555" t="str">
            <v>2006-01-31</v>
          </cell>
        </row>
        <row r="556">
          <cell r="A556">
            <v>489300</v>
          </cell>
          <cell r="B556">
            <v>1015</v>
          </cell>
          <cell r="C556">
            <v>-4356.42</v>
          </cell>
          <cell r="D556" t="str">
            <v>250</v>
          </cell>
          <cell r="E556" t="str">
            <v>458</v>
          </cell>
          <cell r="F556">
            <v>-34272</v>
          </cell>
          <cell r="G556">
            <v>1</v>
          </cell>
          <cell r="H556" t="str">
            <v>2006-01-31</v>
          </cell>
        </row>
        <row r="557">
          <cell r="A557">
            <v>489300</v>
          </cell>
          <cell r="B557">
            <v>1015</v>
          </cell>
          <cell r="C557">
            <v>6014.8</v>
          </cell>
          <cell r="D557" t="str">
            <v>250</v>
          </cell>
          <cell r="E557" t="str">
            <v>458</v>
          </cell>
          <cell r="F557">
            <v>71145</v>
          </cell>
          <cell r="G557">
            <v>1</v>
          </cell>
          <cell r="H557" t="str">
            <v>2006-01-31</v>
          </cell>
        </row>
        <row r="558">
          <cell r="A558">
            <v>489300</v>
          </cell>
          <cell r="B558">
            <v>1015</v>
          </cell>
          <cell r="C558">
            <v>-3026.42</v>
          </cell>
          <cell r="D558" t="str">
            <v>250</v>
          </cell>
          <cell r="E558" t="str">
            <v>458</v>
          </cell>
          <cell r="F558">
            <v>0</v>
          </cell>
          <cell r="G558">
            <v>1</v>
          </cell>
          <cell r="H558" t="str">
            <v>2006-01-31</v>
          </cell>
        </row>
        <row r="559">
          <cell r="A559">
            <v>489300</v>
          </cell>
          <cell r="B559">
            <v>1015</v>
          </cell>
          <cell r="C559">
            <v>-6014.8</v>
          </cell>
          <cell r="D559" t="str">
            <v>250</v>
          </cell>
          <cell r="E559" t="str">
            <v>458</v>
          </cell>
          <cell r="F559">
            <v>-71145</v>
          </cell>
          <cell r="G559">
            <v>1</v>
          </cell>
          <cell r="H559" t="str">
            <v>2006-01-31</v>
          </cell>
        </row>
        <row r="560">
          <cell r="A560">
            <v>489304</v>
          </cell>
          <cell r="B560">
            <v>1015</v>
          </cell>
          <cell r="C560">
            <v>-1559.9</v>
          </cell>
          <cell r="D560" t="str">
            <v>250</v>
          </cell>
          <cell r="E560" t="str">
            <v>458</v>
          </cell>
          <cell r="F560">
            <v>-4863</v>
          </cell>
          <cell r="G560">
            <v>1</v>
          </cell>
          <cell r="H560" t="str">
            <v>2006-01-31</v>
          </cell>
        </row>
        <row r="561">
          <cell r="A561">
            <v>489304</v>
          </cell>
          <cell r="B561">
            <v>1015</v>
          </cell>
          <cell r="C561">
            <v>1580.6</v>
          </cell>
          <cell r="D561" t="str">
            <v>250</v>
          </cell>
          <cell r="E561" t="str">
            <v>458</v>
          </cell>
          <cell r="F561">
            <v>4932</v>
          </cell>
          <cell r="G561">
            <v>1</v>
          </cell>
          <cell r="H561" t="str">
            <v>2006-01-31</v>
          </cell>
        </row>
        <row r="562">
          <cell r="A562">
            <v>489304</v>
          </cell>
          <cell r="B562">
            <v>1015</v>
          </cell>
          <cell r="C562">
            <v>-1580.6</v>
          </cell>
          <cell r="D562" t="str">
            <v>250</v>
          </cell>
          <cell r="E562" t="str">
            <v>458</v>
          </cell>
          <cell r="F562">
            <v>-4932</v>
          </cell>
          <cell r="G562">
            <v>1</v>
          </cell>
          <cell r="H562" t="str">
            <v>2006-01-31</v>
          </cell>
        </row>
        <row r="563">
          <cell r="A563">
            <v>489300</v>
          </cell>
          <cell r="B563">
            <v>1015</v>
          </cell>
          <cell r="C563">
            <v>-2047.51</v>
          </cell>
          <cell r="D563" t="str">
            <v>250</v>
          </cell>
          <cell r="E563" t="str">
            <v>459</v>
          </cell>
          <cell r="F563">
            <v>-7900</v>
          </cell>
          <cell r="G563">
            <v>1</v>
          </cell>
          <cell r="H563" t="str">
            <v>2006-01-31</v>
          </cell>
        </row>
        <row r="564">
          <cell r="A564">
            <v>489300</v>
          </cell>
          <cell r="B564">
            <v>1015</v>
          </cell>
          <cell r="C564">
            <v>2224.54</v>
          </cell>
          <cell r="D564" t="str">
            <v>250</v>
          </cell>
          <cell r="E564" t="str">
            <v>459</v>
          </cell>
          <cell r="F564">
            <v>9464</v>
          </cell>
          <cell r="G564">
            <v>1</v>
          </cell>
          <cell r="H564" t="str">
            <v>2006-01-31</v>
          </cell>
        </row>
        <row r="565">
          <cell r="A565">
            <v>489300</v>
          </cell>
          <cell r="B565">
            <v>1015</v>
          </cell>
          <cell r="C565">
            <v>-2224.54</v>
          </cell>
          <cell r="D565" t="str">
            <v>250</v>
          </cell>
          <cell r="E565" t="str">
            <v>459</v>
          </cell>
          <cell r="F565">
            <v>-9464</v>
          </cell>
          <cell r="G565">
            <v>1</v>
          </cell>
          <cell r="H565" t="str">
            <v>2006-01-31</v>
          </cell>
        </row>
        <row r="566">
          <cell r="A566">
            <v>489304</v>
          </cell>
          <cell r="B566">
            <v>1015</v>
          </cell>
          <cell r="C566">
            <v>0</v>
          </cell>
          <cell r="D566" t="str">
            <v>250</v>
          </cell>
          <cell r="E566" t="str">
            <v>459</v>
          </cell>
          <cell r="F566">
            <v>0</v>
          </cell>
          <cell r="G566">
            <v>1</v>
          </cell>
          <cell r="H566" t="str">
            <v>2006-01-31</v>
          </cell>
        </row>
        <row r="567">
          <cell r="A567">
            <v>489304</v>
          </cell>
          <cell r="B567">
            <v>1015</v>
          </cell>
          <cell r="C567">
            <v>0</v>
          </cell>
          <cell r="D567" t="str">
            <v>250</v>
          </cell>
          <cell r="E567" t="str">
            <v>459</v>
          </cell>
          <cell r="F567">
            <v>0</v>
          </cell>
          <cell r="G567">
            <v>1</v>
          </cell>
          <cell r="H567" t="str">
            <v>2006-01-31</v>
          </cell>
        </row>
        <row r="568">
          <cell r="A568">
            <v>480000</v>
          </cell>
          <cell r="B568">
            <v>1015</v>
          </cell>
          <cell r="C568">
            <v>-406551.69</v>
          </cell>
          <cell r="D568" t="str">
            <v>205</v>
          </cell>
          <cell r="E568" t="str">
            <v>407</v>
          </cell>
          <cell r="F568">
            <v>0</v>
          </cell>
          <cell r="G568">
            <v>1</v>
          </cell>
          <cell r="H568" t="str">
            <v>2006-01-31</v>
          </cell>
        </row>
        <row r="569">
          <cell r="A569">
            <v>480000</v>
          </cell>
          <cell r="B569">
            <v>1015</v>
          </cell>
          <cell r="C569">
            <v>-290381.90999999997</v>
          </cell>
          <cell r="D569" t="str">
            <v>205</v>
          </cell>
          <cell r="E569" t="str">
            <v>407</v>
          </cell>
          <cell r="F569">
            <v>0</v>
          </cell>
          <cell r="G569">
            <v>1</v>
          </cell>
          <cell r="H569" t="str">
            <v>2006-01-31</v>
          </cell>
        </row>
        <row r="570">
          <cell r="A570">
            <v>480000</v>
          </cell>
          <cell r="B570">
            <v>1015</v>
          </cell>
          <cell r="C570">
            <v>-175048.29</v>
          </cell>
          <cell r="D570" t="str">
            <v>205</v>
          </cell>
          <cell r="E570" t="str">
            <v>407</v>
          </cell>
          <cell r="F570">
            <v>0</v>
          </cell>
          <cell r="G570">
            <v>1</v>
          </cell>
          <cell r="H570" t="str">
            <v>2006-01-31</v>
          </cell>
        </row>
        <row r="571">
          <cell r="A571">
            <v>480000</v>
          </cell>
          <cell r="B571">
            <v>1015</v>
          </cell>
          <cell r="C571">
            <v>-455448.99</v>
          </cell>
          <cell r="D571" t="str">
            <v>205</v>
          </cell>
          <cell r="E571" t="str">
            <v>407</v>
          </cell>
          <cell r="F571">
            <v>0</v>
          </cell>
          <cell r="G571">
            <v>1</v>
          </cell>
          <cell r="H571" t="str">
            <v>2006-01-31</v>
          </cell>
        </row>
        <row r="572">
          <cell r="A572">
            <v>480000</v>
          </cell>
          <cell r="B572">
            <v>1015</v>
          </cell>
          <cell r="C572">
            <v>-316372</v>
          </cell>
          <cell r="D572" t="str">
            <v>205</v>
          </cell>
          <cell r="E572" t="str">
            <v>407</v>
          </cell>
          <cell r="F572">
            <v>0</v>
          </cell>
          <cell r="G572">
            <v>1</v>
          </cell>
          <cell r="H572" t="str">
            <v>2006-01-31</v>
          </cell>
        </row>
        <row r="573">
          <cell r="A573">
            <v>480000</v>
          </cell>
          <cell r="B573">
            <v>1015</v>
          </cell>
          <cell r="C573">
            <v>-246603.36</v>
          </cell>
          <cell r="D573" t="str">
            <v>205</v>
          </cell>
          <cell r="E573" t="str">
            <v>407</v>
          </cell>
          <cell r="F573">
            <v>0</v>
          </cell>
          <cell r="G573">
            <v>1</v>
          </cell>
          <cell r="H573" t="str">
            <v>2006-01-31</v>
          </cell>
        </row>
        <row r="574">
          <cell r="A574">
            <v>480000</v>
          </cell>
          <cell r="B574">
            <v>1015</v>
          </cell>
          <cell r="C574">
            <v>-667826.69999999995</v>
          </cell>
          <cell r="D574" t="str">
            <v>205</v>
          </cell>
          <cell r="E574" t="str">
            <v>407</v>
          </cell>
          <cell r="F574">
            <v>0</v>
          </cell>
          <cell r="G574">
            <v>1</v>
          </cell>
          <cell r="H574" t="str">
            <v>2006-01-31</v>
          </cell>
        </row>
        <row r="575">
          <cell r="A575">
            <v>480000</v>
          </cell>
          <cell r="B575">
            <v>1015</v>
          </cell>
          <cell r="C575">
            <v>-229065.78</v>
          </cell>
          <cell r="D575" t="str">
            <v>205</v>
          </cell>
          <cell r="E575" t="str">
            <v>407</v>
          </cell>
          <cell r="F575">
            <v>0</v>
          </cell>
          <cell r="G575">
            <v>1</v>
          </cell>
          <cell r="H575" t="str">
            <v>2006-01-31</v>
          </cell>
        </row>
        <row r="576">
          <cell r="A576">
            <v>480000</v>
          </cell>
          <cell r="B576">
            <v>1015</v>
          </cell>
          <cell r="C576">
            <v>-80290.94</v>
          </cell>
          <cell r="D576" t="str">
            <v>205</v>
          </cell>
          <cell r="E576" t="str">
            <v>407</v>
          </cell>
          <cell r="F576">
            <v>0</v>
          </cell>
          <cell r="G576">
            <v>1</v>
          </cell>
          <cell r="H576" t="str">
            <v>2006-01-31</v>
          </cell>
        </row>
        <row r="577">
          <cell r="A577">
            <v>480000</v>
          </cell>
          <cell r="B577">
            <v>1015</v>
          </cell>
          <cell r="C577">
            <v>-13263.26</v>
          </cell>
          <cell r="D577" t="str">
            <v>205</v>
          </cell>
          <cell r="E577" t="str">
            <v>407</v>
          </cell>
          <cell r="F577">
            <v>0</v>
          </cell>
          <cell r="G577">
            <v>1</v>
          </cell>
          <cell r="H577" t="str">
            <v>2006-01-31</v>
          </cell>
        </row>
        <row r="578">
          <cell r="A578">
            <v>480000</v>
          </cell>
          <cell r="B578">
            <v>1015</v>
          </cell>
          <cell r="C578">
            <v>-602135.54</v>
          </cell>
          <cell r="D578" t="str">
            <v>205</v>
          </cell>
          <cell r="E578" t="str">
            <v>407</v>
          </cell>
          <cell r="F578">
            <v>0</v>
          </cell>
          <cell r="G578">
            <v>1</v>
          </cell>
          <cell r="H578" t="str">
            <v>2006-01-31</v>
          </cell>
        </row>
        <row r="579">
          <cell r="A579">
            <v>480001</v>
          </cell>
          <cell r="B579">
            <v>1015</v>
          </cell>
          <cell r="C579">
            <v>670343.12</v>
          </cell>
          <cell r="D579" t="str">
            <v>205</v>
          </cell>
          <cell r="E579" t="str">
            <v>407</v>
          </cell>
          <cell r="F579">
            <v>0</v>
          </cell>
          <cell r="G579">
            <v>1</v>
          </cell>
          <cell r="H579" t="str">
            <v>2006-01-31</v>
          </cell>
        </row>
        <row r="580">
          <cell r="A580">
            <v>481004</v>
          </cell>
          <cell r="B580">
            <v>1015</v>
          </cell>
          <cell r="C580">
            <v>-119767.06</v>
          </cell>
          <cell r="D580" t="str">
            <v>205</v>
          </cell>
          <cell r="E580" t="str">
            <v>407</v>
          </cell>
          <cell r="F580">
            <v>0</v>
          </cell>
          <cell r="G580">
            <v>1</v>
          </cell>
          <cell r="H580" t="str">
            <v>2006-01-31</v>
          </cell>
        </row>
        <row r="581">
          <cell r="A581">
            <v>481004</v>
          </cell>
          <cell r="B581">
            <v>1015</v>
          </cell>
          <cell r="C581">
            <v>-55647.15</v>
          </cell>
          <cell r="D581" t="str">
            <v>205</v>
          </cell>
          <cell r="E581" t="str">
            <v>407</v>
          </cell>
          <cell r="F581">
            <v>0</v>
          </cell>
          <cell r="G581">
            <v>1</v>
          </cell>
          <cell r="H581" t="str">
            <v>2006-01-31</v>
          </cell>
        </row>
        <row r="582">
          <cell r="A582">
            <v>481004</v>
          </cell>
          <cell r="B582">
            <v>1015</v>
          </cell>
          <cell r="C582">
            <v>-31546.43</v>
          </cell>
          <cell r="D582" t="str">
            <v>205</v>
          </cell>
          <cell r="E582" t="str">
            <v>407</v>
          </cell>
          <cell r="F582">
            <v>0</v>
          </cell>
          <cell r="G582">
            <v>1</v>
          </cell>
          <cell r="H582" t="str">
            <v>2006-01-31</v>
          </cell>
        </row>
        <row r="583">
          <cell r="A583">
            <v>481004</v>
          </cell>
          <cell r="B583">
            <v>1015</v>
          </cell>
          <cell r="C583">
            <v>-108957.57</v>
          </cell>
          <cell r="D583" t="str">
            <v>205</v>
          </cell>
          <cell r="E583" t="str">
            <v>407</v>
          </cell>
          <cell r="F583">
            <v>0</v>
          </cell>
          <cell r="G583">
            <v>1</v>
          </cell>
          <cell r="H583" t="str">
            <v>2006-01-31</v>
          </cell>
        </row>
        <row r="584">
          <cell r="A584">
            <v>481004</v>
          </cell>
          <cell r="B584">
            <v>1015</v>
          </cell>
          <cell r="C584">
            <v>-58645.19</v>
          </cell>
          <cell r="D584" t="str">
            <v>205</v>
          </cell>
          <cell r="E584" t="str">
            <v>407</v>
          </cell>
          <cell r="F584">
            <v>0</v>
          </cell>
          <cell r="G584">
            <v>1</v>
          </cell>
          <cell r="H584" t="str">
            <v>2006-01-31</v>
          </cell>
        </row>
        <row r="585">
          <cell r="A585">
            <v>481004</v>
          </cell>
          <cell r="B585">
            <v>1015</v>
          </cell>
          <cell r="C585">
            <v>-53065.64</v>
          </cell>
          <cell r="D585" t="str">
            <v>205</v>
          </cell>
          <cell r="E585" t="str">
            <v>407</v>
          </cell>
          <cell r="F585">
            <v>0</v>
          </cell>
          <cell r="G585">
            <v>1</v>
          </cell>
          <cell r="H585" t="str">
            <v>2006-01-31</v>
          </cell>
        </row>
        <row r="586">
          <cell r="A586">
            <v>481004</v>
          </cell>
          <cell r="B586">
            <v>1015</v>
          </cell>
          <cell r="C586">
            <v>-121209.64</v>
          </cell>
          <cell r="D586" t="str">
            <v>205</v>
          </cell>
          <cell r="E586" t="str">
            <v>407</v>
          </cell>
          <cell r="F586">
            <v>0</v>
          </cell>
          <cell r="G586">
            <v>1</v>
          </cell>
          <cell r="H586" t="str">
            <v>2006-01-31</v>
          </cell>
        </row>
        <row r="587">
          <cell r="A587">
            <v>481004</v>
          </cell>
          <cell r="B587">
            <v>1015</v>
          </cell>
          <cell r="C587">
            <v>-45857.96</v>
          </cell>
          <cell r="D587" t="str">
            <v>205</v>
          </cell>
          <cell r="E587" t="str">
            <v>407</v>
          </cell>
          <cell r="F587">
            <v>0</v>
          </cell>
          <cell r="G587">
            <v>1</v>
          </cell>
          <cell r="H587" t="str">
            <v>2006-01-31</v>
          </cell>
        </row>
        <row r="588">
          <cell r="A588">
            <v>481004</v>
          </cell>
          <cell r="B588">
            <v>1015</v>
          </cell>
          <cell r="C588">
            <v>-18047.77</v>
          </cell>
          <cell r="D588" t="str">
            <v>205</v>
          </cell>
          <cell r="E588" t="str">
            <v>407</v>
          </cell>
          <cell r="F588">
            <v>0</v>
          </cell>
          <cell r="G588">
            <v>1</v>
          </cell>
          <cell r="H588" t="str">
            <v>2006-01-31</v>
          </cell>
        </row>
        <row r="589">
          <cell r="A589">
            <v>481004</v>
          </cell>
          <cell r="B589">
            <v>1015</v>
          </cell>
          <cell r="C589">
            <v>-6035.61</v>
          </cell>
          <cell r="D589" t="str">
            <v>205</v>
          </cell>
          <cell r="E589" t="str">
            <v>407</v>
          </cell>
          <cell r="F589">
            <v>0</v>
          </cell>
          <cell r="G589">
            <v>1</v>
          </cell>
          <cell r="H589" t="str">
            <v>2006-01-31</v>
          </cell>
        </row>
        <row r="590">
          <cell r="A590">
            <v>481004</v>
          </cell>
          <cell r="B590">
            <v>1015</v>
          </cell>
          <cell r="C590">
            <v>-138971.64000000001</v>
          </cell>
          <cell r="D590" t="str">
            <v>205</v>
          </cell>
          <cell r="E590" t="str">
            <v>407</v>
          </cell>
          <cell r="F590">
            <v>0</v>
          </cell>
          <cell r="G590">
            <v>1</v>
          </cell>
          <cell r="H590" t="str">
            <v>2006-01-31</v>
          </cell>
        </row>
        <row r="591">
          <cell r="A591">
            <v>480000</v>
          </cell>
          <cell r="B591">
            <v>1015</v>
          </cell>
          <cell r="C591">
            <v>-142.57</v>
          </cell>
          <cell r="D591" t="str">
            <v>205</v>
          </cell>
          <cell r="E591" t="str">
            <v>408</v>
          </cell>
          <cell r="F591">
            <v>0</v>
          </cell>
          <cell r="G591">
            <v>1</v>
          </cell>
          <cell r="H591" t="str">
            <v>2006-01-31</v>
          </cell>
        </row>
        <row r="592">
          <cell r="A592">
            <v>480000</v>
          </cell>
          <cell r="B592">
            <v>1015</v>
          </cell>
          <cell r="C592">
            <v>-15701.04</v>
          </cell>
          <cell r="D592" t="str">
            <v>205</v>
          </cell>
          <cell r="E592" t="str">
            <v>408</v>
          </cell>
          <cell r="F592">
            <v>0</v>
          </cell>
          <cell r="G592">
            <v>1</v>
          </cell>
          <cell r="H592" t="str">
            <v>2006-01-31</v>
          </cell>
        </row>
        <row r="593">
          <cell r="A593">
            <v>480000</v>
          </cell>
          <cell r="B593">
            <v>1015</v>
          </cell>
          <cell r="C593">
            <v>-617.55999999999995</v>
          </cell>
          <cell r="D593" t="str">
            <v>205</v>
          </cell>
          <cell r="E593" t="str">
            <v>408</v>
          </cell>
          <cell r="F593">
            <v>0</v>
          </cell>
          <cell r="G593">
            <v>1</v>
          </cell>
          <cell r="H593" t="str">
            <v>2006-01-31</v>
          </cell>
        </row>
        <row r="594">
          <cell r="A594">
            <v>480000</v>
          </cell>
          <cell r="B594">
            <v>1015</v>
          </cell>
          <cell r="C594">
            <v>-20018.87</v>
          </cell>
          <cell r="D594" t="str">
            <v>205</v>
          </cell>
          <cell r="E594" t="str">
            <v>408</v>
          </cell>
          <cell r="F594">
            <v>0</v>
          </cell>
          <cell r="G594">
            <v>1</v>
          </cell>
          <cell r="H594" t="str">
            <v>2006-01-31</v>
          </cell>
        </row>
        <row r="595">
          <cell r="A595">
            <v>480000</v>
          </cell>
          <cell r="B595">
            <v>1015</v>
          </cell>
          <cell r="C595">
            <v>-19335.169999999998</v>
          </cell>
          <cell r="D595" t="str">
            <v>205</v>
          </cell>
          <cell r="E595" t="str">
            <v>408</v>
          </cell>
          <cell r="F595">
            <v>0</v>
          </cell>
          <cell r="G595">
            <v>1</v>
          </cell>
          <cell r="H595" t="str">
            <v>2006-01-31</v>
          </cell>
        </row>
        <row r="596">
          <cell r="A596">
            <v>480000</v>
          </cell>
          <cell r="B596">
            <v>1015</v>
          </cell>
          <cell r="C596">
            <v>-248.77</v>
          </cell>
          <cell r="D596" t="str">
            <v>205</v>
          </cell>
          <cell r="E596" t="str">
            <v>408</v>
          </cell>
          <cell r="F596">
            <v>0</v>
          </cell>
          <cell r="G596">
            <v>1</v>
          </cell>
          <cell r="H596" t="str">
            <v>2006-01-31</v>
          </cell>
        </row>
        <row r="597">
          <cell r="A597">
            <v>480000</v>
          </cell>
          <cell r="B597">
            <v>1015</v>
          </cell>
          <cell r="C597">
            <v>-4495.29</v>
          </cell>
          <cell r="D597" t="str">
            <v>205</v>
          </cell>
          <cell r="E597" t="str">
            <v>408</v>
          </cell>
          <cell r="F597">
            <v>0</v>
          </cell>
          <cell r="G597">
            <v>1</v>
          </cell>
          <cell r="H597" t="str">
            <v>2006-01-31</v>
          </cell>
        </row>
        <row r="598">
          <cell r="A598">
            <v>480000</v>
          </cell>
          <cell r="B598">
            <v>1015</v>
          </cell>
          <cell r="C598">
            <v>-60.68</v>
          </cell>
          <cell r="D598" t="str">
            <v>205</v>
          </cell>
          <cell r="E598" t="str">
            <v>408</v>
          </cell>
          <cell r="F598">
            <v>0</v>
          </cell>
          <cell r="G598">
            <v>1</v>
          </cell>
          <cell r="H598" t="str">
            <v>2006-01-31</v>
          </cell>
        </row>
        <row r="599">
          <cell r="A599">
            <v>480000</v>
          </cell>
          <cell r="B599">
            <v>1015</v>
          </cell>
          <cell r="C599">
            <v>-44.4</v>
          </cell>
          <cell r="D599" t="str">
            <v>205</v>
          </cell>
          <cell r="E599" t="str">
            <v>408</v>
          </cell>
          <cell r="F599">
            <v>0</v>
          </cell>
          <cell r="G599">
            <v>1</v>
          </cell>
          <cell r="H599" t="str">
            <v>2006-01-31</v>
          </cell>
        </row>
        <row r="600">
          <cell r="A600">
            <v>480000</v>
          </cell>
          <cell r="B600">
            <v>1015</v>
          </cell>
          <cell r="C600">
            <v>-73.930000000000007</v>
          </cell>
          <cell r="D600" t="str">
            <v>205</v>
          </cell>
          <cell r="E600" t="str">
            <v>408</v>
          </cell>
          <cell r="F600">
            <v>0</v>
          </cell>
          <cell r="G600">
            <v>1</v>
          </cell>
          <cell r="H600" t="str">
            <v>2006-01-31</v>
          </cell>
        </row>
        <row r="601">
          <cell r="A601">
            <v>480000</v>
          </cell>
          <cell r="B601">
            <v>1015</v>
          </cell>
          <cell r="C601">
            <v>-9831.23</v>
          </cell>
          <cell r="D601" t="str">
            <v>205</v>
          </cell>
          <cell r="E601" t="str">
            <v>408</v>
          </cell>
          <cell r="F601">
            <v>0</v>
          </cell>
          <cell r="G601">
            <v>1</v>
          </cell>
          <cell r="H601" t="str">
            <v>2006-01-31</v>
          </cell>
        </row>
        <row r="602">
          <cell r="A602">
            <v>480001</v>
          </cell>
          <cell r="B602">
            <v>1015</v>
          </cell>
          <cell r="C602">
            <v>42896.19</v>
          </cell>
          <cell r="D602" t="str">
            <v>205</v>
          </cell>
          <cell r="E602" t="str">
            <v>408</v>
          </cell>
          <cell r="F602">
            <v>0</v>
          </cell>
          <cell r="G602">
            <v>1</v>
          </cell>
          <cell r="H602" t="str">
            <v>2006-01-31</v>
          </cell>
        </row>
        <row r="603">
          <cell r="A603">
            <v>481004</v>
          </cell>
          <cell r="B603">
            <v>1015</v>
          </cell>
          <cell r="C603">
            <v>2.33</v>
          </cell>
          <cell r="D603" t="str">
            <v>205</v>
          </cell>
          <cell r="E603" t="str">
            <v>408</v>
          </cell>
          <cell r="F603">
            <v>0</v>
          </cell>
          <cell r="G603">
            <v>1</v>
          </cell>
          <cell r="H603" t="str">
            <v>2006-01-31</v>
          </cell>
        </row>
        <row r="604">
          <cell r="A604">
            <v>481004</v>
          </cell>
          <cell r="B604">
            <v>1015</v>
          </cell>
          <cell r="C604">
            <v>-7855.84</v>
          </cell>
          <cell r="D604" t="str">
            <v>205</v>
          </cell>
          <cell r="E604" t="str">
            <v>408</v>
          </cell>
          <cell r="F604">
            <v>0</v>
          </cell>
          <cell r="G604">
            <v>1</v>
          </cell>
          <cell r="H604" t="str">
            <v>2006-01-31</v>
          </cell>
        </row>
        <row r="605">
          <cell r="A605">
            <v>481004</v>
          </cell>
          <cell r="B605">
            <v>1015</v>
          </cell>
          <cell r="C605">
            <v>-870.68</v>
          </cell>
          <cell r="D605" t="str">
            <v>205</v>
          </cell>
          <cell r="E605" t="str">
            <v>408</v>
          </cell>
          <cell r="F605">
            <v>0</v>
          </cell>
          <cell r="G605">
            <v>1</v>
          </cell>
          <cell r="H605" t="str">
            <v>2006-01-31</v>
          </cell>
        </row>
        <row r="606">
          <cell r="A606">
            <v>481004</v>
          </cell>
          <cell r="B606">
            <v>1015</v>
          </cell>
          <cell r="C606">
            <v>-12137.23</v>
          </cell>
          <cell r="D606" t="str">
            <v>205</v>
          </cell>
          <cell r="E606" t="str">
            <v>408</v>
          </cell>
          <cell r="F606">
            <v>0</v>
          </cell>
          <cell r="G606">
            <v>1</v>
          </cell>
          <cell r="H606" t="str">
            <v>2006-01-31</v>
          </cell>
        </row>
        <row r="607">
          <cell r="A607">
            <v>481004</v>
          </cell>
          <cell r="B607">
            <v>1015</v>
          </cell>
          <cell r="C607">
            <v>-11375.89</v>
          </cell>
          <cell r="D607" t="str">
            <v>205</v>
          </cell>
          <cell r="E607" t="str">
            <v>408</v>
          </cell>
          <cell r="F607">
            <v>0</v>
          </cell>
          <cell r="G607">
            <v>1</v>
          </cell>
          <cell r="H607" t="str">
            <v>2006-01-31</v>
          </cell>
        </row>
        <row r="608">
          <cell r="A608">
            <v>481004</v>
          </cell>
          <cell r="B608">
            <v>1015</v>
          </cell>
          <cell r="C608">
            <v>-57.89</v>
          </cell>
          <cell r="D608" t="str">
            <v>205</v>
          </cell>
          <cell r="E608" t="str">
            <v>408</v>
          </cell>
          <cell r="F608">
            <v>0</v>
          </cell>
          <cell r="G608">
            <v>1</v>
          </cell>
          <cell r="H608" t="str">
            <v>2006-01-31</v>
          </cell>
        </row>
        <row r="609">
          <cell r="A609">
            <v>481004</v>
          </cell>
          <cell r="B609">
            <v>1015</v>
          </cell>
          <cell r="C609">
            <v>-270.05</v>
          </cell>
          <cell r="D609" t="str">
            <v>205</v>
          </cell>
          <cell r="E609" t="str">
            <v>408</v>
          </cell>
          <cell r="F609">
            <v>0</v>
          </cell>
          <cell r="G609">
            <v>1</v>
          </cell>
          <cell r="H609" t="str">
            <v>2006-01-31</v>
          </cell>
        </row>
        <row r="610">
          <cell r="A610">
            <v>481004</v>
          </cell>
          <cell r="B610">
            <v>1015</v>
          </cell>
          <cell r="C610">
            <v>-1.22</v>
          </cell>
          <cell r="D610" t="str">
            <v>205</v>
          </cell>
          <cell r="E610" t="str">
            <v>408</v>
          </cell>
          <cell r="F610">
            <v>0</v>
          </cell>
          <cell r="G610">
            <v>1</v>
          </cell>
          <cell r="H610" t="str">
            <v>2006-01-31</v>
          </cell>
        </row>
        <row r="611">
          <cell r="A611">
            <v>481004</v>
          </cell>
          <cell r="B611">
            <v>1015</v>
          </cell>
          <cell r="C611">
            <v>-848.46</v>
          </cell>
          <cell r="D611" t="str">
            <v>205</v>
          </cell>
          <cell r="E611" t="str">
            <v>408</v>
          </cell>
          <cell r="F611">
            <v>0</v>
          </cell>
          <cell r="G611">
            <v>1</v>
          </cell>
          <cell r="H611" t="str">
            <v>2006-01-31</v>
          </cell>
        </row>
        <row r="612">
          <cell r="A612">
            <v>481004</v>
          </cell>
          <cell r="B612">
            <v>1015</v>
          </cell>
          <cell r="C612">
            <v>-1533.75</v>
          </cell>
          <cell r="D612" t="str">
            <v>205</v>
          </cell>
          <cell r="E612" t="str">
            <v>408</v>
          </cell>
          <cell r="F612">
            <v>0</v>
          </cell>
          <cell r="G612">
            <v>1</v>
          </cell>
          <cell r="H612" t="str">
            <v>2006-01-31</v>
          </cell>
        </row>
        <row r="613">
          <cell r="A613">
            <v>480000</v>
          </cell>
          <cell r="B613">
            <v>1015</v>
          </cell>
          <cell r="C613">
            <v>-10874.44</v>
          </cell>
          <cell r="D613" t="str">
            <v>205</v>
          </cell>
          <cell r="E613" t="str">
            <v>453</v>
          </cell>
          <cell r="F613">
            <v>0</v>
          </cell>
          <cell r="G613">
            <v>1</v>
          </cell>
          <cell r="H613" t="str">
            <v>2006-01-31</v>
          </cell>
        </row>
        <row r="614">
          <cell r="A614">
            <v>480000</v>
          </cell>
          <cell r="B614">
            <v>1015</v>
          </cell>
          <cell r="C614">
            <v>-417.51</v>
          </cell>
          <cell r="D614" t="str">
            <v>205</v>
          </cell>
          <cell r="E614" t="str">
            <v>453</v>
          </cell>
          <cell r="F614">
            <v>0</v>
          </cell>
          <cell r="G614">
            <v>1</v>
          </cell>
          <cell r="H614" t="str">
            <v>2006-01-31</v>
          </cell>
        </row>
        <row r="615">
          <cell r="A615">
            <v>480000</v>
          </cell>
          <cell r="B615">
            <v>1015</v>
          </cell>
          <cell r="C615">
            <v>-9991.93</v>
          </cell>
          <cell r="D615" t="str">
            <v>205</v>
          </cell>
          <cell r="E615" t="str">
            <v>453</v>
          </cell>
          <cell r="F615">
            <v>0</v>
          </cell>
          <cell r="G615">
            <v>1</v>
          </cell>
          <cell r="H615" t="str">
            <v>2006-01-31</v>
          </cell>
        </row>
        <row r="616">
          <cell r="A616">
            <v>480000</v>
          </cell>
          <cell r="B616">
            <v>1015</v>
          </cell>
          <cell r="C616">
            <v>-13665.58</v>
          </cell>
          <cell r="D616" t="str">
            <v>205</v>
          </cell>
          <cell r="E616" t="str">
            <v>453</v>
          </cell>
          <cell r="F616">
            <v>0</v>
          </cell>
          <cell r="G616">
            <v>1</v>
          </cell>
          <cell r="H616" t="str">
            <v>2006-01-31</v>
          </cell>
        </row>
        <row r="617">
          <cell r="A617">
            <v>480000</v>
          </cell>
          <cell r="B617">
            <v>1015</v>
          </cell>
          <cell r="C617">
            <v>-23911.81</v>
          </cell>
          <cell r="D617" t="str">
            <v>205</v>
          </cell>
          <cell r="E617" t="str">
            <v>453</v>
          </cell>
          <cell r="F617">
            <v>0</v>
          </cell>
          <cell r="G617">
            <v>1</v>
          </cell>
          <cell r="H617" t="str">
            <v>2006-01-31</v>
          </cell>
        </row>
        <row r="618">
          <cell r="A618">
            <v>480000</v>
          </cell>
          <cell r="B618">
            <v>1015</v>
          </cell>
          <cell r="C618">
            <v>-11689.09</v>
          </cell>
          <cell r="D618" t="str">
            <v>205</v>
          </cell>
          <cell r="E618" t="str">
            <v>453</v>
          </cell>
          <cell r="F618">
            <v>0</v>
          </cell>
          <cell r="G618">
            <v>1</v>
          </cell>
          <cell r="H618" t="str">
            <v>2006-01-31</v>
          </cell>
        </row>
        <row r="619">
          <cell r="A619">
            <v>480000</v>
          </cell>
          <cell r="B619">
            <v>1015</v>
          </cell>
          <cell r="C619">
            <v>-10679.16</v>
          </cell>
          <cell r="D619" t="str">
            <v>205</v>
          </cell>
          <cell r="E619" t="str">
            <v>453</v>
          </cell>
          <cell r="F619">
            <v>0</v>
          </cell>
          <cell r="G619">
            <v>1</v>
          </cell>
          <cell r="H619" t="str">
            <v>2006-01-31</v>
          </cell>
        </row>
        <row r="620">
          <cell r="A620">
            <v>480000</v>
          </cell>
          <cell r="B620">
            <v>1015</v>
          </cell>
          <cell r="C620">
            <v>-217.61</v>
          </cell>
          <cell r="D620" t="str">
            <v>205</v>
          </cell>
          <cell r="E620" t="str">
            <v>453</v>
          </cell>
          <cell r="F620">
            <v>0</v>
          </cell>
          <cell r="G620">
            <v>1</v>
          </cell>
          <cell r="H620" t="str">
            <v>2006-01-31</v>
          </cell>
        </row>
        <row r="621">
          <cell r="A621">
            <v>480000</v>
          </cell>
          <cell r="B621">
            <v>1015</v>
          </cell>
          <cell r="C621">
            <v>-7151.25</v>
          </cell>
          <cell r="D621" t="str">
            <v>205</v>
          </cell>
          <cell r="E621" t="str">
            <v>453</v>
          </cell>
          <cell r="F621">
            <v>0</v>
          </cell>
          <cell r="G621">
            <v>1</v>
          </cell>
          <cell r="H621" t="str">
            <v>2006-01-31</v>
          </cell>
        </row>
        <row r="622">
          <cell r="A622">
            <v>480000</v>
          </cell>
          <cell r="B622">
            <v>1015</v>
          </cell>
          <cell r="C622">
            <v>-346.36</v>
          </cell>
          <cell r="D622" t="str">
            <v>205</v>
          </cell>
          <cell r="E622" t="str">
            <v>453</v>
          </cell>
          <cell r="F622">
            <v>0</v>
          </cell>
          <cell r="G622">
            <v>1</v>
          </cell>
          <cell r="H622" t="str">
            <v>2006-01-31</v>
          </cell>
        </row>
        <row r="623">
          <cell r="A623">
            <v>480000</v>
          </cell>
          <cell r="B623">
            <v>1015</v>
          </cell>
          <cell r="C623">
            <v>-31074.400000000001</v>
          </cell>
          <cell r="D623" t="str">
            <v>205</v>
          </cell>
          <cell r="E623" t="str">
            <v>453</v>
          </cell>
          <cell r="F623">
            <v>0</v>
          </cell>
          <cell r="G623">
            <v>1</v>
          </cell>
          <cell r="H623" t="str">
            <v>2006-01-31</v>
          </cell>
        </row>
        <row r="624">
          <cell r="A624">
            <v>480001</v>
          </cell>
          <cell r="B624">
            <v>1015</v>
          </cell>
          <cell r="C624">
            <v>32469.279999999999</v>
          </cell>
          <cell r="D624" t="str">
            <v>205</v>
          </cell>
          <cell r="E624" t="str">
            <v>453</v>
          </cell>
          <cell r="F624">
            <v>0</v>
          </cell>
          <cell r="G624">
            <v>1</v>
          </cell>
          <cell r="H624" t="str">
            <v>2006-01-31</v>
          </cell>
        </row>
        <row r="625">
          <cell r="A625">
            <v>481004</v>
          </cell>
          <cell r="B625">
            <v>1015</v>
          </cell>
          <cell r="C625">
            <v>-4269.2299999999996</v>
          </cell>
          <cell r="D625" t="str">
            <v>205</v>
          </cell>
          <cell r="E625" t="str">
            <v>453</v>
          </cell>
          <cell r="F625">
            <v>0</v>
          </cell>
          <cell r="G625">
            <v>1</v>
          </cell>
          <cell r="H625" t="str">
            <v>2006-01-31</v>
          </cell>
        </row>
        <row r="626">
          <cell r="A626">
            <v>481004</v>
          </cell>
          <cell r="B626">
            <v>1015</v>
          </cell>
          <cell r="C626">
            <v>-134.94999999999999</v>
          </cell>
          <cell r="D626" t="str">
            <v>205</v>
          </cell>
          <cell r="E626" t="str">
            <v>453</v>
          </cell>
          <cell r="F626">
            <v>0</v>
          </cell>
          <cell r="G626">
            <v>1</v>
          </cell>
          <cell r="H626" t="str">
            <v>2006-01-31</v>
          </cell>
        </row>
        <row r="627">
          <cell r="A627">
            <v>481004</v>
          </cell>
          <cell r="B627">
            <v>1015</v>
          </cell>
          <cell r="C627">
            <v>-11282.41</v>
          </cell>
          <cell r="D627" t="str">
            <v>205</v>
          </cell>
          <cell r="E627" t="str">
            <v>453</v>
          </cell>
          <cell r="F627">
            <v>0</v>
          </cell>
          <cell r="G627">
            <v>1</v>
          </cell>
          <cell r="H627" t="str">
            <v>2006-01-31</v>
          </cell>
        </row>
        <row r="628">
          <cell r="A628">
            <v>481004</v>
          </cell>
          <cell r="B628">
            <v>1015</v>
          </cell>
          <cell r="C628">
            <v>-6419.41</v>
          </cell>
          <cell r="D628" t="str">
            <v>205</v>
          </cell>
          <cell r="E628" t="str">
            <v>453</v>
          </cell>
          <cell r="F628">
            <v>0</v>
          </cell>
          <cell r="G628">
            <v>1</v>
          </cell>
          <cell r="H628" t="str">
            <v>2006-01-31</v>
          </cell>
        </row>
        <row r="629">
          <cell r="A629">
            <v>481004</v>
          </cell>
          <cell r="B629">
            <v>1015</v>
          </cell>
          <cell r="C629">
            <v>-7118.06</v>
          </cell>
          <cell r="D629" t="str">
            <v>205</v>
          </cell>
          <cell r="E629" t="str">
            <v>453</v>
          </cell>
          <cell r="F629">
            <v>0</v>
          </cell>
          <cell r="G629">
            <v>1</v>
          </cell>
          <cell r="H629" t="str">
            <v>2006-01-31</v>
          </cell>
        </row>
        <row r="630">
          <cell r="A630">
            <v>481004</v>
          </cell>
          <cell r="B630">
            <v>1015</v>
          </cell>
          <cell r="C630">
            <v>-2994.66</v>
          </cell>
          <cell r="D630" t="str">
            <v>205</v>
          </cell>
          <cell r="E630" t="str">
            <v>453</v>
          </cell>
          <cell r="F630">
            <v>0</v>
          </cell>
          <cell r="G630">
            <v>1</v>
          </cell>
          <cell r="H630" t="str">
            <v>2006-01-31</v>
          </cell>
        </row>
        <row r="631">
          <cell r="A631">
            <v>481004</v>
          </cell>
          <cell r="B631">
            <v>1015</v>
          </cell>
          <cell r="C631">
            <v>-4507.8</v>
          </cell>
          <cell r="D631" t="str">
            <v>205</v>
          </cell>
          <cell r="E631" t="str">
            <v>453</v>
          </cell>
          <cell r="F631">
            <v>0</v>
          </cell>
          <cell r="G631">
            <v>1</v>
          </cell>
          <cell r="H631" t="str">
            <v>2006-01-31</v>
          </cell>
        </row>
        <row r="632">
          <cell r="A632">
            <v>481004</v>
          </cell>
          <cell r="B632">
            <v>1015</v>
          </cell>
          <cell r="C632">
            <v>-34.94</v>
          </cell>
          <cell r="D632" t="str">
            <v>205</v>
          </cell>
          <cell r="E632" t="str">
            <v>453</v>
          </cell>
          <cell r="F632">
            <v>0</v>
          </cell>
          <cell r="G632">
            <v>1</v>
          </cell>
          <cell r="H632" t="str">
            <v>2006-01-31</v>
          </cell>
        </row>
        <row r="633">
          <cell r="A633">
            <v>481004</v>
          </cell>
          <cell r="B633">
            <v>1015</v>
          </cell>
          <cell r="C633">
            <v>-4624.22</v>
          </cell>
          <cell r="D633" t="str">
            <v>205</v>
          </cell>
          <cell r="E633" t="str">
            <v>453</v>
          </cell>
          <cell r="F633">
            <v>0</v>
          </cell>
          <cell r="G633">
            <v>1</v>
          </cell>
          <cell r="H633" t="str">
            <v>2006-01-31</v>
          </cell>
        </row>
        <row r="634">
          <cell r="A634">
            <v>481004</v>
          </cell>
          <cell r="B634">
            <v>1015</v>
          </cell>
          <cell r="C634">
            <v>-104.56</v>
          </cell>
          <cell r="D634" t="str">
            <v>205</v>
          </cell>
          <cell r="E634" t="str">
            <v>453</v>
          </cell>
          <cell r="F634">
            <v>0</v>
          </cell>
          <cell r="G634">
            <v>1</v>
          </cell>
          <cell r="H634" t="str">
            <v>2006-01-31</v>
          </cell>
        </row>
        <row r="635">
          <cell r="A635">
            <v>481004</v>
          </cell>
          <cell r="B635">
            <v>1015</v>
          </cell>
          <cell r="C635">
            <v>-13059.9</v>
          </cell>
          <cell r="D635" t="str">
            <v>205</v>
          </cell>
          <cell r="E635" t="str">
            <v>453</v>
          </cell>
          <cell r="F635">
            <v>0</v>
          </cell>
          <cell r="G635">
            <v>1</v>
          </cell>
          <cell r="H635" t="str">
            <v>2006-01-31</v>
          </cell>
        </row>
        <row r="636">
          <cell r="A636">
            <v>480000</v>
          </cell>
          <cell r="B636">
            <v>1015</v>
          </cell>
          <cell r="C636">
            <v>-7079.35</v>
          </cell>
          <cell r="D636" t="str">
            <v>205</v>
          </cell>
          <cell r="E636" t="str">
            <v>455</v>
          </cell>
          <cell r="F636">
            <v>0</v>
          </cell>
          <cell r="G636">
            <v>1</v>
          </cell>
          <cell r="H636" t="str">
            <v>2006-01-31</v>
          </cell>
        </row>
        <row r="637">
          <cell r="A637">
            <v>480000</v>
          </cell>
          <cell r="B637">
            <v>1015</v>
          </cell>
          <cell r="C637">
            <v>-151.72999999999999</v>
          </cell>
          <cell r="D637" t="str">
            <v>205</v>
          </cell>
          <cell r="E637" t="str">
            <v>455</v>
          </cell>
          <cell r="F637">
            <v>0</v>
          </cell>
          <cell r="G637">
            <v>1</v>
          </cell>
          <cell r="H637" t="str">
            <v>2006-01-31</v>
          </cell>
        </row>
        <row r="638">
          <cell r="A638">
            <v>480000</v>
          </cell>
          <cell r="B638">
            <v>1015</v>
          </cell>
          <cell r="C638">
            <v>-22.2</v>
          </cell>
          <cell r="D638" t="str">
            <v>205</v>
          </cell>
          <cell r="E638" t="str">
            <v>455</v>
          </cell>
          <cell r="F638">
            <v>0</v>
          </cell>
          <cell r="G638">
            <v>1</v>
          </cell>
          <cell r="H638" t="str">
            <v>2006-01-31</v>
          </cell>
        </row>
        <row r="639">
          <cell r="A639">
            <v>480000</v>
          </cell>
          <cell r="B639">
            <v>1015</v>
          </cell>
          <cell r="C639">
            <v>0</v>
          </cell>
          <cell r="D639" t="str">
            <v>205</v>
          </cell>
          <cell r="E639" t="str">
            <v>455</v>
          </cell>
          <cell r="F639">
            <v>0</v>
          </cell>
          <cell r="G639">
            <v>1</v>
          </cell>
          <cell r="H639" t="str">
            <v>2006-01-31</v>
          </cell>
        </row>
        <row r="640">
          <cell r="A640">
            <v>480000</v>
          </cell>
          <cell r="B640">
            <v>1015</v>
          </cell>
          <cell r="C640">
            <v>-5.68</v>
          </cell>
          <cell r="D640" t="str">
            <v>205</v>
          </cell>
          <cell r="E640" t="str">
            <v>455</v>
          </cell>
          <cell r="F640">
            <v>0</v>
          </cell>
          <cell r="G640">
            <v>1</v>
          </cell>
          <cell r="H640" t="str">
            <v>2006-01-31</v>
          </cell>
        </row>
        <row r="641">
          <cell r="A641">
            <v>480000</v>
          </cell>
          <cell r="B641">
            <v>1015</v>
          </cell>
          <cell r="C641">
            <v>-17.760000000000002</v>
          </cell>
          <cell r="D641" t="str">
            <v>205</v>
          </cell>
          <cell r="E641" t="str">
            <v>455</v>
          </cell>
          <cell r="F641">
            <v>0</v>
          </cell>
          <cell r="G641">
            <v>1</v>
          </cell>
          <cell r="H641" t="str">
            <v>2006-01-31</v>
          </cell>
        </row>
        <row r="642">
          <cell r="A642">
            <v>480001</v>
          </cell>
          <cell r="B642">
            <v>1015</v>
          </cell>
          <cell r="C642">
            <v>12654.68</v>
          </cell>
          <cell r="D642" t="str">
            <v>205</v>
          </cell>
          <cell r="E642" t="str">
            <v>455</v>
          </cell>
          <cell r="F642">
            <v>0</v>
          </cell>
          <cell r="G642">
            <v>1</v>
          </cell>
          <cell r="H642" t="str">
            <v>2006-01-31</v>
          </cell>
        </row>
        <row r="643">
          <cell r="A643">
            <v>481004</v>
          </cell>
          <cell r="B643">
            <v>1015</v>
          </cell>
          <cell r="C643">
            <v>-4905.83</v>
          </cell>
          <cell r="D643" t="str">
            <v>205</v>
          </cell>
          <cell r="E643" t="str">
            <v>455</v>
          </cell>
          <cell r="F643">
            <v>0</v>
          </cell>
          <cell r="G643">
            <v>1</v>
          </cell>
          <cell r="H643" t="str">
            <v>2006-01-31</v>
          </cell>
        </row>
        <row r="644">
          <cell r="A644">
            <v>481004</v>
          </cell>
          <cell r="B644">
            <v>1015</v>
          </cell>
          <cell r="C644">
            <v>-340.03</v>
          </cell>
          <cell r="D644" t="str">
            <v>205</v>
          </cell>
          <cell r="E644" t="str">
            <v>455</v>
          </cell>
          <cell r="F644">
            <v>0</v>
          </cell>
          <cell r="G644">
            <v>1</v>
          </cell>
          <cell r="H644" t="str">
            <v>2006-01-31</v>
          </cell>
        </row>
        <row r="645">
          <cell r="A645">
            <v>481004</v>
          </cell>
          <cell r="B645">
            <v>1015</v>
          </cell>
          <cell r="C645">
            <v>-67.83</v>
          </cell>
          <cell r="D645" t="str">
            <v>205</v>
          </cell>
          <cell r="E645" t="str">
            <v>455</v>
          </cell>
          <cell r="F645">
            <v>0</v>
          </cell>
          <cell r="G645">
            <v>1</v>
          </cell>
          <cell r="H645" t="str">
            <v>2006-01-31</v>
          </cell>
        </row>
        <row r="646">
          <cell r="A646">
            <v>481004</v>
          </cell>
          <cell r="B646">
            <v>1015</v>
          </cell>
          <cell r="C646">
            <v>-23.06</v>
          </cell>
          <cell r="D646" t="str">
            <v>205</v>
          </cell>
          <cell r="E646" t="str">
            <v>455</v>
          </cell>
          <cell r="F646">
            <v>0</v>
          </cell>
          <cell r="G646">
            <v>1</v>
          </cell>
          <cell r="H646" t="str">
            <v>2006-01-31</v>
          </cell>
        </row>
        <row r="647">
          <cell r="A647">
            <v>481004</v>
          </cell>
          <cell r="B647">
            <v>1015</v>
          </cell>
          <cell r="C647">
            <v>-41.21</v>
          </cell>
          <cell r="D647" t="str">
            <v>205</v>
          </cell>
          <cell r="E647" t="str">
            <v>455</v>
          </cell>
          <cell r="F647">
            <v>0</v>
          </cell>
          <cell r="G647">
            <v>1</v>
          </cell>
          <cell r="H647" t="str">
            <v>2006-01-31</v>
          </cell>
        </row>
        <row r="648">
          <cell r="A648">
            <v>481000</v>
          </cell>
          <cell r="B648">
            <v>1015</v>
          </cell>
          <cell r="C648">
            <v>0</v>
          </cell>
          <cell r="D648" t="str">
            <v>210</v>
          </cell>
          <cell r="E648" t="str">
            <v>402</v>
          </cell>
          <cell r="F648">
            <v>0</v>
          </cell>
          <cell r="G648">
            <v>2</v>
          </cell>
          <cell r="H648" t="str">
            <v>2006-02-28</v>
          </cell>
        </row>
        <row r="649">
          <cell r="A649">
            <v>481000</v>
          </cell>
          <cell r="B649">
            <v>1015</v>
          </cell>
          <cell r="C649">
            <v>4980289.62</v>
          </cell>
          <cell r="D649" t="str">
            <v>210</v>
          </cell>
          <cell r="E649" t="str">
            <v>402</v>
          </cell>
          <cell r="F649">
            <v>927877</v>
          </cell>
          <cell r="G649">
            <v>2</v>
          </cell>
          <cell r="H649" t="str">
            <v>2006-02-28</v>
          </cell>
        </row>
        <row r="650">
          <cell r="A650">
            <v>481000</v>
          </cell>
          <cell r="B650">
            <v>1015</v>
          </cell>
          <cell r="C650">
            <v>-4980289.62</v>
          </cell>
          <cell r="D650" t="str">
            <v>210</v>
          </cell>
          <cell r="E650" t="str">
            <v>402</v>
          </cell>
          <cell r="F650">
            <v>-927877</v>
          </cell>
          <cell r="G650">
            <v>2</v>
          </cell>
          <cell r="H650" t="str">
            <v>2006-02-28</v>
          </cell>
        </row>
        <row r="651">
          <cell r="A651">
            <v>481004</v>
          </cell>
          <cell r="B651">
            <v>1015</v>
          </cell>
          <cell r="C651">
            <v>0</v>
          </cell>
          <cell r="D651" t="str">
            <v>210</v>
          </cell>
          <cell r="E651" t="str">
            <v>402</v>
          </cell>
          <cell r="F651">
            <v>0</v>
          </cell>
          <cell r="G651">
            <v>2</v>
          </cell>
          <cell r="H651" t="str">
            <v>2006-02-28</v>
          </cell>
        </row>
        <row r="652">
          <cell r="A652">
            <v>481004</v>
          </cell>
          <cell r="B652">
            <v>1015</v>
          </cell>
          <cell r="C652">
            <v>-4327182.79</v>
          </cell>
          <cell r="D652" t="str">
            <v>210</v>
          </cell>
          <cell r="E652" t="str">
            <v>402</v>
          </cell>
          <cell r="F652">
            <v>-842511</v>
          </cell>
          <cell r="G652">
            <v>2</v>
          </cell>
          <cell r="H652" t="str">
            <v>2006-02-28</v>
          </cell>
        </row>
        <row r="653">
          <cell r="A653">
            <v>481004</v>
          </cell>
          <cell r="B653">
            <v>1015</v>
          </cell>
          <cell r="C653">
            <v>4327182.79</v>
          </cell>
          <cell r="D653" t="str">
            <v>210</v>
          </cell>
          <cell r="E653" t="str">
            <v>402</v>
          </cell>
          <cell r="F653">
            <v>842511</v>
          </cell>
          <cell r="G653">
            <v>2</v>
          </cell>
          <cell r="H653" t="str">
            <v>2006-02-28</v>
          </cell>
        </row>
        <row r="654">
          <cell r="A654">
            <v>481000</v>
          </cell>
          <cell r="B654">
            <v>1015</v>
          </cell>
          <cell r="C654">
            <v>0</v>
          </cell>
          <cell r="D654" t="str">
            <v>210</v>
          </cell>
          <cell r="E654" t="str">
            <v>403</v>
          </cell>
          <cell r="F654">
            <v>0</v>
          </cell>
          <cell r="G654">
            <v>2</v>
          </cell>
          <cell r="H654" t="str">
            <v>2006-02-28</v>
          </cell>
        </row>
        <row r="655">
          <cell r="A655">
            <v>481000</v>
          </cell>
          <cell r="B655">
            <v>1015</v>
          </cell>
          <cell r="C655">
            <v>0</v>
          </cell>
          <cell r="D655" t="str">
            <v>210</v>
          </cell>
          <cell r="E655" t="str">
            <v>403</v>
          </cell>
          <cell r="F655">
            <v>0</v>
          </cell>
          <cell r="G655">
            <v>2</v>
          </cell>
          <cell r="H655" t="str">
            <v>2006-02-28</v>
          </cell>
        </row>
        <row r="656">
          <cell r="A656">
            <v>481000</v>
          </cell>
          <cell r="B656">
            <v>1015</v>
          </cell>
          <cell r="C656">
            <v>0</v>
          </cell>
          <cell r="D656" t="str">
            <v>210</v>
          </cell>
          <cell r="E656" t="str">
            <v>403</v>
          </cell>
          <cell r="F656">
            <v>0</v>
          </cell>
          <cell r="G656">
            <v>2</v>
          </cell>
          <cell r="H656" t="str">
            <v>2006-02-28</v>
          </cell>
        </row>
        <row r="657">
          <cell r="A657">
            <v>481004</v>
          </cell>
          <cell r="B657">
            <v>1015</v>
          </cell>
          <cell r="C657">
            <v>0</v>
          </cell>
          <cell r="D657" t="str">
            <v>210</v>
          </cell>
          <cell r="E657" t="str">
            <v>403</v>
          </cell>
          <cell r="F657">
            <v>0</v>
          </cell>
          <cell r="G657">
            <v>2</v>
          </cell>
          <cell r="H657" t="str">
            <v>2006-02-28</v>
          </cell>
        </row>
        <row r="658">
          <cell r="A658">
            <v>481004</v>
          </cell>
          <cell r="B658">
            <v>1015</v>
          </cell>
          <cell r="C658">
            <v>0</v>
          </cell>
          <cell r="D658" t="str">
            <v>210</v>
          </cell>
          <cell r="E658" t="str">
            <v>403</v>
          </cell>
          <cell r="F658">
            <v>0</v>
          </cell>
          <cell r="G658">
            <v>2</v>
          </cell>
          <cell r="H658" t="str">
            <v>2006-02-28</v>
          </cell>
        </row>
        <row r="659">
          <cell r="A659">
            <v>481004</v>
          </cell>
          <cell r="B659">
            <v>1015</v>
          </cell>
          <cell r="C659">
            <v>0</v>
          </cell>
          <cell r="D659" t="str">
            <v>210</v>
          </cell>
          <cell r="E659" t="str">
            <v>403</v>
          </cell>
          <cell r="F659">
            <v>0</v>
          </cell>
          <cell r="G659">
            <v>2</v>
          </cell>
          <cell r="H659" t="str">
            <v>2006-02-28</v>
          </cell>
        </row>
        <row r="660">
          <cell r="A660">
            <v>481000</v>
          </cell>
          <cell r="B660">
            <v>1015</v>
          </cell>
          <cell r="C660">
            <v>0</v>
          </cell>
          <cell r="D660" t="str">
            <v>210</v>
          </cell>
          <cell r="E660" t="str">
            <v>404</v>
          </cell>
          <cell r="F660">
            <v>0</v>
          </cell>
          <cell r="G660">
            <v>2</v>
          </cell>
          <cell r="H660" t="str">
            <v>2006-02-28</v>
          </cell>
        </row>
        <row r="661">
          <cell r="A661">
            <v>481000</v>
          </cell>
          <cell r="B661">
            <v>1015</v>
          </cell>
          <cell r="C661">
            <v>0</v>
          </cell>
          <cell r="D661" t="str">
            <v>210</v>
          </cell>
          <cell r="E661" t="str">
            <v>404</v>
          </cell>
          <cell r="F661">
            <v>0</v>
          </cell>
          <cell r="G661">
            <v>2</v>
          </cell>
          <cell r="H661" t="str">
            <v>2006-02-28</v>
          </cell>
        </row>
        <row r="662">
          <cell r="A662">
            <v>481000</v>
          </cell>
          <cell r="B662">
            <v>1015</v>
          </cell>
          <cell r="C662">
            <v>0</v>
          </cell>
          <cell r="D662" t="str">
            <v>210</v>
          </cell>
          <cell r="E662" t="str">
            <v>404</v>
          </cell>
          <cell r="F662">
            <v>0</v>
          </cell>
          <cell r="G662">
            <v>2</v>
          </cell>
          <cell r="H662" t="str">
            <v>2006-02-28</v>
          </cell>
        </row>
        <row r="663">
          <cell r="A663">
            <v>481004</v>
          </cell>
          <cell r="B663">
            <v>1015</v>
          </cell>
          <cell r="C663">
            <v>0</v>
          </cell>
          <cell r="D663" t="str">
            <v>210</v>
          </cell>
          <cell r="E663" t="str">
            <v>404</v>
          </cell>
          <cell r="F663">
            <v>0</v>
          </cell>
          <cell r="G663">
            <v>2</v>
          </cell>
          <cell r="H663" t="str">
            <v>2006-02-28</v>
          </cell>
        </row>
        <row r="664">
          <cell r="A664">
            <v>481004</v>
          </cell>
          <cell r="B664">
            <v>1015</v>
          </cell>
          <cell r="C664">
            <v>0</v>
          </cell>
          <cell r="D664" t="str">
            <v>210</v>
          </cell>
          <cell r="E664" t="str">
            <v>404</v>
          </cell>
          <cell r="F664">
            <v>0</v>
          </cell>
          <cell r="G664">
            <v>2</v>
          </cell>
          <cell r="H664" t="str">
            <v>2006-02-28</v>
          </cell>
        </row>
        <row r="665">
          <cell r="A665">
            <v>481004</v>
          </cell>
          <cell r="B665">
            <v>1015</v>
          </cell>
          <cell r="C665">
            <v>0</v>
          </cell>
          <cell r="D665" t="str">
            <v>210</v>
          </cell>
          <cell r="E665" t="str">
            <v>404</v>
          </cell>
          <cell r="F665">
            <v>0</v>
          </cell>
          <cell r="G665">
            <v>2</v>
          </cell>
          <cell r="H665" t="str">
            <v>2006-02-28</v>
          </cell>
        </row>
        <row r="666">
          <cell r="A666">
            <v>480000</v>
          </cell>
          <cell r="B666">
            <v>1015</v>
          </cell>
          <cell r="C666">
            <v>0.01</v>
          </cell>
          <cell r="D666" t="str">
            <v>210</v>
          </cell>
          <cell r="E666" t="str">
            <v>407</v>
          </cell>
          <cell r="F666">
            <v>0</v>
          </cell>
          <cell r="G666">
            <v>2</v>
          </cell>
          <cell r="H666" t="str">
            <v>2006-02-28</v>
          </cell>
        </row>
        <row r="667">
          <cell r="A667">
            <v>480000</v>
          </cell>
          <cell r="B667">
            <v>1015</v>
          </cell>
          <cell r="C667">
            <v>17.47</v>
          </cell>
          <cell r="D667" t="str">
            <v>210</v>
          </cell>
          <cell r="E667" t="str">
            <v>407</v>
          </cell>
          <cell r="F667">
            <v>2</v>
          </cell>
          <cell r="G667">
            <v>2</v>
          </cell>
          <cell r="H667" t="str">
            <v>2006-02-28</v>
          </cell>
        </row>
        <row r="668">
          <cell r="A668">
            <v>480000</v>
          </cell>
          <cell r="B668">
            <v>1015</v>
          </cell>
          <cell r="C668">
            <v>1131.82</v>
          </cell>
          <cell r="D668" t="str">
            <v>210</v>
          </cell>
          <cell r="E668" t="str">
            <v>407</v>
          </cell>
          <cell r="F668">
            <v>162.6</v>
          </cell>
          <cell r="G668">
            <v>2</v>
          </cell>
          <cell r="H668" t="str">
            <v>2006-02-28</v>
          </cell>
        </row>
        <row r="669">
          <cell r="A669">
            <v>480000</v>
          </cell>
          <cell r="B669">
            <v>1015</v>
          </cell>
          <cell r="C669">
            <v>685.28</v>
          </cell>
          <cell r="D669" t="str">
            <v>210</v>
          </cell>
          <cell r="E669" t="str">
            <v>407</v>
          </cell>
          <cell r="F669">
            <v>94.8</v>
          </cell>
          <cell r="G669">
            <v>2</v>
          </cell>
          <cell r="H669" t="str">
            <v>2006-02-28</v>
          </cell>
        </row>
        <row r="670">
          <cell r="A670">
            <v>480000</v>
          </cell>
          <cell r="B670">
            <v>1015</v>
          </cell>
          <cell r="C670">
            <v>263.76</v>
          </cell>
          <cell r="D670" t="str">
            <v>210</v>
          </cell>
          <cell r="E670" t="str">
            <v>407</v>
          </cell>
          <cell r="F670">
            <v>31.4</v>
          </cell>
          <cell r="G670">
            <v>2</v>
          </cell>
          <cell r="H670" t="str">
            <v>2006-02-28</v>
          </cell>
        </row>
        <row r="671">
          <cell r="A671">
            <v>480000</v>
          </cell>
          <cell r="B671">
            <v>1015</v>
          </cell>
          <cell r="C671">
            <v>2029.03</v>
          </cell>
          <cell r="D671" t="str">
            <v>210</v>
          </cell>
          <cell r="E671" t="str">
            <v>407</v>
          </cell>
          <cell r="F671">
            <v>283.7</v>
          </cell>
          <cell r="G671">
            <v>2</v>
          </cell>
          <cell r="H671" t="str">
            <v>2006-02-28</v>
          </cell>
        </row>
        <row r="672">
          <cell r="A672">
            <v>480000</v>
          </cell>
          <cell r="B672">
            <v>1015</v>
          </cell>
          <cell r="C672">
            <v>611.46</v>
          </cell>
          <cell r="D672" t="str">
            <v>210</v>
          </cell>
          <cell r="E672" t="str">
            <v>407</v>
          </cell>
          <cell r="F672">
            <v>88.1</v>
          </cell>
          <cell r="G672">
            <v>2</v>
          </cell>
          <cell r="H672" t="str">
            <v>2006-02-28</v>
          </cell>
        </row>
        <row r="673">
          <cell r="A673">
            <v>480000</v>
          </cell>
          <cell r="B673">
            <v>1015</v>
          </cell>
          <cell r="C673">
            <v>49.79</v>
          </cell>
          <cell r="D673" t="str">
            <v>210</v>
          </cell>
          <cell r="E673" t="str">
            <v>407</v>
          </cell>
          <cell r="F673">
            <v>7.3</v>
          </cell>
          <cell r="G673">
            <v>2</v>
          </cell>
          <cell r="H673" t="str">
            <v>2006-02-28</v>
          </cell>
        </row>
        <row r="674">
          <cell r="A674">
            <v>480001</v>
          </cell>
          <cell r="B674">
            <v>1015</v>
          </cell>
          <cell r="C674">
            <v>-23167.99</v>
          </cell>
          <cell r="D674" t="str">
            <v>210</v>
          </cell>
          <cell r="E674" t="str">
            <v>407</v>
          </cell>
          <cell r="F674">
            <v>-3497</v>
          </cell>
          <cell r="G674">
            <v>2</v>
          </cell>
          <cell r="H674" t="str">
            <v>2006-02-28</v>
          </cell>
        </row>
        <row r="675">
          <cell r="A675">
            <v>481004</v>
          </cell>
          <cell r="B675">
            <v>1015</v>
          </cell>
          <cell r="C675">
            <v>5639.33</v>
          </cell>
          <cell r="D675" t="str">
            <v>210</v>
          </cell>
          <cell r="E675" t="str">
            <v>407</v>
          </cell>
          <cell r="F675">
            <v>915.7</v>
          </cell>
          <cell r="G675">
            <v>2</v>
          </cell>
          <cell r="H675" t="str">
            <v>2006-02-28</v>
          </cell>
        </row>
        <row r="676">
          <cell r="A676">
            <v>481004</v>
          </cell>
          <cell r="B676">
            <v>1015</v>
          </cell>
          <cell r="C676">
            <v>973.45</v>
          </cell>
          <cell r="D676" t="str">
            <v>210</v>
          </cell>
          <cell r="E676" t="str">
            <v>407</v>
          </cell>
          <cell r="F676">
            <v>137.19999999999999</v>
          </cell>
          <cell r="G676">
            <v>2</v>
          </cell>
          <cell r="H676" t="str">
            <v>2006-02-28</v>
          </cell>
        </row>
        <row r="677">
          <cell r="A677">
            <v>481004</v>
          </cell>
          <cell r="B677">
            <v>1015</v>
          </cell>
          <cell r="C677">
            <v>957.26</v>
          </cell>
          <cell r="D677" t="str">
            <v>210</v>
          </cell>
          <cell r="E677" t="str">
            <v>407</v>
          </cell>
          <cell r="F677">
            <v>132.30000000000001</v>
          </cell>
          <cell r="G677">
            <v>2</v>
          </cell>
          <cell r="H677" t="str">
            <v>2006-02-28</v>
          </cell>
        </row>
        <row r="678">
          <cell r="A678">
            <v>481004</v>
          </cell>
          <cell r="B678">
            <v>1015</v>
          </cell>
          <cell r="C678">
            <v>6235.68</v>
          </cell>
          <cell r="D678" t="str">
            <v>210</v>
          </cell>
          <cell r="E678" t="str">
            <v>407</v>
          </cell>
          <cell r="F678">
            <v>1000.5</v>
          </cell>
          <cell r="G678">
            <v>2</v>
          </cell>
          <cell r="H678" t="str">
            <v>2006-02-28</v>
          </cell>
        </row>
        <row r="679">
          <cell r="A679">
            <v>481004</v>
          </cell>
          <cell r="B679">
            <v>1015</v>
          </cell>
          <cell r="C679">
            <v>3011.15</v>
          </cell>
          <cell r="D679" t="str">
            <v>210</v>
          </cell>
          <cell r="E679" t="str">
            <v>407</v>
          </cell>
          <cell r="F679">
            <v>447.4</v>
          </cell>
          <cell r="G679">
            <v>2</v>
          </cell>
          <cell r="H679" t="str">
            <v>2006-02-28</v>
          </cell>
        </row>
        <row r="680">
          <cell r="A680">
            <v>481004</v>
          </cell>
          <cell r="B680">
            <v>1015</v>
          </cell>
          <cell r="C680">
            <v>534.69000000000005</v>
          </cell>
          <cell r="D680" t="str">
            <v>210</v>
          </cell>
          <cell r="E680" t="str">
            <v>407</v>
          </cell>
          <cell r="F680">
            <v>72.2</v>
          </cell>
          <cell r="G680">
            <v>2</v>
          </cell>
          <cell r="H680" t="str">
            <v>2006-02-28</v>
          </cell>
        </row>
        <row r="681">
          <cell r="A681">
            <v>481004</v>
          </cell>
          <cell r="B681">
            <v>1015</v>
          </cell>
          <cell r="C681">
            <v>1027.81</v>
          </cell>
          <cell r="D681" t="str">
            <v>210</v>
          </cell>
          <cell r="E681" t="str">
            <v>407</v>
          </cell>
          <cell r="F681">
            <v>121.9</v>
          </cell>
          <cell r="G681">
            <v>2</v>
          </cell>
          <cell r="H681" t="str">
            <v>2006-02-28</v>
          </cell>
        </row>
        <row r="682">
          <cell r="A682">
            <v>480001</v>
          </cell>
          <cell r="B682">
            <v>1015</v>
          </cell>
          <cell r="C682">
            <v>0</v>
          </cell>
          <cell r="D682" t="str">
            <v>210</v>
          </cell>
          <cell r="E682" t="str">
            <v>408</v>
          </cell>
          <cell r="F682">
            <v>0</v>
          </cell>
          <cell r="G682">
            <v>2</v>
          </cell>
          <cell r="H682" t="str">
            <v>2006-02-28</v>
          </cell>
        </row>
        <row r="683">
          <cell r="A683">
            <v>481002</v>
          </cell>
          <cell r="B683">
            <v>1015</v>
          </cell>
          <cell r="C683">
            <v>0</v>
          </cell>
          <cell r="D683" t="str">
            <v>210</v>
          </cell>
          <cell r="E683" t="str">
            <v>409</v>
          </cell>
          <cell r="F683">
            <v>0</v>
          </cell>
          <cell r="G683">
            <v>2</v>
          </cell>
          <cell r="H683" t="str">
            <v>2006-02-28</v>
          </cell>
        </row>
        <row r="684">
          <cell r="A684">
            <v>481002</v>
          </cell>
          <cell r="B684">
            <v>1015</v>
          </cell>
          <cell r="C684">
            <v>0</v>
          </cell>
          <cell r="D684" t="str">
            <v>210</v>
          </cell>
          <cell r="E684" t="str">
            <v>409</v>
          </cell>
          <cell r="F684">
            <v>0</v>
          </cell>
          <cell r="G684">
            <v>2</v>
          </cell>
          <cell r="H684" t="str">
            <v>2006-02-28</v>
          </cell>
        </row>
        <row r="685">
          <cell r="A685">
            <v>481002</v>
          </cell>
          <cell r="B685">
            <v>1015</v>
          </cell>
          <cell r="C685">
            <v>0</v>
          </cell>
          <cell r="D685" t="str">
            <v>210</v>
          </cell>
          <cell r="E685" t="str">
            <v>409</v>
          </cell>
          <cell r="F685">
            <v>0</v>
          </cell>
          <cell r="G685">
            <v>2</v>
          </cell>
          <cell r="H685" t="str">
            <v>2006-02-28</v>
          </cell>
        </row>
        <row r="686">
          <cell r="A686">
            <v>481002</v>
          </cell>
          <cell r="B686">
            <v>1015</v>
          </cell>
          <cell r="C686">
            <v>0</v>
          </cell>
          <cell r="D686" t="str">
            <v>210</v>
          </cell>
          <cell r="E686" t="str">
            <v>411</v>
          </cell>
          <cell r="F686">
            <v>0</v>
          </cell>
          <cell r="G686">
            <v>2</v>
          </cell>
          <cell r="H686" t="str">
            <v>2006-02-28</v>
          </cell>
        </row>
        <row r="687">
          <cell r="A687">
            <v>481002</v>
          </cell>
          <cell r="B687">
            <v>1015</v>
          </cell>
          <cell r="C687">
            <v>0</v>
          </cell>
          <cell r="D687" t="str">
            <v>210</v>
          </cell>
          <cell r="E687" t="str">
            <v>411</v>
          </cell>
          <cell r="F687">
            <v>0</v>
          </cell>
          <cell r="G687">
            <v>2</v>
          </cell>
          <cell r="H687" t="str">
            <v>2006-02-28</v>
          </cell>
        </row>
        <row r="688">
          <cell r="A688">
            <v>481002</v>
          </cell>
          <cell r="B688">
            <v>1015</v>
          </cell>
          <cell r="C688">
            <v>0</v>
          </cell>
          <cell r="D688" t="str">
            <v>210</v>
          </cell>
          <cell r="E688" t="str">
            <v>411</v>
          </cell>
          <cell r="F688">
            <v>0</v>
          </cell>
          <cell r="G688">
            <v>2</v>
          </cell>
          <cell r="H688" t="str">
            <v>2006-02-28</v>
          </cell>
        </row>
        <row r="689">
          <cell r="A689">
            <v>481005</v>
          </cell>
          <cell r="B689">
            <v>1015</v>
          </cell>
          <cell r="C689">
            <v>0</v>
          </cell>
          <cell r="D689" t="str">
            <v>210</v>
          </cell>
          <cell r="E689" t="str">
            <v>411</v>
          </cell>
          <cell r="F689">
            <v>0</v>
          </cell>
          <cell r="G689">
            <v>2</v>
          </cell>
          <cell r="H689" t="str">
            <v>2006-02-28</v>
          </cell>
        </row>
        <row r="690">
          <cell r="A690">
            <v>481005</v>
          </cell>
          <cell r="B690">
            <v>1015</v>
          </cell>
          <cell r="C690">
            <v>0</v>
          </cell>
          <cell r="D690" t="str">
            <v>210</v>
          </cell>
          <cell r="E690" t="str">
            <v>411</v>
          </cell>
          <cell r="F690">
            <v>0</v>
          </cell>
          <cell r="G690">
            <v>2</v>
          </cell>
          <cell r="H690" t="str">
            <v>2006-02-28</v>
          </cell>
        </row>
        <row r="691">
          <cell r="A691">
            <v>481005</v>
          </cell>
          <cell r="B691">
            <v>1015</v>
          </cell>
          <cell r="C691">
            <v>0</v>
          </cell>
          <cell r="D691" t="str">
            <v>210</v>
          </cell>
          <cell r="E691" t="str">
            <v>411</v>
          </cell>
          <cell r="F691">
            <v>0</v>
          </cell>
          <cell r="G691">
            <v>2</v>
          </cell>
          <cell r="H691" t="str">
            <v>2006-02-28</v>
          </cell>
        </row>
        <row r="692">
          <cell r="A692">
            <v>481002</v>
          </cell>
          <cell r="B692">
            <v>1015</v>
          </cell>
          <cell r="C692">
            <v>0</v>
          </cell>
          <cell r="D692" t="str">
            <v>210</v>
          </cell>
          <cell r="E692" t="str">
            <v>412</v>
          </cell>
          <cell r="F692">
            <v>0</v>
          </cell>
          <cell r="G692">
            <v>2</v>
          </cell>
          <cell r="H692" t="str">
            <v>2006-02-28</v>
          </cell>
        </row>
        <row r="693">
          <cell r="A693">
            <v>481002</v>
          </cell>
          <cell r="B693">
            <v>1015</v>
          </cell>
          <cell r="C693">
            <v>0</v>
          </cell>
          <cell r="D693" t="str">
            <v>210</v>
          </cell>
          <cell r="E693" t="str">
            <v>412</v>
          </cell>
          <cell r="F693">
            <v>0</v>
          </cell>
          <cell r="G693">
            <v>2</v>
          </cell>
          <cell r="H693" t="str">
            <v>2006-02-28</v>
          </cell>
        </row>
        <row r="694">
          <cell r="A694">
            <v>481002</v>
          </cell>
          <cell r="B694">
            <v>1015</v>
          </cell>
          <cell r="C694">
            <v>0</v>
          </cell>
          <cell r="D694" t="str">
            <v>210</v>
          </cell>
          <cell r="E694" t="str">
            <v>412</v>
          </cell>
          <cell r="F694">
            <v>0</v>
          </cell>
          <cell r="G694">
            <v>2</v>
          </cell>
          <cell r="H694" t="str">
            <v>2006-02-28</v>
          </cell>
        </row>
        <row r="695">
          <cell r="A695">
            <v>481002</v>
          </cell>
          <cell r="B695">
            <v>1015</v>
          </cell>
          <cell r="C695">
            <v>0</v>
          </cell>
          <cell r="D695" t="str">
            <v>210</v>
          </cell>
          <cell r="E695" t="str">
            <v>414</v>
          </cell>
          <cell r="F695">
            <v>0</v>
          </cell>
          <cell r="G695">
            <v>2</v>
          </cell>
          <cell r="H695" t="str">
            <v>2006-02-28</v>
          </cell>
        </row>
        <row r="696">
          <cell r="A696">
            <v>481002</v>
          </cell>
          <cell r="B696">
            <v>1015</v>
          </cell>
          <cell r="C696">
            <v>0</v>
          </cell>
          <cell r="D696" t="str">
            <v>210</v>
          </cell>
          <cell r="E696" t="str">
            <v>414</v>
          </cell>
          <cell r="F696">
            <v>0</v>
          </cell>
          <cell r="G696">
            <v>2</v>
          </cell>
          <cell r="H696" t="str">
            <v>2006-02-28</v>
          </cell>
        </row>
        <row r="697">
          <cell r="A697">
            <v>481002</v>
          </cell>
          <cell r="B697">
            <v>1015</v>
          </cell>
          <cell r="C697">
            <v>0</v>
          </cell>
          <cell r="D697" t="str">
            <v>210</v>
          </cell>
          <cell r="E697" t="str">
            <v>414</v>
          </cell>
          <cell r="F697">
            <v>0</v>
          </cell>
          <cell r="G697">
            <v>2</v>
          </cell>
          <cell r="H697" t="str">
            <v>2006-02-28</v>
          </cell>
        </row>
        <row r="698">
          <cell r="A698">
            <v>481005</v>
          </cell>
          <cell r="B698">
            <v>1015</v>
          </cell>
          <cell r="C698">
            <v>0</v>
          </cell>
          <cell r="D698" t="str">
            <v>210</v>
          </cell>
          <cell r="E698" t="str">
            <v>414</v>
          </cell>
          <cell r="F698">
            <v>0</v>
          </cell>
          <cell r="G698">
            <v>2</v>
          </cell>
          <cell r="H698" t="str">
            <v>2006-02-28</v>
          </cell>
        </row>
        <row r="699">
          <cell r="A699">
            <v>481005</v>
          </cell>
          <cell r="B699">
            <v>1015</v>
          </cell>
          <cell r="C699">
            <v>0</v>
          </cell>
          <cell r="D699" t="str">
            <v>210</v>
          </cell>
          <cell r="E699" t="str">
            <v>414</v>
          </cell>
          <cell r="F699">
            <v>0</v>
          </cell>
          <cell r="G699">
            <v>2</v>
          </cell>
          <cell r="H699" t="str">
            <v>2006-02-28</v>
          </cell>
        </row>
        <row r="700">
          <cell r="A700">
            <v>481005</v>
          </cell>
          <cell r="B700">
            <v>1015</v>
          </cell>
          <cell r="C700">
            <v>0</v>
          </cell>
          <cell r="D700" t="str">
            <v>210</v>
          </cell>
          <cell r="E700" t="str">
            <v>414</v>
          </cell>
          <cell r="F700">
            <v>0</v>
          </cell>
          <cell r="G700">
            <v>2</v>
          </cell>
          <cell r="H700" t="str">
            <v>2006-02-28</v>
          </cell>
        </row>
        <row r="701">
          <cell r="A701">
            <v>481000</v>
          </cell>
          <cell r="B701">
            <v>1015</v>
          </cell>
          <cell r="C701">
            <v>0</v>
          </cell>
          <cell r="D701" t="str">
            <v>210</v>
          </cell>
          <cell r="E701" t="str">
            <v>451</v>
          </cell>
          <cell r="F701">
            <v>0</v>
          </cell>
          <cell r="G701">
            <v>2</v>
          </cell>
          <cell r="H701" t="str">
            <v>2006-02-28</v>
          </cell>
        </row>
        <row r="702">
          <cell r="A702">
            <v>481000</v>
          </cell>
          <cell r="B702">
            <v>1015</v>
          </cell>
          <cell r="C702">
            <v>124454.62</v>
          </cell>
          <cell r="D702" t="str">
            <v>210</v>
          </cell>
          <cell r="E702" t="str">
            <v>451</v>
          </cell>
          <cell r="F702">
            <v>20592</v>
          </cell>
          <cell r="G702">
            <v>2</v>
          </cell>
          <cell r="H702" t="str">
            <v>2006-02-28</v>
          </cell>
        </row>
        <row r="703">
          <cell r="A703">
            <v>481000</v>
          </cell>
          <cell r="B703">
            <v>1015</v>
          </cell>
          <cell r="C703">
            <v>-124454.62</v>
          </cell>
          <cell r="D703" t="str">
            <v>210</v>
          </cell>
          <cell r="E703" t="str">
            <v>451</v>
          </cell>
          <cell r="F703">
            <v>-20592</v>
          </cell>
          <cell r="G703">
            <v>2</v>
          </cell>
          <cell r="H703" t="str">
            <v>2006-02-28</v>
          </cell>
        </row>
        <row r="704">
          <cell r="A704">
            <v>481004</v>
          </cell>
          <cell r="B704">
            <v>1015</v>
          </cell>
          <cell r="C704">
            <v>0</v>
          </cell>
          <cell r="D704" t="str">
            <v>210</v>
          </cell>
          <cell r="E704" t="str">
            <v>451</v>
          </cell>
          <cell r="F704">
            <v>0</v>
          </cell>
          <cell r="G704">
            <v>2</v>
          </cell>
          <cell r="H704" t="str">
            <v>2006-02-28</v>
          </cell>
        </row>
        <row r="705">
          <cell r="A705">
            <v>481004</v>
          </cell>
          <cell r="B705">
            <v>1015</v>
          </cell>
          <cell r="C705">
            <v>-13438.52</v>
          </cell>
          <cell r="D705" t="str">
            <v>210</v>
          </cell>
          <cell r="E705" t="str">
            <v>451</v>
          </cell>
          <cell r="F705">
            <v>-2125</v>
          </cell>
          <cell r="G705">
            <v>2</v>
          </cell>
          <cell r="H705" t="str">
            <v>2006-02-28</v>
          </cell>
        </row>
        <row r="706">
          <cell r="A706">
            <v>481004</v>
          </cell>
          <cell r="B706">
            <v>1015</v>
          </cell>
          <cell r="C706">
            <v>13438.52</v>
          </cell>
          <cell r="D706" t="str">
            <v>210</v>
          </cell>
          <cell r="E706" t="str">
            <v>451</v>
          </cell>
          <cell r="F706">
            <v>2125</v>
          </cell>
          <cell r="G706">
            <v>2</v>
          </cell>
          <cell r="H706" t="str">
            <v>2006-02-28</v>
          </cell>
        </row>
        <row r="707">
          <cell r="A707">
            <v>480001</v>
          </cell>
          <cell r="B707">
            <v>1015</v>
          </cell>
          <cell r="C707">
            <v>-11147.89</v>
          </cell>
          <cell r="D707" t="str">
            <v>210</v>
          </cell>
          <cell r="E707" t="str">
            <v>453</v>
          </cell>
          <cell r="F707">
            <v>-1822</v>
          </cell>
          <cell r="G707">
            <v>2</v>
          </cell>
          <cell r="H707" t="str">
            <v>2006-02-28</v>
          </cell>
        </row>
        <row r="708">
          <cell r="A708">
            <v>481004</v>
          </cell>
          <cell r="B708">
            <v>1015</v>
          </cell>
          <cell r="C708">
            <v>3660.24</v>
          </cell>
          <cell r="D708" t="str">
            <v>210</v>
          </cell>
          <cell r="E708" t="str">
            <v>453</v>
          </cell>
          <cell r="F708">
            <v>591.4</v>
          </cell>
          <cell r="G708">
            <v>2</v>
          </cell>
          <cell r="H708" t="str">
            <v>2006-02-28</v>
          </cell>
        </row>
        <row r="709">
          <cell r="A709">
            <v>481004</v>
          </cell>
          <cell r="B709">
            <v>1015</v>
          </cell>
          <cell r="C709">
            <v>7487.65</v>
          </cell>
          <cell r="D709" t="str">
            <v>210</v>
          </cell>
          <cell r="E709" t="str">
            <v>453</v>
          </cell>
          <cell r="F709">
            <v>1230.5</v>
          </cell>
          <cell r="G709">
            <v>2</v>
          </cell>
          <cell r="H709" t="str">
            <v>2006-02-28</v>
          </cell>
        </row>
        <row r="710">
          <cell r="A710">
            <v>480001</v>
          </cell>
          <cell r="B710">
            <v>1015</v>
          </cell>
          <cell r="C710">
            <v>0</v>
          </cell>
          <cell r="D710" t="str">
            <v>210</v>
          </cell>
          <cell r="E710" t="str">
            <v>455</v>
          </cell>
          <cell r="F710">
            <v>0</v>
          </cell>
          <cell r="G710">
            <v>2</v>
          </cell>
          <cell r="H710" t="str">
            <v>2006-02-28</v>
          </cell>
        </row>
        <row r="711">
          <cell r="A711">
            <v>481002</v>
          </cell>
          <cell r="B711">
            <v>1015</v>
          </cell>
          <cell r="C711">
            <v>0</v>
          </cell>
          <cell r="D711" t="str">
            <v>210</v>
          </cell>
          <cell r="E711" t="str">
            <v>456</v>
          </cell>
          <cell r="F711">
            <v>0</v>
          </cell>
          <cell r="G711">
            <v>2</v>
          </cell>
          <cell r="H711" t="str">
            <v>2006-02-28</v>
          </cell>
        </row>
        <row r="712">
          <cell r="A712">
            <v>481002</v>
          </cell>
          <cell r="B712">
            <v>1015</v>
          </cell>
          <cell r="C712">
            <v>0</v>
          </cell>
          <cell r="D712" t="str">
            <v>210</v>
          </cell>
          <cell r="E712" t="str">
            <v>456</v>
          </cell>
          <cell r="F712">
            <v>0</v>
          </cell>
          <cell r="G712">
            <v>2</v>
          </cell>
          <cell r="H712" t="str">
            <v>2006-02-28</v>
          </cell>
        </row>
        <row r="713">
          <cell r="A713">
            <v>481002</v>
          </cell>
          <cell r="B713">
            <v>1015</v>
          </cell>
          <cell r="C713">
            <v>0</v>
          </cell>
          <cell r="D713" t="str">
            <v>210</v>
          </cell>
          <cell r="E713" t="str">
            <v>456</v>
          </cell>
          <cell r="F713">
            <v>0</v>
          </cell>
          <cell r="G713">
            <v>2</v>
          </cell>
          <cell r="H713" t="str">
            <v>2006-02-28</v>
          </cell>
        </row>
        <row r="714">
          <cell r="A714">
            <v>481002</v>
          </cell>
          <cell r="B714">
            <v>1015</v>
          </cell>
          <cell r="C714">
            <v>0</v>
          </cell>
          <cell r="D714" t="str">
            <v>210</v>
          </cell>
          <cell r="E714" t="str">
            <v>457</v>
          </cell>
          <cell r="F714">
            <v>0</v>
          </cell>
          <cell r="G714">
            <v>2</v>
          </cell>
          <cell r="H714" t="str">
            <v>2006-02-28</v>
          </cell>
        </row>
        <row r="715">
          <cell r="A715">
            <v>481002</v>
          </cell>
          <cell r="B715">
            <v>1015</v>
          </cell>
          <cell r="C715">
            <v>0</v>
          </cell>
          <cell r="D715" t="str">
            <v>210</v>
          </cell>
          <cell r="E715" t="str">
            <v>457</v>
          </cell>
          <cell r="F715">
            <v>0</v>
          </cell>
          <cell r="G715">
            <v>2</v>
          </cell>
          <cell r="H715" t="str">
            <v>2006-02-28</v>
          </cell>
        </row>
        <row r="716">
          <cell r="A716">
            <v>481002</v>
          </cell>
          <cell r="B716">
            <v>1015</v>
          </cell>
          <cell r="C716">
            <v>0</v>
          </cell>
          <cell r="D716" t="str">
            <v>210</v>
          </cell>
          <cell r="E716" t="str">
            <v>457</v>
          </cell>
          <cell r="F716">
            <v>0</v>
          </cell>
          <cell r="G716">
            <v>2</v>
          </cell>
          <cell r="H716" t="str">
            <v>2006-02-28</v>
          </cell>
        </row>
        <row r="717">
          <cell r="A717">
            <v>481005</v>
          </cell>
          <cell r="B717">
            <v>1015</v>
          </cell>
          <cell r="C717">
            <v>0</v>
          </cell>
          <cell r="D717" t="str">
            <v>210</v>
          </cell>
          <cell r="E717" t="str">
            <v>457</v>
          </cell>
          <cell r="F717">
            <v>0</v>
          </cell>
          <cell r="G717">
            <v>2</v>
          </cell>
          <cell r="H717" t="str">
            <v>2006-02-28</v>
          </cell>
        </row>
        <row r="718">
          <cell r="A718">
            <v>481005</v>
          </cell>
          <cell r="B718">
            <v>1015</v>
          </cell>
          <cell r="C718">
            <v>0</v>
          </cell>
          <cell r="D718" t="str">
            <v>210</v>
          </cell>
          <cell r="E718" t="str">
            <v>457</v>
          </cell>
          <cell r="F718">
            <v>0</v>
          </cell>
          <cell r="G718">
            <v>2</v>
          </cell>
          <cell r="H718" t="str">
            <v>2006-02-28</v>
          </cell>
        </row>
        <row r="719">
          <cell r="A719">
            <v>481005</v>
          </cell>
          <cell r="B719">
            <v>1015</v>
          </cell>
          <cell r="C719">
            <v>0</v>
          </cell>
          <cell r="D719" t="str">
            <v>210</v>
          </cell>
          <cell r="E719" t="str">
            <v>457</v>
          </cell>
          <cell r="F719">
            <v>0</v>
          </cell>
          <cell r="G719">
            <v>2</v>
          </cell>
          <cell r="H719" t="str">
            <v>2006-02-28</v>
          </cell>
        </row>
        <row r="720">
          <cell r="A720">
            <v>481000</v>
          </cell>
          <cell r="B720">
            <v>1015</v>
          </cell>
          <cell r="C720">
            <v>0</v>
          </cell>
          <cell r="D720" t="str">
            <v>204</v>
          </cell>
          <cell r="E720" t="str">
            <v>402</v>
          </cell>
          <cell r="F720">
            <v>0</v>
          </cell>
          <cell r="G720">
            <v>2</v>
          </cell>
          <cell r="H720" t="str">
            <v>2006-02-28</v>
          </cell>
        </row>
        <row r="721">
          <cell r="A721">
            <v>481000</v>
          </cell>
          <cell r="B721">
            <v>1015</v>
          </cell>
          <cell r="C721">
            <v>1847966.95</v>
          </cell>
          <cell r="D721" t="str">
            <v>204</v>
          </cell>
          <cell r="E721" t="str">
            <v>402</v>
          </cell>
          <cell r="F721">
            <v>0</v>
          </cell>
          <cell r="G721">
            <v>2</v>
          </cell>
          <cell r="H721" t="str">
            <v>2006-02-28</v>
          </cell>
        </row>
        <row r="722">
          <cell r="A722">
            <v>481000</v>
          </cell>
          <cell r="B722">
            <v>1015</v>
          </cell>
          <cell r="C722">
            <v>-276372.34999999998</v>
          </cell>
          <cell r="D722" t="str">
            <v>204</v>
          </cell>
          <cell r="E722" t="str">
            <v>402</v>
          </cell>
          <cell r="F722">
            <v>0</v>
          </cell>
          <cell r="G722">
            <v>2</v>
          </cell>
          <cell r="H722" t="str">
            <v>2006-02-28</v>
          </cell>
        </row>
        <row r="723">
          <cell r="A723">
            <v>481000</v>
          </cell>
          <cell r="B723">
            <v>1015</v>
          </cell>
          <cell r="C723">
            <v>-10517.93</v>
          </cell>
          <cell r="D723" t="str">
            <v>204</v>
          </cell>
          <cell r="E723" t="str">
            <v>402</v>
          </cell>
          <cell r="F723">
            <v>0</v>
          </cell>
          <cell r="G723">
            <v>2</v>
          </cell>
          <cell r="H723" t="str">
            <v>2006-02-28</v>
          </cell>
        </row>
        <row r="724">
          <cell r="A724">
            <v>481000</v>
          </cell>
          <cell r="B724">
            <v>1015</v>
          </cell>
          <cell r="C724">
            <v>-28178.32</v>
          </cell>
          <cell r="D724" t="str">
            <v>204</v>
          </cell>
          <cell r="E724" t="str">
            <v>402</v>
          </cell>
          <cell r="F724">
            <v>0</v>
          </cell>
          <cell r="G724">
            <v>2</v>
          </cell>
          <cell r="H724" t="str">
            <v>2006-02-28</v>
          </cell>
        </row>
        <row r="725">
          <cell r="A725">
            <v>481000</v>
          </cell>
          <cell r="B725">
            <v>1015</v>
          </cell>
          <cell r="C725">
            <v>-323198.43</v>
          </cell>
          <cell r="D725" t="str">
            <v>204</v>
          </cell>
          <cell r="E725" t="str">
            <v>402</v>
          </cell>
          <cell r="F725">
            <v>0</v>
          </cell>
          <cell r="G725">
            <v>2</v>
          </cell>
          <cell r="H725" t="str">
            <v>2006-02-28</v>
          </cell>
        </row>
        <row r="726">
          <cell r="A726">
            <v>481000</v>
          </cell>
          <cell r="B726">
            <v>1015</v>
          </cell>
          <cell r="C726">
            <v>-391823.75</v>
          </cell>
          <cell r="D726" t="str">
            <v>204</v>
          </cell>
          <cell r="E726" t="str">
            <v>402</v>
          </cell>
          <cell r="F726">
            <v>0</v>
          </cell>
          <cell r="G726">
            <v>2</v>
          </cell>
          <cell r="H726" t="str">
            <v>2006-02-28</v>
          </cell>
        </row>
        <row r="727">
          <cell r="A727">
            <v>481000</v>
          </cell>
          <cell r="B727">
            <v>1015</v>
          </cell>
          <cell r="C727">
            <v>-489457</v>
          </cell>
          <cell r="D727" t="str">
            <v>204</v>
          </cell>
          <cell r="E727" t="str">
            <v>402</v>
          </cell>
          <cell r="F727">
            <v>0</v>
          </cell>
          <cell r="G727">
            <v>2</v>
          </cell>
          <cell r="H727" t="str">
            <v>2006-02-28</v>
          </cell>
        </row>
        <row r="728">
          <cell r="A728">
            <v>481000</v>
          </cell>
          <cell r="B728">
            <v>1015</v>
          </cell>
          <cell r="C728">
            <v>-121204.8</v>
          </cell>
          <cell r="D728" t="str">
            <v>204</v>
          </cell>
          <cell r="E728" t="str">
            <v>402</v>
          </cell>
          <cell r="F728">
            <v>0</v>
          </cell>
          <cell r="G728">
            <v>2</v>
          </cell>
          <cell r="H728" t="str">
            <v>2006-02-28</v>
          </cell>
        </row>
        <row r="729">
          <cell r="A729">
            <v>481000</v>
          </cell>
          <cell r="B729">
            <v>1015</v>
          </cell>
          <cell r="C729">
            <v>-76730.98</v>
          </cell>
          <cell r="D729" t="str">
            <v>204</v>
          </cell>
          <cell r="E729" t="str">
            <v>402</v>
          </cell>
          <cell r="F729">
            <v>0</v>
          </cell>
          <cell r="G729">
            <v>2</v>
          </cell>
          <cell r="H729" t="str">
            <v>2006-02-28</v>
          </cell>
        </row>
        <row r="730">
          <cell r="A730">
            <v>481000</v>
          </cell>
          <cell r="B730">
            <v>1015</v>
          </cell>
          <cell r="C730">
            <v>-73693.2</v>
          </cell>
          <cell r="D730" t="str">
            <v>204</v>
          </cell>
          <cell r="E730" t="str">
            <v>402</v>
          </cell>
          <cell r="F730">
            <v>0</v>
          </cell>
          <cell r="G730">
            <v>2</v>
          </cell>
          <cell r="H730" t="str">
            <v>2006-02-28</v>
          </cell>
        </row>
        <row r="731">
          <cell r="A731">
            <v>481000</v>
          </cell>
          <cell r="B731">
            <v>1015</v>
          </cell>
          <cell r="C731">
            <v>-105502.5</v>
          </cell>
          <cell r="D731" t="str">
            <v>204</v>
          </cell>
          <cell r="E731" t="str">
            <v>402</v>
          </cell>
          <cell r="F731">
            <v>0</v>
          </cell>
          <cell r="G731">
            <v>2</v>
          </cell>
          <cell r="H731" t="str">
            <v>2006-02-28</v>
          </cell>
        </row>
        <row r="732">
          <cell r="A732">
            <v>481000</v>
          </cell>
          <cell r="B732">
            <v>1015</v>
          </cell>
          <cell r="C732">
            <v>-68993.759999999995</v>
          </cell>
          <cell r="D732" t="str">
            <v>204</v>
          </cell>
          <cell r="E732" t="str">
            <v>402</v>
          </cell>
          <cell r="F732">
            <v>0</v>
          </cell>
          <cell r="G732">
            <v>2</v>
          </cell>
          <cell r="H732" t="str">
            <v>2006-02-28</v>
          </cell>
        </row>
        <row r="733">
          <cell r="A733">
            <v>481000</v>
          </cell>
          <cell r="B733">
            <v>1015</v>
          </cell>
          <cell r="C733">
            <v>-78566.289999999994</v>
          </cell>
          <cell r="D733" t="str">
            <v>204</v>
          </cell>
          <cell r="E733" t="str">
            <v>402</v>
          </cell>
          <cell r="F733">
            <v>0</v>
          </cell>
          <cell r="G733">
            <v>2</v>
          </cell>
          <cell r="H733" t="str">
            <v>2006-02-28</v>
          </cell>
        </row>
        <row r="734">
          <cell r="A734">
            <v>481000</v>
          </cell>
          <cell r="B734">
            <v>1015</v>
          </cell>
          <cell r="C734">
            <v>-185531.44</v>
          </cell>
          <cell r="D734" t="str">
            <v>204</v>
          </cell>
          <cell r="E734" t="str">
            <v>402</v>
          </cell>
          <cell r="F734">
            <v>0</v>
          </cell>
          <cell r="G734">
            <v>2</v>
          </cell>
          <cell r="H734" t="str">
            <v>2006-02-28</v>
          </cell>
        </row>
        <row r="735">
          <cell r="A735">
            <v>481000</v>
          </cell>
          <cell r="B735">
            <v>1015</v>
          </cell>
          <cell r="C735">
            <v>-7.44</v>
          </cell>
          <cell r="D735" t="str">
            <v>204</v>
          </cell>
          <cell r="E735" t="str">
            <v>402</v>
          </cell>
          <cell r="F735">
            <v>0</v>
          </cell>
          <cell r="G735">
            <v>2</v>
          </cell>
          <cell r="H735" t="str">
            <v>2006-02-28</v>
          </cell>
        </row>
        <row r="736">
          <cell r="A736">
            <v>481004</v>
          </cell>
          <cell r="B736">
            <v>1015</v>
          </cell>
          <cell r="C736">
            <v>0</v>
          </cell>
          <cell r="D736" t="str">
            <v>204</v>
          </cell>
          <cell r="E736" t="str">
            <v>402</v>
          </cell>
          <cell r="F736">
            <v>0</v>
          </cell>
          <cell r="G736">
            <v>2</v>
          </cell>
          <cell r="H736" t="str">
            <v>2006-02-28</v>
          </cell>
        </row>
        <row r="737">
          <cell r="A737">
            <v>481004</v>
          </cell>
          <cell r="B737">
            <v>1015</v>
          </cell>
          <cell r="C737">
            <v>2558429.36</v>
          </cell>
          <cell r="D737" t="str">
            <v>204</v>
          </cell>
          <cell r="E737" t="str">
            <v>402</v>
          </cell>
          <cell r="F737">
            <v>0</v>
          </cell>
          <cell r="G737">
            <v>2</v>
          </cell>
          <cell r="H737" t="str">
            <v>2006-02-28</v>
          </cell>
        </row>
        <row r="738">
          <cell r="A738">
            <v>481004</v>
          </cell>
          <cell r="B738">
            <v>1015</v>
          </cell>
          <cell r="C738">
            <v>-4716987.3499999996</v>
          </cell>
          <cell r="D738" t="str">
            <v>204</v>
          </cell>
          <cell r="E738" t="str">
            <v>402</v>
          </cell>
          <cell r="F738">
            <v>0</v>
          </cell>
          <cell r="G738">
            <v>2</v>
          </cell>
          <cell r="H738" t="str">
            <v>2006-02-28</v>
          </cell>
        </row>
        <row r="739">
          <cell r="A739">
            <v>481004</v>
          </cell>
          <cell r="B739">
            <v>1015</v>
          </cell>
          <cell r="C739">
            <v>-70530.429999999993</v>
          </cell>
          <cell r="D739" t="str">
            <v>204</v>
          </cell>
          <cell r="E739" t="str">
            <v>402</v>
          </cell>
          <cell r="F739">
            <v>0</v>
          </cell>
          <cell r="G739">
            <v>2</v>
          </cell>
          <cell r="H739" t="str">
            <v>2006-02-28</v>
          </cell>
        </row>
        <row r="740">
          <cell r="A740">
            <v>481004</v>
          </cell>
          <cell r="B740">
            <v>1015</v>
          </cell>
          <cell r="C740">
            <v>-48060.4</v>
          </cell>
          <cell r="D740" t="str">
            <v>204</v>
          </cell>
          <cell r="E740" t="str">
            <v>402</v>
          </cell>
          <cell r="F740">
            <v>0</v>
          </cell>
          <cell r="G740">
            <v>2</v>
          </cell>
          <cell r="H740" t="str">
            <v>2006-02-28</v>
          </cell>
        </row>
        <row r="741">
          <cell r="A741">
            <v>481004</v>
          </cell>
          <cell r="B741">
            <v>1015</v>
          </cell>
          <cell r="C741">
            <v>-237268.32</v>
          </cell>
          <cell r="D741" t="str">
            <v>204</v>
          </cell>
          <cell r="E741" t="str">
            <v>402</v>
          </cell>
          <cell r="F741">
            <v>0</v>
          </cell>
          <cell r="G741">
            <v>2</v>
          </cell>
          <cell r="H741" t="str">
            <v>2006-02-28</v>
          </cell>
        </row>
        <row r="742">
          <cell r="A742">
            <v>481004</v>
          </cell>
          <cell r="B742">
            <v>1015</v>
          </cell>
          <cell r="C742">
            <v>-1258572.68</v>
          </cell>
          <cell r="D742" t="str">
            <v>204</v>
          </cell>
          <cell r="E742" t="str">
            <v>402</v>
          </cell>
          <cell r="F742">
            <v>0</v>
          </cell>
          <cell r="G742">
            <v>2</v>
          </cell>
          <cell r="H742" t="str">
            <v>2006-02-28</v>
          </cell>
        </row>
        <row r="743">
          <cell r="A743">
            <v>481004</v>
          </cell>
          <cell r="B743">
            <v>1015</v>
          </cell>
          <cell r="C743">
            <v>-439719.11</v>
          </cell>
          <cell r="D743" t="str">
            <v>204</v>
          </cell>
          <cell r="E743" t="str">
            <v>402</v>
          </cell>
          <cell r="F743">
            <v>0</v>
          </cell>
          <cell r="G743">
            <v>2</v>
          </cell>
          <cell r="H743" t="str">
            <v>2006-02-28</v>
          </cell>
        </row>
        <row r="744">
          <cell r="A744">
            <v>481004</v>
          </cell>
          <cell r="B744">
            <v>1015</v>
          </cell>
          <cell r="C744">
            <v>-210912.9</v>
          </cell>
          <cell r="D744" t="str">
            <v>204</v>
          </cell>
          <cell r="E744" t="str">
            <v>402</v>
          </cell>
          <cell r="F744">
            <v>0</v>
          </cell>
          <cell r="G744">
            <v>2</v>
          </cell>
          <cell r="H744" t="str">
            <v>2006-02-28</v>
          </cell>
        </row>
        <row r="745">
          <cell r="A745">
            <v>481004</v>
          </cell>
          <cell r="B745">
            <v>1015</v>
          </cell>
          <cell r="C745">
            <v>-62622.26</v>
          </cell>
          <cell r="D745" t="str">
            <v>204</v>
          </cell>
          <cell r="E745" t="str">
            <v>402</v>
          </cell>
          <cell r="F745">
            <v>0</v>
          </cell>
          <cell r="G745">
            <v>2</v>
          </cell>
          <cell r="H745" t="str">
            <v>2006-02-28</v>
          </cell>
        </row>
        <row r="746">
          <cell r="A746">
            <v>481004</v>
          </cell>
          <cell r="B746">
            <v>1015</v>
          </cell>
          <cell r="C746">
            <v>-179273.13</v>
          </cell>
          <cell r="D746" t="str">
            <v>204</v>
          </cell>
          <cell r="E746" t="str">
            <v>402</v>
          </cell>
          <cell r="F746">
            <v>0</v>
          </cell>
          <cell r="G746">
            <v>2</v>
          </cell>
          <cell r="H746" t="str">
            <v>2006-02-28</v>
          </cell>
        </row>
        <row r="747">
          <cell r="A747">
            <v>481004</v>
          </cell>
          <cell r="B747">
            <v>1015</v>
          </cell>
          <cell r="C747">
            <v>-237035</v>
          </cell>
          <cell r="D747" t="str">
            <v>204</v>
          </cell>
          <cell r="E747" t="str">
            <v>402</v>
          </cell>
          <cell r="F747">
            <v>0</v>
          </cell>
          <cell r="G747">
            <v>2</v>
          </cell>
          <cell r="H747" t="str">
            <v>2006-02-28</v>
          </cell>
        </row>
        <row r="748">
          <cell r="A748">
            <v>481004</v>
          </cell>
          <cell r="B748">
            <v>1015</v>
          </cell>
          <cell r="C748">
            <v>-228327.56</v>
          </cell>
          <cell r="D748" t="str">
            <v>204</v>
          </cell>
          <cell r="E748" t="str">
            <v>402</v>
          </cell>
          <cell r="F748">
            <v>0</v>
          </cell>
          <cell r="G748">
            <v>2</v>
          </cell>
          <cell r="H748" t="str">
            <v>2006-02-28</v>
          </cell>
        </row>
        <row r="749">
          <cell r="A749">
            <v>481004</v>
          </cell>
          <cell r="B749">
            <v>1015</v>
          </cell>
          <cell r="C749">
            <v>-371422.81</v>
          </cell>
          <cell r="D749" t="str">
            <v>204</v>
          </cell>
          <cell r="E749" t="str">
            <v>402</v>
          </cell>
          <cell r="F749">
            <v>0</v>
          </cell>
          <cell r="G749">
            <v>2</v>
          </cell>
          <cell r="H749" t="str">
            <v>2006-02-28</v>
          </cell>
        </row>
        <row r="750">
          <cell r="A750">
            <v>481004</v>
          </cell>
          <cell r="B750">
            <v>1015</v>
          </cell>
          <cell r="C750">
            <v>-225027.15</v>
          </cell>
          <cell r="D750" t="str">
            <v>204</v>
          </cell>
          <cell r="E750" t="str">
            <v>402</v>
          </cell>
          <cell r="F750">
            <v>0</v>
          </cell>
          <cell r="G750">
            <v>2</v>
          </cell>
          <cell r="H750" t="str">
            <v>2006-02-28</v>
          </cell>
        </row>
        <row r="751">
          <cell r="A751">
            <v>481004</v>
          </cell>
          <cell r="B751">
            <v>1015</v>
          </cell>
          <cell r="C751">
            <v>-46359.64</v>
          </cell>
          <cell r="D751" t="str">
            <v>204</v>
          </cell>
          <cell r="E751" t="str">
            <v>402</v>
          </cell>
          <cell r="F751">
            <v>0</v>
          </cell>
          <cell r="G751">
            <v>2</v>
          </cell>
          <cell r="H751" t="str">
            <v>2006-02-28</v>
          </cell>
        </row>
        <row r="752">
          <cell r="A752">
            <v>481004</v>
          </cell>
          <cell r="B752">
            <v>1015</v>
          </cell>
          <cell r="C752">
            <v>-13163.22</v>
          </cell>
          <cell r="D752" t="str">
            <v>204</v>
          </cell>
          <cell r="E752" t="str">
            <v>402</v>
          </cell>
          <cell r="F752">
            <v>0</v>
          </cell>
          <cell r="G752">
            <v>2</v>
          </cell>
          <cell r="H752" t="str">
            <v>2006-02-28</v>
          </cell>
        </row>
        <row r="753">
          <cell r="A753">
            <v>481000</v>
          </cell>
          <cell r="B753">
            <v>1015</v>
          </cell>
          <cell r="C753">
            <v>0</v>
          </cell>
          <cell r="D753" t="str">
            <v>204</v>
          </cell>
          <cell r="E753" t="str">
            <v>403</v>
          </cell>
          <cell r="F753">
            <v>0</v>
          </cell>
          <cell r="G753">
            <v>2</v>
          </cell>
          <cell r="H753" t="str">
            <v>2006-02-28</v>
          </cell>
        </row>
        <row r="754">
          <cell r="A754">
            <v>481000</v>
          </cell>
          <cell r="B754">
            <v>1015</v>
          </cell>
          <cell r="C754">
            <v>0</v>
          </cell>
          <cell r="D754" t="str">
            <v>204</v>
          </cell>
          <cell r="E754" t="str">
            <v>403</v>
          </cell>
          <cell r="F754">
            <v>0</v>
          </cell>
          <cell r="G754">
            <v>2</v>
          </cell>
          <cell r="H754" t="str">
            <v>2006-02-28</v>
          </cell>
        </row>
        <row r="755">
          <cell r="A755">
            <v>481000</v>
          </cell>
          <cell r="B755">
            <v>1015</v>
          </cell>
          <cell r="C755">
            <v>0</v>
          </cell>
          <cell r="D755" t="str">
            <v>204</v>
          </cell>
          <cell r="E755" t="str">
            <v>403</v>
          </cell>
          <cell r="F755">
            <v>0</v>
          </cell>
          <cell r="G755">
            <v>2</v>
          </cell>
          <cell r="H755" t="str">
            <v>2006-02-28</v>
          </cell>
        </row>
        <row r="756">
          <cell r="A756">
            <v>481000</v>
          </cell>
          <cell r="B756">
            <v>1015</v>
          </cell>
          <cell r="C756">
            <v>-2948.85</v>
          </cell>
          <cell r="D756" t="str">
            <v>204</v>
          </cell>
          <cell r="E756" t="str">
            <v>403</v>
          </cell>
          <cell r="F756">
            <v>0</v>
          </cell>
          <cell r="G756">
            <v>2</v>
          </cell>
          <cell r="H756" t="str">
            <v>2006-02-28</v>
          </cell>
        </row>
        <row r="757">
          <cell r="A757">
            <v>481004</v>
          </cell>
          <cell r="B757">
            <v>1015</v>
          </cell>
          <cell r="C757">
            <v>0</v>
          </cell>
          <cell r="D757" t="str">
            <v>204</v>
          </cell>
          <cell r="E757" t="str">
            <v>403</v>
          </cell>
          <cell r="F757">
            <v>0</v>
          </cell>
          <cell r="G757">
            <v>2</v>
          </cell>
          <cell r="H757" t="str">
            <v>2006-02-28</v>
          </cell>
        </row>
        <row r="758">
          <cell r="A758">
            <v>481004</v>
          </cell>
          <cell r="B758">
            <v>1015</v>
          </cell>
          <cell r="C758">
            <v>0</v>
          </cell>
          <cell r="D758" t="str">
            <v>204</v>
          </cell>
          <cell r="E758" t="str">
            <v>403</v>
          </cell>
          <cell r="F758">
            <v>0</v>
          </cell>
          <cell r="G758">
            <v>2</v>
          </cell>
          <cell r="H758" t="str">
            <v>2006-02-28</v>
          </cell>
        </row>
        <row r="759">
          <cell r="A759">
            <v>481004</v>
          </cell>
          <cell r="B759">
            <v>1015</v>
          </cell>
          <cell r="C759">
            <v>0</v>
          </cell>
          <cell r="D759" t="str">
            <v>204</v>
          </cell>
          <cell r="E759" t="str">
            <v>403</v>
          </cell>
          <cell r="F759">
            <v>0</v>
          </cell>
          <cell r="G759">
            <v>2</v>
          </cell>
          <cell r="H759" t="str">
            <v>2006-02-28</v>
          </cell>
        </row>
        <row r="760">
          <cell r="A760">
            <v>481000</v>
          </cell>
          <cell r="B760">
            <v>1015</v>
          </cell>
          <cell r="C760">
            <v>0</v>
          </cell>
          <cell r="D760" t="str">
            <v>204</v>
          </cell>
          <cell r="E760" t="str">
            <v>404</v>
          </cell>
          <cell r="F760">
            <v>0</v>
          </cell>
          <cell r="G760">
            <v>2</v>
          </cell>
          <cell r="H760" t="str">
            <v>2006-02-28</v>
          </cell>
        </row>
        <row r="761">
          <cell r="A761">
            <v>481000</v>
          </cell>
          <cell r="B761">
            <v>1015</v>
          </cell>
          <cell r="C761">
            <v>2154583.52</v>
          </cell>
          <cell r="D761" t="str">
            <v>204</v>
          </cell>
          <cell r="E761" t="str">
            <v>404</v>
          </cell>
          <cell r="F761">
            <v>0</v>
          </cell>
          <cell r="G761">
            <v>2</v>
          </cell>
          <cell r="H761" t="str">
            <v>2006-02-28</v>
          </cell>
        </row>
        <row r="762">
          <cell r="A762">
            <v>481000</v>
          </cell>
          <cell r="B762">
            <v>1015</v>
          </cell>
          <cell r="C762">
            <v>-1731674.25</v>
          </cell>
          <cell r="D762" t="str">
            <v>204</v>
          </cell>
          <cell r="E762" t="str">
            <v>404</v>
          </cell>
          <cell r="F762">
            <v>0</v>
          </cell>
          <cell r="G762">
            <v>2</v>
          </cell>
          <cell r="H762" t="str">
            <v>2006-02-28</v>
          </cell>
        </row>
        <row r="763">
          <cell r="A763">
            <v>481000</v>
          </cell>
          <cell r="B763">
            <v>1015</v>
          </cell>
          <cell r="C763">
            <v>-2154583.52</v>
          </cell>
          <cell r="D763" t="str">
            <v>204</v>
          </cell>
          <cell r="E763" t="str">
            <v>404</v>
          </cell>
          <cell r="F763">
            <v>0</v>
          </cell>
          <cell r="G763">
            <v>2</v>
          </cell>
          <cell r="H763" t="str">
            <v>2006-02-28</v>
          </cell>
        </row>
        <row r="764">
          <cell r="A764">
            <v>481004</v>
          </cell>
          <cell r="B764">
            <v>1015</v>
          </cell>
          <cell r="C764">
            <v>0</v>
          </cell>
          <cell r="D764" t="str">
            <v>204</v>
          </cell>
          <cell r="E764" t="str">
            <v>404</v>
          </cell>
          <cell r="F764">
            <v>0</v>
          </cell>
          <cell r="G764">
            <v>2</v>
          </cell>
          <cell r="H764" t="str">
            <v>2006-02-28</v>
          </cell>
        </row>
        <row r="765">
          <cell r="A765">
            <v>481004</v>
          </cell>
          <cell r="B765">
            <v>1015</v>
          </cell>
          <cell r="C765">
            <v>0</v>
          </cell>
          <cell r="D765" t="str">
            <v>204</v>
          </cell>
          <cell r="E765" t="str">
            <v>404</v>
          </cell>
          <cell r="F765">
            <v>0</v>
          </cell>
          <cell r="G765">
            <v>2</v>
          </cell>
          <cell r="H765" t="str">
            <v>2006-02-28</v>
          </cell>
        </row>
        <row r="766">
          <cell r="A766">
            <v>481004</v>
          </cell>
          <cell r="B766">
            <v>1015</v>
          </cell>
          <cell r="C766">
            <v>0</v>
          </cell>
          <cell r="D766" t="str">
            <v>204</v>
          </cell>
          <cell r="E766" t="str">
            <v>404</v>
          </cell>
          <cell r="F766">
            <v>0</v>
          </cell>
          <cell r="G766">
            <v>2</v>
          </cell>
          <cell r="H766" t="str">
            <v>2006-02-28</v>
          </cell>
        </row>
        <row r="767">
          <cell r="A767">
            <v>480000</v>
          </cell>
          <cell r="B767">
            <v>1015</v>
          </cell>
          <cell r="C767">
            <v>650.29</v>
          </cell>
          <cell r="D767" t="str">
            <v>204</v>
          </cell>
          <cell r="E767" t="str">
            <v>407</v>
          </cell>
          <cell r="F767">
            <v>0</v>
          </cell>
          <cell r="G767">
            <v>2</v>
          </cell>
          <cell r="H767" t="str">
            <v>2006-02-28</v>
          </cell>
        </row>
        <row r="768">
          <cell r="A768">
            <v>480000</v>
          </cell>
          <cell r="B768">
            <v>1015</v>
          </cell>
          <cell r="C768">
            <v>-3202889.95</v>
          </cell>
          <cell r="D768" t="str">
            <v>204</v>
          </cell>
          <cell r="E768" t="str">
            <v>407</v>
          </cell>
          <cell r="F768">
            <v>0</v>
          </cell>
          <cell r="G768">
            <v>2</v>
          </cell>
          <cell r="H768" t="str">
            <v>2006-02-28</v>
          </cell>
        </row>
        <row r="769">
          <cell r="A769">
            <v>480000</v>
          </cell>
          <cell r="B769">
            <v>1015</v>
          </cell>
          <cell r="C769">
            <v>-3913851.05</v>
          </cell>
          <cell r="D769" t="str">
            <v>204</v>
          </cell>
          <cell r="E769" t="str">
            <v>407</v>
          </cell>
          <cell r="F769">
            <v>0</v>
          </cell>
          <cell r="G769">
            <v>2</v>
          </cell>
          <cell r="H769" t="str">
            <v>2006-02-28</v>
          </cell>
        </row>
        <row r="770">
          <cell r="A770">
            <v>480000</v>
          </cell>
          <cell r="B770">
            <v>1015</v>
          </cell>
          <cell r="C770">
            <v>-4681547.7699999996</v>
          </cell>
          <cell r="D770" t="str">
            <v>204</v>
          </cell>
          <cell r="E770" t="str">
            <v>407</v>
          </cell>
          <cell r="F770">
            <v>0</v>
          </cell>
          <cell r="G770">
            <v>2</v>
          </cell>
          <cell r="H770" t="str">
            <v>2006-02-28</v>
          </cell>
        </row>
        <row r="771">
          <cell r="A771">
            <v>480000</v>
          </cell>
          <cell r="B771">
            <v>1015</v>
          </cell>
          <cell r="C771">
            <v>-11058564.57</v>
          </cell>
          <cell r="D771" t="str">
            <v>204</v>
          </cell>
          <cell r="E771" t="str">
            <v>407</v>
          </cell>
          <cell r="F771">
            <v>0</v>
          </cell>
          <cell r="G771">
            <v>2</v>
          </cell>
          <cell r="H771" t="str">
            <v>2006-02-28</v>
          </cell>
        </row>
        <row r="772">
          <cell r="A772">
            <v>480000</v>
          </cell>
          <cell r="B772">
            <v>1015</v>
          </cell>
          <cell r="C772">
            <v>-7243514.8099999996</v>
          </cell>
          <cell r="D772" t="str">
            <v>204</v>
          </cell>
          <cell r="E772" t="str">
            <v>407</v>
          </cell>
          <cell r="F772">
            <v>0</v>
          </cell>
          <cell r="G772">
            <v>2</v>
          </cell>
          <cell r="H772" t="str">
            <v>2006-02-28</v>
          </cell>
        </row>
        <row r="773">
          <cell r="A773">
            <v>480000</v>
          </cell>
          <cell r="B773">
            <v>1015</v>
          </cell>
          <cell r="C773">
            <v>-3850365.76</v>
          </cell>
          <cell r="D773" t="str">
            <v>204</v>
          </cell>
          <cell r="E773" t="str">
            <v>407</v>
          </cell>
          <cell r="F773">
            <v>0</v>
          </cell>
          <cell r="G773">
            <v>2</v>
          </cell>
          <cell r="H773" t="str">
            <v>2006-02-28</v>
          </cell>
        </row>
        <row r="774">
          <cell r="A774">
            <v>480000</v>
          </cell>
          <cell r="B774">
            <v>1015</v>
          </cell>
          <cell r="C774">
            <v>-6071953.0700000003</v>
          </cell>
          <cell r="D774" t="str">
            <v>204</v>
          </cell>
          <cell r="E774" t="str">
            <v>407</v>
          </cell>
          <cell r="F774">
            <v>0</v>
          </cell>
          <cell r="G774">
            <v>2</v>
          </cell>
          <cell r="H774" t="str">
            <v>2006-02-28</v>
          </cell>
        </row>
        <row r="775">
          <cell r="A775">
            <v>480000</v>
          </cell>
          <cell r="B775">
            <v>1015</v>
          </cell>
          <cell r="C775">
            <v>-7599367.0300000003</v>
          </cell>
          <cell r="D775" t="str">
            <v>204</v>
          </cell>
          <cell r="E775" t="str">
            <v>407</v>
          </cell>
          <cell r="F775">
            <v>0</v>
          </cell>
          <cell r="G775">
            <v>2</v>
          </cell>
          <cell r="H775" t="str">
            <v>2006-02-28</v>
          </cell>
        </row>
        <row r="776">
          <cell r="A776">
            <v>480000</v>
          </cell>
          <cell r="B776">
            <v>1015</v>
          </cell>
          <cell r="C776">
            <v>-4581925.8</v>
          </cell>
          <cell r="D776" t="str">
            <v>204</v>
          </cell>
          <cell r="E776" t="str">
            <v>407</v>
          </cell>
          <cell r="F776">
            <v>0</v>
          </cell>
          <cell r="G776">
            <v>2</v>
          </cell>
          <cell r="H776" t="str">
            <v>2006-02-28</v>
          </cell>
        </row>
        <row r="777">
          <cell r="A777">
            <v>480000</v>
          </cell>
          <cell r="B777">
            <v>1015</v>
          </cell>
          <cell r="C777">
            <v>-3288571.07</v>
          </cell>
          <cell r="D777" t="str">
            <v>204</v>
          </cell>
          <cell r="E777" t="str">
            <v>407</v>
          </cell>
          <cell r="F777">
            <v>0</v>
          </cell>
          <cell r="G777">
            <v>2</v>
          </cell>
          <cell r="H777" t="str">
            <v>2006-02-28</v>
          </cell>
        </row>
        <row r="778">
          <cell r="A778">
            <v>480000</v>
          </cell>
          <cell r="B778">
            <v>1015</v>
          </cell>
          <cell r="C778">
            <v>-7913602.6799999997</v>
          </cell>
          <cell r="D778" t="str">
            <v>204</v>
          </cell>
          <cell r="E778" t="str">
            <v>407</v>
          </cell>
          <cell r="F778">
            <v>0</v>
          </cell>
          <cell r="G778">
            <v>2</v>
          </cell>
          <cell r="H778" t="str">
            <v>2006-02-28</v>
          </cell>
        </row>
        <row r="779">
          <cell r="A779">
            <v>480000</v>
          </cell>
          <cell r="B779">
            <v>1015</v>
          </cell>
          <cell r="C779">
            <v>-6743159.8399999999</v>
          </cell>
          <cell r="D779" t="str">
            <v>204</v>
          </cell>
          <cell r="E779" t="str">
            <v>407</v>
          </cell>
          <cell r="F779">
            <v>0</v>
          </cell>
          <cell r="G779">
            <v>2</v>
          </cell>
          <cell r="H779" t="str">
            <v>2006-02-28</v>
          </cell>
        </row>
        <row r="780">
          <cell r="A780">
            <v>480000</v>
          </cell>
          <cell r="B780">
            <v>1015</v>
          </cell>
          <cell r="C780">
            <v>-138173.81</v>
          </cell>
          <cell r="D780" t="str">
            <v>204</v>
          </cell>
          <cell r="E780" t="str">
            <v>407</v>
          </cell>
          <cell r="F780">
            <v>0</v>
          </cell>
          <cell r="G780">
            <v>2</v>
          </cell>
          <cell r="H780" t="str">
            <v>2006-02-28</v>
          </cell>
        </row>
        <row r="781">
          <cell r="A781">
            <v>480000</v>
          </cell>
          <cell r="B781">
            <v>1015</v>
          </cell>
          <cell r="C781">
            <v>-84527.89</v>
          </cell>
          <cell r="D781" t="str">
            <v>204</v>
          </cell>
          <cell r="E781" t="str">
            <v>407</v>
          </cell>
          <cell r="F781">
            <v>0</v>
          </cell>
          <cell r="G781">
            <v>2</v>
          </cell>
          <cell r="H781" t="str">
            <v>2006-02-28</v>
          </cell>
        </row>
        <row r="782">
          <cell r="A782">
            <v>480001</v>
          </cell>
          <cell r="B782">
            <v>1015</v>
          </cell>
          <cell r="C782">
            <v>14903770.689999999</v>
          </cell>
          <cell r="D782" t="str">
            <v>204</v>
          </cell>
          <cell r="E782" t="str">
            <v>407</v>
          </cell>
          <cell r="F782">
            <v>0</v>
          </cell>
          <cell r="G782">
            <v>2</v>
          </cell>
          <cell r="H782" t="str">
            <v>2006-02-28</v>
          </cell>
        </row>
        <row r="783">
          <cell r="A783">
            <v>481004</v>
          </cell>
          <cell r="B783">
            <v>1015</v>
          </cell>
          <cell r="C783">
            <v>-704560.55</v>
          </cell>
          <cell r="D783" t="str">
            <v>204</v>
          </cell>
          <cell r="E783" t="str">
            <v>407</v>
          </cell>
          <cell r="F783">
            <v>0</v>
          </cell>
          <cell r="G783">
            <v>2</v>
          </cell>
          <cell r="H783" t="str">
            <v>2006-02-28</v>
          </cell>
        </row>
        <row r="784">
          <cell r="A784">
            <v>481004</v>
          </cell>
          <cell r="B784">
            <v>1015</v>
          </cell>
          <cell r="C784">
            <v>-1410765.25</v>
          </cell>
          <cell r="D784" t="str">
            <v>204</v>
          </cell>
          <cell r="E784" t="str">
            <v>407</v>
          </cell>
          <cell r="F784">
            <v>0</v>
          </cell>
          <cell r="G784">
            <v>2</v>
          </cell>
          <cell r="H784" t="str">
            <v>2006-02-28</v>
          </cell>
        </row>
        <row r="785">
          <cell r="A785">
            <v>481004</v>
          </cell>
          <cell r="B785">
            <v>1015</v>
          </cell>
          <cell r="C785">
            <v>-1321593.6200000001</v>
          </cell>
          <cell r="D785" t="str">
            <v>204</v>
          </cell>
          <cell r="E785" t="str">
            <v>407</v>
          </cell>
          <cell r="F785">
            <v>0</v>
          </cell>
          <cell r="G785">
            <v>2</v>
          </cell>
          <cell r="H785" t="str">
            <v>2006-02-28</v>
          </cell>
        </row>
        <row r="786">
          <cell r="A786">
            <v>481004</v>
          </cell>
          <cell r="B786">
            <v>1015</v>
          </cell>
          <cell r="C786">
            <v>-6082002.6500000004</v>
          </cell>
          <cell r="D786" t="str">
            <v>204</v>
          </cell>
          <cell r="E786" t="str">
            <v>407</v>
          </cell>
          <cell r="F786">
            <v>0</v>
          </cell>
          <cell r="G786">
            <v>2</v>
          </cell>
          <cell r="H786" t="str">
            <v>2006-02-28</v>
          </cell>
        </row>
        <row r="787">
          <cell r="A787">
            <v>481004</v>
          </cell>
          <cell r="B787">
            <v>1015</v>
          </cell>
          <cell r="C787">
            <v>-5067816.21</v>
          </cell>
          <cell r="D787" t="str">
            <v>204</v>
          </cell>
          <cell r="E787" t="str">
            <v>407</v>
          </cell>
          <cell r="F787">
            <v>0</v>
          </cell>
          <cell r="G787">
            <v>2</v>
          </cell>
          <cell r="H787" t="str">
            <v>2006-02-28</v>
          </cell>
        </row>
        <row r="788">
          <cell r="A788">
            <v>481004</v>
          </cell>
          <cell r="B788">
            <v>1015</v>
          </cell>
          <cell r="C788">
            <v>-1592438.89</v>
          </cell>
          <cell r="D788" t="str">
            <v>204</v>
          </cell>
          <cell r="E788" t="str">
            <v>407</v>
          </cell>
          <cell r="F788">
            <v>0</v>
          </cell>
          <cell r="G788">
            <v>2</v>
          </cell>
          <cell r="H788" t="str">
            <v>2006-02-28</v>
          </cell>
        </row>
        <row r="789">
          <cell r="A789">
            <v>481004</v>
          </cell>
          <cell r="B789">
            <v>1015</v>
          </cell>
          <cell r="C789">
            <v>-2013562.45</v>
          </cell>
          <cell r="D789" t="str">
            <v>204</v>
          </cell>
          <cell r="E789" t="str">
            <v>407</v>
          </cell>
          <cell r="F789">
            <v>0</v>
          </cell>
          <cell r="G789">
            <v>2</v>
          </cell>
          <cell r="H789" t="str">
            <v>2006-02-28</v>
          </cell>
        </row>
        <row r="790">
          <cell r="A790">
            <v>481004</v>
          </cell>
          <cell r="B790">
            <v>1015</v>
          </cell>
          <cell r="C790">
            <v>-3029511.59</v>
          </cell>
          <cell r="D790" t="str">
            <v>204</v>
          </cell>
          <cell r="E790" t="str">
            <v>407</v>
          </cell>
          <cell r="F790">
            <v>0</v>
          </cell>
          <cell r="G790">
            <v>2</v>
          </cell>
          <cell r="H790" t="str">
            <v>2006-02-28</v>
          </cell>
        </row>
        <row r="791">
          <cell r="A791">
            <v>481004</v>
          </cell>
          <cell r="B791">
            <v>1015</v>
          </cell>
          <cell r="C791">
            <v>-1568175.26</v>
          </cell>
          <cell r="D791" t="str">
            <v>204</v>
          </cell>
          <cell r="E791" t="str">
            <v>407</v>
          </cell>
          <cell r="F791">
            <v>0</v>
          </cell>
          <cell r="G791">
            <v>2</v>
          </cell>
          <cell r="H791" t="str">
            <v>2006-02-28</v>
          </cell>
        </row>
        <row r="792">
          <cell r="A792">
            <v>481004</v>
          </cell>
          <cell r="B792">
            <v>1015</v>
          </cell>
          <cell r="C792">
            <v>-1547556.57</v>
          </cell>
          <cell r="D792" t="str">
            <v>204</v>
          </cell>
          <cell r="E792" t="str">
            <v>407</v>
          </cell>
          <cell r="F792">
            <v>0</v>
          </cell>
          <cell r="G792">
            <v>2</v>
          </cell>
          <cell r="H792" t="str">
            <v>2006-02-28</v>
          </cell>
        </row>
        <row r="793">
          <cell r="A793">
            <v>481004</v>
          </cell>
          <cell r="B793">
            <v>1015</v>
          </cell>
          <cell r="C793">
            <v>-3011594.59</v>
          </cell>
          <cell r="D793" t="str">
            <v>204</v>
          </cell>
          <cell r="E793" t="str">
            <v>407</v>
          </cell>
          <cell r="F793">
            <v>0</v>
          </cell>
          <cell r="G793">
            <v>2</v>
          </cell>
          <cell r="H793" t="str">
            <v>2006-02-28</v>
          </cell>
        </row>
        <row r="794">
          <cell r="A794">
            <v>481004</v>
          </cell>
          <cell r="B794">
            <v>1015</v>
          </cell>
          <cell r="C794">
            <v>-2608830.79</v>
          </cell>
          <cell r="D794" t="str">
            <v>204</v>
          </cell>
          <cell r="E794" t="str">
            <v>407</v>
          </cell>
          <cell r="F794">
            <v>0</v>
          </cell>
          <cell r="G794">
            <v>2</v>
          </cell>
          <cell r="H794" t="str">
            <v>2006-02-28</v>
          </cell>
        </row>
        <row r="795">
          <cell r="A795">
            <v>481004</v>
          </cell>
          <cell r="B795">
            <v>1015</v>
          </cell>
          <cell r="C795">
            <v>-149001.75</v>
          </cell>
          <cell r="D795" t="str">
            <v>204</v>
          </cell>
          <cell r="E795" t="str">
            <v>407</v>
          </cell>
          <cell r="F795">
            <v>0</v>
          </cell>
          <cell r="G795">
            <v>2</v>
          </cell>
          <cell r="H795" t="str">
            <v>2006-02-28</v>
          </cell>
        </row>
        <row r="796">
          <cell r="A796">
            <v>481004</v>
          </cell>
          <cell r="B796">
            <v>1015</v>
          </cell>
          <cell r="C796">
            <v>-43754.71</v>
          </cell>
          <cell r="D796" t="str">
            <v>204</v>
          </cell>
          <cell r="E796" t="str">
            <v>407</v>
          </cell>
          <cell r="F796">
            <v>0</v>
          </cell>
          <cell r="G796">
            <v>2</v>
          </cell>
          <cell r="H796" t="str">
            <v>2006-02-28</v>
          </cell>
        </row>
        <row r="797">
          <cell r="A797">
            <v>480000</v>
          </cell>
          <cell r="B797">
            <v>1015</v>
          </cell>
          <cell r="C797">
            <v>-546.96</v>
          </cell>
          <cell r="D797" t="str">
            <v>204</v>
          </cell>
          <cell r="E797" t="str">
            <v>408</v>
          </cell>
          <cell r="F797">
            <v>0</v>
          </cell>
          <cell r="G797">
            <v>2</v>
          </cell>
          <cell r="H797" t="str">
            <v>2006-02-28</v>
          </cell>
        </row>
        <row r="798">
          <cell r="A798">
            <v>480000</v>
          </cell>
          <cell r="B798">
            <v>1015</v>
          </cell>
          <cell r="C798">
            <v>-181.91</v>
          </cell>
          <cell r="D798" t="str">
            <v>204</v>
          </cell>
          <cell r="E798" t="str">
            <v>408</v>
          </cell>
          <cell r="F798">
            <v>0</v>
          </cell>
          <cell r="G798">
            <v>2</v>
          </cell>
          <cell r="H798" t="str">
            <v>2006-02-28</v>
          </cell>
        </row>
        <row r="799">
          <cell r="A799">
            <v>480000</v>
          </cell>
          <cell r="B799">
            <v>1015</v>
          </cell>
          <cell r="C799">
            <v>-613.22</v>
          </cell>
          <cell r="D799" t="str">
            <v>204</v>
          </cell>
          <cell r="E799" t="str">
            <v>408</v>
          </cell>
          <cell r="F799">
            <v>0</v>
          </cell>
          <cell r="G799">
            <v>2</v>
          </cell>
          <cell r="H799" t="str">
            <v>2006-02-28</v>
          </cell>
        </row>
        <row r="800">
          <cell r="A800">
            <v>480000</v>
          </cell>
          <cell r="B800">
            <v>1015</v>
          </cell>
          <cell r="C800">
            <v>-109507.12</v>
          </cell>
          <cell r="D800" t="str">
            <v>204</v>
          </cell>
          <cell r="E800" t="str">
            <v>408</v>
          </cell>
          <cell r="F800">
            <v>0</v>
          </cell>
          <cell r="G800">
            <v>2</v>
          </cell>
          <cell r="H800" t="str">
            <v>2006-02-28</v>
          </cell>
        </row>
        <row r="801">
          <cell r="A801">
            <v>480000</v>
          </cell>
          <cell r="B801">
            <v>1015</v>
          </cell>
          <cell r="C801">
            <v>-634.17999999999995</v>
          </cell>
          <cell r="D801" t="str">
            <v>204</v>
          </cell>
          <cell r="E801" t="str">
            <v>408</v>
          </cell>
          <cell r="F801">
            <v>0</v>
          </cell>
          <cell r="G801">
            <v>2</v>
          </cell>
          <cell r="H801" t="str">
            <v>2006-02-28</v>
          </cell>
        </row>
        <row r="802">
          <cell r="A802">
            <v>480000</v>
          </cell>
          <cell r="B802">
            <v>1015</v>
          </cell>
          <cell r="C802">
            <v>-909.48</v>
          </cell>
          <cell r="D802" t="str">
            <v>204</v>
          </cell>
          <cell r="E802" t="str">
            <v>408</v>
          </cell>
          <cell r="F802">
            <v>0</v>
          </cell>
          <cell r="G802">
            <v>2</v>
          </cell>
          <cell r="H802" t="str">
            <v>2006-02-28</v>
          </cell>
        </row>
        <row r="803">
          <cell r="A803">
            <v>480000</v>
          </cell>
          <cell r="B803">
            <v>1015</v>
          </cell>
          <cell r="C803">
            <v>-86979.839999999997</v>
          </cell>
          <cell r="D803" t="str">
            <v>204</v>
          </cell>
          <cell r="E803" t="str">
            <v>408</v>
          </cell>
          <cell r="F803">
            <v>0</v>
          </cell>
          <cell r="G803">
            <v>2</v>
          </cell>
          <cell r="H803" t="str">
            <v>2006-02-28</v>
          </cell>
        </row>
        <row r="804">
          <cell r="A804">
            <v>480000</v>
          </cell>
          <cell r="B804">
            <v>1015</v>
          </cell>
          <cell r="C804">
            <v>-244184.88</v>
          </cell>
          <cell r="D804" t="str">
            <v>204</v>
          </cell>
          <cell r="E804" t="str">
            <v>408</v>
          </cell>
          <cell r="F804">
            <v>0</v>
          </cell>
          <cell r="G804">
            <v>2</v>
          </cell>
          <cell r="H804" t="str">
            <v>2006-02-28</v>
          </cell>
        </row>
        <row r="805">
          <cell r="A805">
            <v>480000</v>
          </cell>
          <cell r="B805">
            <v>1015</v>
          </cell>
          <cell r="C805">
            <v>-1334.18</v>
          </cell>
          <cell r="D805" t="str">
            <v>204</v>
          </cell>
          <cell r="E805" t="str">
            <v>408</v>
          </cell>
          <cell r="F805">
            <v>0</v>
          </cell>
          <cell r="G805">
            <v>2</v>
          </cell>
          <cell r="H805" t="str">
            <v>2006-02-28</v>
          </cell>
        </row>
        <row r="806">
          <cell r="A806">
            <v>480000</v>
          </cell>
          <cell r="B806">
            <v>1015</v>
          </cell>
          <cell r="C806">
            <v>-447.71</v>
          </cell>
          <cell r="D806" t="str">
            <v>204</v>
          </cell>
          <cell r="E806" t="str">
            <v>408</v>
          </cell>
          <cell r="F806">
            <v>0</v>
          </cell>
          <cell r="G806">
            <v>2</v>
          </cell>
          <cell r="H806" t="str">
            <v>2006-02-28</v>
          </cell>
        </row>
        <row r="807">
          <cell r="A807">
            <v>480000</v>
          </cell>
          <cell r="B807">
            <v>1015</v>
          </cell>
          <cell r="C807">
            <v>-471.64</v>
          </cell>
          <cell r="D807" t="str">
            <v>204</v>
          </cell>
          <cell r="E807" t="str">
            <v>408</v>
          </cell>
          <cell r="F807">
            <v>0</v>
          </cell>
          <cell r="G807">
            <v>2</v>
          </cell>
          <cell r="H807" t="str">
            <v>2006-02-28</v>
          </cell>
        </row>
        <row r="808">
          <cell r="A808">
            <v>480000</v>
          </cell>
          <cell r="B808">
            <v>1015</v>
          </cell>
          <cell r="C808">
            <v>-26429.7</v>
          </cell>
          <cell r="D808" t="str">
            <v>204</v>
          </cell>
          <cell r="E808" t="str">
            <v>408</v>
          </cell>
          <cell r="F808">
            <v>0</v>
          </cell>
          <cell r="G808">
            <v>2</v>
          </cell>
          <cell r="H808" t="str">
            <v>2006-02-28</v>
          </cell>
        </row>
        <row r="809">
          <cell r="A809">
            <v>480000</v>
          </cell>
          <cell r="B809">
            <v>1015</v>
          </cell>
          <cell r="C809">
            <v>-124.87</v>
          </cell>
          <cell r="D809" t="str">
            <v>204</v>
          </cell>
          <cell r="E809" t="str">
            <v>408</v>
          </cell>
          <cell r="F809">
            <v>0</v>
          </cell>
          <cell r="G809">
            <v>2</v>
          </cell>
          <cell r="H809" t="str">
            <v>2006-02-28</v>
          </cell>
        </row>
        <row r="810">
          <cell r="A810">
            <v>480000</v>
          </cell>
          <cell r="B810">
            <v>1015</v>
          </cell>
          <cell r="C810">
            <v>-249.66</v>
          </cell>
          <cell r="D810" t="str">
            <v>204</v>
          </cell>
          <cell r="E810" t="str">
            <v>408</v>
          </cell>
          <cell r="F810">
            <v>0</v>
          </cell>
          <cell r="G810">
            <v>2</v>
          </cell>
          <cell r="H810" t="str">
            <v>2006-02-28</v>
          </cell>
        </row>
        <row r="811">
          <cell r="A811">
            <v>480001</v>
          </cell>
          <cell r="B811">
            <v>1015</v>
          </cell>
          <cell r="C811">
            <v>134689.44</v>
          </cell>
          <cell r="D811" t="str">
            <v>204</v>
          </cell>
          <cell r="E811" t="str">
            <v>408</v>
          </cell>
          <cell r="F811">
            <v>0</v>
          </cell>
          <cell r="G811">
            <v>2</v>
          </cell>
          <cell r="H811" t="str">
            <v>2006-02-28</v>
          </cell>
        </row>
        <row r="812">
          <cell r="A812">
            <v>481004</v>
          </cell>
          <cell r="B812">
            <v>1015</v>
          </cell>
          <cell r="C812">
            <v>0.01</v>
          </cell>
          <cell r="D812" t="str">
            <v>204</v>
          </cell>
          <cell r="E812" t="str">
            <v>408</v>
          </cell>
          <cell r="F812">
            <v>0</v>
          </cell>
          <cell r="G812">
            <v>2</v>
          </cell>
          <cell r="H812" t="str">
            <v>2006-02-28</v>
          </cell>
        </row>
        <row r="813">
          <cell r="A813">
            <v>481004</v>
          </cell>
          <cell r="B813">
            <v>1015</v>
          </cell>
          <cell r="C813">
            <v>-14176.28</v>
          </cell>
          <cell r="D813" t="str">
            <v>204</v>
          </cell>
          <cell r="E813" t="str">
            <v>408</v>
          </cell>
          <cell r="F813">
            <v>0</v>
          </cell>
          <cell r="G813">
            <v>2</v>
          </cell>
          <cell r="H813" t="str">
            <v>2006-02-28</v>
          </cell>
        </row>
        <row r="814">
          <cell r="A814">
            <v>481004</v>
          </cell>
          <cell r="B814">
            <v>1015</v>
          </cell>
          <cell r="C814">
            <v>-296.62</v>
          </cell>
          <cell r="D814" t="str">
            <v>204</v>
          </cell>
          <cell r="E814" t="str">
            <v>408</v>
          </cell>
          <cell r="F814">
            <v>0</v>
          </cell>
          <cell r="G814">
            <v>2</v>
          </cell>
          <cell r="H814" t="str">
            <v>2006-02-28</v>
          </cell>
        </row>
        <row r="815">
          <cell r="A815">
            <v>481004</v>
          </cell>
          <cell r="B815">
            <v>1015</v>
          </cell>
          <cell r="C815">
            <v>-57341.48</v>
          </cell>
          <cell r="D815" t="str">
            <v>204</v>
          </cell>
          <cell r="E815" t="str">
            <v>408</v>
          </cell>
          <cell r="F815">
            <v>0</v>
          </cell>
          <cell r="G815">
            <v>2</v>
          </cell>
          <cell r="H815" t="str">
            <v>2006-02-28</v>
          </cell>
        </row>
        <row r="816">
          <cell r="A816">
            <v>481004</v>
          </cell>
          <cell r="B816">
            <v>1015</v>
          </cell>
          <cell r="C816">
            <v>-152882.01</v>
          </cell>
          <cell r="D816" t="str">
            <v>204</v>
          </cell>
          <cell r="E816" t="str">
            <v>408</v>
          </cell>
          <cell r="F816">
            <v>0</v>
          </cell>
          <cell r="G816">
            <v>2</v>
          </cell>
          <cell r="H816" t="str">
            <v>2006-02-28</v>
          </cell>
        </row>
        <row r="817">
          <cell r="A817">
            <v>481004</v>
          </cell>
          <cell r="B817">
            <v>1015</v>
          </cell>
          <cell r="C817">
            <v>-823.09</v>
          </cell>
          <cell r="D817" t="str">
            <v>204</v>
          </cell>
          <cell r="E817" t="str">
            <v>408</v>
          </cell>
          <cell r="F817">
            <v>0</v>
          </cell>
          <cell r="G817">
            <v>2</v>
          </cell>
          <cell r="H817" t="str">
            <v>2006-02-28</v>
          </cell>
        </row>
        <row r="818">
          <cell r="A818">
            <v>481004</v>
          </cell>
          <cell r="B818">
            <v>1015</v>
          </cell>
          <cell r="C818">
            <v>-1149.19</v>
          </cell>
          <cell r="D818" t="str">
            <v>204</v>
          </cell>
          <cell r="E818" t="str">
            <v>408</v>
          </cell>
          <cell r="F818">
            <v>0</v>
          </cell>
          <cell r="G818">
            <v>2</v>
          </cell>
          <cell r="H818" t="str">
            <v>2006-02-28</v>
          </cell>
        </row>
        <row r="819">
          <cell r="A819">
            <v>481004</v>
          </cell>
          <cell r="B819">
            <v>1015</v>
          </cell>
          <cell r="C819">
            <v>-61.28</v>
          </cell>
          <cell r="D819" t="str">
            <v>204</v>
          </cell>
          <cell r="E819" t="str">
            <v>408</v>
          </cell>
          <cell r="F819">
            <v>0</v>
          </cell>
          <cell r="G819">
            <v>2</v>
          </cell>
          <cell r="H819" t="str">
            <v>2006-02-28</v>
          </cell>
        </row>
        <row r="820">
          <cell r="A820">
            <v>481004</v>
          </cell>
          <cell r="B820">
            <v>1015</v>
          </cell>
          <cell r="C820">
            <v>-5773.61</v>
          </cell>
          <cell r="D820" t="str">
            <v>204</v>
          </cell>
          <cell r="E820" t="str">
            <v>408</v>
          </cell>
          <cell r="F820">
            <v>0</v>
          </cell>
          <cell r="G820">
            <v>2</v>
          </cell>
          <cell r="H820" t="str">
            <v>2006-02-28</v>
          </cell>
        </row>
        <row r="821">
          <cell r="A821">
            <v>481004</v>
          </cell>
          <cell r="B821">
            <v>1015</v>
          </cell>
          <cell r="C821">
            <v>-785.54</v>
          </cell>
          <cell r="D821" t="str">
            <v>204</v>
          </cell>
          <cell r="E821" t="str">
            <v>408</v>
          </cell>
          <cell r="F821">
            <v>0</v>
          </cell>
          <cell r="G821">
            <v>2</v>
          </cell>
          <cell r="H821" t="str">
            <v>2006-02-28</v>
          </cell>
        </row>
        <row r="822">
          <cell r="A822">
            <v>481002</v>
          </cell>
          <cell r="B822">
            <v>1015</v>
          </cell>
          <cell r="C822">
            <v>0</v>
          </cell>
          <cell r="D822" t="str">
            <v>204</v>
          </cell>
          <cell r="E822" t="str">
            <v>409</v>
          </cell>
          <cell r="F822">
            <v>0</v>
          </cell>
          <cell r="G822">
            <v>2</v>
          </cell>
          <cell r="H822" t="str">
            <v>2006-02-28</v>
          </cell>
        </row>
        <row r="823">
          <cell r="A823">
            <v>481002</v>
          </cell>
          <cell r="B823">
            <v>1015</v>
          </cell>
          <cell r="C823">
            <v>0</v>
          </cell>
          <cell r="D823" t="str">
            <v>204</v>
          </cell>
          <cell r="E823" t="str">
            <v>409</v>
          </cell>
          <cell r="F823">
            <v>0</v>
          </cell>
          <cell r="G823">
            <v>2</v>
          </cell>
          <cell r="H823" t="str">
            <v>2006-02-28</v>
          </cell>
        </row>
        <row r="824">
          <cell r="A824">
            <v>481002</v>
          </cell>
          <cell r="B824">
            <v>1015</v>
          </cell>
          <cell r="C824">
            <v>0</v>
          </cell>
          <cell r="D824" t="str">
            <v>204</v>
          </cell>
          <cell r="E824" t="str">
            <v>409</v>
          </cell>
          <cell r="F824">
            <v>0</v>
          </cell>
          <cell r="G824">
            <v>2</v>
          </cell>
          <cell r="H824" t="str">
            <v>2006-02-28</v>
          </cell>
        </row>
        <row r="825">
          <cell r="A825">
            <v>481002</v>
          </cell>
          <cell r="B825">
            <v>1015</v>
          </cell>
          <cell r="C825">
            <v>0</v>
          </cell>
          <cell r="D825" t="str">
            <v>204</v>
          </cell>
          <cell r="E825" t="str">
            <v>411</v>
          </cell>
          <cell r="F825">
            <v>0</v>
          </cell>
          <cell r="G825">
            <v>2</v>
          </cell>
          <cell r="H825" t="str">
            <v>2006-02-28</v>
          </cell>
        </row>
        <row r="826">
          <cell r="A826">
            <v>481002</v>
          </cell>
          <cell r="B826">
            <v>1015</v>
          </cell>
          <cell r="C826">
            <v>-2002370.44</v>
          </cell>
          <cell r="D826" t="str">
            <v>204</v>
          </cell>
          <cell r="E826" t="str">
            <v>411</v>
          </cell>
          <cell r="F826">
            <v>0</v>
          </cell>
          <cell r="G826">
            <v>2</v>
          </cell>
          <cell r="H826" t="str">
            <v>2006-02-28</v>
          </cell>
        </row>
        <row r="827">
          <cell r="A827">
            <v>481002</v>
          </cell>
          <cell r="B827">
            <v>1015</v>
          </cell>
          <cell r="C827">
            <v>2830249.47</v>
          </cell>
          <cell r="D827" t="str">
            <v>204</v>
          </cell>
          <cell r="E827" t="str">
            <v>411</v>
          </cell>
          <cell r="F827">
            <v>0</v>
          </cell>
          <cell r="G827">
            <v>2</v>
          </cell>
          <cell r="H827" t="str">
            <v>2006-02-28</v>
          </cell>
        </row>
        <row r="828">
          <cell r="A828">
            <v>481002</v>
          </cell>
          <cell r="B828">
            <v>1015</v>
          </cell>
          <cell r="C828">
            <v>-333399.49</v>
          </cell>
          <cell r="D828" t="str">
            <v>204</v>
          </cell>
          <cell r="E828" t="str">
            <v>411</v>
          </cell>
          <cell r="F828">
            <v>0</v>
          </cell>
          <cell r="G828">
            <v>2</v>
          </cell>
          <cell r="H828" t="str">
            <v>2006-02-28</v>
          </cell>
        </row>
        <row r="829">
          <cell r="A829">
            <v>481002</v>
          </cell>
          <cell r="B829">
            <v>1015</v>
          </cell>
          <cell r="C829">
            <v>-479641.88</v>
          </cell>
          <cell r="D829" t="str">
            <v>204</v>
          </cell>
          <cell r="E829" t="str">
            <v>411</v>
          </cell>
          <cell r="F829">
            <v>0</v>
          </cell>
          <cell r="G829">
            <v>2</v>
          </cell>
          <cell r="H829" t="str">
            <v>2006-02-28</v>
          </cell>
        </row>
        <row r="830">
          <cell r="A830">
            <v>481002</v>
          </cell>
          <cell r="B830">
            <v>1015</v>
          </cell>
          <cell r="C830">
            <v>-9149.2900000000009</v>
          </cell>
          <cell r="D830" t="str">
            <v>204</v>
          </cell>
          <cell r="E830" t="str">
            <v>411</v>
          </cell>
          <cell r="F830">
            <v>0</v>
          </cell>
          <cell r="G830">
            <v>2</v>
          </cell>
          <cell r="H830" t="str">
            <v>2006-02-28</v>
          </cell>
        </row>
        <row r="831">
          <cell r="A831">
            <v>481002</v>
          </cell>
          <cell r="B831">
            <v>1015</v>
          </cell>
          <cell r="C831">
            <v>-67587.210000000006</v>
          </cell>
          <cell r="D831" t="str">
            <v>204</v>
          </cell>
          <cell r="E831" t="str">
            <v>411</v>
          </cell>
          <cell r="F831">
            <v>0</v>
          </cell>
          <cell r="G831">
            <v>2</v>
          </cell>
          <cell r="H831" t="str">
            <v>2006-02-28</v>
          </cell>
        </row>
        <row r="832">
          <cell r="A832">
            <v>481002</v>
          </cell>
          <cell r="B832">
            <v>1015</v>
          </cell>
          <cell r="C832">
            <v>-26976.79</v>
          </cell>
          <cell r="D832" t="str">
            <v>204</v>
          </cell>
          <cell r="E832" t="str">
            <v>411</v>
          </cell>
          <cell r="F832">
            <v>0</v>
          </cell>
          <cell r="G832">
            <v>2</v>
          </cell>
          <cell r="H832" t="str">
            <v>2006-02-28</v>
          </cell>
        </row>
        <row r="833">
          <cell r="A833">
            <v>481002</v>
          </cell>
          <cell r="B833">
            <v>1015</v>
          </cell>
          <cell r="C833">
            <v>-69000.97</v>
          </cell>
          <cell r="D833" t="str">
            <v>204</v>
          </cell>
          <cell r="E833" t="str">
            <v>411</v>
          </cell>
          <cell r="F833">
            <v>0</v>
          </cell>
          <cell r="G833">
            <v>2</v>
          </cell>
          <cell r="H833" t="str">
            <v>2006-02-28</v>
          </cell>
        </row>
        <row r="834">
          <cell r="A834">
            <v>481002</v>
          </cell>
          <cell r="B834">
            <v>1015</v>
          </cell>
          <cell r="C834">
            <v>-14408.7</v>
          </cell>
          <cell r="D834" t="str">
            <v>204</v>
          </cell>
          <cell r="E834" t="str">
            <v>411</v>
          </cell>
          <cell r="F834">
            <v>0</v>
          </cell>
          <cell r="G834">
            <v>2</v>
          </cell>
          <cell r="H834" t="str">
            <v>2006-02-28</v>
          </cell>
        </row>
        <row r="835">
          <cell r="A835">
            <v>481002</v>
          </cell>
          <cell r="B835">
            <v>1015</v>
          </cell>
          <cell r="C835">
            <v>-44189.760000000002</v>
          </cell>
          <cell r="D835" t="str">
            <v>204</v>
          </cell>
          <cell r="E835" t="str">
            <v>411</v>
          </cell>
          <cell r="F835">
            <v>0</v>
          </cell>
          <cell r="G835">
            <v>2</v>
          </cell>
          <cell r="H835" t="str">
            <v>2006-02-28</v>
          </cell>
        </row>
        <row r="836">
          <cell r="A836">
            <v>481005</v>
          </cell>
          <cell r="B836">
            <v>1015</v>
          </cell>
          <cell r="C836">
            <v>0</v>
          </cell>
          <cell r="D836" t="str">
            <v>204</v>
          </cell>
          <cell r="E836" t="str">
            <v>411</v>
          </cell>
          <cell r="F836">
            <v>0</v>
          </cell>
          <cell r="G836">
            <v>2</v>
          </cell>
          <cell r="H836" t="str">
            <v>2006-02-28</v>
          </cell>
        </row>
        <row r="837">
          <cell r="A837">
            <v>481005</v>
          </cell>
          <cell r="B837">
            <v>1015</v>
          </cell>
          <cell r="C837">
            <v>3271782.48</v>
          </cell>
          <cell r="D837" t="str">
            <v>204</v>
          </cell>
          <cell r="E837" t="str">
            <v>411</v>
          </cell>
          <cell r="F837">
            <v>0</v>
          </cell>
          <cell r="G837">
            <v>2</v>
          </cell>
          <cell r="H837" t="str">
            <v>2006-02-28</v>
          </cell>
        </row>
        <row r="838">
          <cell r="A838">
            <v>481005</v>
          </cell>
          <cell r="B838">
            <v>1015</v>
          </cell>
          <cell r="C838">
            <v>-3484460.34</v>
          </cell>
          <cell r="D838" t="str">
            <v>204</v>
          </cell>
          <cell r="E838" t="str">
            <v>411</v>
          </cell>
          <cell r="F838">
            <v>0</v>
          </cell>
          <cell r="G838">
            <v>2</v>
          </cell>
          <cell r="H838" t="str">
            <v>2006-02-28</v>
          </cell>
        </row>
        <row r="839">
          <cell r="A839">
            <v>481005</v>
          </cell>
          <cell r="B839">
            <v>1015</v>
          </cell>
          <cell r="C839">
            <v>-999.82</v>
          </cell>
          <cell r="D839" t="str">
            <v>204</v>
          </cell>
          <cell r="E839" t="str">
            <v>411</v>
          </cell>
          <cell r="F839">
            <v>0</v>
          </cell>
          <cell r="G839">
            <v>2</v>
          </cell>
          <cell r="H839" t="str">
            <v>2006-02-28</v>
          </cell>
        </row>
        <row r="840">
          <cell r="A840">
            <v>481005</v>
          </cell>
          <cell r="B840">
            <v>1015</v>
          </cell>
          <cell r="C840">
            <v>-13905.24</v>
          </cell>
          <cell r="D840" t="str">
            <v>204</v>
          </cell>
          <cell r="E840" t="str">
            <v>411</v>
          </cell>
          <cell r="F840">
            <v>0</v>
          </cell>
          <cell r="G840">
            <v>2</v>
          </cell>
          <cell r="H840" t="str">
            <v>2006-02-28</v>
          </cell>
        </row>
        <row r="841">
          <cell r="A841">
            <v>481005</v>
          </cell>
          <cell r="B841">
            <v>1015</v>
          </cell>
          <cell r="C841">
            <v>-353029.89</v>
          </cell>
          <cell r="D841" t="str">
            <v>204</v>
          </cell>
          <cell r="E841" t="str">
            <v>411</v>
          </cell>
          <cell r="F841">
            <v>0</v>
          </cell>
          <cell r="G841">
            <v>2</v>
          </cell>
          <cell r="H841" t="str">
            <v>2006-02-28</v>
          </cell>
        </row>
        <row r="842">
          <cell r="A842">
            <v>481005</v>
          </cell>
          <cell r="B842">
            <v>1015</v>
          </cell>
          <cell r="C842">
            <v>-12491.58</v>
          </cell>
          <cell r="D842" t="str">
            <v>204</v>
          </cell>
          <cell r="E842" t="str">
            <v>411</v>
          </cell>
          <cell r="F842">
            <v>0</v>
          </cell>
          <cell r="G842">
            <v>2</v>
          </cell>
          <cell r="H842" t="str">
            <v>2006-02-28</v>
          </cell>
        </row>
        <row r="843">
          <cell r="A843">
            <v>481005</v>
          </cell>
          <cell r="B843">
            <v>1015</v>
          </cell>
          <cell r="C843">
            <v>-58449.7</v>
          </cell>
          <cell r="D843" t="str">
            <v>204</v>
          </cell>
          <cell r="E843" t="str">
            <v>411</v>
          </cell>
          <cell r="F843">
            <v>0</v>
          </cell>
          <cell r="G843">
            <v>2</v>
          </cell>
          <cell r="H843" t="str">
            <v>2006-02-28</v>
          </cell>
        </row>
        <row r="844">
          <cell r="A844">
            <v>481005</v>
          </cell>
          <cell r="B844">
            <v>1015</v>
          </cell>
          <cell r="C844">
            <v>-15882.76</v>
          </cell>
          <cell r="D844" t="str">
            <v>204</v>
          </cell>
          <cell r="E844" t="str">
            <v>411</v>
          </cell>
          <cell r="F844">
            <v>0</v>
          </cell>
          <cell r="G844">
            <v>2</v>
          </cell>
          <cell r="H844" t="str">
            <v>2006-02-28</v>
          </cell>
        </row>
        <row r="845">
          <cell r="A845">
            <v>481005</v>
          </cell>
          <cell r="B845">
            <v>1015</v>
          </cell>
          <cell r="C845">
            <v>-11203.22</v>
          </cell>
          <cell r="D845" t="str">
            <v>204</v>
          </cell>
          <cell r="E845" t="str">
            <v>411</v>
          </cell>
          <cell r="F845">
            <v>0</v>
          </cell>
          <cell r="G845">
            <v>2</v>
          </cell>
          <cell r="H845" t="str">
            <v>2006-02-28</v>
          </cell>
        </row>
        <row r="846">
          <cell r="A846">
            <v>481005</v>
          </cell>
          <cell r="B846">
            <v>1015</v>
          </cell>
          <cell r="C846">
            <v>-23457.45</v>
          </cell>
          <cell r="D846" t="str">
            <v>204</v>
          </cell>
          <cell r="E846" t="str">
            <v>411</v>
          </cell>
          <cell r="F846">
            <v>0</v>
          </cell>
          <cell r="G846">
            <v>2</v>
          </cell>
          <cell r="H846" t="str">
            <v>2006-02-28</v>
          </cell>
        </row>
        <row r="847">
          <cell r="A847">
            <v>481005</v>
          </cell>
          <cell r="B847">
            <v>1015</v>
          </cell>
          <cell r="C847">
            <v>-29249.040000000001</v>
          </cell>
          <cell r="D847" t="str">
            <v>204</v>
          </cell>
          <cell r="E847" t="str">
            <v>411</v>
          </cell>
          <cell r="F847">
            <v>0</v>
          </cell>
          <cell r="G847">
            <v>2</v>
          </cell>
          <cell r="H847" t="str">
            <v>2006-02-28</v>
          </cell>
        </row>
        <row r="848">
          <cell r="A848">
            <v>481005</v>
          </cell>
          <cell r="B848">
            <v>1015</v>
          </cell>
          <cell r="C848">
            <v>-58420.45</v>
          </cell>
          <cell r="D848" t="str">
            <v>204</v>
          </cell>
          <cell r="E848" t="str">
            <v>411</v>
          </cell>
          <cell r="F848">
            <v>0</v>
          </cell>
          <cell r="G848">
            <v>2</v>
          </cell>
          <cell r="H848" t="str">
            <v>2006-02-28</v>
          </cell>
        </row>
        <row r="849">
          <cell r="A849">
            <v>481005</v>
          </cell>
          <cell r="B849">
            <v>1015</v>
          </cell>
          <cell r="C849">
            <v>-16420.97</v>
          </cell>
          <cell r="D849" t="str">
            <v>204</v>
          </cell>
          <cell r="E849" t="str">
            <v>411</v>
          </cell>
          <cell r="F849">
            <v>0</v>
          </cell>
          <cell r="G849">
            <v>2</v>
          </cell>
          <cell r="H849" t="str">
            <v>2006-02-28</v>
          </cell>
        </row>
        <row r="850">
          <cell r="A850">
            <v>481002</v>
          </cell>
          <cell r="B850">
            <v>1015</v>
          </cell>
          <cell r="C850">
            <v>0</v>
          </cell>
          <cell r="D850" t="str">
            <v>204</v>
          </cell>
          <cell r="E850" t="str">
            <v>414</v>
          </cell>
          <cell r="F850">
            <v>0</v>
          </cell>
          <cell r="G850">
            <v>2</v>
          </cell>
          <cell r="H850" t="str">
            <v>2006-02-28</v>
          </cell>
        </row>
        <row r="851">
          <cell r="A851">
            <v>481002</v>
          </cell>
          <cell r="B851">
            <v>1015</v>
          </cell>
          <cell r="C851">
            <v>-239664.23</v>
          </cell>
          <cell r="D851" t="str">
            <v>204</v>
          </cell>
          <cell r="E851" t="str">
            <v>414</v>
          </cell>
          <cell r="F851">
            <v>0</v>
          </cell>
          <cell r="G851">
            <v>2</v>
          </cell>
          <cell r="H851" t="str">
            <v>2006-02-28</v>
          </cell>
        </row>
        <row r="852">
          <cell r="A852">
            <v>481002</v>
          </cell>
          <cell r="B852">
            <v>1015</v>
          </cell>
          <cell r="C852">
            <v>325283.12</v>
          </cell>
          <cell r="D852" t="str">
            <v>204</v>
          </cell>
          <cell r="E852" t="str">
            <v>414</v>
          </cell>
          <cell r="F852">
            <v>0</v>
          </cell>
          <cell r="G852">
            <v>2</v>
          </cell>
          <cell r="H852" t="str">
            <v>2006-02-28</v>
          </cell>
        </row>
        <row r="853">
          <cell r="A853">
            <v>481002</v>
          </cell>
          <cell r="B853">
            <v>1015</v>
          </cell>
          <cell r="C853">
            <v>-60029.47</v>
          </cell>
          <cell r="D853" t="str">
            <v>204</v>
          </cell>
          <cell r="E853" t="str">
            <v>414</v>
          </cell>
          <cell r="F853">
            <v>0</v>
          </cell>
          <cell r="G853">
            <v>2</v>
          </cell>
          <cell r="H853" t="str">
            <v>2006-02-28</v>
          </cell>
        </row>
        <row r="854">
          <cell r="A854">
            <v>481002</v>
          </cell>
          <cell r="B854">
            <v>1015</v>
          </cell>
          <cell r="C854">
            <v>-64375.92</v>
          </cell>
          <cell r="D854" t="str">
            <v>204</v>
          </cell>
          <cell r="E854" t="str">
            <v>414</v>
          </cell>
          <cell r="F854">
            <v>0</v>
          </cell>
          <cell r="G854">
            <v>2</v>
          </cell>
          <cell r="H854" t="str">
            <v>2006-02-28</v>
          </cell>
        </row>
        <row r="855">
          <cell r="A855">
            <v>481005</v>
          </cell>
          <cell r="B855">
            <v>1015</v>
          </cell>
          <cell r="C855">
            <v>0</v>
          </cell>
          <cell r="D855" t="str">
            <v>204</v>
          </cell>
          <cell r="E855" t="str">
            <v>414</v>
          </cell>
          <cell r="F855">
            <v>0</v>
          </cell>
          <cell r="G855">
            <v>2</v>
          </cell>
          <cell r="H855" t="str">
            <v>2006-02-28</v>
          </cell>
        </row>
        <row r="856">
          <cell r="A856">
            <v>481005</v>
          </cell>
          <cell r="B856">
            <v>1015</v>
          </cell>
          <cell r="C856">
            <v>343059.63</v>
          </cell>
          <cell r="D856" t="str">
            <v>204</v>
          </cell>
          <cell r="E856" t="str">
            <v>414</v>
          </cell>
          <cell r="F856">
            <v>0</v>
          </cell>
          <cell r="G856">
            <v>2</v>
          </cell>
          <cell r="H856" t="str">
            <v>2006-02-28</v>
          </cell>
        </row>
        <row r="857">
          <cell r="A857">
            <v>481005</v>
          </cell>
          <cell r="B857">
            <v>1015</v>
          </cell>
          <cell r="C857">
            <v>-360370.95</v>
          </cell>
          <cell r="D857" t="str">
            <v>204</v>
          </cell>
          <cell r="E857" t="str">
            <v>414</v>
          </cell>
          <cell r="F857">
            <v>0</v>
          </cell>
          <cell r="G857">
            <v>2</v>
          </cell>
          <cell r="H857" t="str">
            <v>2006-02-28</v>
          </cell>
        </row>
        <row r="858">
          <cell r="A858">
            <v>481005</v>
          </cell>
          <cell r="B858">
            <v>1015</v>
          </cell>
          <cell r="C858">
            <v>-44303.29</v>
          </cell>
          <cell r="D858" t="str">
            <v>204</v>
          </cell>
          <cell r="E858" t="str">
            <v>414</v>
          </cell>
          <cell r="F858">
            <v>0</v>
          </cell>
          <cell r="G858">
            <v>2</v>
          </cell>
          <cell r="H858" t="str">
            <v>2006-02-28</v>
          </cell>
        </row>
        <row r="859">
          <cell r="A859">
            <v>481005</v>
          </cell>
          <cell r="B859">
            <v>1015</v>
          </cell>
          <cell r="C859">
            <v>-7156.16</v>
          </cell>
          <cell r="D859" t="str">
            <v>204</v>
          </cell>
          <cell r="E859" t="str">
            <v>414</v>
          </cell>
          <cell r="F859">
            <v>0</v>
          </cell>
          <cell r="G859">
            <v>2</v>
          </cell>
          <cell r="H859" t="str">
            <v>2006-02-28</v>
          </cell>
        </row>
        <row r="860">
          <cell r="A860">
            <v>481000</v>
          </cell>
          <cell r="B860">
            <v>1015</v>
          </cell>
          <cell r="C860">
            <v>0</v>
          </cell>
          <cell r="D860" t="str">
            <v>204</v>
          </cell>
          <cell r="E860" t="str">
            <v>451</v>
          </cell>
          <cell r="F860">
            <v>0</v>
          </cell>
          <cell r="G860">
            <v>2</v>
          </cell>
          <cell r="H860" t="str">
            <v>2006-02-28</v>
          </cell>
        </row>
        <row r="861">
          <cell r="A861">
            <v>481000</v>
          </cell>
          <cell r="B861">
            <v>1015</v>
          </cell>
          <cell r="C861">
            <v>3490.69</v>
          </cell>
          <cell r="D861" t="str">
            <v>204</v>
          </cell>
          <cell r="E861" t="str">
            <v>451</v>
          </cell>
          <cell r="F861">
            <v>0</v>
          </cell>
          <cell r="G861">
            <v>2</v>
          </cell>
          <cell r="H861" t="str">
            <v>2006-02-28</v>
          </cell>
        </row>
        <row r="862">
          <cell r="A862">
            <v>481000</v>
          </cell>
          <cell r="B862">
            <v>1015</v>
          </cell>
          <cell r="C862">
            <v>-1473.64</v>
          </cell>
          <cell r="D862" t="str">
            <v>204</v>
          </cell>
          <cell r="E862" t="str">
            <v>451</v>
          </cell>
          <cell r="F862">
            <v>0</v>
          </cell>
          <cell r="G862">
            <v>2</v>
          </cell>
          <cell r="H862" t="str">
            <v>2006-02-28</v>
          </cell>
        </row>
        <row r="863">
          <cell r="A863">
            <v>481000</v>
          </cell>
          <cell r="B863">
            <v>1015</v>
          </cell>
          <cell r="C863">
            <v>-1877.36</v>
          </cell>
          <cell r="D863" t="str">
            <v>204</v>
          </cell>
          <cell r="E863" t="str">
            <v>451</v>
          </cell>
          <cell r="F863">
            <v>0</v>
          </cell>
          <cell r="G863">
            <v>2</v>
          </cell>
          <cell r="H863" t="str">
            <v>2006-02-28</v>
          </cell>
        </row>
        <row r="864">
          <cell r="A864">
            <v>481000</v>
          </cell>
          <cell r="B864">
            <v>1015</v>
          </cell>
          <cell r="C864">
            <v>-139.69</v>
          </cell>
          <cell r="D864" t="str">
            <v>204</v>
          </cell>
          <cell r="E864" t="str">
            <v>451</v>
          </cell>
          <cell r="F864">
            <v>0</v>
          </cell>
          <cell r="G864">
            <v>2</v>
          </cell>
          <cell r="H864" t="str">
            <v>2006-02-28</v>
          </cell>
        </row>
        <row r="865">
          <cell r="A865">
            <v>481004</v>
          </cell>
          <cell r="B865">
            <v>1015</v>
          </cell>
          <cell r="C865">
            <v>0</v>
          </cell>
          <cell r="D865" t="str">
            <v>204</v>
          </cell>
          <cell r="E865" t="str">
            <v>451</v>
          </cell>
          <cell r="F865">
            <v>0</v>
          </cell>
          <cell r="G865">
            <v>2</v>
          </cell>
          <cell r="H865" t="str">
            <v>2006-02-28</v>
          </cell>
        </row>
        <row r="866">
          <cell r="A866">
            <v>481004</v>
          </cell>
          <cell r="B866">
            <v>1015</v>
          </cell>
          <cell r="C866">
            <v>28259.55</v>
          </cell>
          <cell r="D866" t="str">
            <v>204</v>
          </cell>
          <cell r="E866" t="str">
            <v>451</v>
          </cell>
          <cell r="F866">
            <v>0</v>
          </cell>
          <cell r="G866">
            <v>2</v>
          </cell>
          <cell r="H866" t="str">
            <v>2006-02-28</v>
          </cell>
        </row>
        <row r="867">
          <cell r="A867">
            <v>481004</v>
          </cell>
          <cell r="B867">
            <v>1015</v>
          </cell>
          <cell r="C867">
            <v>-11213.17</v>
          </cell>
          <cell r="D867" t="str">
            <v>204</v>
          </cell>
          <cell r="E867" t="str">
            <v>451</v>
          </cell>
          <cell r="F867">
            <v>0</v>
          </cell>
          <cell r="G867">
            <v>2</v>
          </cell>
          <cell r="H867" t="str">
            <v>2006-02-28</v>
          </cell>
        </row>
        <row r="868">
          <cell r="A868">
            <v>481004</v>
          </cell>
          <cell r="B868">
            <v>1015</v>
          </cell>
          <cell r="C868">
            <v>-44085.37</v>
          </cell>
          <cell r="D868" t="str">
            <v>204</v>
          </cell>
          <cell r="E868" t="str">
            <v>451</v>
          </cell>
          <cell r="F868">
            <v>0</v>
          </cell>
          <cell r="G868">
            <v>2</v>
          </cell>
          <cell r="H868" t="str">
            <v>2006-02-28</v>
          </cell>
        </row>
        <row r="869">
          <cell r="A869">
            <v>481004</v>
          </cell>
          <cell r="B869">
            <v>1015</v>
          </cell>
          <cell r="C869">
            <v>-9333.67</v>
          </cell>
          <cell r="D869" t="str">
            <v>204</v>
          </cell>
          <cell r="E869" t="str">
            <v>451</v>
          </cell>
          <cell r="F869">
            <v>0</v>
          </cell>
          <cell r="G869">
            <v>2</v>
          </cell>
          <cell r="H869" t="str">
            <v>2006-02-28</v>
          </cell>
        </row>
        <row r="870">
          <cell r="A870">
            <v>481004</v>
          </cell>
          <cell r="B870">
            <v>1015</v>
          </cell>
          <cell r="C870">
            <v>-65961.350000000006</v>
          </cell>
          <cell r="D870" t="str">
            <v>204</v>
          </cell>
          <cell r="E870" t="str">
            <v>451</v>
          </cell>
          <cell r="F870">
            <v>0</v>
          </cell>
          <cell r="G870">
            <v>2</v>
          </cell>
          <cell r="H870" t="str">
            <v>2006-02-28</v>
          </cell>
        </row>
        <row r="871">
          <cell r="A871">
            <v>481004</v>
          </cell>
          <cell r="B871">
            <v>1015</v>
          </cell>
          <cell r="C871">
            <v>-10135.969999999999</v>
          </cell>
          <cell r="D871" t="str">
            <v>204</v>
          </cell>
          <cell r="E871" t="str">
            <v>451</v>
          </cell>
          <cell r="F871">
            <v>0</v>
          </cell>
          <cell r="G871">
            <v>2</v>
          </cell>
          <cell r="H871" t="str">
            <v>2006-02-28</v>
          </cell>
        </row>
        <row r="872">
          <cell r="A872">
            <v>481004</v>
          </cell>
          <cell r="B872">
            <v>1015</v>
          </cell>
          <cell r="C872">
            <v>-7468.41</v>
          </cell>
          <cell r="D872" t="str">
            <v>204</v>
          </cell>
          <cell r="E872" t="str">
            <v>451</v>
          </cell>
          <cell r="F872">
            <v>0</v>
          </cell>
          <cell r="G872">
            <v>2</v>
          </cell>
          <cell r="H872" t="str">
            <v>2006-02-28</v>
          </cell>
        </row>
        <row r="873">
          <cell r="A873">
            <v>481004</v>
          </cell>
          <cell r="B873">
            <v>1015</v>
          </cell>
          <cell r="C873">
            <v>-73105.91</v>
          </cell>
          <cell r="D873" t="str">
            <v>204</v>
          </cell>
          <cell r="E873" t="str">
            <v>451</v>
          </cell>
          <cell r="F873">
            <v>0</v>
          </cell>
          <cell r="G873">
            <v>2</v>
          </cell>
          <cell r="H873" t="str">
            <v>2006-02-28</v>
          </cell>
        </row>
        <row r="874">
          <cell r="A874">
            <v>481004</v>
          </cell>
          <cell r="B874">
            <v>1015</v>
          </cell>
          <cell r="C874">
            <v>-2367.1799999999998</v>
          </cell>
          <cell r="D874" t="str">
            <v>204</v>
          </cell>
          <cell r="E874" t="str">
            <v>451</v>
          </cell>
          <cell r="F874">
            <v>0</v>
          </cell>
          <cell r="G874">
            <v>2</v>
          </cell>
          <cell r="H874" t="str">
            <v>2006-02-28</v>
          </cell>
        </row>
        <row r="875">
          <cell r="A875">
            <v>481004</v>
          </cell>
          <cell r="B875">
            <v>1015</v>
          </cell>
          <cell r="C875">
            <v>-19967.419999999998</v>
          </cell>
          <cell r="D875" t="str">
            <v>204</v>
          </cell>
          <cell r="E875" t="str">
            <v>451</v>
          </cell>
          <cell r="F875">
            <v>0</v>
          </cell>
          <cell r="G875">
            <v>2</v>
          </cell>
          <cell r="H875" t="str">
            <v>2006-02-28</v>
          </cell>
        </row>
        <row r="876">
          <cell r="A876">
            <v>481004</v>
          </cell>
          <cell r="B876">
            <v>1015</v>
          </cell>
          <cell r="C876">
            <v>-46840.65</v>
          </cell>
          <cell r="D876" t="str">
            <v>204</v>
          </cell>
          <cell r="E876" t="str">
            <v>451</v>
          </cell>
          <cell r="F876">
            <v>0</v>
          </cell>
          <cell r="G876">
            <v>2</v>
          </cell>
          <cell r="H876" t="str">
            <v>2006-02-28</v>
          </cell>
        </row>
        <row r="877">
          <cell r="A877">
            <v>481004</v>
          </cell>
          <cell r="B877">
            <v>1015</v>
          </cell>
          <cell r="C877">
            <v>-1125.45</v>
          </cell>
          <cell r="D877" t="str">
            <v>204</v>
          </cell>
          <cell r="E877" t="str">
            <v>451</v>
          </cell>
          <cell r="F877">
            <v>0</v>
          </cell>
          <cell r="G877">
            <v>2</v>
          </cell>
          <cell r="H877" t="str">
            <v>2006-02-28</v>
          </cell>
        </row>
        <row r="878">
          <cell r="A878">
            <v>480000</v>
          </cell>
          <cell r="B878">
            <v>1015</v>
          </cell>
          <cell r="C878">
            <v>-194695.05</v>
          </cell>
          <cell r="D878" t="str">
            <v>204</v>
          </cell>
          <cell r="E878" t="str">
            <v>453</v>
          </cell>
          <cell r="F878">
            <v>0</v>
          </cell>
          <cell r="G878">
            <v>2</v>
          </cell>
          <cell r="H878" t="str">
            <v>2006-02-28</v>
          </cell>
        </row>
        <row r="879">
          <cell r="A879">
            <v>480000</v>
          </cell>
          <cell r="B879">
            <v>1015</v>
          </cell>
          <cell r="C879">
            <v>-5056.54</v>
          </cell>
          <cell r="D879" t="str">
            <v>204</v>
          </cell>
          <cell r="E879" t="str">
            <v>453</v>
          </cell>
          <cell r="F879">
            <v>0</v>
          </cell>
          <cell r="G879">
            <v>2</v>
          </cell>
          <cell r="H879" t="str">
            <v>2006-02-28</v>
          </cell>
        </row>
        <row r="880">
          <cell r="A880">
            <v>480000</v>
          </cell>
          <cell r="B880">
            <v>1015</v>
          </cell>
          <cell r="C880">
            <v>-289093.11</v>
          </cell>
          <cell r="D880" t="str">
            <v>204</v>
          </cell>
          <cell r="E880" t="str">
            <v>453</v>
          </cell>
          <cell r="F880">
            <v>0</v>
          </cell>
          <cell r="G880">
            <v>2</v>
          </cell>
          <cell r="H880" t="str">
            <v>2006-02-28</v>
          </cell>
        </row>
        <row r="881">
          <cell r="A881">
            <v>480000</v>
          </cell>
          <cell r="B881">
            <v>1015</v>
          </cell>
          <cell r="C881">
            <v>-7017.48</v>
          </cell>
          <cell r="D881" t="str">
            <v>204</v>
          </cell>
          <cell r="E881" t="str">
            <v>453</v>
          </cell>
          <cell r="F881">
            <v>0</v>
          </cell>
          <cell r="G881">
            <v>2</v>
          </cell>
          <cell r="H881" t="str">
            <v>2006-02-28</v>
          </cell>
        </row>
        <row r="882">
          <cell r="A882">
            <v>480000</v>
          </cell>
          <cell r="B882">
            <v>1015</v>
          </cell>
          <cell r="C882">
            <v>-481107.88</v>
          </cell>
          <cell r="D882" t="str">
            <v>204</v>
          </cell>
          <cell r="E882" t="str">
            <v>453</v>
          </cell>
          <cell r="F882">
            <v>0</v>
          </cell>
          <cell r="G882">
            <v>2</v>
          </cell>
          <cell r="H882" t="str">
            <v>2006-02-28</v>
          </cell>
        </row>
        <row r="883">
          <cell r="A883">
            <v>480000</v>
          </cell>
          <cell r="B883">
            <v>1015</v>
          </cell>
          <cell r="C883">
            <v>-184786.42</v>
          </cell>
          <cell r="D883" t="str">
            <v>204</v>
          </cell>
          <cell r="E883" t="str">
            <v>453</v>
          </cell>
          <cell r="F883">
            <v>0</v>
          </cell>
          <cell r="G883">
            <v>2</v>
          </cell>
          <cell r="H883" t="str">
            <v>2006-02-28</v>
          </cell>
        </row>
        <row r="884">
          <cell r="A884">
            <v>480000</v>
          </cell>
          <cell r="B884">
            <v>1015</v>
          </cell>
          <cell r="C884">
            <v>-9322.3700000000008</v>
          </cell>
          <cell r="D884" t="str">
            <v>204</v>
          </cell>
          <cell r="E884" t="str">
            <v>453</v>
          </cell>
          <cell r="F884">
            <v>0</v>
          </cell>
          <cell r="G884">
            <v>2</v>
          </cell>
          <cell r="H884" t="str">
            <v>2006-02-28</v>
          </cell>
        </row>
        <row r="885">
          <cell r="A885">
            <v>480000</v>
          </cell>
          <cell r="B885">
            <v>1015</v>
          </cell>
          <cell r="C885">
            <v>-390530.82</v>
          </cell>
          <cell r="D885" t="str">
            <v>204</v>
          </cell>
          <cell r="E885" t="str">
            <v>453</v>
          </cell>
          <cell r="F885">
            <v>0</v>
          </cell>
          <cell r="G885">
            <v>2</v>
          </cell>
          <cell r="H885" t="str">
            <v>2006-02-28</v>
          </cell>
        </row>
        <row r="886">
          <cell r="A886">
            <v>480000</v>
          </cell>
          <cell r="B886">
            <v>1015</v>
          </cell>
          <cell r="C886">
            <v>-3532.92</v>
          </cell>
          <cell r="D886" t="str">
            <v>204</v>
          </cell>
          <cell r="E886" t="str">
            <v>453</v>
          </cell>
          <cell r="F886">
            <v>0</v>
          </cell>
          <cell r="G886">
            <v>2</v>
          </cell>
          <cell r="H886" t="str">
            <v>2006-02-28</v>
          </cell>
        </row>
        <row r="887">
          <cell r="A887">
            <v>480000</v>
          </cell>
          <cell r="B887">
            <v>1015</v>
          </cell>
          <cell r="C887">
            <v>-552358.06000000006</v>
          </cell>
          <cell r="D887" t="str">
            <v>204</v>
          </cell>
          <cell r="E887" t="str">
            <v>453</v>
          </cell>
          <cell r="F887">
            <v>0</v>
          </cell>
          <cell r="G887">
            <v>2</v>
          </cell>
          <cell r="H887" t="str">
            <v>2006-02-28</v>
          </cell>
        </row>
        <row r="888">
          <cell r="A888">
            <v>480000</v>
          </cell>
          <cell r="B888">
            <v>1015</v>
          </cell>
          <cell r="C888">
            <v>-7696.38</v>
          </cell>
          <cell r="D888" t="str">
            <v>204</v>
          </cell>
          <cell r="E888" t="str">
            <v>453</v>
          </cell>
          <cell r="F888">
            <v>0</v>
          </cell>
          <cell r="G888">
            <v>2</v>
          </cell>
          <cell r="H888" t="str">
            <v>2006-02-28</v>
          </cell>
        </row>
        <row r="889">
          <cell r="A889">
            <v>480000</v>
          </cell>
          <cell r="B889">
            <v>1015</v>
          </cell>
          <cell r="C889">
            <v>-305577.75</v>
          </cell>
          <cell r="D889" t="str">
            <v>204</v>
          </cell>
          <cell r="E889" t="str">
            <v>453</v>
          </cell>
          <cell r="F889">
            <v>0</v>
          </cell>
          <cell r="G889">
            <v>2</v>
          </cell>
          <cell r="H889" t="str">
            <v>2006-02-28</v>
          </cell>
        </row>
        <row r="890">
          <cell r="A890">
            <v>480000</v>
          </cell>
          <cell r="B890">
            <v>1015</v>
          </cell>
          <cell r="C890">
            <v>-1400.88</v>
          </cell>
          <cell r="D890" t="str">
            <v>204</v>
          </cell>
          <cell r="E890" t="str">
            <v>453</v>
          </cell>
          <cell r="F890">
            <v>0</v>
          </cell>
          <cell r="G890">
            <v>2</v>
          </cell>
          <cell r="H890" t="str">
            <v>2006-02-28</v>
          </cell>
        </row>
        <row r="891">
          <cell r="A891">
            <v>480000</v>
          </cell>
          <cell r="B891">
            <v>1015</v>
          </cell>
          <cell r="C891">
            <v>-1257.73</v>
          </cell>
          <cell r="D891" t="str">
            <v>204</v>
          </cell>
          <cell r="E891" t="str">
            <v>453</v>
          </cell>
          <cell r="F891">
            <v>0</v>
          </cell>
          <cell r="G891">
            <v>2</v>
          </cell>
          <cell r="H891" t="str">
            <v>2006-02-28</v>
          </cell>
        </row>
        <row r="892">
          <cell r="A892">
            <v>480001</v>
          </cell>
          <cell r="B892">
            <v>1015</v>
          </cell>
          <cell r="C892">
            <v>470369.59</v>
          </cell>
          <cell r="D892" t="str">
            <v>204</v>
          </cell>
          <cell r="E892" t="str">
            <v>453</v>
          </cell>
          <cell r="F892">
            <v>0</v>
          </cell>
          <cell r="G892">
            <v>2</v>
          </cell>
          <cell r="H892" t="str">
            <v>2006-02-28</v>
          </cell>
        </row>
        <row r="893">
          <cell r="A893">
            <v>481004</v>
          </cell>
          <cell r="B893">
            <v>1015</v>
          </cell>
          <cell r="C893">
            <v>-56443.1</v>
          </cell>
          <cell r="D893" t="str">
            <v>204</v>
          </cell>
          <cell r="E893" t="str">
            <v>453</v>
          </cell>
          <cell r="F893">
            <v>0</v>
          </cell>
          <cell r="G893">
            <v>2</v>
          </cell>
          <cell r="H893" t="str">
            <v>2006-02-28</v>
          </cell>
        </row>
        <row r="894">
          <cell r="A894">
            <v>481004</v>
          </cell>
          <cell r="B894">
            <v>1015</v>
          </cell>
          <cell r="C894">
            <v>-3030.62</v>
          </cell>
          <cell r="D894" t="str">
            <v>204</v>
          </cell>
          <cell r="E894" t="str">
            <v>453</v>
          </cell>
          <cell r="F894">
            <v>0</v>
          </cell>
          <cell r="G894">
            <v>2</v>
          </cell>
          <cell r="H894" t="str">
            <v>2006-02-28</v>
          </cell>
        </row>
        <row r="895">
          <cell r="A895">
            <v>481004</v>
          </cell>
          <cell r="B895">
            <v>1015</v>
          </cell>
          <cell r="C895">
            <v>-166142.12</v>
          </cell>
          <cell r="D895" t="str">
            <v>204</v>
          </cell>
          <cell r="E895" t="str">
            <v>453</v>
          </cell>
          <cell r="F895">
            <v>0</v>
          </cell>
          <cell r="G895">
            <v>2</v>
          </cell>
          <cell r="H895" t="str">
            <v>2006-02-28</v>
          </cell>
        </row>
        <row r="896">
          <cell r="A896">
            <v>481004</v>
          </cell>
          <cell r="B896">
            <v>1015</v>
          </cell>
          <cell r="C896">
            <v>-72128.38</v>
          </cell>
          <cell r="D896" t="str">
            <v>204</v>
          </cell>
          <cell r="E896" t="str">
            <v>453</v>
          </cell>
          <cell r="F896">
            <v>0</v>
          </cell>
          <cell r="G896">
            <v>2</v>
          </cell>
          <cell r="H896" t="str">
            <v>2006-02-28</v>
          </cell>
        </row>
        <row r="897">
          <cell r="A897">
            <v>481004</v>
          </cell>
          <cell r="B897">
            <v>1015</v>
          </cell>
          <cell r="C897">
            <v>-308233.71000000002</v>
          </cell>
          <cell r="D897" t="str">
            <v>204</v>
          </cell>
          <cell r="E897" t="str">
            <v>453</v>
          </cell>
          <cell r="F897">
            <v>0</v>
          </cell>
          <cell r="G897">
            <v>2</v>
          </cell>
          <cell r="H897" t="str">
            <v>2006-02-28</v>
          </cell>
        </row>
        <row r="898">
          <cell r="A898">
            <v>481004</v>
          </cell>
          <cell r="B898">
            <v>1015</v>
          </cell>
          <cell r="C898">
            <v>-93531.62</v>
          </cell>
          <cell r="D898" t="str">
            <v>204</v>
          </cell>
          <cell r="E898" t="str">
            <v>453</v>
          </cell>
          <cell r="F898">
            <v>0</v>
          </cell>
          <cell r="G898">
            <v>2</v>
          </cell>
          <cell r="H898" t="str">
            <v>2006-02-28</v>
          </cell>
        </row>
        <row r="899">
          <cell r="A899">
            <v>481004</v>
          </cell>
          <cell r="B899">
            <v>1015</v>
          </cell>
          <cell r="C899">
            <v>-6886.76</v>
          </cell>
          <cell r="D899" t="str">
            <v>204</v>
          </cell>
          <cell r="E899" t="str">
            <v>453</v>
          </cell>
          <cell r="F899">
            <v>0</v>
          </cell>
          <cell r="G899">
            <v>2</v>
          </cell>
          <cell r="H899" t="str">
            <v>2006-02-28</v>
          </cell>
        </row>
        <row r="900">
          <cell r="A900">
            <v>481004</v>
          </cell>
          <cell r="B900">
            <v>1015</v>
          </cell>
          <cell r="C900">
            <v>-420445.15</v>
          </cell>
          <cell r="D900" t="str">
            <v>204</v>
          </cell>
          <cell r="E900" t="str">
            <v>453</v>
          </cell>
          <cell r="F900">
            <v>0</v>
          </cell>
          <cell r="G900">
            <v>2</v>
          </cell>
          <cell r="H900" t="str">
            <v>2006-02-28</v>
          </cell>
        </row>
        <row r="901">
          <cell r="A901">
            <v>481004</v>
          </cell>
          <cell r="B901">
            <v>1015</v>
          </cell>
          <cell r="C901">
            <v>-9449.42</v>
          </cell>
          <cell r="D901" t="str">
            <v>204</v>
          </cell>
          <cell r="E901" t="str">
            <v>453</v>
          </cell>
          <cell r="F901">
            <v>0</v>
          </cell>
          <cell r="G901">
            <v>2</v>
          </cell>
          <cell r="H901" t="str">
            <v>2006-02-28</v>
          </cell>
        </row>
        <row r="902">
          <cell r="A902">
            <v>481004</v>
          </cell>
          <cell r="B902">
            <v>1015</v>
          </cell>
          <cell r="C902">
            <v>-200247.14</v>
          </cell>
          <cell r="D902" t="str">
            <v>204</v>
          </cell>
          <cell r="E902" t="str">
            <v>453</v>
          </cell>
          <cell r="F902">
            <v>0</v>
          </cell>
          <cell r="G902">
            <v>2</v>
          </cell>
          <cell r="H902" t="str">
            <v>2006-02-28</v>
          </cell>
        </row>
        <row r="903">
          <cell r="A903">
            <v>481004</v>
          </cell>
          <cell r="B903">
            <v>1015</v>
          </cell>
          <cell r="C903">
            <v>-18778.560000000001</v>
          </cell>
          <cell r="D903" t="str">
            <v>204</v>
          </cell>
          <cell r="E903" t="str">
            <v>453</v>
          </cell>
          <cell r="F903">
            <v>0</v>
          </cell>
          <cell r="G903">
            <v>2</v>
          </cell>
          <cell r="H903" t="str">
            <v>2006-02-28</v>
          </cell>
        </row>
        <row r="904">
          <cell r="A904">
            <v>481004</v>
          </cell>
          <cell r="B904">
            <v>1015</v>
          </cell>
          <cell r="C904">
            <v>-217372.01</v>
          </cell>
          <cell r="D904" t="str">
            <v>204</v>
          </cell>
          <cell r="E904" t="str">
            <v>453</v>
          </cell>
          <cell r="F904">
            <v>0</v>
          </cell>
          <cell r="G904">
            <v>2</v>
          </cell>
          <cell r="H904" t="str">
            <v>2006-02-28</v>
          </cell>
        </row>
        <row r="905">
          <cell r="A905">
            <v>481004</v>
          </cell>
          <cell r="B905">
            <v>1015</v>
          </cell>
          <cell r="C905">
            <v>-7032.49</v>
          </cell>
          <cell r="D905" t="str">
            <v>204</v>
          </cell>
          <cell r="E905" t="str">
            <v>453</v>
          </cell>
          <cell r="F905">
            <v>0</v>
          </cell>
          <cell r="G905">
            <v>2</v>
          </cell>
          <cell r="H905" t="str">
            <v>2006-02-28</v>
          </cell>
        </row>
        <row r="906">
          <cell r="A906">
            <v>481004</v>
          </cell>
          <cell r="B906">
            <v>1015</v>
          </cell>
          <cell r="C906">
            <v>-1100.1199999999999</v>
          </cell>
          <cell r="D906" t="str">
            <v>204</v>
          </cell>
          <cell r="E906" t="str">
            <v>453</v>
          </cell>
          <cell r="F906">
            <v>0</v>
          </cell>
          <cell r="G906">
            <v>2</v>
          </cell>
          <cell r="H906" t="str">
            <v>2006-02-28</v>
          </cell>
        </row>
        <row r="907">
          <cell r="A907">
            <v>480000</v>
          </cell>
          <cell r="B907">
            <v>1015</v>
          </cell>
          <cell r="C907">
            <v>-374.31</v>
          </cell>
          <cell r="D907" t="str">
            <v>204</v>
          </cell>
          <cell r="E907" t="str">
            <v>455</v>
          </cell>
          <cell r="F907">
            <v>0</v>
          </cell>
          <cell r="G907">
            <v>2</v>
          </cell>
          <cell r="H907" t="str">
            <v>2006-02-28</v>
          </cell>
        </row>
        <row r="908">
          <cell r="A908">
            <v>480000</v>
          </cell>
          <cell r="B908">
            <v>1015</v>
          </cell>
          <cell r="C908">
            <v>-25.28</v>
          </cell>
          <cell r="D908" t="str">
            <v>204</v>
          </cell>
          <cell r="E908" t="str">
            <v>455</v>
          </cell>
          <cell r="F908">
            <v>0</v>
          </cell>
          <cell r="G908">
            <v>2</v>
          </cell>
          <cell r="H908" t="str">
            <v>2006-02-28</v>
          </cell>
        </row>
        <row r="909">
          <cell r="A909">
            <v>480000</v>
          </cell>
          <cell r="B909">
            <v>1015</v>
          </cell>
          <cell r="C909">
            <v>-98541.68</v>
          </cell>
          <cell r="D909" t="str">
            <v>204</v>
          </cell>
          <cell r="E909" t="str">
            <v>455</v>
          </cell>
          <cell r="F909">
            <v>0</v>
          </cell>
          <cell r="G909">
            <v>2</v>
          </cell>
          <cell r="H909" t="str">
            <v>2006-02-28</v>
          </cell>
        </row>
        <row r="910">
          <cell r="A910">
            <v>480000</v>
          </cell>
          <cell r="B910">
            <v>1015</v>
          </cell>
          <cell r="C910">
            <v>-1449.13</v>
          </cell>
          <cell r="D910" t="str">
            <v>204</v>
          </cell>
          <cell r="E910" t="str">
            <v>455</v>
          </cell>
          <cell r="F910">
            <v>0</v>
          </cell>
          <cell r="G910">
            <v>2</v>
          </cell>
          <cell r="H910" t="str">
            <v>2006-02-28</v>
          </cell>
        </row>
        <row r="911">
          <cell r="A911">
            <v>480000</v>
          </cell>
          <cell r="B911">
            <v>1015</v>
          </cell>
          <cell r="C911">
            <v>-26.94</v>
          </cell>
          <cell r="D911" t="str">
            <v>204</v>
          </cell>
          <cell r="E911" t="str">
            <v>455</v>
          </cell>
          <cell r="F911">
            <v>0</v>
          </cell>
          <cell r="G911">
            <v>2</v>
          </cell>
          <cell r="H911" t="str">
            <v>2006-02-28</v>
          </cell>
        </row>
        <row r="912">
          <cell r="A912">
            <v>480000</v>
          </cell>
          <cell r="B912">
            <v>1015</v>
          </cell>
          <cell r="C912">
            <v>-618.74</v>
          </cell>
          <cell r="D912" t="str">
            <v>204</v>
          </cell>
          <cell r="E912" t="str">
            <v>455</v>
          </cell>
          <cell r="F912">
            <v>0</v>
          </cell>
          <cell r="G912">
            <v>2</v>
          </cell>
          <cell r="H912" t="str">
            <v>2006-02-28</v>
          </cell>
        </row>
        <row r="913">
          <cell r="A913">
            <v>480000</v>
          </cell>
          <cell r="B913">
            <v>1015</v>
          </cell>
          <cell r="C913">
            <v>-159.4</v>
          </cell>
          <cell r="D913" t="str">
            <v>204</v>
          </cell>
          <cell r="E913" t="str">
            <v>455</v>
          </cell>
          <cell r="F913">
            <v>0</v>
          </cell>
          <cell r="G913">
            <v>2</v>
          </cell>
          <cell r="H913" t="str">
            <v>2006-02-28</v>
          </cell>
        </row>
        <row r="914">
          <cell r="A914">
            <v>480000</v>
          </cell>
          <cell r="B914">
            <v>1015</v>
          </cell>
          <cell r="C914">
            <v>-294.3</v>
          </cell>
          <cell r="D914" t="str">
            <v>204</v>
          </cell>
          <cell r="E914" t="str">
            <v>455</v>
          </cell>
          <cell r="F914">
            <v>0</v>
          </cell>
          <cell r="G914">
            <v>2</v>
          </cell>
          <cell r="H914" t="str">
            <v>2006-02-28</v>
          </cell>
        </row>
        <row r="915">
          <cell r="A915">
            <v>480000</v>
          </cell>
          <cell r="B915">
            <v>1015</v>
          </cell>
          <cell r="C915">
            <v>-96.13</v>
          </cell>
          <cell r="D915" t="str">
            <v>204</v>
          </cell>
          <cell r="E915" t="str">
            <v>455</v>
          </cell>
          <cell r="F915">
            <v>0</v>
          </cell>
          <cell r="G915">
            <v>2</v>
          </cell>
          <cell r="H915" t="str">
            <v>2006-02-28</v>
          </cell>
        </row>
        <row r="916">
          <cell r="A916">
            <v>480001</v>
          </cell>
          <cell r="B916">
            <v>1015</v>
          </cell>
          <cell r="C916">
            <v>25354.87</v>
          </cell>
          <cell r="D916" t="str">
            <v>204</v>
          </cell>
          <cell r="E916" t="str">
            <v>455</v>
          </cell>
          <cell r="F916">
            <v>0</v>
          </cell>
          <cell r="G916">
            <v>2</v>
          </cell>
          <cell r="H916" t="str">
            <v>2006-02-28</v>
          </cell>
        </row>
        <row r="917">
          <cell r="A917">
            <v>481004</v>
          </cell>
          <cell r="B917">
            <v>1015</v>
          </cell>
          <cell r="C917">
            <v>-98.34</v>
          </cell>
          <cell r="D917" t="str">
            <v>204</v>
          </cell>
          <cell r="E917" t="str">
            <v>455</v>
          </cell>
          <cell r="F917">
            <v>0</v>
          </cell>
          <cell r="G917">
            <v>2</v>
          </cell>
          <cell r="H917" t="str">
            <v>2006-02-28</v>
          </cell>
        </row>
        <row r="918">
          <cell r="A918">
            <v>481004</v>
          </cell>
          <cell r="B918">
            <v>1015</v>
          </cell>
          <cell r="C918">
            <v>-71247.88</v>
          </cell>
          <cell r="D918" t="str">
            <v>204</v>
          </cell>
          <cell r="E918" t="str">
            <v>455</v>
          </cell>
          <cell r="F918">
            <v>0</v>
          </cell>
          <cell r="G918">
            <v>2</v>
          </cell>
          <cell r="H918" t="str">
            <v>2006-02-28</v>
          </cell>
        </row>
        <row r="919">
          <cell r="A919">
            <v>481004</v>
          </cell>
          <cell r="B919">
            <v>1015</v>
          </cell>
          <cell r="C919">
            <v>-4284.3900000000003</v>
          </cell>
          <cell r="D919" t="str">
            <v>204</v>
          </cell>
          <cell r="E919" t="str">
            <v>455</v>
          </cell>
          <cell r="F919">
            <v>0</v>
          </cell>
          <cell r="G919">
            <v>2</v>
          </cell>
          <cell r="H919" t="str">
            <v>2006-02-28</v>
          </cell>
        </row>
        <row r="920">
          <cell r="A920">
            <v>481004</v>
          </cell>
          <cell r="B920">
            <v>1015</v>
          </cell>
          <cell r="C920">
            <v>-860.32</v>
          </cell>
          <cell r="D920" t="str">
            <v>204</v>
          </cell>
          <cell r="E920" t="str">
            <v>455</v>
          </cell>
          <cell r="F920">
            <v>0</v>
          </cell>
          <cell r="G920">
            <v>2</v>
          </cell>
          <cell r="H920" t="str">
            <v>2006-02-28</v>
          </cell>
        </row>
        <row r="921">
          <cell r="A921">
            <v>481004</v>
          </cell>
          <cell r="B921">
            <v>1015</v>
          </cell>
          <cell r="C921">
            <v>-4165.03</v>
          </cell>
          <cell r="D921" t="str">
            <v>204</v>
          </cell>
          <cell r="E921" t="str">
            <v>455</v>
          </cell>
          <cell r="F921">
            <v>0</v>
          </cell>
          <cell r="G921">
            <v>2</v>
          </cell>
          <cell r="H921" t="str">
            <v>2006-02-28</v>
          </cell>
        </row>
        <row r="922">
          <cell r="A922">
            <v>481002</v>
          </cell>
          <cell r="B922">
            <v>1015</v>
          </cell>
          <cell r="C922">
            <v>0</v>
          </cell>
          <cell r="D922" t="str">
            <v>204</v>
          </cell>
          <cell r="E922" t="str">
            <v>456</v>
          </cell>
          <cell r="F922">
            <v>0</v>
          </cell>
          <cell r="G922">
            <v>2</v>
          </cell>
          <cell r="H922" t="str">
            <v>2006-02-28</v>
          </cell>
        </row>
        <row r="923">
          <cell r="A923">
            <v>481002</v>
          </cell>
          <cell r="B923">
            <v>1015</v>
          </cell>
          <cell r="C923">
            <v>0</v>
          </cell>
          <cell r="D923" t="str">
            <v>204</v>
          </cell>
          <cell r="E923" t="str">
            <v>456</v>
          </cell>
          <cell r="F923">
            <v>0</v>
          </cell>
          <cell r="G923">
            <v>2</v>
          </cell>
          <cell r="H923" t="str">
            <v>2006-02-28</v>
          </cell>
        </row>
        <row r="924">
          <cell r="A924">
            <v>481002</v>
          </cell>
          <cell r="B924">
            <v>1015</v>
          </cell>
          <cell r="C924">
            <v>0</v>
          </cell>
          <cell r="D924" t="str">
            <v>204</v>
          </cell>
          <cell r="E924" t="str">
            <v>456</v>
          </cell>
          <cell r="F924">
            <v>0</v>
          </cell>
          <cell r="G924">
            <v>2</v>
          </cell>
          <cell r="H924" t="str">
            <v>2006-02-28</v>
          </cell>
        </row>
        <row r="925">
          <cell r="A925">
            <v>481002</v>
          </cell>
          <cell r="B925">
            <v>1015</v>
          </cell>
          <cell r="C925">
            <v>0</v>
          </cell>
          <cell r="D925" t="str">
            <v>204</v>
          </cell>
          <cell r="E925" t="str">
            <v>457</v>
          </cell>
          <cell r="F925">
            <v>0</v>
          </cell>
          <cell r="G925">
            <v>2</v>
          </cell>
          <cell r="H925" t="str">
            <v>2006-02-28</v>
          </cell>
        </row>
        <row r="926">
          <cell r="A926">
            <v>481002</v>
          </cell>
          <cell r="B926">
            <v>1015</v>
          </cell>
          <cell r="C926">
            <v>-155419.07</v>
          </cell>
          <cell r="D926" t="str">
            <v>204</v>
          </cell>
          <cell r="E926" t="str">
            <v>457</v>
          </cell>
          <cell r="F926">
            <v>0</v>
          </cell>
          <cell r="G926">
            <v>2</v>
          </cell>
          <cell r="H926" t="str">
            <v>2006-02-28</v>
          </cell>
        </row>
        <row r="927">
          <cell r="A927">
            <v>481002</v>
          </cell>
          <cell r="B927">
            <v>1015</v>
          </cell>
          <cell r="C927">
            <v>176127.42</v>
          </cell>
          <cell r="D927" t="str">
            <v>204</v>
          </cell>
          <cell r="E927" t="str">
            <v>457</v>
          </cell>
          <cell r="F927">
            <v>0</v>
          </cell>
          <cell r="G927">
            <v>2</v>
          </cell>
          <cell r="H927" t="str">
            <v>2006-02-28</v>
          </cell>
        </row>
        <row r="928">
          <cell r="A928">
            <v>481002</v>
          </cell>
          <cell r="B928">
            <v>1015</v>
          </cell>
          <cell r="C928">
            <v>-26219.63</v>
          </cell>
          <cell r="D928" t="str">
            <v>204</v>
          </cell>
          <cell r="E928" t="str">
            <v>457</v>
          </cell>
          <cell r="F928">
            <v>0</v>
          </cell>
          <cell r="G928">
            <v>2</v>
          </cell>
          <cell r="H928" t="str">
            <v>2006-02-28</v>
          </cell>
        </row>
        <row r="929">
          <cell r="A929">
            <v>481005</v>
          </cell>
          <cell r="B929">
            <v>1015</v>
          </cell>
          <cell r="C929">
            <v>0</v>
          </cell>
          <cell r="D929" t="str">
            <v>204</v>
          </cell>
          <cell r="E929" t="str">
            <v>457</v>
          </cell>
          <cell r="F929">
            <v>0</v>
          </cell>
          <cell r="G929">
            <v>2</v>
          </cell>
          <cell r="H929" t="str">
            <v>2006-02-28</v>
          </cell>
        </row>
        <row r="930">
          <cell r="A930">
            <v>481005</v>
          </cell>
          <cell r="B930">
            <v>1015</v>
          </cell>
          <cell r="C930">
            <v>153712.31</v>
          </cell>
          <cell r="D930" t="str">
            <v>204</v>
          </cell>
          <cell r="E930" t="str">
            <v>457</v>
          </cell>
          <cell r="F930">
            <v>0</v>
          </cell>
          <cell r="G930">
            <v>2</v>
          </cell>
          <cell r="H930" t="str">
            <v>2006-02-28</v>
          </cell>
        </row>
        <row r="931">
          <cell r="A931">
            <v>481005</v>
          </cell>
          <cell r="B931">
            <v>1015</v>
          </cell>
          <cell r="C931">
            <v>-130510.99</v>
          </cell>
          <cell r="D931" t="str">
            <v>204</v>
          </cell>
          <cell r="E931" t="str">
            <v>457</v>
          </cell>
          <cell r="F931">
            <v>0</v>
          </cell>
          <cell r="G931">
            <v>2</v>
          </cell>
          <cell r="H931" t="str">
            <v>2006-02-28</v>
          </cell>
        </row>
        <row r="932">
          <cell r="A932">
            <v>481005</v>
          </cell>
          <cell r="B932">
            <v>1015</v>
          </cell>
          <cell r="C932">
            <v>-23217.01</v>
          </cell>
          <cell r="D932" t="str">
            <v>204</v>
          </cell>
          <cell r="E932" t="str">
            <v>457</v>
          </cell>
          <cell r="F932">
            <v>0</v>
          </cell>
          <cell r="G932">
            <v>2</v>
          </cell>
          <cell r="H932" t="str">
            <v>2006-02-28</v>
          </cell>
        </row>
        <row r="933">
          <cell r="A933">
            <v>481005</v>
          </cell>
          <cell r="B933">
            <v>1015</v>
          </cell>
          <cell r="C933">
            <v>-64014.79</v>
          </cell>
          <cell r="D933" t="str">
            <v>204</v>
          </cell>
          <cell r="E933" t="str">
            <v>457</v>
          </cell>
          <cell r="F933">
            <v>0</v>
          </cell>
          <cell r="G933">
            <v>2</v>
          </cell>
          <cell r="H933" t="str">
            <v>2006-02-28</v>
          </cell>
        </row>
        <row r="934">
          <cell r="A934">
            <v>481005</v>
          </cell>
          <cell r="B934">
            <v>1015</v>
          </cell>
          <cell r="C934">
            <v>-39778.519999999997</v>
          </cell>
          <cell r="D934" t="str">
            <v>204</v>
          </cell>
          <cell r="E934" t="str">
            <v>457</v>
          </cell>
          <cell r="F934">
            <v>0</v>
          </cell>
          <cell r="G934">
            <v>2</v>
          </cell>
          <cell r="H934" t="str">
            <v>2006-02-28</v>
          </cell>
        </row>
        <row r="935">
          <cell r="A935">
            <v>481000</v>
          </cell>
          <cell r="B935">
            <v>1015</v>
          </cell>
          <cell r="C935">
            <v>0</v>
          </cell>
          <cell r="D935" t="str">
            <v>202</v>
          </cell>
          <cell r="E935" t="str">
            <v>402</v>
          </cell>
          <cell r="F935">
            <v>0</v>
          </cell>
          <cell r="G935">
            <v>2</v>
          </cell>
          <cell r="H935" t="str">
            <v>2006-02-28</v>
          </cell>
        </row>
        <row r="936">
          <cell r="A936">
            <v>481000</v>
          </cell>
          <cell r="B936">
            <v>1015</v>
          </cell>
          <cell r="C936">
            <v>244692.87</v>
          </cell>
          <cell r="D936" t="str">
            <v>202</v>
          </cell>
          <cell r="E936" t="str">
            <v>402</v>
          </cell>
          <cell r="F936">
            <v>405781</v>
          </cell>
          <cell r="G936">
            <v>2</v>
          </cell>
          <cell r="H936" t="str">
            <v>2006-02-28</v>
          </cell>
        </row>
        <row r="937">
          <cell r="A937">
            <v>481000</v>
          </cell>
          <cell r="B937">
            <v>1015</v>
          </cell>
          <cell r="C937">
            <v>-132392.95999999999</v>
          </cell>
          <cell r="D937" t="str">
            <v>202</v>
          </cell>
          <cell r="E937" t="str">
            <v>402</v>
          </cell>
          <cell r="F937">
            <v>-202217</v>
          </cell>
          <cell r="G937">
            <v>2</v>
          </cell>
          <cell r="H937" t="str">
            <v>2006-02-28</v>
          </cell>
        </row>
        <row r="938">
          <cell r="A938">
            <v>481000</v>
          </cell>
          <cell r="B938">
            <v>1015</v>
          </cell>
          <cell r="C938">
            <v>-740.22</v>
          </cell>
          <cell r="D938" t="str">
            <v>202</v>
          </cell>
          <cell r="E938" t="str">
            <v>402</v>
          </cell>
          <cell r="F938">
            <v>-1351.42</v>
          </cell>
          <cell r="G938">
            <v>2</v>
          </cell>
          <cell r="H938" t="str">
            <v>2006-02-28</v>
          </cell>
        </row>
        <row r="939">
          <cell r="A939">
            <v>481000</v>
          </cell>
          <cell r="B939">
            <v>1015</v>
          </cell>
          <cell r="C939">
            <v>-2158.86</v>
          </cell>
          <cell r="D939" t="str">
            <v>202</v>
          </cell>
          <cell r="E939" t="str">
            <v>402</v>
          </cell>
          <cell r="F939">
            <v>-3635.17</v>
          </cell>
          <cell r="G939">
            <v>2</v>
          </cell>
          <cell r="H939" t="str">
            <v>2006-02-28</v>
          </cell>
        </row>
        <row r="940">
          <cell r="A940">
            <v>481000</v>
          </cell>
          <cell r="B940">
            <v>1015</v>
          </cell>
          <cell r="C940">
            <v>-21023.7</v>
          </cell>
          <cell r="D940" t="str">
            <v>202</v>
          </cell>
          <cell r="E940" t="str">
            <v>402</v>
          </cell>
          <cell r="F940">
            <v>-41408.97</v>
          </cell>
          <cell r="G940">
            <v>2</v>
          </cell>
          <cell r="H940" t="str">
            <v>2006-02-28</v>
          </cell>
        </row>
        <row r="941">
          <cell r="A941">
            <v>481000</v>
          </cell>
          <cell r="B941">
            <v>1015</v>
          </cell>
          <cell r="C941">
            <v>-26226.14</v>
          </cell>
          <cell r="D941" t="str">
            <v>202</v>
          </cell>
          <cell r="E941" t="str">
            <v>402</v>
          </cell>
          <cell r="F941">
            <v>-50835.77</v>
          </cell>
          <cell r="G941">
            <v>2</v>
          </cell>
          <cell r="H941" t="str">
            <v>2006-02-28</v>
          </cell>
        </row>
        <row r="942">
          <cell r="A942">
            <v>481000</v>
          </cell>
          <cell r="B942">
            <v>1015</v>
          </cell>
          <cell r="C942">
            <v>-34738.01</v>
          </cell>
          <cell r="D942" t="str">
            <v>202</v>
          </cell>
          <cell r="E942" t="str">
            <v>402</v>
          </cell>
          <cell r="F942">
            <v>-64663.4</v>
          </cell>
          <cell r="G942">
            <v>2</v>
          </cell>
          <cell r="H942" t="str">
            <v>2006-02-28</v>
          </cell>
        </row>
        <row r="943">
          <cell r="A943">
            <v>481000</v>
          </cell>
          <cell r="B943">
            <v>1015</v>
          </cell>
          <cell r="C943">
            <v>-9470</v>
          </cell>
          <cell r="D943" t="str">
            <v>202</v>
          </cell>
          <cell r="E943" t="str">
            <v>402</v>
          </cell>
          <cell r="F943">
            <v>-16064.13</v>
          </cell>
          <cell r="G943">
            <v>2</v>
          </cell>
          <cell r="H943" t="str">
            <v>2006-02-28</v>
          </cell>
        </row>
        <row r="944">
          <cell r="A944">
            <v>481000</v>
          </cell>
          <cell r="B944">
            <v>1015</v>
          </cell>
          <cell r="C944">
            <v>-5623.37</v>
          </cell>
          <cell r="D944" t="str">
            <v>202</v>
          </cell>
          <cell r="E944" t="str">
            <v>402</v>
          </cell>
          <cell r="F944">
            <v>-10226.35</v>
          </cell>
          <cell r="G944">
            <v>2</v>
          </cell>
          <cell r="H944" t="str">
            <v>2006-02-28</v>
          </cell>
        </row>
        <row r="945">
          <cell r="A945">
            <v>481000</v>
          </cell>
          <cell r="B945">
            <v>1015</v>
          </cell>
          <cell r="C945">
            <v>-6188.95</v>
          </cell>
          <cell r="D945" t="str">
            <v>202</v>
          </cell>
          <cell r="E945" t="str">
            <v>402</v>
          </cell>
          <cell r="F945">
            <v>-10052.49</v>
          </cell>
          <cell r="G945">
            <v>2</v>
          </cell>
          <cell r="H945" t="str">
            <v>2006-02-28</v>
          </cell>
        </row>
        <row r="946">
          <cell r="A946">
            <v>481000</v>
          </cell>
          <cell r="B946">
            <v>1015</v>
          </cell>
          <cell r="C946">
            <v>-7620.72</v>
          </cell>
          <cell r="D946" t="str">
            <v>202</v>
          </cell>
          <cell r="E946" t="str">
            <v>402</v>
          </cell>
          <cell r="F946">
            <v>-14354.77</v>
          </cell>
          <cell r="G946">
            <v>2</v>
          </cell>
          <cell r="H946" t="str">
            <v>2006-02-28</v>
          </cell>
        </row>
        <row r="947">
          <cell r="A947">
            <v>481000</v>
          </cell>
          <cell r="B947">
            <v>1015</v>
          </cell>
          <cell r="C947">
            <v>-5785.8</v>
          </cell>
          <cell r="D947" t="str">
            <v>202</v>
          </cell>
          <cell r="E947" t="str">
            <v>402</v>
          </cell>
          <cell r="F947">
            <v>-9574.08</v>
          </cell>
          <cell r="G947">
            <v>2</v>
          </cell>
          <cell r="H947" t="str">
            <v>2006-02-28</v>
          </cell>
        </row>
        <row r="948">
          <cell r="A948">
            <v>481000</v>
          </cell>
          <cell r="B948">
            <v>1015</v>
          </cell>
          <cell r="C948">
            <v>-5865.95</v>
          </cell>
          <cell r="D948" t="str">
            <v>202</v>
          </cell>
          <cell r="E948" t="str">
            <v>402</v>
          </cell>
          <cell r="F948">
            <v>-10825.56</v>
          </cell>
          <cell r="G948">
            <v>2</v>
          </cell>
          <cell r="H948" t="str">
            <v>2006-02-28</v>
          </cell>
        </row>
        <row r="949">
          <cell r="A949">
            <v>481000</v>
          </cell>
          <cell r="B949">
            <v>1015</v>
          </cell>
          <cell r="C949">
            <v>-13422.97</v>
          </cell>
          <cell r="D949" t="str">
            <v>202</v>
          </cell>
          <cell r="E949" t="str">
            <v>402</v>
          </cell>
          <cell r="F949">
            <v>-26104.59</v>
          </cell>
          <cell r="G949">
            <v>2</v>
          </cell>
          <cell r="H949" t="str">
            <v>2006-02-28</v>
          </cell>
        </row>
        <row r="950">
          <cell r="A950">
            <v>481000</v>
          </cell>
          <cell r="B950">
            <v>1015</v>
          </cell>
          <cell r="C950">
            <v>-157</v>
          </cell>
          <cell r="D950" t="str">
            <v>202</v>
          </cell>
          <cell r="E950" t="str">
            <v>402</v>
          </cell>
          <cell r="F950">
            <v>-1.05</v>
          </cell>
          <cell r="G950">
            <v>2</v>
          </cell>
          <cell r="H950" t="str">
            <v>2006-02-28</v>
          </cell>
        </row>
        <row r="951">
          <cell r="A951">
            <v>481004</v>
          </cell>
          <cell r="B951">
            <v>1015</v>
          </cell>
          <cell r="C951">
            <v>0</v>
          </cell>
          <cell r="D951" t="str">
            <v>202</v>
          </cell>
          <cell r="E951" t="str">
            <v>402</v>
          </cell>
          <cell r="F951">
            <v>0</v>
          </cell>
          <cell r="G951">
            <v>2</v>
          </cell>
          <cell r="H951" t="str">
            <v>2006-02-28</v>
          </cell>
        </row>
        <row r="952">
          <cell r="A952">
            <v>481004</v>
          </cell>
          <cell r="B952">
            <v>1015</v>
          </cell>
          <cell r="C952">
            <v>-330751.77</v>
          </cell>
          <cell r="D952" t="str">
            <v>202</v>
          </cell>
          <cell r="E952" t="str">
            <v>402</v>
          </cell>
          <cell r="F952">
            <v>-29920.93</v>
          </cell>
          <cell r="G952">
            <v>2</v>
          </cell>
          <cell r="H952" t="str">
            <v>2006-02-28</v>
          </cell>
        </row>
        <row r="953">
          <cell r="A953">
            <v>481004</v>
          </cell>
          <cell r="B953">
            <v>1015</v>
          </cell>
          <cell r="C953">
            <v>164910.14000000001</v>
          </cell>
          <cell r="D953" t="str">
            <v>202</v>
          </cell>
          <cell r="E953" t="str">
            <v>402</v>
          </cell>
          <cell r="F953">
            <v>-328553.07</v>
          </cell>
          <cell r="G953">
            <v>2</v>
          </cell>
          <cell r="H953" t="str">
            <v>2006-02-28</v>
          </cell>
        </row>
        <row r="954">
          <cell r="A954">
            <v>481004</v>
          </cell>
          <cell r="B954">
            <v>1015</v>
          </cell>
          <cell r="C954">
            <v>-6106.74</v>
          </cell>
          <cell r="D954" t="str">
            <v>202</v>
          </cell>
          <cell r="E954" t="str">
            <v>402</v>
          </cell>
          <cell r="F954">
            <v>-9051.2000000000007</v>
          </cell>
          <cell r="G954">
            <v>2</v>
          </cell>
          <cell r="H954" t="str">
            <v>2006-02-28</v>
          </cell>
        </row>
        <row r="955">
          <cell r="A955">
            <v>481004</v>
          </cell>
          <cell r="B955">
            <v>1015</v>
          </cell>
          <cell r="C955">
            <v>-4283.45</v>
          </cell>
          <cell r="D955" t="str">
            <v>202</v>
          </cell>
          <cell r="E955" t="str">
            <v>402</v>
          </cell>
          <cell r="F955">
            <v>-6197.25</v>
          </cell>
          <cell r="G955">
            <v>2</v>
          </cell>
          <cell r="H955" t="str">
            <v>2006-02-28</v>
          </cell>
        </row>
        <row r="956">
          <cell r="A956">
            <v>481004</v>
          </cell>
          <cell r="B956">
            <v>1015</v>
          </cell>
          <cell r="C956">
            <v>-17440.400000000001</v>
          </cell>
          <cell r="D956" t="str">
            <v>202</v>
          </cell>
          <cell r="E956" t="str">
            <v>402</v>
          </cell>
          <cell r="F956">
            <v>-30555.119999999999</v>
          </cell>
          <cell r="G956">
            <v>2</v>
          </cell>
          <cell r="H956" t="str">
            <v>2006-02-28</v>
          </cell>
        </row>
        <row r="957">
          <cell r="A957">
            <v>481004</v>
          </cell>
          <cell r="B957">
            <v>1015</v>
          </cell>
          <cell r="C957">
            <v>-82691.960000000006</v>
          </cell>
          <cell r="D957" t="str">
            <v>202</v>
          </cell>
          <cell r="E957" t="str">
            <v>402</v>
          </cell>
          <cell r="F957">
            <v>-162104.54</v>
          </cell>
          <cell r="G957">
            <v>2</v>
          </cell>
          <cell r="H957" t="str">
            <v>2006-02-28</v>
          </cell>
        </row>
        <row r="958">
          <cell r="A958">
            <v>481004</v>
          </cell>
          <cell r="B958">
            <v>1015</v>
          </cell>
          <cell r="C958">
            <v>-34931.01</v>
          </cell>
          <cell r="D958" t="str">
            <v>202</v>
          </cell>
          <cell r="E958" t="str">
            <v>402</v>
          </cell>
          <cell r="F958">
            <v>-58219.23</v>
          </cell>
          <cell r="G958">
            <v>2</v>
          </cell>
          <cell r="H958" t="str">
            <v>2006-02-28</v>
          </cell>
        </row>
        <row r="959">
          <cell r="A959">
            <v>481004</v>
          </cell>
          <cell r="B959">
            <v>1015</v>
          </cell>
          <cell r="C959">
            <v>-16444.689999999999</v>
          </cell>
          <cell r="D959" t="str">
            <v>202</v>
          </cell>
          <cell r="E959" t="str">
            <v>402</v>
          </cell>
          <cell r="F959">
            <v>-28052.18</v>
          </cell>
          <cell r="G959">
            <v>2</v>
          </cell>
          <cell r="H959" t="str">
            <v>2006-02-28</v>
          </cell>
        </row>
        <row r="960">
          <cell r="A960">
            <v>481004</v>
          </cell>
          <cell r="B960">
            <v>1015</v>
          </cell>
          <cell r="C960">
            <v>-5168.8</v>
          </cell>
          <cell r="D960" t="str">
            <v>202</v>
          </cell>
          <cell r="E960" t="str">
            <v>402</v>
          </cell>
          <cell r="F960">
            <v>-8333.59</v>
          </cell>
          <cell r="G960">
            <v>2</v>
          </cell>
          <cell r="H960" t="str">
            <v>2006-02-28</v>
          </cell>
        </row>
        <row r="961">
          <cell r="A961">
            <v>481004</v>
          </cell>
          <cell r="B961">
            <v>1015</v>
          </cell>
          <cell r="C961">
            <v>-15060.75</v>
          </cell>
          <cell r="D961" t="str">
            <v>202</v>
          </cell>
          <cell r="E961" t="str">
            <v>402</v>
          </cell>
          <cell r="F961">
            <v>-24318.07</v>
          </cell>
          <cell r="G961">
            <v>2</v>
          </cell>
          <cell r="H961" t="str">
            <v>2006-02-28</v>
          </cell>
        </row>
        <row r="962">
          <cell r="A962">
            <v>481004</v>
          </cell>
          <cell r="B962">
            <v>1015</v>
          </cell>
          <cell r="C962">
            <v>-18987.13</v>
          </cell>
          <cell r="D962" t="str">
            <v>202</v>
          </cell>
          <cell r="E962" t="str">
            <v>402</v>
          </cell>
          <cell r="F962">
            <v>-32686.87</v>
          </cell>
          <cell r="G962">
            <v>2</v>
          </cell>
          <cell r="H962" t="str">
            <v>2006-02-28</v>
          </cell>
        </row>
        <row r="963">
          <cell r="A963">
            <v>481004</v>
          </cell>
          <cell r="B963">
            <v>1015</v>
          </cell>
          <cell r="C963">
            <v>-18745.53</v>
          </cell>
          <cell r="D963" t="str">
            <v>202</v>
          </cell>
          <cell r="E963" t="str">
            <v>402</v>
          </cell>
          <cell r="F963">
            <v>-31552.99</v>
          </cell>
          <cell r="G963">
            <v>2</v>
          </cell>
          <cell r="H963" t="str">
            <v>2006-02-28</v>
          </cell>
        </row>
        <row r="964">
          <cell r="A964">
            <v>481004</v>
          </cell>
          <cell r="B964">
            <v>1015</v>
          </cell>
          <cell r="C964">
            <v>-29970.03</v>
          </cell>
          <cell r="D964" t="str">
            <v>202</v>
          </cell>
          <cell r="E964" t="str">
            <v>402</v>
          </cell>
          <cell r="F964">
            <v>-52094.080000000002</v>
          </cell>
          <cell r="G964">
            <v>2</v>
          </cell>
          <cell r="H964" t="str">
            <v>2006-02-28</v>
          </cell>
        </row>
        <row r="965">
          <cell r="A965">
            <v>481004</v>
          </cell>
          <cell r="B965">
            <v>1015</v>
          </cell>
          <cell r="C965">
            <v>-18756.52</v>
          </cell>
          <cell r="D965" t="str">
            <v>202</v>
          </cell>
          <cell r="E965" t="str">
            <v>402</v>
          </cell>
          <cell r="F965">
            <v>-31736.61</v>
          </cell>
          <cell r="G965">
            <v>2</v>
          </cell>
          <cell r="H965" t="str">
            <v>2006-02-28</v>
          </cell>
        </row>
        <row r="966">
          <cell r="A966">
            <v>481004</v>
          </cell>
          <cell r="B966">
            <v>1015</v>
          </cell>
          <cell r="C966">
            <v>-2892.54</v>
          </cell>
          <cell r="D966" t="str">
            <v>202</v>
          </cell>
          <cell r="E966" t="str">
            <v>402</v>
          </cell>
          <cell r="F966">
            <v>-6498.14</v>
          </cell>
          <cell r="G966">
            <v>2</v>
          </cell>
          <cell r="H966" t="str">
            <v>2006-02-28</v>
          </cell>
        </row>
        <row r="967">
          <cell r="A967">
            <v>481004</v>
          </cell>
          <cell r="B967">
            <v>1015</v>
          </cell>
          <cell r="C967">
            <v>-1083.81</v>
          </cell>
          <cell r="D967" t="str">
            <v>202</v>
          </cell>
          <cell r="E967" t="str">
            <v>402</v>
          </cell>
          <cell r="F967">
            <v>-1816.59</v>
          </cell>
          <cell r="G967">
            <v>2</v>
          </cell>
          <cell r="H967" t="str">
            <v>2006-02-28</v>
          </cell>
        </row>
        <row r="968">
          <cell r="A968">
            <v>481000</v>
          </cell>
          <cell r="B968">
            <v>1015</v>
          </cell>
          <cell r="C968">
            <v>0</v>
          </cell>
          <cell r="D968" t="str">
            <v>202</v>
          </cell>
          <cell r="E968" t="str">
            <v>403</v>
          </cell>
          <cell r="F968">
            <v>0</v>
          </cell>
          <cell r="G968">
            <v>2</v>
          </cell>
          <cell r="H968" t="str">
            <v>2006-02-28</v>
          </cell>
        </row>
        <row r="969">
          <cell r="A969">
            <v>481000</v>
          </cell>
          <cell r="B969">
            <v>1015</v>
          </cell>
          <cell r="C969">
            <v>0</v>
          </cell>
          <cell r="D969" t="str">
            <v>202</v>
          </cell>
          <cell r="E969" t="str">
            <v>403</v>
          </cell>
          <cell r="F969">
            <v>0</v>
          </cell>
          <cell r="G969">
            <v>2</v>
          </cell>
          <cell r="H969" t="str">
            <v>2006-02-28</v>
          </cell>
        </row>
        <row r="970">
          <cell r="A970">
            <v>481000</v>
          </cell>
          <cell r="B970">
            <v>1015</v>
          </cell>
          <cell r="C970">
            <v>0</v>
          </cell>
          <cell r="D970" t="str">
            <v>202</v>
          </cell>
          <cell r="E970" t="str">
            <v>403</v>
          </cell>
          <cell r="F970">
            <v>0</v>
          </cell>
          <cell r="G970">
            <v>2</v>
          </cell>
          <cell r="H970" t="str">
            <v>2006-02-28</v>
          </cell>
        </row>
        <row r="971">
          <cell r="A971">
            <v>481000</v>
          </cell>
          <cell r="B971">
            <v>1015</v>
          </cell>
          <cell r="C971">
            <v>-7324.64</v>
          </cell>
          <cell r="D971" t="str">
            <v>202</v>
          </cell>
          <cell r="E971" t="str">
            <v>403</v>
          </cell>
          <cell r="F971">
            <v>0</v>
          </cell>
          <cell r="G971">
            <v>2</v>
          </cell>
          <cell r="H971" t="str">
            <v>2006-02-28</v>
          </cell>
        </row>
        <row r="972">
          <cell r="A972">
            <v>481004</v>
          </cell>
          <cell r="B972">
            <v>1015</v>
          </cell>
          <cell r="C972">
            <v>0</v>
          </cell>
          <cell r="D972" t="str">
            <v>202</v>
          </cell>
          <cell r="E972" t="str">
            <v>403</v>
          </cell>
          <cell r="F972">
            <v>0</v>
          </cell>
          <cell r="G972">
            <v>2</v>
          </cell>
          <cell r="H972" t="str">
            <v>2006-02-28</v>
          </cell>
        </row>
        <row r="973">
          <cell r="A973">
            <v>481004</v>
          </cell>
          <cell r="B973">
            <v>1015</v>
          </cell>
          <cell r="C973">
            <v>0</v>
          </cell>
          <cell r="D973" t="str">
            <v>202</v>
          </cell>
          <cell r="E973" t="str">
            <v>403</v>
          </cell>
          <cell r="F973">
            <v>0</v>
          </cell>
          <cell r="G973">
            <v>2</v>
          </cell>
          <cell r="H973" t="str">
            <v>2006-02-28</v>
          </cell>
        </row>
        <row r="974">
          <cell r="A974">
            <v>481004</v>
          </cell>
          <cell r="B974">
            <v>1015</v>
          </cell>
          <cell r="C974">
            <v>0</v>
          </cell>
          <cell r="D974" t="str">
            <v>202</v>
          </cell>
          <cell r="E974" t="str">
            <v>403</v>
          </cell>
          <cell r="F974">
            <v>0</v>
          </cell>
          <cell r="G974">
            <v>2</v>
          </cell>
          <cell r="H974" t="str">
            <v>2006-02-28</v>
          </cell>
        </row>
        <row r="975">
          <cell r="A975">
            <v>481000</v>
          </cell>
          <cell r="B975">
            <v>1015</v>
          </cell>
          <cell r="C975">
            <v>0</v>
          </cell>
          <cell r="D975" t="str">
            <v>202</v>
          </cell>
          <cell r="E975" t="str">
            <v>404</v>
          </cell>
          <cell r="F975">
            <v>0</v>
          </cell>
          <cell r="G975">
            <v>2</v>
          </cell>
          <cell r="H975" t="str">
            <v>2006-02-28</v>
          </cell>
        </row>
        <row r="976">
          <cell r="A976">
            <v>481000</v>
          </cell>
          <cell r="B976">
            <v>1015</v>
          </cell>
          <cell r="C976">
            <v>89936.31</v>
          </cell>
          <cell r="D976" t="str">
            <v>202</v>
          </cell>
          <cell r="E976" t="str">
            <v>404</v>
          </cell>
          <cell r="F976">
            <v>275690</v>
          </cell>
          <cell r="G976">
            <v>2</v>
          </cell>
          <cell r="H976" t="str">
            <v>2006-02-28</v>
          </cell>
        </row>
        <row r="977">
          <cell r="A977">
            <v>481000</v>
          </cell>
          <cell r="B977">
            <v>1015</v>
          </cell>
          <cell r="C977">
            <v>-82208.38</v>
          </cell>
          <cell r="D977" t="str">
            <v>202</v>
          </cell>
          <cell r="E977" t="str">
            <v>404</v>
          </cell>
          <cell r="F977">
            <v>-251870</v>
          </cell>
          <cell r="G977">
            <v>2</v>
          </cell>
          <cell r="H977" t="str">
            <v>2006-02-28</v>
          </cell>
        </row>
        <row r="978">
          <cell r="A978">
            <v>481000</v>
          </cell>
          <cell r="B978">
            <v>1015</v>
          </cell>
          <cell r="C978">
            <v>-89936.31</v>
          </cell>
          <cell r="D978" t="str">
            <v>202</v>
          </cell>
          <cell r="E978" t="str">
            <v>404</v>
          </cell>
          <cell r="F978">
            <v>-275690</v>
          </cell>
          <cell r="G978">
            <v>2</v>
          </cell>
          <cell r="H978" t="str">
            <v>2006-02-28</v>
          </cell>
        </row>
        <row r="979">
          <cell r="A979">
            <v>481004</v>
          </cell>
          <cell r="B979">
            <v>1015</v>
          </cell>
          <cell r="C979">
            <v>0</v>
          </cell>
          <cell r="D979" t="str">
            <v>202</v>
          </cell>
          <cell r="E979" t="str">
            <v>404</v>
          </cell>
          <cell r="F979">
            <v>0</v>
          </cell>
          <cell r="G979">
            <v>2</v>
          </cell>
          <cell r="H979" t="str">
            <v>2006-02-28</v>
          </cell>
        </row>
        <row r="980">
          <cell r="A980">
            <v>481004</v>
          </cell>
          <cell r="B980">
            <v>1015</v>
          </cell>
          <cell r="C980">
            <v>0</v>
          </cell>
          <cell r="D980" t="str">
            <v>202</v>
          </cell>
          <cell r="E980" t="str">
            <v>404</v>
          </cell>
          <cell r="F980">
            <v>0</v>
          </cell>
          <cell r="G980">
            <v>2</v>
          </cell>
          <cell r="H980" t="str">
            <v>2006-02-28</v>
          </cell>
        </row>
        <row r="981">
          <cell r="A981">
            <v>481004</v>
          </cell>
          <cell r="B981">
            <v>1015</v>
          </cell>
          <cell r="C981">
            <v>0</v>
          </cell>
          <cell r="D981" t="str">
            <v>202</v>
          </cell>
          <cell r="E981" t="str">
            <v>404</v>
          </cell>
          <cell r="F981">
            <v>0</v>
          </cell>
          <cell r="G981">
            <v>2</v>
          </cell>
          <cell r="H981" t="str">
            <v>2006-02-28</v>
          </cell>
        </row>
        <row r="982">
          <cell r="A982">
            <v>480000</v>
          </cell>
          <cell r="B982">
            <v>1015</v>
          </cell>
          <cell r="C982">
            <v>-1019782.91</v>
          </cell>
          <cell r="D982" t="str">
            <v>202</v>
          </cell>
          <cell r="E982" t="str">
            <v>407</v>
          </cell>
          <cell r="F982">
            <v>-411166.83</v>
          </cell>
          <cell r="G982">
            <v>2</v>
          </cell>
          <cell r="H982" t="str">
            <v>2006-02-28</v>
          </cell>
        </row>
        <row r="983">
          <cell r="A983">
            <v>480000</v>
          </cell>
          <cell r="B983">
            <v>1015</v>
          </cell>
          <cell r="C983">
            <v>-1240404.81</v>
          </cell>
          <cell r="D983" t="str">
            <v>202</v>
          </cell>
          <cell r="E983" t="str">
            <v>407</v>
          </cell>
          <cell r="F983">
            <v>-504249.42</v>
          </cell>
          <cell r="G983">
            <v>2</v>
          </cell>
          <cell r="H983" t="str">
            <v>2006-02-28</v>
          </cell>
        </row>
        <row r="984">
          <cell r="A984">
            <v>480000</v>
          </cell>
          <cell r="B984">
            <v>1015</v>
          </cell>
          <cell r="C984">
            <v>-1474285.38</v>
          </cell>
          <cell r="D984" t="str">
            <v>202</v>
          </cell>
          <cell r="E984" t="str">
            <v>407</v>
          </cell>
          <cell r="F984">
            <v>-604906.22</v>
          </cell>
          <cell r="G984">
            <v>2</v>
          </cell>
          <cell r="H984" t="str">
            <v>2006-02-28</v>
          </cell>
        </row>
        <row r="985">
          <cell r="A985">
            <v>480000</v>
          </cell>
          <cell r="B985">
            <v>1015</v>
          </cell>
          <cell r="C985">
            <v>-3546177.56</v>
          </cell>
          <cell r="D985" t="str">
            <v>202</v>
          </cell>
          <cell r="E985" t="str">
            <v>407</v>
          </cell>
          <cell r="F985">
            <v>-1443852.81</v>
          </cell>
          <cell r="G985">
            <v>2</v>
          </cell>
          <cell r="H985" t="str">
            <v>2006-02-28</v>
          </cell>
        </row>
        <row r="986">
          <cell r="A986">
            <v>480000</v>
          </cell>
          <cell r="B986">
            <v>1015</v>
          </cell>
          <cell r="C986">
            <v>-2347145.13</v>
          </cell>
          <cell r="D986" t="str">
            <v>202</v>
          </cell>
          <cell r="E986" t="str">
            <v>407</v>
          </cell>
          <cell r="F986">
            <v>-958012.66</v>
          </cell>
          <cell r="G986">
            <v>2</v>
          </cell>
          <cell r="H986" t="str">
            <v>2006-02-28</v>
          </cell>
        </row>
        <row r="987">
          <cell r="A987">
            <v>480000</v>
          </cell>
          <cell r="B987">
            <v>1015</v>
          </cell>
          <cell r="C987">
            <v>-1256197.5900000001</v>
          </cell>
          <cell r="D987" t="str">
            <v>202</v>
          </cell>
          <cell r="E987" t="str">
            <v>407</v>
          </cell>
          <cell r="F987">
            <v>-512010.63</v>
          </cell>
          <cell r="G987">
            <v>2</v>
          </cell>
          <cell r="H987" t="str">
            <v>2006-02-28</v>
          </cell>
        </row>
        <row r="988">
          <cell r="A988">
            <v>480000</v>
          </cell>
          <cell r="B988">
            <v>1015</v>
          </cell>
          <cell r="C988">
            <v>-2020771.32</v>
          </cell>
          <cell r="D988" t="str">
            <v>202</v>
          </cell>
          <cell r="E988" t="str">
            <v>407</v>
          </cell>
          <cell r="F988">
            <v>-814656.74</v>
          </cell>
          <cell r="G988">
            <v>2</v>
          </cell>
          <cell r="H988" t="str">
            <v>2006-02-28</v>
          </cell>
        </row>
        <row r="989">
          <cell r="A989">
            <v>480000</v>
          </cell>
          <cell r="B989">
            <v>1015</v>
          </cell>
          <cell r="C989">
            <v>-2527154.69</v>
          </cell>
          <cell r="D989" t="str">
            <v>202</v>
          </cell>
          <cell r="E989" t="str">
            <v>407</v>
          </cell>
          <cell r="F989">
            <v>-1031267.88</v>
          </cell>
          <cell r="G989">
            <v>2</v>
          </cell>
          <cell r="H989" t="str">
            <v>2006-02-28</v>
          </cell>
        </row>
        <row r="990">
          <cell r="A990">
            <v>480000</v>
          </cell>
          <cell r="B990">
            <v>1015</v>
          </cell>
          <cell r="C990">
            <v>-1533464.74</v>
          </cell>
          <cell r="D990" t="str">
            <v>202</v>
          </cell>
          <cell r="E990" t="str">
            <v>407</v>
          </cell>
          <cell r="F990">
            <v>-626356.97</v>
          </cell>
          <cell r="G990">
            <v>2</v>
          </cell>
          <cell r="H990" t="str">
            <v>2006-02-28</v>
          </cell>
        </row>
        <row r="991">
          <cell r="A991">
            <v>480000</v>
          </cell>
          <cell r="B991">
            <v>1015</v>
          </cell>
          <cell r="C991">
            <v>-1112203.73</v>
          </cell>
          <cell r="D991" t="str">
            <v>202</v>
          </cell>
          <cell r="E991" t="str">
            <v>407</v>
          </cell>
          <cell r="F991">
            <v>-451963.14</v>
          </cell>
          <cell r="G991">
            <v>2</v>
          </cell>
          <cell r="H991" t="str">
            <v>2006-02-28</v>
          </cell>
        </row>
        <row r="992">
          <cell r="A992">
            <v>480000</v>
          </cell>
          <cell r="B992">
            <v>1015</v>
          </cell>
          <cell r="C992">
            <v>-2708921.59</v>
          </cell>
          <cell r="D992" t="str">
            <v>202</v>
          </cell>
          <cell r="E992" t="str">
            <v>407</v>
          </cell>
          <cell r="F992">
            <v>-1102719.3999999999</v>
          </cell>
          <cell r="G992">
            <v>2</v>
          </cell>
          <cell r="H992" t="str">
            <v>2006-02-28</v>
          </cell>
        </row>
        <row r="993">
          <cell r="A993">
            <v>480000</v>
          </cell>
          <cell r="B993">
            <v>1015</v>
          </cell>
          <cell r="C993">
            <v>-2332464.3199999998</v>
          </cell>
          <cell r="D993" t="str">
            <v>202</v>
          </cell>
          <cell r="E993" t="str">
            <v>407</v>
          </cell>
          <cell r="F993">
            <v>-946438.38</v>
          </cell>
          <cell r="G993">
            <v>2</v>
          </cell>
          <cell r="H993" t="str">
            <v>2006-02-28</v>
          </cell>
        </row>
        <row r="994">
          <cell r="A994">
            <v>480000</v>
          </cell>
          <cell r="B994">
            <v>1015</v>
          </cell>
          <cell r="C994">
            <v>-38802.720000000001</v>
          </cell>
          <cell r="D994" t="str">
            <v>202</v>
          </cell>
          <cell r="E994" t="str">
            <v>407</v>
          </cell>
          <cell r="F994">
            <v>-19488.93</v>
          </cell>
          <cell r="G994">
            <v>2</v>
          </cell>
          <cell r="H994" t="str">
            <v>2006-02-28</v>
          </cell>
        </row>
        <row r="995">
          <cell r="A995">
            <v>480000</v>
          </cell>
          <cell r="B995">
            <v>1015</v>
          </cell>
          <cell r="C995">
            <v>-29763.67</v>
          </cell>
          <cell r="D995" t="str">
            <v>202</v>
          </cell>
          <cell r="E995" t="str">
            <v>407</v>
          </cell>
          <cell r="F995">
            <v>-11952.92</v>
          </cell>
          <cell r="G995">
            <v>2</v>
          </cell>
          <cell r="H995" t="str">
            <v>2006-02-28</v>
          </cell>
        </row>
        <row r="996">
          <cell r="A996">
            <v>480001</v>
          </cell>
          <cell r="B996">
            <v>1015</v>
          </cell>
          <cell r="C996">
            <v>1636139.53</v>
          </cell>
          <cell r="D996" t="str">
            <v>202</v>
          </cell>
          <cell r="E996" t="str">
            <v>407</v>
          </cell>
          <cell r="F996">
            <v>1102517.99</v>
          </cell>
          <cell r="G996">
            <v>2</v>
          </cell>
          <cell r="H996" t="str">
            <v>2006-02-28</v>
          </cell>
        </row>
        <row r="997">
          <cell r="A997">
            <v>481004</v>
          </cell>
          <cell r="B997">
            <v>1015</v>
          </cell>
          <cell r="C997">
            <v>-145471.57</v>
          </cell>
          <cell r="D997" t="str">
            <v>202</v>
          </cell>
          <cell r="E997" t="str">
            <v>407</v>
          </cell>
          <cell r="F997">
            <v>-90462.83</v>
          </cell>
          <cell r="G997">
            <v>2</v>
          </cell>
          <cell r="H997" t="str">
            <v>2006-02-28</v>
          </cell>
        </row>
        <row r="998">
          <cell r="A998">
            <v>481004</v>
          </cell>
          <cell r="B998">
            <v>1015</v>
          </cell>
          <cell r="C998">
            <v>-284333.25</v>
          </cell>
          <cell r="D998" t="str">
            <v>202</v>
          </cell>
          <cell r="E998" t="str">
            <v>407</v>
          </cell>
          <cell r="F998">
            <v>-182268.72</v>
          </cell>
          <cell r="G998">
            <v>2</v>
          </cell>
          <cell r="H998" t="str">
            <v>2006-02-28</v>
          </cell>
        </row>
        <row r="999">
          <cell r="A999">
            <v>481004</v>
          </cell>
          <cell r="B999">
            <v>1015</v>
          </cell>
          <cell r="C999">
            <v>-254960.55</v>
          </cell>
          <cell r="D999" t="str">
            <v>202</v>
          </cell>
          <cell r="E999" t="str">
            <v>407</v>
          </cell>
          <cell r="F999">
            <v>-170706.43</v>
          </cell>
          <cell r="G999">
            <v>2</v>
          </cell>
          <cell r="H999" t="str">
            <v>2006-02-28</v>
          </cell>
        </row>
        <row r="1000">
          <cell r="A1000">
            <v>481004</v>
          </cell>
          <cell r="B1000">
            <v>1015</v>
          </cell>
          <cell r="C1000">
            <v>-1105780.28</v>
          </cell>
          <cell r="D1000" t="str">
            <v>202</v>
          </cell>
          <cell r="E1000" t="str">
            <v>407</v>
          </cell>
          <cell r="F1000">
            <v>-793814.28</v>
          </cell>
          <cell r="G1000">
            <v>2</v>
          </cell>
          <cell r="H1000" t="str">
            <v>2006-02-28</v>
          </cell>
        </row>
        <row r="1001">
          <cell r="A1001">
            <v>481004</v>
          </cell>
          <cell r="B1001">
            <v>1015</v>
          </cell>
          <cell r="C1001">
            <v>-983165.63</v>
          </cell>
          <cell r="D1001" t="str">
            <v>202</v>
          </cell>
          <cell r="E1001" t="str">
            <v>407</v>
          </cell>
          <cell r="F1001">
            <v>-669766.17000000004</v>
          </cell>
          <cell r="G1001">
            <v>2</v>
          </cell>
          <cell r="H1001" t="str">
            <v>2006-02-28</v>
          </cell>
        </row>
        <row r="1002">
          <cell r="A1002">
            <v>481004</v>
          </cell>
          <cell r="B1002">
            <v>1015</v>
          </cell>
          <cell r="C1002">
            <v>-284304.15000000002</v>
          </cell>
          <cell r="D1002" t="str">
            <v>202</v>
          </cell>
          <cell r="E1002" t="str">
            <v>407</v>
          </cell>
          <cell r="F1002">
            <v>-211727.28</v>
          </cell>
          <cell r="G1002">
            <v>2</v>
          </cell>
          <cell r="H1002" t="str">
            <v>2006-02-28</v>
          </cell>
        </row>
        <row r="1003">
          <cell r="A1003">
            <v>481004</v>
          </cell>
          <cell r="B1003">
            <v>1015</v>
          </cell>
          <cell r="C1003">
            <v>-377057.82</v>
          </cell>
          <cell r="D1003" t="str">
            <v>202</v>
          </cell>
          <cell r="E1003" t="str">
            <v>407</v>
          </cell>
          <cell r="F1003">
            <v>-270303.27</v>
          </cell>
          <cell r="G1003">
            <v>2</v>
          </cell>
          <cell r="H1003" t="str">
            <v>2006-02-28</v>
          </cell>
        </row>
        <row r="1004">
          <cell r="A1004">
            <v>481004</v>
          </cell>
          <cell r="B1004">
            <v>1015</v>
          </cell>
          <cell r="C1004">
            <v>-604007.65</v>
          </cell>
          <cell r="D1004" t="str">
            <v>202</v>
          </cell>
          <cell r="E1004" t="str">
            <v>407</v>
          </cell>
          <cell r="F1004">
            <v>-410790.19</v>
          </cell>
          <cell r="G1004">
            <v>2</v>
          </cell>
          <cell r="H1004" t="str">
            <v>2006-02-28</v>
          </cell>
        </row>
        <row r="1005">
          <cell r="A1005">
            <v>481004</v>
          </cell>
          <cell r="B1005">
            <v>1015</v>
          </cell>
          <cell r="C1005">
            <v>-324561.25</v>
          </cell>
          <cell r="D1005" t="str">
            <v>202</v>
          </cell>
          <cell r="E1005" t="str">
            <v>407</v>
          </cell>
          <cell r="F1005">
            <v>-214886.23</v>
          </cell>
          <cell r="G1005">
            <v>2</v>
          </cell>
          <cell r="H1005" t="str">
            <v>2006-02-28</v>
          </cell>
        </row>
        <row r="1006">
          <cell r="A1006">
            <v>481004</v>
          </cell>
          <cell r="B1006">
            <v>1015</v>
          </cell>
          <cell r="C1006">
            <v>-319232.36</v>
          </cell>
          <cell r="D1006" t="str">
            <v>202</v>
          </cell>
          <cell r="E1006" t="str">
            <v>407</v>
          </cell>
          <cell r="F1006">
            <v>-213303.71</v>
          </cell>
          <cell r="G1006">
            <v>2</v>
          </cell>
          <cell r="H1006" t="str">
            <v>2006-02-28</v>
          </cell>
        </row>
        <row r="1007">
          <cell r="A1007">
            <v>481004</v>
          </cell>
          <cell r="B1007">
            <v>1015</v>
          </cell>
          <cell r="C1007">
            <v>-602431.25</v>
          </cell>
          <cell r="D1007" t="str">
            <v>202</v>
          </cell>
          <cell r="E1007" t="str">
            <v>407</v>
          </cell>
          <cell r="F1007">
            <v>-418883.54</v>
          </cell>
          <cell r="G1007">
            <v>2</v>
          </cell>
          <cell r="H1007" t="str">
            <v>2006-02-28</v>
          </cell>
        </row>
        <row r="1008">
          <cell r="A1008">
            <v>481004</v>
          </cell>
          <cell r="B1008">
            <v>1015</v>
          </cell>
          <cell r="C1008">
            <v>-515945.45</v>
          </cell>
          <cell r="D1008" t="str">
            <v>202</v>
          </cell>
          <cell r="E1008" t="str">
            <v>407</v>
          </cell>
          <cell r="F1008">
            <v>-366444.64</v>
          </cell>
          <cell r="G1008">
            <v>2</v>
          </cell>
          <cell r="H1008" t="str">
            <v>2006-02-28</v>
          </cell>
        </row>
        <row r="1009">
          <cell r="A1009">
            <v>481004</v>
          </cell>
          <cell r="B1009">
            <v>1015</v>
          </cell>
          <cell r="C1009">
            <v>-27606.46</v>
          </cell>
          <cell r="D1009" t="str">
            <v>202</v>
          </cell>
          <cell r="E1009" t="str">
            <v>407</v>
          </cell>
          <cell r="F1009">
            <v>-21139.1</v>
          </cell>
          <cell r="G1009">
            <v>2</v>
          </cell>
          <cell r="H1009" t="str">
            <v>2006-02-28</v>
          </cell>
        </row>
        <row r="1010">
          <cell r="A1010">
            <v>481004</v>
          </cell>
          <cell r="B1010">
            <v>1015</v>
          </cell>
          <cell r="C1010">
            <v>-9854.7000000000007</v>
          </cell>
          <cell r="D1010" t="str">
            <v>202</v>
          </cell>
          <cell r="E1010" t="str">
            <v>407</v>
          </cell>
          <cell r="F1010">
            <v>-6193.05</v>
          </cell>
          <cell r="G1010">
            <v>2</v>
          </cell>
          <cell r="H1010" t="str">
            <v>2006-02-28</v>
          </cell>
        </row>
        <row r="1011">
          <cell r="A1011">
            <v>480000</v>
          </cell>
          <cell r="B1011">
            <v>1015</v>
          </cell>
          <cell r="C1011">
            <v>-284.58</v>
          </cell>
          <cell r="D1011" t="str">
            <v>202</v>
          </cell>
          <cell r="E1011" t="str">
            <v>408</v>
          </cell>
          <cell r="F1011">
            <v>-70</v>
          </cell>
          <cell r="G1011">
            <v>2</v>
          </cell>
          <cell r="H1011" t="str">
            <v>2006-02-28</v>
          </cell>
        </row>
        <row r="1012">
          <cell r="A1012">
            <v>480000</v>
          </cell>
          <cell r="B1012">
            <v>1015</v>
          </cell>
          <cell r="C1012">
            <v>-94.35</v>
          </cell>
          <cell r="D1012" t="str">
            <v>202</v>
          </cell>
          <cell r="E1012" t="str">
            <v>408</v>
          </cell>
          <cell r="F1012">
            <v>-23.41</v>
          </cell>
          <cell r="G1012">
            <v>2</v>
          </cell>
          <cell r="H1012" t="str">
            <v>2006-02-28</v>
          </cell>
        </row>
        <row r="1013">
          <cell r="A1013">
            <v>480000</v>
          </cell>
          <cell r="B1013">
            <v>1015</v>
          </cell>
          <cell r="C1013">
            <v>-322.14</v>
          </cell>
          <cell r="D1013" t="str">
            <v>202</v>
          </cell>
          <cell r="E1013" t="str">
            <v>408</v>
          </cell>
          <cell r="F1013">
            <v>-78.95</v>
          </cell>
          <cell r="G1013">
            <v>2</v>
          </cell>
          <cell r="H1013" t="str">
            <v>2006-02-28</v>
          </cell>
        </row>
        <row r="1014">
          <cell r="A1014">
            <v>480000</v>
          </cell>
          <cell r="B1014">
            <v>1015</v>
          </cell>
          <cell r="C1014">
            <v>-58119.89</v>
          </cell>
          <cell r="D1014" t="str">
            <v>202</v>
          </cell>
          <cell r="E1014" t="str">
            <v>408</v>
          </cell>
          <cell r="F1014">
            <v>-14351.98</v>
          </cell>
          <cell r="G1014">
            <v>2</v>
          </cell>
          <cell r="H1014" t="str">
            <v>2006-02-28</v>
          </cell>
        </row>
        <row r="1015">
          <cell r="A1015">
            <v>480000</v>
          </cell>
          <cell r="B1015">
            <v>1015</v>
          </cell>
          <cell r="C1015">
            <v>-336.96</v>
          </cell>
          <cell r="D1015" t="str">
            <v>202</v>
          </cell>
          <cell r="E1015" t="str">
            <v>408</v>
          </cell>
          <cell r="F1015">
            <v>-82.95</v>
          </cell>
          <cell r="G1015">
            <v>2</v>
          </cell>
          <cell r="H1015" t="str">
            <v>2006-02-28</v>
          </cell>
        </row>
        <row r="1016">
          <cell r="A1016">
            <v>480000</v>
          </cell>
          <cell r="B1016">
            <v>1015</v>
          </cell>
          <cell r="C1016">
            <v>-490.97</v>
          </cell>
          <cell r="D1016" t="str">
            <v>202</v>
          </cell>
          <cell r="E1016" t="str">
            <v>408</v>
          </cell>
          <cell r="F1016">
            <v>-119.36</v>
          </cell>
          <cell r="G1016">
            <v>2</v>
          </cell>
          <cell r="H1016" t="str">
            <v>2006-02-28</v>
          </cell>
        </row>
        <row r="1017">
          <cell r="A1017">
            <v>480000</v>
          </cell>
          <cell r="B1017">
            <v>1015</v>
          </cell>
          <cell r="C1017">
            <v>-47176.4</v>
          </cell>
          <cell r="D1017" t="str">
            <v>202</v>
          </cell>
          <cell r="E1017" t="str">
            <v>408</v>
          </cell>
          <cell r="F1017">
            <v>-11668.91</v>
          </cell>
          <cell r="G1017">
            <v>2</v>
          </cell>
          <cell r="H1017" t="str">
            <v>2006-02-28</v>
          </cell>
        </row>
        <row r="1018">
          <cell r="A1018">
            <v>480000</v>
          </cell>
          <cell r="B1018">
            <v>1015</v>
          </cell>
          <cell r="C1018">
            <v>-134123.35999999999</v>
          </cell>
          <cell r="D1018" t="str">
            <v>202</v>
          </cell>
          <cell r="E1018" t="str">
            <v>408</v>
          </cell>
          <cell r="F1018">
            <v>-33122.800000000003</v>
          </cell>
          <cell r="G1018">
            <v>2</v>
          </cell>
          <cell r="H1018" t="str">
            <v>2006-02-28</v>
          </cell>
        </row>
        <row r="1019">
          <cell r="A1019">
            <v>480000</v>
          </cell>
          <cell r="B1019">
            <v>1015</v>
          </cell>
          <cell r="C1019">
            <v>-746.35</v>
          </cell>
          <cell r="D1019" t="str">
            <v>202</v>
          </cell>
          <cell r="E1019" t="str">
            <v>408</v>
          </cell>
          <cell r="F1019">
            <v>-181.47</v>
          </cell>
          <cell r="G1019">
            <v>2</v>
          </cell>
          <cell r="H1019" t="str">
            <v>2006-02-28</v>
          </cell>
        </row>
        <row r="1020">
          <cell r="A1020">
            <v>480000</v>
          </cell>
          <cell r="B1020">
            <v>1015</v>
          </cell>
          <cell r="C1020">
            <v>-253.16</v>
          </cell>
          <cell r="D1020" t="str">
            <v>202</v>
          </cell>
          <cell r="E1020" t="str">
            <v>408</v>
          </cell>
          <cell r="F1020">
            <v>-60.5</v>
          </cell>
          <cell r="G1020">
            <v>2</v>
          </cell>
          <cell r="H1020" t="str">
            <v>2006-02-28</v>
          </cell>
        </row>
        <row r="1021">
          <cell r="A1021">
            <v>480000</v>
          </cell>
          <cell r="B1021">
            <v>1015</v>
          </cell>
          <cell r="C1021">
            <v>-256.74</v>
          </cell>
          <cell r="D1021" t="str">
            <v>202</v>
          </cell>
          <cell r="E1021" t="str">
            <v>408</v>
          </cell>
          <cell r="F1021">
            <v>-63.14</v>
          </cell>
          <cell r="G1021">
            <v>2</v>
          </cell>
          <cell r="H1021" t="str">
            <v>2006-02-28</v>
          </cell>
        </row>
        <row r="1022">
          <cell r="A1022">
            <v>480000</v>
          </cell>
          <cell r="B1022">
            <v>1015</v>
          </cell>
          <cell r="C1022">
            <v>-14925.23</v>
          </cell>
          <cell r="D1022" t="str">
            <v>202</v>
          </cell>
          <cell r="E1022" t="str">
            <v>408</v>
          </cell>
          <cell r="F1022">
            <v>-3704.28</v>
          </cell>
          <cell r="G1022">
            <v>2</v>
          </cell>
          <cell r="H1022" t="str">
            <v>2006-02-28</v>
          </cell>
        </row>
        <row r="1023">
          <cell r="A1023">
            <v>480000</v>
          </cell>
          <cell r="B1023">
            <v>1015</v>
          </cell>
          <cell r="C1023">
            <v>-69.62</v>
          </cell>
          <cell r="D1023" t="str">
            <v>202</v>
          </cell>
          <cell r="E1023" t="str">
            <v>408</v>
          </cell>
          <cell r="F1023">
            <v>-17.28</v>
          </cell>
          <cell r="G1023">
            <v>2</v>
          </cell>
          <cell r="H1023" t="str">
            <v>2006-02-28</v>
          </cell>
        </row>
        <row r="1024">
          <cell r="A1024">
            <v>480000</v>
          </cell>
          <cell r="B1024">
            <v>1015</v>
          </cell>
          <cell r="C1024">
            <v>-144.1</v>
          </cell>
          <cell r="D1024" t="str">
            <v>202</v>
          </cell>
          <cell r="E1024" t="str">
            <v>408</v>
          </cell>
          <cell r="F1024">
            <v>-35.75</v>
          </cell>
          <cell r="G1024">
            <v>2</v>
          </cell>
          <cell r="H1024" t="str">
            <v>2006-02-28</v>
          </cell>
        </row>
        <row r="1025">
          <cell r="A1025">
            <v>480001</v>
          </cell>
          <cell r="B1025">
            <v>1015</v>
          </cell>
          <cell r="C1025">
            <v>49891.41</v>
          </cell>
          <cell r="D1025" t="str">
            <v>202</v>
          </cell>
          <cell r="E1025" t="str">
            <v>408</v>
          </cell>
          <cell r="F1025">
            <v>12559</v>
          </cell>
          <cell r="G1025">
            <v>2</v>
          </cell>
          <cell r="H1025" t="str">
            <v>2006-02-28</v>
          </cell>
        </row>
        <row r="1026">
          <cell r="A1026">
            <v>481004</v>
          </cell>
          <cell r="B1026">
            <v>1015</v>
          </cell>
          <cell r="C1026">
            <v>0</v>
          </cell>
          <cell r="D1026" t="str">
            <v>202</v>
          </cell>
          <cell r="E1026" t="str">
            <v>408</v>
          </cell>
          <cell r="F1026">
            <v>0</v>
          </cell>
          <cell r="G1026">
            <v>2</v>
          </cell>
          <cell r="H1026" t="str">
            <v>2006-02-28</v>
          </cell>
        </row>
        <row r="1027">
          <cell r="A1027">
            <v>481004</v>
          </cell>
          <cell r="B1027">
            <v>1015</v>
          </cell>
          <cell r="C1027">
            <v>-7495.93</v>
          </cell>
          <cell r="D1027" t="str">
            <v>202</v>
          </cell>
          <cell r="E1027" t="str">
            <v>408</v>
          </cell>
          <cell r="F1027">
            <v>-1858.45</v>
          </cell>
          <cell r="G1027">
            <v>2</v>
          </cell>
          <cell r="H1027" t="str">
            <v>2006-02-28</v>
          </cell>
        </row>
        <row r="1028">
          <cell r="A1028">
            <v>481004</v>
          </cell>
          <cell r="B1028">
            <v>1015</v>
          </cell>
          <cell r="C1028">
            <v>-154.69999999999999</v>
          </cell>
          <cell r="D1028" t="str">
            <v>202</v>
          </cell>
          <cell r="E1028" t="str">
            <v>408</v>
          </cell>
          <cell r="F1028">
            <v>-38.39</v>
          </cell>
          <cell r="G1028">
            <v>2</v>
          </cell>
          <cell r="H1028" t="str">
            <v>2006-02-28</v>
          </cell>
        </row>
        <row r="1029">
          <cell r="A1029">
            <v>481004</v>
          </cell>
          <cell r="B1029">
            <v>1015</v>
          </cell>
          <cell r="C1029">
            <v>-31048.6</v>
          </cell>
          <cell r="D1029" t="str">
            <v>202</v>
          </cell>
          <cell r="E1029" t="str">
            <v>408</v>
          </cell>
          <cell r="F1029">
            <v>-7701.32</v>
          </cell>
          <cell r="G1029">
            <v>2</v>
          </cell>
          <cell r="H1029" t="str">
            <v>2006-02-28</v>
          </cell>
        </row>
        <row r="1030">
          <cell r="A1030">
            <v>481004</v>
          </cell>
          <cell r="B1030">
            <v>1015</v>
          </cell>
          <cell r="C1030">
            <v>-83732.81</v>
          </cell>
          <cell r="D1030" t="str">
            <v>202</v>
          </cell>
          <cell r="E1030" t="str">
            <v>408</v>
          </cell>
          <cell r="F1030">
            <v>-20760.22</v>
          </cell>
          <cell r="G1030">
            <v>2</v>
          </cell>
          <cell r="H1030" t="str">
            <v>2006-02-28</v>
          </cell>
        </row>
        <row r="1031">
          <cell r="A1031">
            <v>481004</v>
          </cell>
          <cell r="B1031">
            <v>1015</v>
          </cell>
          <cell r="C1031">
            <v>-456.89</v>
          </cell>
          <cell r="D1031" t="str">
            <v>202</v>
          </cell>
          <cell r="E1031" t="str">
            <v>408</v>
          </cell>
          <cell r="F1031">
            <v>-112.18</v>
          </cell>
          <cell r="G1031">
            <v>2</v>
          </cell>
          <cell r="H1031" t="str">
            <v>2006-02-28</v>
          </cell>
        </row>
        <row r="1032">
          <cell r="A1032">
            <v>481004</v>
          </cell>
          <cell r="B1032">
            <v>1015</v>
          </cell>
          <cell r="C1032">
            <v>-632.04</v>
          </cell>
          <cell r="D1032" t="str">
            <v>202</v>
          </cell>
          <cell r="E1032" t="str">
            <v>408</v>
          </cell>
          <cell r="F1032">
            <v>-156.91999999999999</v>
          </cell>
          <cell r="G1032">
            <v>2</v>
          </cell>
          <cell r="H1032" t="str">
            <v>2006-02-28</v>
          </cell>
        </row>
        <row r="1033">
          <cell r="A1033">
            <v>481004</v>
          </cell>
          <cell r="B1033">
            <v>1015</v>
          </cell>
          <cell r="C1033">
            <v>-33.99</v>
          </cell>
          <cell r="D1033" t="str">
            <v>202</v>
          </cell>
          <cell r="E1033" t="str">
            <v>408</v>
          </cell>
          <cell r="F1033">
            <v>-8.44</v>
          </cell>
          <cell r="G1033">
            <v>2</v>
          </cell>
          <cell r="H1033" t="str">
            <v>2006-02-28</v>
          </cell>
        </row>
        <row r="1034">
          <cell r="A1034">
            <v>481004</v>
          </cell>
          <cell r="B1034">
            <v>1015</v>
          </cell>
          <cell r="C1034">
            <v>-3293.46</v>
          </cell>
          <cell r="D1034" t="str">
            <v>202</v>
          </cell>
          <cell r="E1034" t="str">
            <v>408</v>
          </cell>
          <cell r="F1034">
            <v>-814.66</v>
          </cell>
          <cell r="G1034">
            <v>2</v>
          </cell>
          <cell r="H1034" t="str">
            <v>2006-02-28</v>
          </cell>
        </row>
        <row r="1035">
          <cell r="A1035">
            <v>481004</v>
          </cell>
          <cell r="B1035">
            <v>1015</v>
          </cell>
          <cell r="C1035">
            <v>-399.14</v>
          </cell>
          <cell r="D1035" t="str">
            <v>202</v>
          </cell>
          <cell r="E1035" t="str">
            <v>408</v>
          </cell>
          <cell r="F1035">
            <v>-102.81</v>
          </cell>
          <cell r="G1035">
            <v>2</v>
          </cell>
          <cell r="H1035" t="str">
            <v>2006-02-28</v>
          </cell>
        </row>
        <row r="1036">
          <cell r="A1036">
            <v>481002</v>
          </cell>
          <cell r="B1036">
            <v>1015</v>
          </cell>
          <cell r="C1036">
            <v>0</v>
          </cell>
          <cell r="D1036" t="str">
            <v>202</v>
          </cell>
          <cell r="E1036" t="str">
            <v>409</v>
          </cell>
          <cell r="F1036">
            <v>0</v>
          </cell>
          <cell r="G1036">
            <v>2</v>
          </cell>
          <cell r="H1036" t="str">
            <v>2006-02-28</v>
          </cell>
        </row>
        <row r="1037">
          <cell r="A1037">
            <v>481002</v>
          </cell>
          <cell r="B1037">
            <v>1015</v>
          </cell>
          <cell r="C1037">
            <v>0</v>
          </cell>
          <cell r="D1037" t="str">
            <v>202</v>
          </cell>
          <cell r="E1037" t="str">
            <v>409</v>
          </cell>
          <cell r="F1037">
            <v>0</v>
          </cell>
          <cell r="G1037">
            <v>2</v>
          </cell>
          <cell r="H1037" t="str">
            <v>2006-02-28</v>
          </cell>
        </row>
        <row r="1038">
          <cell r="A1038">
            <v>481002</v>
          </cell>
          <cell r="B1038">
            <v>1015</v>
          </cell>
          <cell r="C1038">
            <v>0</v>
          </cell>
          <cell r="D1038" t="str">
            <v>202</v>
          </cell>
          <cell r="E1038" t="str">
            <v>409</v>
          </cell>
          <cell r="F1038">
            <v>0</v>
          </cell>
          <cell r="G1038">
            <v>2</v>
          </cell>
          <cell r="H1038" t="str">
            <v>2006-02-28</v>
          </cell>
        </row>
        <row r="1039">
          <cell r="A1039">
            <v>481002</v>
          </cell>
          <cell r="B1039">
            <v>1015</v>
          </cell>
          <cell r="C1039">
            <v>0</v>
          </cell>
          <cell r="D1039" t="str">
            <v>202</v>
          </cell>
          <cell r="E1039" t="str">
            <v>411</v>
          </cell>
          <cell r="F1039">
            <v>0</v>
          </cell>
          <cell r="G1039">
            <v>2</v>
          </cell>
          <cell r="H1039" t="str">
            <v>2006-02-28</v>
          </cell>
        </row>
        <row r="1040">
          <cell r="A1040">
            <v>481002</v>
          </cell>
          <cell r="B1040">
            <v>1015</v>
          </cell>
          <cell r="C1040">
            <v>-41500.22</v>
          </cell>
          <cell r="D1040" t="str">
            <v>202</v>
          </cell>
          <cell r="E1040" t="str">
            <v>411</v>
          </cell>
          <cell r="F1040">
            <v>-180372</v>
          </cell>
          <cell r="G1040">
            <v>2</v>
          </cell>
          <cell r="H1040" t="str">
            <v>2006-02-28</v>
          </cell>
        </row>
        <row r="1041">
          <cell r="A1041">
            <v>481002</v>
          </cell>
          <cell r="B1041">
            <v>1015</v>
          </cell>
          <cell r="C1041">
            <v>60130.64</v>
          </cell>
          <cell r="D1041" t="str">
            <v>202</v>
          </cell>
          <cell r="E1041" t="str">
            <v>411</v>
          </cell>
          <cell r="F1041">
            <v>265647</v>
          </cell>
          <cell r="G1041">
            <v>2</v>
          </cell>
          <cell r="H1041" t="str">
            <v>2006-02-28</v>
          </cell>
        </row>
        <row r="1042">
          <cell r="A1042">
            <v>481002</v>
          </cell>
          <cell r="B1042">
            <v>1015</v>
          </cell>
          <cell r="C1042">
            <v>-7299.43</v>
          </cell>
          <cell r="D1042" t="str">
            <v>202</v>
          </cell>
          <cell r="E1042" t="str">
            <v>411</v>
          </cell>
          <cell r="F1042">
            <v>-36433.800000000003</v>
          </cell>
          <cell r="G1042">
            <v>2</v>
          </cell>
          <cell r="H1042" t="str">
            <v>2006-02-28</v>
          </cell>
        </row>
        <row r="1043">
          <cell r="A1043">
            <v>481002</v>
          </cell>
          <cell r="B1043">
            <v>1015</v>
          </cell>
          <cell r="C1043">
            <v>-9139.68</v>
          </cell>
          <cell r="D1043" t="str">
            <v>202</v>
          </cell>
          <cell r="E1043" t="str">
            <v>411</v>
          </cell>
          <cell r="F1043">
            <v>-52420.97</v>
          </cell>
          <cell r="G1043">
            <v>2</v>
          </cell>
          <cell r="H1043" t="str">
            <v>2006-02-28</v>
          </cell>
        </row>
        <row r="1044">
          <cell r="A1044">
            <v>481002</v>
          </cell>
          <cell r="B1044">
            <v>1015</v>
          </cell>
          <cell r="C1044">
            <v>-780.79</v>
          </cell>
          <cell r="D1044" t="str">
            <v>202</v>
          </cell>
          <cell r="E1044" t="str">
            <v>411</v>
          </cell>
          <cell r="F1044">
            <v>-1063.83</v>
          </cell>
          <cell r="G1044">
            <v>2</v>
          </cell>
          <cell r="H1044" t="str">
            <v>2006-02-28</v>
          </cell>
        </row>
        <row r="1045">
          <cell r="A1045">
            <v>481002</v>
          </cell>
          <cell r="B1045">
            <v>1015</v>
          </cell>
          <cell r="C1045">
            <v>-1500.1</v>
          </cell>
          <cell r="D1045" t="str">
            <v>202</v>
          </cell>
          <cell r="E1045" t="str">
            <v>411</v>
          </cell>
          <cell r="F1045">
            <v>-8056.52</v>
          </cell>
          <cell r="G1045">
            <v>2</v>
          </cell>
          <cell r="H1045" t="str">
            <v>2006-02-28</v>
          </cell>
        </row>
        <row r="1046">
          <cell r="A1046">
            <v>481002</v>
          </cell>
          <cell r="B1046">
            <v>1015</v>
          </cell>
          <cell r="C1046">
            <v>-1442.62</v>
          </cell>
          <cell r="D1046" t="str">
            <v>202</v>
          </cell>
          <cell r="E1046" t="str">
            <v>411</v>
          </cell>
          <cell r="F1046">
            <v>-3354</v>
          </cell>
          <cell r="G1046">
            <v>2</v>
          </cell>
          <cell r="H1046" t="str">
            <v>2006-02-28</v>
          </cell>
        </row>
        <row r="1047">
          <cell r="A1047">
            <v>481002</v>
          </cell>
          <cell r="B1047">
            <v>1015</v>
          </cell>
          <cell r="C1047">
            <v>-1905.6</v>
          </cell>
          <cell r="D1047" t="str">
            <v>202</v>
          </cell>
          <cell r="E1047" t="str">
            <v>411</v>
          </cell>
          <cell r="F1047">
            <v>-8309.0300000000007</v>
          </cell>
          <cell r="G1047">
            <v>2</v>
          </cell>
          <cell r="H1047" t="str">
            <v>2006-02-28</v>
          </cell>
        </row>
        <row r="1048">
          <cell r="A1048">
            <v>481002</v>
          </cell>
          <cell r="B1048">
            <v>1015</v>
          </cell>
          <cell r="C1048">
            <v>-417.13</v>
          </cell>
          <cell r="D1048" t="str">
            <v>202</v>
          </cell>
          <cell r="E1048" t="str">
            <v>411</v>
          </cell>
          <cell r="F1048">
            <v>-1880.43</v>
          </cell>
          <cell r="G1048">
            <v>2</v>
          </cell>
          <cell r="H1048" t="str">
            <v>2006-02-28</v>
          </cell>
        </row>
        <row r="1049">
          <cell r="A1049">
            <v>481002</v>
          </cell>
          <cell r="B1049">
            <v>1015</v>
          </cell>
          <cell r="C1049">
            <v>-1323.77</v>
          </cell>
          <cell r="D1049" t="str">
            <v>202</v>
          </cell>
          <cell r="E1049" t="str">
            <v>411</v>
          </cell>
          <cell r="F1049">
            <v>-5753.34</v>
          </cell>
          <cell r="G1049">
            <v>2</v>
          </cell>
          <cell r="H1049" t="str">
            <v>2006-02-28</v>
          </cell>
        </row>
        <row r="1050">
          <cell r="A1050">
            <v>481002</v>
          </cell>
          <cell r="B1050">
            <v>1015</v>
          </cell>
          <cell r="C1050">
            <v>-341</v>
          </cell>
          <cell r="D1050" t="str">
            <v>202</v>
          </cell>
          <cell r="E1050" t="str">
            <v>411</v>
          </cell>
          <cell r="F1050">
            <v>0</v>
          </cell>
          <cell r="G1050">
            <v>2</v>
          </cell>
          <cell r="H1050" t="str">
            <v>2006-02-28</v>
          </cell>
        </row>
        <row r="1051">
          <cell r="A1051">
            <v>481002</v>
          </cell>
          <cell r="B1051">
            <v>1015</v>
          </cell>
          <cell r="C1051">
            <v>-822</v>
          </cell>
          <cell r="D1051" t="str">
            <v>202</v>
          </cell>
          <cell r="E1051" t="str">
            <v>411</v>
          </cell>
          <cell r="F1051">
            <v>0</v>
          </cell>
          <cell r="G1051">
            <v>2</v>
          </cell>
          <cell r="H1051" t="str">
            <v>2006-02-28</v>
          </cell>
        </row>
        <row r="1052">
          <cell r="A1052">
            <v>481005</v>
          </cell>
          <cell r="B1052">
            <v>1015</v>
          </cell>
          <cell r="C1052">
            <v>0</v>
          </cell>
          <cell r="D1052" t="str">
            <v>202</v>
          </cell>
          <cell r="E1052" t="str">
            <v>411</v>
          </cell>
          <cell r="F1052">
            <v>0</v>
          </cell>
          <cell r="G1052">
            <v>2</v>
          </cell>
          <cell r="H1052" t="str">
            <v>2006-02-28</v>
          </cell>
        </row>
        <row r="1053">
          <cell r="A1053">
            <v>481005</v>
          </cell>
          <cell r="B1053">
            <v>1015</v>
          </cell>
          <cell r="C1053">
            <v>91220.11</v>
          </cell>
          <cell r="D1053" t="str">
            <v>202</v>
          </cell>
          <cell r="E1053" t="str">
            <v>411</v>
          </cell>
          <cell r="F1053">
            <v>334996</v>
          </cell>
          <cell r="G1053">
            <v>2</v>
          </cell>
          <cell r="H1053" t="str">
            <v>2006-02-28</v>
          </cell>
        </row>
        <row r="1054">
          <cell r="A1054">
            <v>481005</v>
          </cell>
          <cell r="B1054">
            <v>1015</v>
          </cell>
          <cell r="C1054">
            <v>-110452.92</v>
          </cell>
          <cell r="D1054" t="str">
            <v>202</v>
          </cell>
          <cell r="E1054" t="str">
            <v>411</v>
          </cell>
          <cell r="F1054">
            <v>-384608</v>
          </cell>
          <cell r="G1054">
            <v>2</v>
          </cell>
          <cell r="H1054" t="str">
            <v>2006-02-28</v>
          </cell>
        </row>
        <row r="1055">
          <cell r="A1055">
            <v>481005</v>
          </cell>
          <cell r="B1055">
            <v>1015</v>
          </cell>
          <cell r="C1055">
            <v>-83.85</v>
          </cell>
          <cell r="D1055" t="str">
            <v>202</v>
          </cell>
          <cell r="E1055" t="str">
            <v>411</v>
          </cell>
          <cell r="F1055">
            <v>-108.14</v>
          </cell>
          <cell r="G1055">
            <v>2</v>
          </cell>
          <cell r="H1055" t="str">
            <v>2006-02-28</v>
          </cell>
        </row>
        <row r="1056">
          <cell r="A1056">
            <v>481005</v>
          </cell>
          <cell r="B1056">
            <v>1015</v>
          </cell>
          <cell r="C1056">
            <v>-851.61</v>
          </cell>
          <cell r="D1056" t="str">
            <v>202</v>
          </cell>
          <cell r="E1056" t="str">
            <v>411</v>
          </cell>
          <cell r="F1056">
            <v>-1521.96</v>
          </cell>
          <cell r="G1056">
            <v>2</v>
          </cell>
          <cell r="H1056" t="str">
            <v>2006-02-28</v>
          </cell>
        </row>
        <row r="1057">
          <cell r="A1057">
            <v>481005</v>
          </cell>
          <cell r="B1057">
            <v>1015</v>
          </cell>
          <cell r="C1057">
            <v>-7185.45</v>
          </cell>
          <cell r="D1057" t="str">
            <v>202</v>
          </cell>
          <cell r="E1057" t="str">
            <v>411</v>
          </cell>
          <cell r="F1057">
            <v>-39227.360000000001</v>
          </cell>
          <cell r="G1057">
            <v>2</v>
          </cell>
          <cell r="H1057" t="str">
            <v>2006-02-28</v>
          </cell>
        </row>
        <row r="1058">
          <cell r="A1058">
            <v>481005</v>
          </cell>
          <cell r="B1058">
            <v>1015</v>
          </cell>
          <cell r="C1058">
            <v>-285.45</v>
          </cell>
          <cell r="D1058" t="str">
            <v>202</v>
          </cell>
          <cell r="E1058" t="str">
            <v>411</v>
          </cell>
          <cell r="F1058">
            <v>-1459.09</v>
          </cell>
          <cell r="G1058">
            <v>2</v>
          </cell>
          <cell r="H1058" t="str">
            <v>2006-02-28</v>
          </cell>
        </row>
        <row r="1059">
          <cell r="A1059">
            <v>481005</v>
          </cell>
          <cell r="B1059">
            <v>1015</v>
          </cell>
          <cell r="C1059">
            <v>-1219.22</v>
          </cell>
          <cell r="D1059" t="str">
            <v>202</v>
          </cell>
          <cell r="E1059" t="str">
            <v>411</v>
          </cell>
          <cell r="F1059">
            <v>-6958.99</v>
          </cell>
          <cell r="G1059">
            <v>2</v>
          </cell>
          <cell r="H1059" t="str">
            <v>2006-02-28</v>
          </cell>
        </row>
        <row r="1060">
          <cell r="A1060">
            <v>481005</v>
          </cell>
          <cell r="B1060">
            <v>1015</v>
          </cell>
          <cell r="C1060">
            <v>-455.23</v>
          </cell>
          <cell r="D1060" t="str">
            <v>202</v>
          </cell>
          <cell r="E1060" t="str">
            <v>411</v>
          </cell>
          <cell r="F1060">
            <v>-1984.01</v>
          </cell>
          <cell r="G1060">
            <v>2</v>
          </cell>
          <cell r="H1060" t="str">
            <v>2006-02-28</v>
          </cell>
        </row>
        <row r="1061">
          <cell r="A1061">
            <v>481005</v>
          </cell>
          <cell r="B1061">
            <v>1015</v>
          </cell>
          <cell r="C1061">
            <v>-279.27</v>
          </cell>
          <cell r="D1061" t="str">
            <v>202</v>
          </cell>
          <cell r="E1061" t="str">
            <v>411</v>
          </cell>
          <cell r="F1061">
            <v>-1415.11</v>
          </cell>
          <cell r="G1061">
            <v>2</v>
          </cell>
          <cell r="H1061" t="str">
            <v>2006-02-28</v>
          </cell>
        </row>
        <row r="1062">
          <cell r="A1062">
            <v>481005</v>
          </cell>
          <cell r="B1062">
            <v>1015</v>
          </cell>
          <cell r="C1062">
            <v>-703.83</v>
          </cell>
          <cell r="D1062" t="str">
            <v>202</v>
          </cell>
          <cell r="E1062" t="str">
            <v>411</v>
          </cell>
          <cell r="F1062">
            <v>-2962.99</v>
          </cell>
          <cell r="G1062">
            <v>2</v>
          </cell>
          <cell r="H1062" t="str">
            <v>2006-02-28</v>
          </cell>
        </row>
        <row r="1063">
          <cell r="A1063">
            <v>481005</v>
          </cell>
          <cell r="B1063">
            <v>1015</v>
          </cell>
          <cell r="C1063">
            <v>-1115.43</v>
          </cell>
          <cell r="D1063" t="str">
            <v>202</v>
          </cell>
          <cell r="E1063" t="str">
            <v>411</v>
          </cell>
          <cell r="F1063">
            <v>-3802.58</v>
          </cell>
          <cell r="G1063">
            <v>2</v>
          </cell>
          <cell r="H1063" t="str">
            <v>2006-02-28</v>
          </cell>
        </row>
        <row r="1064">
          <cell r="A1064">
            <v>481005</v>
          </cell>
          <cell r="B1064">
            <v>1015</v>
          </cell>
          <cell r="C1064">
            <v>-1413.75</v>
          </cell>
          <cell r="D1064" t="str">
            <v>202</v>
          </cell>
          <cell r="E1064" t="str">
            <v>411</v>
          </cell>
          <cell r="F1064">
            <v>-7810.79</v>
          </cell>
          <cell r="G1064">
            <v>2</v>
          </cell>
          <cell r="H1064" t="str">
            <v>2006-02-28</v>
          </cell>
        </row>
        <row r="1065">
          <cell r="A1065">
            <v>481005</v>
          </cell>
          <cell r="B1065">
            <v>1015</v>
          </cell>
          <cell r="C1065">
            <v>-483.83</v>
          </cell>
          <cell r="D1065" t="str">
            <v>202</v>
          </cell>
          <cell r="E1065" t="str">
            <v>411</v>
          </cell>
          <cell r="F1065">
            <v>-2298.63</v>
          </cell>
          <cell r="G1065">
            <v>2</v>
          </cell>
          <cell r="H1065" t="str">
            <v>2006-02-28</v>
          </cell>
        </row>
        <row r="1066">
          <cell r="A1066">
            <v>481002</v>
          </cell>
          <cell r="B1066">
            <v>1015</v>
          </cell>
          <cell r="C1066">
            <v>0</v>
          </cell>
          <cell r="D1066" t="str">
            <v>202</v>
          </cell>
          <cell r="E1066" t="str">
            <v>414</v>
          </cell>
          <cell r="F1066">
            <v>0</v>
          </cell>
          <cell r="G1066">
            <v>2</v>
          </cell>
          <cell r="H1066" t="str">
            <v>2006-02-28</v>
          </cell>
        </row>
        <row r="1067">
          <cell r="A1067">
            <v>481002</v>
          </cell>
          <cell r="B1067">
            <v>1015</v>
          </cell>
          <cell r="C1067">
            <v>-18014.57</v>
          </cell>
          <cell r="D1067" t="str">
            <v>202</v>
          </cell>
          <cell r="E1067" t="str">
            <v>414</v>
          </cell>
          <cell r="F1067">
            <v>-21624</v>
          </cell>
          <cell r="G1067">
            <v>2</v>
          </cell>
          <cell r="H1067" t="str">
            <v>2006-02-28</v>
          </cell>
        </row>
        <row r="1068">
          <cell r="A1068">
            <v>481002</v>
          </cell>
          <cell r="B1068">
            <v>1015</v>
          </cell>
          <cell r="C1068">
            <v>25615.18</v>
          </cell>
          <cell r="D1068" t="str">
            <v>202</v>
          </cell>
          <cell r="E1068" t="str">
            <v>414</v>
          </cell>
          <cell r="F1068">
            <v>30431</v>
          </cell>
          <cell r="G1068">
            <v>2</v>
          </cell>
          <cell r="H1068" t="str">
            <v>2006-02-28</v>
          </cell>
        </row>
        <row r="1069">
          <cell r="A1069">
            <v>481002</v>
          </cell>
          <cell r="B1069">
            <v>1015</v>
          </cell>
          <cell r="C1069">
            <v>-3408.55</v>
          </cell>
          <cell r="D1069" t="str">
            <v>202</v>
          </cell>
          <cell r="E1069" t="str">
            <v>414</v>
          </cell>
          <cell r="F1069">
            <v>-6493</v>
          </cell>
          <cell r="G1069">
            <v>2</v>
          </cell>
          <cell r="H1069" t="str">
            <v>2006-02-28</v>
          </cell>
        </row>
        <row r="1070">
          <cell r="A1070">
            <v>481002</v>
          </cell>
          <cell r="B1070">
            <v>1015</v>
          </cell>
          <cell r="C1070">
            <v>-7490.68</v>
          </cell>
          <cell r="D1070" t="str">
            <v>202</v>
          </cell>
          <cell r="E1070" t="str">
            <v>414</v>
          </cell>
          <cell r="F1070">
            <v>-8046.9</v>
          </cell>
          <cell r="G1070">
            <v>2</v>
          </cell>
          <cell r="H1070" t="str">
            <v>2006-02-28</v>
          </cell>
        </row>
        <row r="1071">
          <cell r="A1071">
            <v>481005</v>
          </cell>
          <cell r="B1071">
            <v>1015</v>
          </cell>
          <cell r="C1071">
            <v>0</v>
          </cell>
          <cell r="D1071" t="str">
            <v>202</v>
          </cell>
          <cell r="E1071" t="str">
            <v>414</v>
          </cell>
          <cell r="F1071">
            <v>0</v>
          </cell>
          <cell r="G1071">
            <v>2</v>
          </cell>
          <cell r="H1071" t="str">
            <v>2006-02-28</v>
          </cell>
        </row>
        <row r="1072">
          <cell r="A1072">
            <v>481005</v>
          </cell>
          <cell r="B1072">
            <v>1015</v>
          </cell>
          <cell r="C1072">
            <v>29817.97</v>
          </cell>
          <cell r="D1072" t="str">
            <v>202</v>
          </cell>
          <cell r="E1072" t="str">
            <v>414</v>
          </cell>
          <cell r="F1072">
            <v>35856</v>
          </cell>
          <cell r="G1072">
            <v>2</v>
          </cell>
          <cell r="H1072" t="str">
            <v>2006-02-28</v>
          </cell>
        </row>
        <row r="1073">
          <cell r="A1073">
            <v>481005</v>
          </cell>
          <cell r="B1073">
            <v>1015</v>
          </cell>
          <cell r="C1073">
            <v>-36624.449999999997</v>
          </cell>
          <cell r="D1073" t="str">
            <v>202</v>
          </cell>
          <cell r="E1073" t="str">
            <v>414</v>
          </cell>
          <cell r="F1073">
            <v>-40335</v>
          </cell>
          <cell r="G1073">
            <v>2</v>
          </cell>
          <cell r="H1073" t="str">
            <v>2006-02-28</v>
          </cell>
        </row>
        <row r="1074">
          <cell r="A1074">
            <v>481005</v>
          </cell>
          <cell r="B1074">
            <v>1015</v>
          </cell>
          <cell r="C1074">
            <v>-3162.51</v>
          </cell>
          <cell r="D1074" t="str">
            <v>202</v>
          </cell>
          <cell r="E1074" t="str">
            <v>414</v>
          </cell>
          <cell r="F1074">
            <v>-4792</v>
          </cell>
          <cell r="G1074">
            <v>2</v>
          </cell>
          <cell r="H1074" t="str">
            <v>2006-02-28</v>
          </cell>
        </row>
        <row r="1075">
          <cell r="A1075">
            <v>481005</v>
          </cell>
          <cell r="B1075">
            <v>1015</v>
          </cell>
          <cell r="C1075">
            <v>-2598.6999999999998</v>
          </cell>
          <cell r="D1075" t="str">
            <v>202</v>
          </cell>
          <cell r="E1075" t="str">
            <v>414</v>
          </cell>
          <cell r="F1075">
            <v>-893.91</v>
          </cell>
          <cell r="G1075">
            <v>2</v>
          </cell>
          <cell r="H1075" t="str">
            <v>2006-02-28</v>
          </cell>
        </row>
        <row r="1076">
          <cell r="A1076">
            <v>481000</v>
          </cell>
          <cell r="B1076">
            <v>1015</v>
          </cell>
          <cell r="C1076">
            <v>0</v>
          </cell>
          <cell r="D1076" t="str">
            <v>202</v>
          </cell>
          <cell r="E1076" t="str">
            <v>451</v>
          </cell>
          <cell r="F1076">
            <v>0</v>
          </cell>
          <cell r="G1076">
            <v>2</v>
          </cell>
          <cell r="H1076" t="str">
            <v>2006-02-28</v>
          </cell>
        </row>
        <row r="1077">
          <cell r="A1077">
            <v>481000</v>
          </cell>
          <cell r="B1077">
            <v>1015</v>
          </cell>
          <cell r="C1077">
            <v>355.67</v>
          </cell>
          <cell r="D1077" t="str">
            <v>202</v>
          </cell>
          <cell r="E1077" t="str">
            <v>451</v>
          </cell>
          <cell r="F1077">
            <v>726</v>
          </cell>
          <cell r="G1077">
            <v>2</v>
          </cell>
          <cell r="H1077" t="str">
            <v>2006-02-28</v>
          </cell>
        </row>
        <row r="1078">
          <cell r="A1078">
            <v>481000</v>
          </cell>
          <cell r="B1078">
            <v>1015</v>
          </cell>
          <cell r="C1078">
            <v>135.54</v>
          </cell>
          <cell r="D1078" t="str">
            <v>202</v>
          </cell>
          <cell r="E1078" t="str">
            <v>451</v>
          </cell>
          <cell r="F1078">
            <v>-486</v>
          </cell>
          <cell r="G1078">
            <v>2</v>
          </cell>
          <cell r="H1078" t="str">
            <v>2006-02-28</v>
          </cell>
        </row>
        <row r="1079">
          <cell r="A1079">
            <v>481000</v>
          </cell>
          <cell r="B1079">
            <v>1015</v>
          </cell>
          <cell r="C1079">
            <v>-266.20999999999998</v>
          </cell>
          <cell r="D1079" t="str">
            <v>202</v>
          </cell>
          <cell r="E1079" t="str">
            <v>451</v>
          </cell>
          <cell r="F1079">
            <v>-223.16</v>
          </cell>
          <cell r="G1079">
            <v>2</v>
          </cell>
          <cell r="H1079" t="str">
            <v>2006-02-28</v>
          </cell>
        </row>
        <row r="1080">
          <cell r="A1080">
            <v>481000</v>
          </cell>
          <cell r="B1080">
            <v>1015</v>
          </cell>
          <cell r="C1080">
            <v>-225</v>
          </cell>
          <cell r="D1080" t="str">
            <v>202</v>
          </cell>
          <cell r="E1080" t="str">
            <v>451</v>
          </cell>
          <cell r="F1080">
            <v>-16.600000000000001</v>
          </cell>
          <cell r="G1080">
            <v>2</v>
          </cell>
          <cell r="H1080" t="str">
            <v>2006-02-28</v>
          </cell>
        </row>
        <row r="1081">
          <cell r="A1081">
            <v>481004</v>
          </cell>
          <cell r="B1081">
            <v>1015</v>
          </cell>
          <cell r="C1081">
            <v>0</v>
          </cell>
          <cell r="D1081" t="str">
            <v>202</v>
          </cell>
          <cell r="E1081" t="str">
            <v>451</v>
          </cell>
          <cell r="F1081">
            <v>0</v>
          </cell>
          <cell r="G1081">
            <v>2</v>
          </cell>
          <cell r="H1081" t="str">
            <v>2006-02-28</v>
          </cell>
        </row>
        <row r="1082">
          <cell r="A1082">
            <v>481004</v>
          </cell>
          <cell r="B1082">
            <v>1015</v>
          </cell>
          <cell r="C1082">
            <v>-20280.46</v>
          </cell>
          <cell r="D1082" t="str">
            <v>202</v>
          </cell>
          <cell r="E1082" t="str">
            <v>451</v>
          </cell>
          <cell r="F1082">
            <v>1387.34</v>
          </cell>
          <cell r="G1082">
            <v>2</v>
          </cell>
          <cell r="H1082" t="str">
            <v>2006-02-28</v>
          </cell>
        </row>
        <row r="1083">
          <cell r="A1083">
            <v>481004</v>
          </cell>
          <cell r="B1083">
            <v>1015</v>
          </cell>
          <cell r="C1083">
            <v>20644.38</v>
          </cell>
          <cell r="D1083" t="str">
            <v>202</v>
          </cell>
          <cell r="E1083" t="str">
            <v>451</v>
          </cell>
          <cell r="F1083">
            <v>-2214.34</v>
          </cell>
          <cell r="G1083">
            <v>2</v>
          </cell>
          <cell r="H1083" t="str">
            <v>2006-02-28</v>
          </cell>
        </row>
        <row r="1084">
          <cell r="A1084">
            <v>481004</v>
          </cell>
          <cell r="B1084">
            <v>1015</v>
          </cell>
          <cell r="C1084">
            <v>-4441.4799999999996</v>
          </cell>
          <cell r="D1084" t="str">
            <v>202</v>
          </cell>
          <cell r="E1084" t="str">
            <v>451</v>
          </cell>
          <cell r="F1084">
            <v>-5240.3900000000003</v>
          </cell>
          <cell r="G1084">
            <v>2</v>
          </cell>
          <cell r="H1084" t="str">
            <v>2006-02-28</v>
          </cell>
        </row>
        <row r="1085">
          <cell r="A1085">
            <v>481004</v>
          </cell>
          <cell r="B1085">
            <v>1015</v>
          </cell>
          <cell r="C1085">
            <v>-907.9</v>
          </cell>
          <cell r="D1085" t="str">
            <v>202</v>
          </cell>
          <cell r="E1085" t="str">
            <v>451</v>
          </cell>
          <cell r="F1085">
            <v>-1109.49</v>
          </cell>
          <cell r="G1085">
            <v>2</v>
          </cell>
          <cell r="H1085" t="str">
            <v>2006-02-28</v>
          </cell>
        </row>
        <row r="1086">
          <cell r="A1086">
            <v>481004</v>
          </cell>
          <cell r="B1086">
            <v>1015</v>
          </cell>
          <cell r="C1086">
            <v>-7939.17</v>
          </cell>
          <cell r="D1086" t="str">
            <v>202</v>
          </cell>
          <cell r="E1086" t="str">
            <v>451</v>
          </cell>
          <cell r="F1086">
            <v>-7840.74</v>
          </cell>
          <cell r="G1086">
            <v>2</v>
          </cell>
          <cell r="H1086" t="str">
            <v>2006-02-28</v>
          </cell>
        </row>
        <row r="1087">
          <cell r="A1087">
            <v>481004</v>
          </cell>
          <cell r="B1087">
            <v>1015</v>
          </cell>
          <cell r="C1087">
            <v>-1189.6400000000001</v>
          </cell>
          <cell r="D1087" t="str">
            <v>202</v>
          </cell>
          <cell r="E1087" t="str">
            <v>451</v>
          </cell>
          <cell r="F1087">
            <v>-1204.8399999999999</v>
          </cell>
          <cell r="G1087">
            <v>2</v>
          </cell>
          <cell r="H1087" t="str">
            <v>2006-02-28</v>
          </cell>
        </row>
        <row r="1088">
          <cell r="A1088">
            <v>481004</v>
          </cell>
          <cell r="B1088">
            <v>1015</v>
          </cell>
          <cell r="C1088">
            <v>-742.88</v>
          </cell>
          <cell r="D1088" t="str">
            <v>202</v>
          </cell>
          <cell r="E1088" t="str">
            <v>451</v>
          </cell>
          <cell r="F1088">
            <v>-887.76</v>
          </cell>
          <cell r="G1088">
            <v>2</v>
          </cell>
          <cell r="H1088" t="str">
            <v>2006-02-28</v>
          </cell>
        </row>
        <row r="1089">
          <cell r="A1089">
            <v>481004</v>
          </cell>
          <cell r="B1089">
            <v>1015</v>
          </cell>
          <cell r="C1089">
            <v>-7883.55</v>
          </cell>
          <cell r="D1089" t="str">
            <v>202</v>
          </cell>
          <cell r="E1089" t="str">
            <v>451</v>
          </cell>
          <cell r="F1089">
            <v>-8690.02</v>
          </cell>
          <cell r="G1089">
            <v>2</v>
          </cell>
          <cell r="H1089" t="str">
            <v>2006-02-28</v>
          </cell>
        </row>
        <row r="1090">
          <cell r="A1090">
            <v>481004</v>
          </cell>
          <cell r="B1090">
            <v>1015</v>
          </cell>
          <cell r="C1090">
            <v>-282.92</v>
          </cell>
          <cell r="D1090" t="str">
            <v>202</v>
          </cell>
          <cell r="E1090" t="str">
            <v>451</v>
          </cell>
          <cell r="F1090">
            <v>-281.38</v>
          </cell>
          <cell r="G1090">
            <v>2</v>
          </cell>
          <cell r="H1090" t="str">
            <v>2006-02-28</v>
          </cell>
        </row>
        <row r="1091">
          <cell r="A1091">
            <v>481004</v>
          </cell>
          <cell r="B1091">
            <v>1015</v>
          </cell>
          <cell r="C1091">
            <v>-2344.0700000000002</v>
          </cell>
          <cell r="D1091" t="str">
            <v>202</v>
          </cell>
          <cell r="E1091" t="str">
            <v>451</v>
          </cell>
          <cell r="F1091">
            <v>-2373.5</v>
          </cell>
          <cell r="G1091">
            <v>2</v>
          </cell>
          <cell r="H1091" t="str">
            <v>2006-02-28</v>
          </cell>
        </row>
        <row r="1092">
          <cell r="A1092">
            <v>481004</v>
          </cell>
          <cell r="B1092">
            <v>1015</v>
          </cell>
          <cell r="C1092">
            <v>-4830.74</v>
          </cell>
          <cell r="D1092" t="str">
            <v>202</v>
          </cell>
          <cell r="E1092" t="str">
            <v>451</v>
          </cell>
          <cell r="F1092">
            <v>-5567.91</v>
          </cell>
          <cell r="G1092">
            <v>2</v>
          </cell>
          <cell r="H1092" t="str">
            <v>2006-02-28</v>
          </cell>
        </row>
        <row r="1093">
          <cell r="A1093">
            <v>481004</v>
          </cell>
          <cell r="B1093">
            <v>1015</v>
          </cell>
          <cell r="C1093">
            <v>-99.57</v>
          </cell>
          <cell r="D1093" t="str">
            <v>202</v>
          </cell>
          <cell r="E1093" t="str">
            <v>451</v>
          </cell>
          <cell r="F1093">
            <v>-133.78</v>
          </cell>
          <cell r="G1093">
            <v>2</v>
          </cell>
          <cell r="H1093" t="str">
            <v>2006-02-28</v>
          </cell>
        </row>
        <row r="1094">
          <cell r="A1094">
            <v>480000</v>
          </cell>
          <cell r="B1094">
            <v>1015</v>
          </cell>
          <cell r="C1094">
            <v>0.28999999999999998</v>
          </cell>
          <cell r="D1094" t="str">
            <v>202</v>
          </cell>
          <cell r="E1094" t="str">
            <v>453</v>
          </cell>
          <cell r="F1094">
            <v>0</v>
          </cell>
          <cell r="G1094">
            <v>2</v>
          </cell>
          <cell r="H1094" t="str">
            <v>2006-02-28</v>
          </cell>
        </row>
        <row r="1095">
          <cell r="A1095">
            <v>480000</v>
          </cell>
          <cell r="B1095">
            <v>1015</v>
          </cell>
          <cell r="C1095">
            <v>-63132.94</v>
          </cell>
          <cell r="D1095" t="str">
            <v>202</v>
          </cell>
          <cell r="E1095" t="str">
            <v>453</v>
          </cell>
          <cell r="F1095">
            <v>-23134.26</v>
          </cell>
          <cell r="G1095">
            <v>2</v>
          </cell>
          <cell r="H1095" t="str">
            <v>2006-02-28</v>
          </cell>
        </row>
        <row r="1096">
          <cell r="A1096">
            <v>480000</v>
          </cell>
          <cell r="B1096">
            <v>1015</v>
          </cell>
          <cell r="C1096">
            <v>-1629.04</v>
          </cell>
          <cell r="D1096" t="str">
            <v>202</v>
          </cell>
          <cell r="E1096" t="str">
            <v>453</v>
          </cell>
          <cell r="F1096">
            <v>-600.82000000000005</v>
          </cell>
          <cell r="G1096">
            <v>2</v>
          </cell>
          <cell r="H1096" t="str">
            <v>2006-02-28</v>
          </cell>
        </row>
        <row r="1097">
          <cell r="A1097">
            <v>480000</v>
          </cell>
          <cell r="B1097">
            <v>1015</v>
          </cell>
          <cell r="C1097">
            <v>-91407.37</v>
          </cell>
          <cell r="D1097" t="str">
            <v>202</v>
          </cell>
          <cell r="E1097" t="str">
            <v>453</v>
          </cell>
          <cell r="F1097">
            <v>-34351.9</v>
          </cell>
          <cell r="G1097">
            <v>2</v>
          </cell>
          <cell r="H1097" t="str">
            <v>2006-02-28</v>
          </cell>
        </row>
        <row r="1098">
          <cell r="A1098">
            <v>480000</v>
          </cell>
          <cell r="B1098">
            <v>1015</v>
          </cell>
          <cell r="C1098">
            <v>-2046.27</v>
          </cell>
          <cell r="D1098" t="str">
            <v>202</v>
          </cell>
          <cell r="E1098" t="str">
            <v>453</v>
          </cell>
          <cell r="F1098">
            <v>-836.49</v>
          </cell>
          <cell r="G1098">
            <v>2</v>
          </cell>
          <cell r="H1098" t="str">
            <v>2006-02-28</v>
          </cell>
        </row>
        <row r="1099">
          <cell r="A1099">
            <v>480000</v>
          </cell>
          <cell r="B1099">
            <v>1015</v>
          </cell>
          <cell r="C1099">
            <v>-152377.34</v>
          </cell>
          <cell r="D1099" t="str">
            <v>202</v>
          </cell>
          <cell r="E1099" t="str">
            <v>453</v>
          </cell>
          <cell r="F1099">
            <v>-57168.13</v>
          </cell>
          <cell r="G1099">
            <v>2</v>
          </cell>
          <cell r="H1099" t="str">
            <v>2006-02-28</v>
          </cell>
        </row>
        <row r="1100">
          <cell r="A1100">
            <v>480000</v>
          </cell>
          <cell r="B1100">
            <v>1015</v>
          </cell>
          <cell r="C1100">
            <v>-57556.89</v>
          </cell>
          <cell r="D1100" t="str">
            <v>202</v>
          </cell>
          <cell r="E1100" t="str">
            <v>453</v>
          </cell>
          <cell r="F1100">
            <v>-21957.72</v>
          </cell>
          <cell r="G1100">
            <v>2</v>
          </cell>
          <cell r="H1100" t="str">
            <v>2006-02-28</v>
          </cell>
        </row>
        <row r="1101">
          <cell r="A1101">
            <v>480000</v>
          </cell>
          <cell r="B1101">
            <v>1015</v>
          </cell>
          <cell r="C1101">
            <v>-2462.7399999999998</v>
          </cell>
          <cell r="D1101" t="str">
            <v>202</v>
          </cell>
          <cell r="E1101" t="str">
            <v>453</v>
          </cell>
          <cell r="F1101">
            <v>-1110.02</v>
          </cell>
          <cell r="G1101">
            <v>2</v>
          </cell>
          <cell r="H1101" t="str">
            <v>2006-02-28</v>
          </cell>
        </row>
        <row r="1102">
          <cell r="A1102">
            <v>480000</v>
          </cell>
          <cell r="B1102">
            <v>1015</v>
          </cell>
          <cell r="C1102">
            <v>-118324.6</v>
          </cell>
          <cell r="D1102" t="str">
            <v>202</v>
          </cell>
          <cell r="E1102" t="str">
            <v>453</v>
          </cell>
          <cell r="F1102">
            <v>-46408.39</v>
          </cell>
          <cell r="G1102">
            <v>2</v>
          </cell>
          <cell r="H1102" t="str">
            <v>2006-02-28</v>
          </cell>
        </row>
        <row r="1103">
          <cell r="A1103">
            <v>480000</v>
          </cell>
          <cell r="B1103">
            <v>1015</v>
          </cell>
          <cell r="C1103">
            <v>-1093.6199999999999</v>
          </cell>
          <cell r="D1103" t="str">
            <v>202</v>
          </cell>
          <cell r="E1103" t="str">
            <v>453</v>
          </cell>
          <cell r="F1103">
            <v>-419.77</v>
          </cell>
          <cell r="G1103">
            <v>2</v>
          </cell>
          <cell r="H1103" t="str">
            <v>2006-02-28</v>
          </cell>
        </row>
        <row r="1104">
          <cell r="A1104">
            <v>480000</v>
          </cell>
          <cell r="B1104">
            <v>1015</v>
          </cell>
          <cell r="C1104">
            <v>-171662.63</v>
          </cell>
          <cell r="D1104" t="str">
            <v>202</v>
          </cell>
          <cell r="E1104" t="str">
            <v>453</v>
          </cell>
          <cell r="F1104">
            <v>-65636.52</v>
          </cell>
          <cell r="G1104">
            <v>2</v>
          </cell>
          <cell r="H1104" t="str">
            <v>2006-02-28</v>
          </cell>
        </row>
        <row r="1105">
          <cell r="A1105">
            <v>480000</v>
          </cell>
          <cell r="B1105">
            <v>1015</v>
          </cell>
          <cell r="C1105">
            <v>-2212.62</v>
          </cell>
          <cell r="D1105" t="str">
            <v>202</v>
          </cell>
          <cell r="E1105" t="str">
            <v>453</v>
          </cell>
          <cell r="F1105">
            <v>-914.53</v>
          </cell>
          <cell r="G1105">
            <v>2</v>
          </cell>
          <cell r="H1105" t="str">
            <v>2006-02-28</v>
          </cell>
        </row>
        <row r="1106">
          <cell r="A1106">
            <v>480000</v>
          </cell>
          <cell r="B1106">
            <v>1015</v>
          </cell>
          <cell r="C1106">
            <v>-95334.399999999994</v>
          </cell>
          <cell r="D1106" t="str">
            <v>202</v>
          </cell>
          <cell r="E1106" t="str">
            <v>453</v>
          </cell>
          <cell r="F1106">
            <v>-36313.03</v>
          </cell>
          <cell r="G1106">
            <v>2</v>
          </cell>
          <cell r="H1106" t="str">
            <v>2006-02-28</v>
          </cell>
        </row>
        <row r="1107">
          <cell r="A1107">
            <v>480000</v>
          </cell>
          <cell r="B1107">
            <v>1015</v>
          </cell>
          <cell r="C1107">
            <v>-496.57</v>
          </cell>
          <cell r="D1107" t="str">
            <v>202</v>
          </cell>
          <cell r="E1107" t="str">
            <v>453</v>
          </cell>
          <cell r="F1107">
            <v>-166.39</v>
          </cell>
          <cell r="G1107">
            <v>2</v>
          </cell>
          <cell r="H1107" t="str">
            <v>2006-02-28</v>
          </cell>
        </row>
        <row r="1108">
          <cell r="A1108">
            <v>480000</v>
          </cell>
          <cell r="B1108">
            <v>1015</v>
          </cell>
          <cell r="C1108">
            <v>-451.59</v>
          </cell>
          <cell r="D1108" t="str">
            <v>202</v>
          </cell>
          <cell r="E1108" t="str">
            <v>453</v>
          </cell>
          <cell r="F1108">
            <v>-150.99</v>
          </cell>
          <cell r="G1108">
            <v>2</v>
          </cell>
          <cell r="H1108" t="str">
            <v>2006-02-28</v>
          </cell>
        </row>
        <row r="1109">
          <cell r="A1109">
            <v>480001</v>
          </cell>
          <cell r="B1109">
            <v>1015</v>
          </cell>
          <cell r="C1109">
            <v>-57118.69</v>
          </cell>
          <cell r="D1109" t="str">
            <v>202</v>
          </cell>
          <cell r="E1109" t="str">
            <v>453</v>
          </cell>
          <cell r="F1109">
            <v>17814</v>
          </cell>
          <cell r="G1109">
            <v>2</v>
          </cell>
          <cell r="H1109" t="str">
            <v>2006-02-28</v>
          </cell>
        </row>
        <row r="1110">
          <cell r="A1110">
            <v>481004</v>
          </cell>
          <cell r="B1110">
            <v>1015</v>
          </cell>
          <cell r="C1110">
            <v>-10368.91</v>
          </cell>
          <cell r="D1110" t="str">
            <v>202</v>
          </cell>
          <cell r="E1110" t="str">
            <v>453</v>
          </cell>
          <cell r="F1110">
            <v>-6709.85</v>
          </cell>
          <cell r="G1110">
            <v>2</v>
          </cell>
          <cell r="H1110" t="str">
            <v>2006-02-28</v>
          </cell>
        </row>
        <row r="1111">
          <cell r="A1111">
            <v>481004</v>
          </cell>
          <cell r="B1111">
            <v>1015</v>
          </cell>
          <cell r="C1111">
            <v>-615.07000000000005</v>
          </cell>
          <cell r="D1111" t="str">
            <v>202</v>
          </cell>
          <cell r="E1111" t="str">
            <v>453</v>
          </cell>
          <cell r="F1111">
            <v>-360.22</v>
          </cell>
          <cell r="G1111">
            <v>2</v>
          </cell>
          <cell r="H1111" t="str">
            <v>2006-02-28</v>
          </cell>
        </row>
        <row r="1112">
          <cell r="A1112">
            <v>481004</v>
          </cell>
          <cell r="B1112">
            <v>1015</v>
          </cell>
          <cell r="C1112">
            <v>-33856.339999999997</v>
          </cell>
          <cell r="D1112" t="str">
            <v>202</v>
          </cell>
          <cell r="E1112" t="str">
            <v>453</v>
          </cell>
          <cell r="F1112">
            <v>-19747.87</v>
          </cell>
          <cell r="G1112">
            <v>2</v>
          </cell>
          <cell r="H1112" t="str">
            <v>2006-02-28</v>
          </cell>
        </row>
        <row r="1113">
          <cell r="A1113">
            <v>481004</v>
          </cell>
          <cell r="B1113">
            <v>1015</v>
          </cell>
          <cell r="C1113">
            <v>-11497.83</v>
          </cell>
          <cell r="D1113" t="str">
            <v>202</v>
          </cell>
          <cell r="E1113" t="str">
            <v>453</v>
          </cell>
          <cell r="F1113">
            <v>-8573.7800000000007</v>
          </cell>
          <cell r="G1113">
            <v>2</v>
          </cell>
          <cell r="H1113" t="str">
            <v>2006-02-28</v>
          </cell>
        </row>
        <row r="1114">
          <cell r="A1114">
            <v>481004</v>
          </cell>
          <cell r="B1114">
            <v>1015</v>
          </cell>
          <cell r="C1114">
            <v>-63559.199999999997</v>
          </cell>
          <cell r="D1114" t="str">
            <v>202</v>
          </cell>
          <cell r="E1114" t="str">
            <v>453</v>
          </cell>
          <cell r="F1114">
            <v>-36636.99</v>
          </cell>
          <cell r="G1114">
            <v>2</v>
          </cell>
          <cell r="H1114" t="str">
            <v>2006-02-28</v>
          </cell>
        </row>
        <row r="1115">
          <cell r="A1115">
            <v>481004</v>
          </cell>
          <cell r="B1115">
            <v>1015</v>
          </cell>
          <cell r="C1115">
            <v>-20797.43</v>
          </cell>
          <cell r="D1115" t="str">
            <v>202</v>
          </cell>
          <cell r="E1115" t="str">
            <v>453</v>
          </cell>
          <cell r="F1115">
            <v>-11116.99</v>
          </cell>
          <cell r="G1115">
            <v>2</v>
          </cell>
          <cell r="H1115" t="str">
            <v>2006-02-28</v>
          </cell>
        </row>
        <row r="1116">
          <cell r="A1116">
            <v>481004</v>
          </cell>
          <cell r="B1116">
            <v>1015</v>
          </cell>
          <cell r="C1116">
            <v>-1645.8</v>
          </cell>
          <cell r="D1116" t="str">
            <v>202</v>
          </cell>
          <cell r="E1116" t="str">
            <v>453</v>
          </cell>
          <cell r="F1116">
            <v>-818.52</v>
          </cell>
          <cell r="G1116">
            <v>2</v>
          </cell>
          <cell r="H1116" t="str">
            <v>2006-02-28</v>
          </cell>
        </row>
        <row r="1117">
          <cell r="A1117">
            <v>481004</v>
          </cell>
          <cell r="B1117">
            <v>1015</v>
          </cell>
          <cell r="C1117">
            <v>-82462.820000000007</v>
          </cell>
          <cell r="D1117" t="str">
            <v>202</v>
          </cell>
          <cell r="E1117" t="str">
            <v>453</v>
          </cell>
          <cell r="F1117">
            <v>-49975.42</v>
          </cell>
          <cell r="G1117">
            <v>2</v>
          </cell>
          <cell r="H1117" t="str">
            <v>2006-02-28</v>
          </cell>
        </row>
        <row r="1118">
          <cell r="A1118">
            <v>481004</v>
          </cell>
          <cell r="B1118">
            <v>1015</v>
          </cell>
          <cell r="C1118">
            <v>-1867.61</v>
          </cell>
          <cell r="D1118" t="str">
            <v>202</v>
          </cell>
          <cell r="E1118" t="str">
            <v>453</v>
          </cell>
          <cell r="F1118">
            <v>-1123.1300000000001</v>
          </cell>
          <cell r="G1118">
            <v>2</v>
          </cell>
          <cell r="H1118" t="str">
            <v>2006-02-28</v>
          </cell>
        </row>
        <row r="1119">
          <cell r="A1119">
            <v>481004</v>
          </cell>
          <cell r="B1119">
            <v>1015</v>
          </cell>
          <cell r="C1119">
            <v>-38937.089999999997</v>
          </cell>
          <cell r="D1119" t="str">
            <v>202</v>
          </cell>
          <cell r="E1119" t="str">
            <v>453</v>
          </cell>
          <cell r="F1119">
            <v>-23801.9</v>
          </cell>
          <cell r="G1119">
            <v>2</v>
          </cell>
          <cell r="H1119" t="str">
            <v>2006-02-28</v>
          </cell>
        </row>
        <row r="1120">
          <cell r="A1120">
            <v>481004</v>
          </cell>
          <cell r="B1120">
            <v>1015</v>
          </cell>
          <cell r="C1120">
            <v>-3863.38</v>
          </cell>
          <cell r="D1120" t="str">
            <v>202</v>
          </cell>
          <cell r="E1120" t="str">
            <v>453</v>
          </cell>
          <cell r="F1120">
            <v>-2227.9499999999998</v>
          </cell>
          <cell r="G1120">
            <v>2</v>
          </cell>
          <cell r="H1120" t="str">
            <v>2006-02-28</v>
          </cell>
        </row>
        <row r="1121">
          <cell r="A1121">
            <v>481004</v>
          </cell>
          <cell r="B1121">
            <v>1015</v>
          </cell>
          <cell r="C1121">
            <v>-46879.26</v>
          </cell>
          <cell r="D1121" t="str">
            <v>202</v>
          </cell>
          <cell r="E1121" t="str">
            <v>453</v>
          </cell>
          <cell r="F1121">
            <v>-25836.57</v>
          </cell>
          <cell r="G1121">
            <v>2</v>
          </cell>
          <cell r="H1121" t="str">
            <v>2006-02-28</v>
          </cell>
        </row>
        <row r="1122">
          <cell r="A1122">
            <v>481004</v>
          </cell>
          <cell r="B1122">
            <v>1015</v>
          </cell>
          <cell r="C1122">
            <v>-2205.83</v>
          </cell>
          <cell r="D1122" t="str">
            <v>202</v>
          </cell>
          <cell r="E1122" t="str">
            <v>453</v>
          </cell>
          <cell r="F1122">
            <v>-1243.06</v>
          </cell>
          <cell r="G1122">
            <v>2</v>
          </cell>
          <cell r="H1122" t="str">
            <v>2006-02-28</v>
          </cell>
        </row>
        <row r="1123">
          <cell r="A1123">
            <v>481004</v>
          </cell>
          <cell r="B1123">
            <v>1015</v>
          </cell>
          <cell r="C1123">
            <v>-249.41</v>
          </cell>
          <cell r="D1123" t="str">
            <v>202</v>
          </cell>
          <cell r="E1123" t="str">
            <v>453</v>
          </cell>
          <cell r="F1123">
            <v>-130.74</v>
          </cell>
          <cell r="G1123">
            <v>2</v>
          </cell>
          <cell r="H1123" t="str">
            <v>2006-02-28</v>
          </cell>
        </row>
        <row r="1124">
          <cell r="A1124">
            <v>480000</v>
          </cell>
          <cell r="B1124">
            <v>1015</v>
          </cell>
          <cell r="C1124">
            <v>-125.65</v>
          </cell>
          <cell r="D1124" t="str">
            <v>202</v>
          </cell>
          <cell r="E1124" t="str">
            <v>455</v>
          </cell>
          <cell r="F1124">
            <v>-44.47</v>
          </cell>
          <cell r="G1124">
            <v>2</v>
          </cell>
          <cell r="H1124" t="str">
            <v>2006-02-28</v>
          </cell>
        </row>
        <row r="1125">
          <cell r="A1125">
            <v>480000</v>
          </cell>
          <cell r="B1125">
            <v>1015</v>
          </cell>
          <cell r="C1125">
            <v>-8.69</v>
          </cell>
          <cell r="D1125" t="str">
            <v>202</v>
          </cell>
          <cell r="E1125" t="str">
            <v>455</v>
          </cell>
          <cell r="F1125">
            <v>-2.99</v>
          </cell>
          <cell r="G1125">
            <v>2</v>
          </cell>
          <cell r="H1125" t="str">
            <v>2006-02-28</v>
          </cell>
        </row>
        <row r="1126">
          <cell r="A1126">
            <v>480000</v>
          </cell>
          <cell r="B1126">
            <v>1015</v>
          </cell>
          <cell r="C1126">
            <v>-33528.949999999997</v>
          </cell>
          <cell r="D1126" t="str">
            <v>202</v>
          </cell>
          <cell r="E1126" t="str">
            <v>455</v>
          </cell>
          <cell r="F1126">
            <v>-11709.36</v>
          </cell>
          <cell r="G1126">
            <v>2</v>
          </cell>
          <cell r="H1126" t="str">
            <v>2006-02-28</v>
          </cell>
        </row>
        <row r="1127">
          <cell r="A1127">
            <v>480000</v>
          </cell>
          <cell r="B1127">
            <v>1015</v>
          </cell>
          <cell r="C1127">
            <v>-457.02</v>
          </cell>
          <cell r="D1127" t="str">
            <v>202</v>
          </cell>
          <cell r="E1127" t="str">
            <v>455</v>
          </cell>
          <cell r="F1127">
            <v>-172.22</v>
          </cell>
          <cell r="G1127">
            <v>2</v>
          </cell>
          <cell r="H1127" t="str">
            <v>2006-02-28</v>
          </cell>
        </row>
        <row r="1128">
          <cell r="A1128">
            <v>480000</v>
          </cell>
          <cell r="B1128">
            <v>1015</v>
          </cell>
          <cell r="C1128">
            <v>-18.739999999999998</v>
          </cell>
          <cell r="D1128" t="str">
            <v>202</v>
          </cell>
          <cell r="E1128" t="str">
            <v>455</v>
          </cell>
          <cell r="F1128">
            <v>-3.19</v>
          </cell>
          <cell r="G1128">
            <v>2</v>
          </cell>
          <cell r="H1128" t="str">
            <v>2006-02-28</v>
          </cell>
        </row>
        <row r="1129">
          <cell r="A1129">
            <v>480000</v>
          </cell>
          <cell r="B1129">
            <v>1015</v>
          </cell>
          <cell r="C1129">
            <v>-219.46</v>
          </cell>
          <cell r="D1129" t="str">
            <v>202</v>
          </cell>
          <cell r="E1129" t="str">
            <v>455</v>
          </cell>
          <cell r="F1129">
            <v>-73.53</v>
          </cell>
          <cell r="G1129">
            <v>2</v>
          </cell>
          <cell r="H1129" t="str">
            <v>2006-02-28</v>
          </cell>
        </row>
        <row r="1130">
          <cell r="A1130">
            <v>480000</v>
          </cell>
          <cell r="B1130">
            <v>1015</v>
          </cell>
          <cell r="C1130">
            <v>-51.86</v>
          </cell>
          <cell r="D1130" t="str">
            <v>202</v>
          </cell>
          <cell r="E1130" t="str">
            <v>455</v>
          </cell>
          <cell r="F1130">
            <v>-18.940000000000001</v>
          </cell>
          <cell r="G1130">
            <v>2</v>
          </cell>
          <cell r="H1130" t="str">
            <v>2006-02-28</v>
          </cell>
        </row>
        <row r="1131">
          <cell r="A1131">
            <v>480000</v>
          </cell>
          <cell r="B1131">
            <v>1015</v>
          </cell>
          <cell r="C1131">
            <v>-115.54</v>
          </cell>
          <cell r="D1131" t="str">
            <v>202</v>
          </cell>
          <cell r="E1131" t="str">
            <v>455</v>
          </cell>
          <cell r="F1131">
            <v>-34.96</v>
          </cell>
          <cell r="G1131">
            <v>2</v>
          </cell>
          <cell r="H1131" t="str">
            <v>2006-02-28</v>
          </cell>
        </row>
        <row r="1132">
          <cell r="A1132">
            <v>480000</v>
          </cell>
          <cell r="B1132">
            <v>1015</v>
          </cell>
          <cell r="C1132">
            <v>-33.520000000000003</v>
          </cell>
          <cell r="D1132" t="str">
            <v>202</v>
          </cell>
          <cell r="E1132" t="str">
            <v>455</v>
          </cell>
          <cell r="F1132">
            <v>-11.42</v>
          </cell>
          <cell r="G1132">
            <v>2</v>
          </cell>
          <cell r="H1132" t="str">
            <v>2006-02-28</v>
          </cell>
        </row>
        <row r="1133">
          <cell r="A1133">
            <v>480001</v>
          </cell>
          <cell r="B1133">
            <v>1015</v>
          </cell>
          <cell r="C1133">
            <v>1705.63</v>
          </cell>
          <cell r="D1133" t="str">
            <v>202</v>
          </cell>
          <cell r="E1133" t="str">
            <v>455</v>
          </cell>
          <cell r="F1133">
            <v>1307</v>
          </cell>
          <cell r="G1133">
            <v>2</v>
          </cell>
          <cell r="H1133" t="str">
            <v>2006-02-28</v>
          </cell>
        </row>
        <row r="1134">
          <cell r="A1134">
            <v>481004</v>
          </cell>
          <cell r="B1134">
            <v>1015</v>
          </cell>
          <cell r="C1134">
            <v>-32.1</v>
          </cell>
          <cell r="D1134" t="str">
            <v>202</v>
          </cell>
          <cell r="E1134" t="str">
            <v>455</v>
          </cell>
          <cell r="F1134">
            <v>-11.68</v>
          </cell>
          <cell r="G1134">
            <v>2</v>
          </cell>
          <cell r="H1134" t="str">
            <v>2006-02-28</v>
          </cell>
        </row>
        <row r="1135">
          <cell r="A1135">
            <v>481004</v>
          </cell>
          <cell r="B1135">
            <v>1015</v>
          </cell>
          <cell r="C1135">
            <v>-20750.189999999999</v>
          </cell>
          <cell r="D1135" t="str">
            <v>202</v>
          </cell>
          <cell r="E1135" t="str">
            <v>455</v>
          </cell>
          <cell r="F1135">
            <v>-8468.4699999999993</v>
          </cell>
          <cell r="G1135">
            <v>2</v>
          </cell>
          <cell r="H1135" t="str">
            <v>2006-02-28</v>
          </cell>
        </row>
        <row r="1136">
          <cell r="A1136">
            <v>481004</v>
          </cell>
          <cell r="B1136">
            <v>1015</v>
          </cell>
          <cell r="C1136">
            <v>-1308.57</v>
          </cell>
          <cell r="D1136" t="str">
            <v>202</v>
          </cell>
          <cell r="E1136" t="str">
            <v>455</v>
          </cell>
          <cell r="F1136">
            <v>-509.24</v>
          </cell>
          <cell r="G1136">
            <v>2</v>
          </cell>
          <cell r="H1136" t="str">
            <v>2006-02-28</v>
          </cell>
        </row>
        <row r="1137">
          <cell r="A1137">
            <v>481004</v>
          </cell>
          <cell r="B1137">
            <v>1015</v>
          </cell>
          <cell r="C1137">
            <v>-264.99</v>
          </cell>
          <cell r="D1137" t="str">
            <v>202</v>
          </cell>
          <cell r="E1137" t="str">
            <v>455</v>
          </cell>
          <cell r="F1137">
            <v>-102.24</v>
          </cell>
          <cell r="G1137">
            <v>2</v>
          </cell>
          <cell r="H1137" t="str">
            <v>2006-02-28</v>
          </cell>
        </row>
        <row r="1138">
          <cell r="A1138">
            <v>481004</v>
          </cell>
          <cell r="B1138">
            <v>1015</v>
          </cell>
          <cell r="C1138">
            <v>-1135.3499999999999</v>
          </cell>
          <cell r="D1138" t="str">
            <v>202</v>
          </cell>
          <cell r="E1138" t="str">
            <v>455</v>
          </cell>
          <cell r="F1138">
            <v>-493.18</v>
          </cell>
          <cell r="G1138">
            <v>2</v>
          </cell>
          <cell r="H1138" t="str">
            <v>2006-02-28</v>
          </cell>
        </row>
        <row r="1139">
          <cell r="A1139">
            <v>481002</v>
          </cell>
          <cell r="B1139">
            <v>1015</v>
          </cell>
          <cell r="C1139">
            <v>0</v>
          </cell>
          <cell r="D1139" t="str">
            <v>202</v>
          </cell>
          <cell r="E1139" t="str">
            <v>456</v>
          </cell>
          <cell r="F1139">
            <v>0</v>
          </cell>
          <cell r="G1139">
            <v>2</v>
          </cell>
          <cell r="H1139" t="str">
            <v>2006-02-28</v>
          </cell>
        </row>
        <row r="1140">
          <cell r="A1140">
            <v>481002</v>
          </cell>
          <cell r="B1140">
            <v>1015</v>
          </cell>
          <cell r="C1140">
            <v>0</v>
          </cell>
          <cell r="D1140" t="str">
            <v>202</v>
          </cell>
          <cell r="E1140" t="str">
            <v>456</v>
          </cell>
          <cell r="F1140">
            <v>0</v>
          </cell>
          <cell r="G1140">
            <v>2</v>
          </cell>
          <cell r="H1140" t="str">
            <v>2006-02-28</v>
          </cell>
        </row>
        <row r="1141">
          <cell r="A1141">
            <v>481002</v>
          </cell>
          <cell r="B1141">
            <v>1015</v>
          </cell>
          <cell r="C1141">
            <v>0</v>
          </cell>
          <cell r="D1141" t="str">
            <v>202</v>
          </cell>
          <cell r="E1141" t="str">
            <v>456</v>
          </cell>
          <cell r="F1141">
            <v>0</v>
          </cell>
          <cell r="G1141">
            <v>2</v>
          </cell>
          <cell r="H1141" t="str">
            <v>2006-02-28</v>
          </cell>
        </row>
        <row r="1142">
          <cell r="A1142">
            <v>481002</v>
          </cell>
          <cell r="B1142">
            <v>1015</v>
          </cell>
          <cell r="C1142">
            <v>0</v>
          </cell>
          <cell r="D1142" t="str">
            <v>202</v>
          </cell>
          <cell r="E1142" t="str">
            <v>457</v>
          </cell>
          <cell r="F1142">
            <v>0</v>
          </cell>
          <cell r="G1142">
            <v>2</v>
          </cell>
          <cell r="H1142" t="str">
            <v>2006-02-28</v>
          </cell>
        </row>
        <row r="1143">
          <cell r="A1143">
            <v>481002</v>
          </cell>
          <cell r="B1143">
            <v>1015</v>
          </cell>
          <cell r="C1143">
            <v>-2204.27</v>
          </cell>
          <cell r="D1143" t="str">
            <v>202</v>
          </cell>
          <cell r="E1143" t="str">
            <v>457</v>
          </cell>
          <cell r="F1143">
            <v>-12810</v>
          </cell>
          <cell r="G1143">
            <v>2</v>
          </cell>
          <cell r="H1143" t="str">
            <v>2006-02-28</v>
          </cell>
        </row>
        <row r="1144">
          <cell r="A1144">
            <v>481002</v>
          </cell>
          <cell r="B1144">
            <v>1015</v>
          </cell>
          <cell r="C1144">
            <v>2540.2199999999998</v>
          </cell>
          <cell r="D1144" t="str">
            <v>202</v>
          </cell>
          <cell r="E1144" t="str">
            <v>457</v>
          </cell>
          <cell r="F1144">
            <v>14775</v>
          </cell>
          <cell r="G1144">
            <v>2</v>
          </cell>
          <cell r="H1144" t="str">
            <v>2006-02-28</v>
          </cell>
        </row>
        <row r="1145">
          <cell r="A1145">
            <v>481002</v>
          </cell>
          <cell r="B1145">
            <v>1015</v>
          </cell>
          <cell r="C1145">
            <v>-447.64</v>
          </cell>
          <cell r="D1145" t="str">
            <v>202</v>
          </cell>
          <cell r="E1145" t="str">
            <v>457</v>
          </cell>
          <cell r="F1145">
            <v>-2781</v>
          </cell>
          <cell r="G1145">
            <v>2</v>
          </cell>
          <cell r="H1145" t="str">
            <v>2006-02-28</v>
          </cell>
        </row>
        <row r="1146">
          <cell r="A1146">
            <v>481002</v>
          </cell>
          <cell r="B1146">
            <v>1015</v>
          </cell>
          <cell r="C1146">
            <v>-67</v>
          </cell>
          <cell r="D1146" t="str">
            <v>202</v>
          </cell>
          <cell r="E1146" t="str">
            <v>457</v>
          </cell>
          <cell r="F1146">
            <v>0</v>
          </cell>
          <cell r="G1146">
            <v>2</v>
          </cell>
          <cell r="H1146" t="str">
            <v>2006-02-28</v>
          </cell>
        </row>
        <row r="1147">
          <cell r="A1147">
            <v>481005</v>
          </cell>
          <cell r="B1147">
            <v>1015</v>
          </cell>
          <cell r="C1147">
            <v>0</v>
          </cell>
          <cell r="D1147" t="str">
            <v>202</v>
          </cell>
          <cell r="E1147" t="str">
            <v>457</v>
          </cell>
          <cell r="F1147">
            <v>0</v>
          </cell>
          <cell r="G1147">
            <v>2</v>
          </cell>
          <cell r="H1147" t="str">
            <v>2006-02-28</v>
          </cell>
        </row>
        <row r="1148">
          <cell r="A1148">
            <v>481005</v>
          </cell>
          <cell r="B1148">
            <v>1015</v>
          </cell>
          <cell r="C1148">
            <v>3507.08</v>
          </cell>
          <cell r="D1148" t="str">
            <v>202</v>
          </cell>
          <cell r="E1148" t="str">
            <v>457</v>
          </cell>
          <cell r="F1148">
            <v>15016</v>
          </cell>
          <cell r="G1148">
            <v>2</v>
          </cell>
          <cell r="H1148" t="str">
            <v>2006-02-28</v>
          </cell>
        </row>
        <row r="1149">
          <cell r="A1149">
            <v>481005</v>
          </cell>
          <cell r="B1149">
            <v>1015</v>
          </cell>
          <cell r="C1149">
            <v>-3889.74</v>
          </cell>
          <cell r="D1149" t="str">
            <v>202</v>
          </cell>
          <cell r="E1149" t="str">
            <v>457</v>
          </cell>
          <cell r="F1149">
            <v>-15764</v>
          </cell>
          <cell r="G1149">
            <v>2</v>
          </cell>
          <cell r="H1149" t="str">
            <v>2006-02-28</v>
          </cell>
        </row>
        <row r="1150">
          <cell r="A1150">
            <v>481005</v>
          </cell>
          <cell r="B1150">
            <v>1015</v>
          </cell>
          <cell r="C1150">
            <v>-337.05</v>
          </cell>
          <cell r="D1150" t="str">
            <v>202</v>
          </cell>
          <cell r="E1150" t="str">
            <v>457</v>
          </cell>
          <cell r="F1150">
            <v>-2462.52</v>
          </cell>
          <cell r="G1150">
            <v>2</v>
          </cell>
          <cell r="H1150" t="str">
            <v>2006-02-28</v>
          </cell>
        </row>
        <row r="1151">
          <cell r="A1151">
            <v>481005</v>
          </cell>
          <cell r="B1151">
            <v>1015</v>
          </cell>
          <cell r="C1151">
            <v>-1069.3800000000001</v>
          </cell>
          <cell r="D1151" t="str">
            <v>202</v>
          </cell>
          <cell r="E1151" t="str">
            <v>457</v>
          </cell>
          <cell r="F1151">
            <v>-7323.59</v>
          </cell>
          <cell r="G1151">
            <v>2</v>
          </cell>
          <cell r="H1151" t="str">
            <v>2006-02-28</v>
          </cell>
        </row>
        <row r="1152">
          <cell r="A1152">
            <v>481005</v>
          </cell>
          <cell r="B1152">
            <v>1015</v>
          </cell>
          <cell r="C1152">
            <v>-978.91</v>
          </cell>
          <cell r="D1152" t="str">
            <v>202</v>
          </cell>
          <cell r="E1152" t="str">
            <v>457</v>
          </cell>
          <cell r="F1152">
            <v>-4836.0200000000004</v>
          </cell>
          <cell r="G1152">
            <v>2</v>
          </cell>
          <cell r="H1152" t="str">
            <v>2006-02-28</v>
          </cell>
        </row>
        <row r="1153">
          <cell r="A1153">
            <v>481003</v>
          </cell>
          <cell r="B1153">
            <v>1015</v>
          </cell>
          <cell r="C1153">
            <v>-13332.8</v>
          </cell>
          <cell r="D1153" t="str">
            <v>200</v>
          </cell>
          <cell r="F1153">
            <v>1185.78</v>
          </cell>
          <cell r="G1153">
            <v>2</v>
          </cell>
          <cell r="H1153" t="str">
            <v>2006-02-28</v>
          </cell>
        </row>
        <row r="1154">
          <cell r="A1154">
            <v>481003</v>
          </cell>
          <cell r="B1154">
            <v>1015</v>
          </cell>
          <cell r="C1154">
            <v>-7143.57</v>
          </cell>
          <cell r="D1154" t="str">
            <v>200</v>
          </cell>
          <cell r="F1154">
            <v>72.98</v>
          </cell>
          <cell r="G1154">
            <v>2</v>
          </cell>
          <cell r="H1154" t="str">
            <v>2006-02-28</v>
          </cell>
        </row>
        <row r="1155">
          <cell r="A1155">
            <v>481003</v>
          </cell>
          <cell r="B1155">
            <v>1015</v>
          </cell>
          <cell r="C1155">
            <v>-13946.41</v>
          </cell>
          <cell r="D1155" t="str">
            <v>200</v>
          </cell>
          <cell r="F1155">
            <v>-1165.67</v>
          </cell>
          <cell r="G1155">
            <v>2</v>
          </cell>
          <cell r="H1155" t="str">
            <v>2006-02-28</v>
          </cell>
        </row>
        <row r="1156">
          <cell r="A1156">
            <v>481003</v>
          </cell>
          <cell r="B1156">
            <v>1015</v>
          </cell>
          <cell r="C1156">
            <v>851.72</v>
          </cell>
          <cell r="D1156" t="str">
            <v>200</v>
          </cell>
          <cell r="F1156">
            <v>0</v>
          </cell>
          <cell r="G1156">
            <v>2</v>
          </cell>
          <cell r="H1156" t="str">
            <v>2006-02-28</v>
          </cell>
        </row>
        <row r="1157">
          <cell r="A1157">
            <v>481003</v>
          </cell>
          <cell r="B1157">
            <v>1015</v>
          </cell>
          <cell r="C1157">
            <v>623.02</v>
          </cell>
          <cell r="D1157" t="str">
            <v>200</v>
          </cell>
          <cell r="F1157">
            <v>74.180000000000007</v>
          </cell>
          <cell r="G1157">
            <v>2</v>
          </cell>
          <cell r="H1157" t="str">
            <v>2006-02-28</v>
          </cell>
        </row>
        <row r="1158">
          <cell r="A1158">
            <v>481003</v>
          </cell>
          <cell r="B1158">
            <v>1015</v>
          </cell>
          <cell r="C1158">
            <v>0</v>
          </cell>
          <cell r="D1158" t="str">
            <v>200</v>
          </cell>
          <cell r="F1158">
            <v>-2371.56</v>
          </cell>
          <cell r="G1158">
            <v>2</v>
          </cell>
          <cell r="H1158" t="str">
            <v>2006-02-28</v>
          </cell>
        </row>
        <row r="1159">
          <cell r="A1159">
            <v>481003</v>
          </cell>
          <cell r="B1159">
            <v>1015</v>
          </cell>
          <cell r="C1159">
            <v>0</v>
          </cell>
          <cell r="D1159" t="str">
            <v>200</v>
          </cell>
          <cell r="F1159">
            <v>-145.96</v>
          </cell>
          <cell r="G1159">
            <v>2</v>
          </cell>
          <cell r="H1159" t="str">
            <v>2006-02-28</v>
          </cell>
        </row>
        <row r="1160">
          <cell r="A1160">
            <v>481003</v>
          </cell>
          <cell r="B1160">
            <v>1015</v>
          </cell>
          <cell r="C1160">
            <v>-96352.21</v>
          </cell>
          <cell r="D1160" t="str">
            <v>200</v>
          </cell>
          <cell r="F1160">
            <v>-8558.64</v>
          </cell>
          <cell r="G1160">
            <v>2</v>
          </cell>
          <cell r="H1160" t="str">
            <v>2006-02-28</v>
          </cell>
        </row>
        <row r="1161">
          <cell r="A1161">
            <v>481003</v>
          </cell>
          <cell r="B1161">
            <v>1515</v>
          </cell>
          <cell r="C1161">
            <v>3750.2</v>
          </cell>
          <cell r="D1161" t="str">
            <v>200</v>
          </cell>
          <cell r="F1161">
            <v>391.34</v>
          </cell>
          <cell r="G1161">
            <v>2</v>
          </cell>
          <cell r="H1161" t="str">
            <v>2006-02-28</v>
          </cell>
        </row>
        <row r="1162">
          <cell r="A1162">
            <v>481000</v>
          </cell>
          <cell r="B1162">
            <v>1015</v>
          </cell>
          <cell r="C1162">
            <v>0</v>
          </cell>
          <cell r="D1162" t="str">
            <v>203</v>
          </cell>
          <cell r="E1162" t="str">
            <v>402</v>
          </cell>
          <cell r="F1162">
            <v>0</v>
          </cell>
          <cell r="G1162">
            <v>2</v>
          </cell>
          <cell r="H1162" t="str">
            <v>2006-02-28</v>
          </cell>
        </row>
        <row r="1163">
          <cell r="A1163">
            <v>481000</v>
          </cell>
          <cell r="B1163">
            <v>1015</v>
          </cell>
          <cell r="C1163">
            <v>383313.26</v>
          </cell>
          <cell r="D1163" t="str">
            <v>203</v>
          </cell>
          <cell r="E1163" t="str">
            <v>402</v>
          </cell>
          <cell r="F1163">
            <v>0</v>
          </cell>
          <cell r="G1163">
            <v>2</v>
          </cell>
          <cell r="H1163" t="str">
            <v>2006-02-28</v>
          </cell>
        </row>
        <row r="1164">
          <cell r="A1164">
            <v>481000</v>
          </cell>
          <cell r="B1164">
            <v>1015</v>
          </cell>
          <cell r="C1164">
            <v>-171711.62</v>
          </cell>
          <cell r="D1164" t="str">
            <v>203</v>
          </cell>
          <cell r="E1164" t="str">
            <v>402</v>
          </cell>
          <cell r="F1164">
            <v>0</v>
          </cell>
          <cell r="G1164">
            <v>2</v>
          </cell>
          <cell r="H1164" t="str">
            <v>2006-02-28</v>
          </cell>
        </row>
        <row r="1165">
          <cell r="A1165">
            <v>481000</v>
          </cell>
          <cell r="B1165">
            <v>1015</v>
          </cell>
          <cell r="C1165">
            <v>-1405.51</v>
          </cell>
          <cell r="D1165" t="str">
            <v>203</v>
          </cell>
          <cell r="E1165" t="str">
            <v>402</v>
          </cell>
          <cell r="F1165">
            <v>0</v>
          </cell>
          <cell r="G1165">
            <v>2</v>
          </cell>
          <cell r="H1165" t="str">
            <v>2006-02-28</v>
          </cell>
        </row>
        <row r="1166">
          <cell r="A1166">
            <v>481000</v>
          </cell>
          <cell r="B1166">
            <v>1015</v>
          </cell>
          <cell r="C1166">
            <v>-3779.69</v>
          </cell>
          <cell r="D1166" t="str">
            <v>203</v>
          </cell>
          <cell r="E1166" t="str">
            <v>402</v>
          </cell>
          <cell r="F1166">
            <v>0</v>
          </cell>
          <cell r="G1166">
            <v>2</v>
          </cell>
          <cell r="H1166" t="str">
            <v>2006-02-28</v>
          </cell>
        </row>
        <row r="1167">
          <cell r="A1167">
            <v>481000</v>
          </cell>
          <cell r="B1167">
            <v>1015</v>
          </cell>
          <cell r="C1167">
            <v>-43074.13</v>
          </cell>
          <cell r="D1167" t="str">
            <v>203</v>
          </cell>
          <cell r="E1167" t="str">
            <v>402</v>
          </cell>
          <cell r="F1167">
            <v>0</v>
          </cell>
          <cell r="G1167">
            <v>2</v>
          </cell>
          <cell r="H1167" t="str">
            <v>2006-02-28</v>
          </cell>
        </row>
        <row r="1168">
          <cell r="A1168">
            <v>481000</v>
          </cell>
          <cell r="B1168">
            <v>1015</v>
          </cell>
          <cell r="C1168">
            <v>-52837.4</v>
          </cell>
          <cell r="D1168" t="str">
            <v>203</v>
          </cell>
          <cell r="E1168" t="str">
            <v>402</v>
          </cell>
          <cell r="F1168">
            <v>0</v>
          </cell>
          <cell r="G1168">
            <v>2</v>
          </cell>
          <cell r="H1168" t="str">
            <v>2006-02-28</v>
          </cell>
        </row>
        <row r="1169">
          <cell r="A1169">
            <v>481000</v>
          </cell>
          <cell r="B1169">
            <v>1015</v>
          </cell>
          <cell r="C1169">
            <v>-67132.399999999994</v>
          </cell>
          <cell r="D1169" t="str">
            <v>203</v>
          </cell>
          <cell r="E1169" t="str">
            <v>402</v>
          </cell>
          <cell r="F1169">
            <v>0</v>
          </cell>
          <cell r="G1169">
            <v>2</v>
          </cell>
          <cell r="H1169" t="str">
            <v>2006-02-28</v>
          </cell>
        </row>
        <row r="1170">
          <cell r="A1170">
            <v>481000</v>
          </cell>
          <cell r="B1170">
            <v>1015</v>
          </cell>
          <cell r="C1170">
            <v>-16674.11</v>
          </cell>
          <cell r="D1170" t="str">
            <v>203</v>
          </cell>
          <cell r="E1170" t="str">
            <v>402</v>
          </cell>
          <cell r="F1170">
            <v>0</v>
          </cell>
          <cell r="G1170">
            <v>2</v>
          </cell>
          <cell r="H1170" t="str">
            <v>2006-02-28</v>
          </cell>
        </row>
        <row r="1171">
          <cell r="A1171">
            <v>481000</v>
          </cell>
          <cell r="B1171">
            <v>1015</v>
          </cell>
          <cell r="C1171">
            <v>-10610.99</v>
          </cell>
          <cell r="D1171" t="str">
            <v>203</v>
          </cell>
          <cell r="E1171" t="str">
            <v>402</v>
          </cell>
          <cell r="F1171">
            <v>0</v>
          </cell>
          <cell r="G1171">
            <v>2</v>
          </cell>
          <cell r="H1171" t="str">
            <v>2006-02-28</v>
          </cell>
        </row>
        <row r="1172">
          <cell r="A1172">
            <v>481000</v>
          </cell>
          <cell r="B1172">
            <v>1015</v>
          </cell>
          <cell r="C1172">
            <v>-10415.66</v>
          </cell>
          <cell r="D1172" t="str">
            <v>203</v>
          </cell>
          <cell r="E1172" t="str">
            <v>402</v>
          </cell>
          <cell r="F1172">
            <v>0</v>
          </cell>
          <cell r="G1172">
            <v>2</v>
          </cell>
          <cell r="H1172" t="str">
            <v>2006-02-28</v>
          </cell>
        </row>
        <row r="1173">
          <cell r="A1173">
            <v>481000</v>
          </cell>
          <cell r="B1173">
            <v>1015</v>
          </cell>
          <cell r="C1173">
            <v>-14875.63</v>
          </cell>
          <cell r="D1173" t="str">
            <v>203</v>
          </cell>
          <cell r="E1173" t="str">
            <v>402</v>
          </cell>
          <cell r="F1173">
            <v>0</v>
          </cell>
          <cell r="G1173">
            <v>2</v>
          </cell>
          <cell r="H1173" t="str">
            <v>2006-02-28</v>
          </cell>
        </row>
        <row r="1174">
          <cell r="A1174">
            <v>481000</v>
          </cell>
          <cell r="B1174">
            <v>1015</v>
          </cell>
          <cell r="C1174">
            <v>-9909.7000000000007</v>
          </cell>
          <cell r="D1174" t="str">
            <v>203</v>
          </cell>
          <cell r="E1174" t="str">
            <v>402</v>
          </cell>
          <cell r="F1174">
            <v>0</v>
          </cell>
          <cell r="G1174">
            <v>2</v>
          </cell>
          <cell r="H1174" t="str">
            <v>2006-02-28</v>
          </cell>
        </row>
        <row r="1175">
          <cell r="A1175">
            <v>481000</v>
          </cell>
          <cell r="B1175">
            <v>1015</v>
          </cell>
          <cell r="C1175">
            <v>-11209.76</v>
          </cell>
          <cell r="D1175" t="str">
            <v>203</v>
          </cell>
          <cell r="E1175" t="str">
            <v>402</v>
          </cell>
          <cell r="F1175">
            <v>0</v>
          </cell>
          <cell r="G1175">
            <v>2</v>
          </cell>
          <cell r="H1175" t="str">
            <v>2006-02-28</v>
          </cell>
        </row>
        <row r="1176">
          <cell r="A1176">
            <v>481000</v>
          </cell>
          <cell r="B1176">
            <v>1015</v>
          </cell>
          <cell r="C1176">
            <v>-26997.21</v>
          </cell>
          <cell r="D1176" t="str">
            <v>203</v>
          </cell>
          <cell r="E1176" t="str">
            <v>402</v>
          </cell>
          <cell r="F1176">
            <v>0</v>
          </cell>
          <cell r="G1176">
            <v>2</v>
          </cell>
          <cell r="H1176" t="str">
            <v>2006-02-28</v>
          </cell>
        </row>
        <row r="1177">
          <cell r="A1177">
            <v>481000</v>
          </cell>
          <cell r="B1177">
            <v>1015</v>
          </cell>
          <cell r="C1177">
            <v>-1.0900000000000001</v>
          </cell>
          <cell r="D1177" t="str">
            <v>203</v>
          </cell>
          <cell r="E1177" t="str">
            <v>402</v>
          </cell>
          <cell r="F1177">
            <v>0</v>
          </cell>
          <cell r="G1177">
            <v>2</v>
          </cell>
          <cell r="H1177" t="str">
            <v>2006-02-28</v>
          </cell>
        </row>
        <row r="1178">
          <cell r="A1178">
            <v>481004</v>
          </cell>
          <cell r="B1178">
            <v>1015</v>
          </cell>
          <cell r="C1178">
            <v>0</v>
          </cell>
          <cell r="D1178" t="str">
            <v>203</v>
          </cell>
          <cell r="E1178" t="str">
            <v>402</v>
          </cell>
          <cell r="F1178">
            <v>0</v>
          </cell>
          <cell r="G1178">
            <v>2</v>
          </cell>
          <cell r="H1178" t="str">
            <v>2006-02-28</v>
          </cell>
        </row>
        <row r="1179">
          <cell r="A1179">
            <v>481004</v>
          </cell>
          <cell r="B1179">
            <v>1015</v>
          </cell>
          <cell r="C1179">
            <v>-75052.41</v>
          </cell>
          <cell r="D1179" t="str">
            <v>203</v>
          </cell>
          <cell r="E1179" t="str">
            <v>402</v>
          </cell>
          <cell r="F1179">
            <v>0</v>
          </cell>
          <cell r="G1179">
            <v>2</v>
          </cell>
          <cell r="H1179" t="str">
            <v>2006-02-28</v>
          </cell>
        </row>
        <row r="1180">
          <cell r="A1180">
            <v>481004</v>
          </cell>
          <cell r="B1180">
            <v>1015</v>
          </cell>
          <cell r="C1180">
            <v>-292347.09000000003</v>
          </cell>
          <cell r="D1180" t="str">
            <v>203</v>
          </cell>
          <cell r="E1180" t="str">
            <v>402</v>
          </cell>
          <cell r="F1180">
            <v>0</v>
          </cell>
          <cell r="G1180">
            <v>2</v>
          </cell>
          <cell r="H1180" t="str">
            <v>2006-02-28</v>
          </cell>
        </row>
        <row r="1181">
          <cell r="A1181">
            <v>481004</v>
          </cell>
          <cell r="B1181">
            <v>1015</v>
          </cell>
          <cell r="C1181">
            <v>-9414.25</v>
          </cell>
          <cell r="D1181" t="str">
            <v>203</v>
          </cell>
          <cell r="E1181" t="str">
            <v>402</v>
          </cell>
          <cell r="F1181">
            <v>0</v>
          </cell>
          <cell r="G1181">
            <v>2</v>
          </cell>
          <cell r="H1181" t="str">
            <v>2006-02-28</v>
          </cell>
        </row>
        <row r="1182">
          <cell r="A1182">
            <v>481004</v>
          </cell>
          <cell r="B1182">
            <v>1015</v>
          </cell>
          <cell r="C1182">
            <v>-6443.85</v>
          </cell>
          <cell r="D1182" t="str">
            <v>203</v>
          </cell>
          <cell r="E1182" t="str">
            <v>402</v>
          </cell>
          <cell r="F1182">
            <v>0</v>
          </cell>
          <cell r="G1182">
            <v>2</v>
          </cell>
          <cell r="H1182" t="str">
            <v>2006-02-28</v>
          </cell>
        </row>
        <row r="1183">
          <cell r="A1183">
            <v>481004</v>
          </cell>
          <cell r="B1183">
            <v>1015</v>
          </cell>
          <cell r="C1183">
            <v>-31773.47</v>
          </cell>
          <cell r="D1183" t="str">
            <v>203</v>
          </cell>
          <cell r="E1183" t="str">
            <v>402</v>
          </cell>
          <cell r="F1183">
            <v>0</v>
          </cell>
          <cell r="G1183">
            <v>2</v>
          </cell>
          <cell r="H1183" t="str">
            <v>2006-02-28</v>
          </cell>
        </row>
        <row r="1184">
          <cell r="A1184">
            <v>481004</v>
          </cell>
          <cell r="B1184">
            <v>1015</v>
          </cell>
          <cell r="C1184">
            <v>-168565.99</v>
          </cell>
          <cell r="D1184" t="str">
            <v>203</v>
          </cell>
          <cell r="E1184" t="str">
            <v>402</v>
          </cell>
          <cell r="F1184">
            <v>0</v>
          </cell>
          <cell r="G1184">
            <v>2</v>
          </cell>
          <cell r="H1184" t="str">
            <v>2006-02-28</v>
          </cell>
        </row>
        <row r="1185">
          <cell r="A1185">
            <v>481004</v>
          </cell>
          <cell r="B1185">
            <v>1015</v>
          </cell>
          <cell r="C1185">
            <v>-60434.09</v>
          </cell>
          <cell r="D1185" t="str">
            <v>203</v>
          </cell>
          <cell r="E1185" t="str">
            <v>402</v>
          </cell>
          <cell r="F1185">
            <v>0</v>
          </cell>
          <cell r="G1185">
            <v>2</v>
          </cell>
          <cell r="H1185" t="str">
            <v>2006-02-28</v>
          </cell>
        </row>
        <row r="1186">
          <cell r="A1186">
            <v>481004</v>
          </cell>
          <cell r="B1186">
            <v>1015</v>
          </cell>
          <cell r="C1186">
            <v>-29111.07</v>
          </cell>
          <cell r="D1186" t="str">
            <v>203</v>
          </cell>
          <cell r="E1186" t="str">
            <v>402</v>
          </cell>
          <cell r="F1186">
            <v>0</v>
          </cell>
          <cell r="G1186">
            <v>2</v>
          </cell>
          <cell r="H1186" t="str">
            <v>2006-02-28</v>
          </cell>
        </row>
        <row r="1187">
          <cell r="A1187">
            <v>481004</v>
          </cell>
          <cell r="B1187">
            <v>1015</v>
          </cell>
          <cell r="C1187">
            <v>-8647.8700000000008</v>
          </cell>
          <cell r="D1187" t="str">
            <v>203</v>
          </cell>
          <cell r="E1187" t="str">
            <v>402</v>
          </cell>
          <cell r="F1187">
            <v>0</v>
          </cell>
          <cell r="G1187">
            <v>2</v>
          </cell>
          <cell r="H1187" t="str">
            <v>2006-02-28</v>
          </cell>
        </row>
        <row r="1188">
          <cell r="A1188">
            <v>481004</v>
          </cell>
          <cell r="B1188">
            <v>1015</v>
          </cell>
          <cell r="C1188">
            <v>-25205.360000000001</v>
          </cell>
          <cell r="D1188" t="str">
            <v>203</v>
          </cell>
          <cell r="E1188" t="str">
            <v>402</v>
          </cell>
          <cell r="F1188">
            <v>0</v>
          </cell>
          <cell r="G1188">
            <v>2</v>
          </cell>
          <cell r="H1188" t="str">
            <v>2006-02-28</v>
          </cell>
        </row>
        <row r="1189">
          <cell r="A1189">
            <v>481004</v>
          </cell>
          <cell r="B1189">
            <v>1015</v>
          </cell>
          <cell r="C1189">
            <v>-33845.35</v>
          </cell>
          <cell r="D1189" t="str">
            <v>203</v>
          </cell>
          <cell r="E1189" t="str">
            <v>402</v>
          </cell>
          <cell r="F1189">
            <v>0</v>
          </cell>
          <cell r="G1189">
            <v>2</v>
          </cell>
          <cell r="H1189" t="str">
            <v>2006-02-28</v>
          </cell>
        </row>
        <row r="1190">
          <cell r="A1190">
            <v>481004</v>
          </cell>
          <cell r="B1190">
            <v>1015</v>
          </cell>
          <cell r="C1190">
            <v>-32667.22</v>
          </cell>
          <cell r="D1190" t="str">
            <v>203</v>
          </cell>
          <cell r="E1190" t="str">
            <v>402</v>
          </cell>
          <cell r="F1190">
            <v>0</v>
          </cell>
          <cell r="G1190">
            <v>2</v>
          </cell>
          <cell r="H1190" t="str">
            <v>2006-02-28</v>
          </cell>
        </row>
        <row r="1191">
          <cell r="A1191">
            <v>481004</v>
          </cell>
          <cell r="B1191">
            <v>1015</v>
          </cell>
          <cell r="C1191">
            <v>-53885.68</v>
          </cell>
          <cell r="D1191" t="str">
            <v>203</v>
          </cell>
          <cell r="E1191" t="str">
            <v>402</v>
          </cell>
          <cell r="F1191">
            <v>0</v>
          </cell>
          <cell r="G1191">
            <v>2</v>
          </cell>
          <cell r="H1191" t="str">
            <v>2006-02-28</v>
          </cell>
        </row>
        <row r="1192">
          <cell r="A1192">
            <v>481004</v>
          </cell>
          <cell r="B1192">
            <v>1015</v>
          </cell>
          <cell r="C1192">
            <v>-32788.81</v>
          </cell>
          <cell r="D1192" t="str">
            <v>203</v>
          </cell>
          <cell r="E1192" t="str">
            <v>402</v>
          </cell>
          <cell r="F1192">
            <v>0</v>
          </cell>
          <cell r="G1192">
            <v>2</v>
          </cell>
          <cell r="H1192" t="str">
            <v>2006-02-28</v>
          </cell>
        </row>
        <row r="1193">
          <cell r="A1193">
            <v>481004</v>
          </cell>
          <cell r="B1193">
            <v>1015</v>
          </cell>
          <cell r="C1193">
            <v>-6721.84</v>
          </cell>
          <cell r="D1193" t="str">
            <v>203</v>
          </cell>
          <cell r="E1193" t="str">
            <v>402</v>
          </cell>
          <cell r="F1193">
            <v>0</v>
          </cell>
          <cell r="G1193">
            <v>2</v>
          </cell>
          <cell r="H1193" t="str">
            <v>2006-02-28</v>
          </cell>
        </row>
        <row r="1194">
          <cell r="A1194">
            <v>481004</v>
          </cell>
          <cell r="B1194">
            <v>1015</v>
          </cell>
          <cell r="C1194">
            <v>-1880.9</v>
          </cell>
          <cell r="D1194" t="str">
            <v>203</v>
          </cell>
          <cell r="E1194" t="str">
            <v>402</v>
          </cell>
          <cell r="F1194">
            <v>0</v>
          </cell>
          <cell r="G1194">
            <v>2</v>
          </cell>
          <cell r="H1194" t="str">
            <v>2006-02-28</v>
          </cell>
        </row>
        <row r="1195">
          <cell r="A1195">
            <v>481000</v>
          </cell>
          <cell r="B1195">
            <v>1015</v>
          </cell>
          <cell r="C1195">
            <v>0</v>
          </cell>
          <cell r="D1195" t="str">
            <v>203</v>
          </cell>
          <cell r="E1195" t="str">
            <v>403</v>
          </cell>
          <cell r="F1195">
            <v>0</v>
          </cell>
          <cell r="G1195">
            <v>2</v>
          </cell>
          <cell r="H1195" t="str">
            <v>2006-02-28</v>
          </cell>
        </row>
        <row r="1196">
          <cell r="A1196">
            <v>481000</v>
          </cell>
          <cell r="B1196">
            <v>1015</v>
          </cell>
          <cell r="C1196">
            <v>0</v>
          </cell>
          <cell r="D1196" t="str">
            <v>203</v>
          </cell>
          <cell r="E1196" t="str">
            <v>403</v>
          </cell>
          <cell r="F1196">
            <v>0</v>
          </cell>
          <cell r="G1196">
            <v>2</v>
          </cell>
          <cell r="H1196" t="str">
            <v>2006-02-28</v>
          </cell>
        </row>
        <row r="1197">
          <cell r="A1197">
            <v>481000</v>
          </cell>
          <cell r="B1197">
            <v>1015</v>
          </cell>
          <cell r="C1197">
            <v>0</v>
          </cell>
          <cell r="D1197" t="str">
            <v>203</v>
          </cell>
          <cell r="E1197" t="str">
            <v>403</v>
          </cell>
          <cell r="F1197">
            <v>0</v>
          </cell>
          <cell r="G1197">
            <v>2</v>
          </cell>
          <cell r="H1197" t="str">
            <v>2006-02-28</v>
          </cell>
        </row>
        <row r="1198">
          <cell r="A1198">
            <v>481000</v>
          </cell>
          <cell r="B1198">
            <v>1015</v>
          </cell>
          <cell r="C1198">
            <v>-1633.86</v>
          </cell>
          <cell r="D1198" t="str">
            <v>203</v>
          </cell>
          <cell r="E1198" t="str">
            <v>403</v>
          </cell>
          <cell r="F1198">
            <v>0</v>
          </cell>
          <cell r="G1198">
            <v>2</v>
          </cell>
          <cell r="H1198" t="str">
            <v>2006-02-28</v>
          </cell>
        </row>
        <row r="1199">
          <cell r="A1199">
            <v>481004</v>
          </cell>
          <cell r="B1199">
            <v>1015</v>
          </cell>
          <cell r="C1199">
            <v>0</v>
          </cell>
          <cell r="D1199" t="str">
            <v>203</v>
          </cell>
          <cell r="E1199" t="str">
            <v>403</v>
          </cell>
          <cell r="F1199">
            <v>0</v>
          </cell>
          <cell r="G1199">
            <v>2</v>
          </cell>
          <cell r="H1199" t="str">
            <v>2006-02-28</v>
          </cell>
        </row>
        <row r="1200">
          <cell r="A1200">
            <v>481004</v>
          </cell>
          <cell r="B1200">
            <v>1015</v>
          </cell>
          <cell r="C1200">
            <v>0</v>
          </cell>
          <cell r="D1200" t="str">
            <v>203</v>
          </cell>
          <cell r="E1200" t="str">
            <v>403</v>
          </cell>
          <cell r="F1200">
            <v>0</v>
          </cell>
          <cell r="G1200">
            <v>2</v>
          </cell>
          <cell r="H1200" t="str">
            <v>2006-02-28</v>
          </cell>
        </row>
        <row r="1201">
          <cell r="A1201">
            <v>481004</v>
          </cell>
          <cell r="B1201">
            <v>1015</v>
          </cell>
          <cell r="C1201">
            <v>0</v>
          </cell>
          <cell r="D1201" t="str">
            <v>203</v>
          </cell>
          <cell r="E1201" t="str">
            <v>403</v>
          </cell>
          <cell r="F1201">
            <v>0</v>
          </cell>
          <cell r="G1201">
            <v>2</v>
          </cell>
          <cell r="H1201" t="str">
            <v>2006-02-28</v>
          </cell>
        </row>
        <row r="1202">
          <cell r="A1202">
            <v>481000</v>
          </cell>
          <cell r="B1202">
            <v>1015</v>
          </cell>
          <cell r="C1202">
            <v>0</v>
          </cell>
          <cell r="D1202" t="str">
            <v>203</v>
          </cell>
          <cell r="E1202" t="str">
            <v>404</v>
          </cell>
          <cell r="F1202">
            <v>0</v>
          </cell>
          <cell r="G1202">
            <v>2</v>
          </cell>
          <cell r="H1202" t="str">
            <v>2006-02-28</v>
          </cell>
        </row>
        <row r="1203">
          <cell r="A1203">
            <v>481000</v>
          </cell>
          <cell r="B1203">
            <v>1015</v>
          </cell>
          <cell r="C1203">
            <v>200633.4</v>
          </cell>
          <cell r="D1203" t="str">
            <v>203</v>
          </cell>
          <cell r="E1203" t="str">
            <v>404</v>
          </cell>
          <cell r="F1203">
            <v>0</v>
          </cell>
          <cell r="G1203">
            <v>2</v>
          </cell>
          <cell r="H1203" t="str">
            <v>2006-02-28</v>
          </cell>
        </row>
        <row r="1204">
          <cell r="A1204">
            <v>481000</v>
          </cell>
          <cell r="B1204">
            <v>1015</v>
          </cell>
          <cell r="C1204">
            <v>-181867.77</v>
          </cell>
          <cell r="D1204" t="str">
            <v>203</v>
          </cell>
          <cell r="E1204" t="str">
            <v>404</v>
          </cell>
          <cell r="F1204">
            <v>0</v>
          </cell>
          <cell r="G1204">
            <v>2</v>
          </cell>
          <cell r="H1204" t="str">
            <v>2006-02-28</v>
          </cell>
        </row>
        <row r="1205">
          <cell r="A1205">
            <v>481000</v>
          </cell>
          <cell r="B1205">
            <v>1015</v>
          </cell>
          <cell r="C1205">
            <v>-200633.4</v>
          </cell>
          <cell r="D1205" t="str">
            <v>203</v>
          </cell>
          <cell r="E1205" t="str">
            <v>404</v>
          </cell>
          <cell r="F1205">
            <v>0</v>
          </cell>
          <cell r="G1205">
            <v>2</v>
          </cell>
          <cell r="H1205" t="str">
            <v>2006-02-28</v>
          </cell>
        </row>
        <row r="1206">
          <cell r="A1206">
            <v>481004</v>
          </cell>
          <cell r="B1206">
            <v>1015</v>
          </cell>
          <cell r="C1206">
            <v>0</v>
          </cell>
          <cell r="D1206" t="str">
            <v>203</v>
          </cell>
          <cell r="E1206" t="str">
            <v>404</v>
          </cell>
          <cell r="F1206">
            <v>0</v>
          </cell>
          <cell r="G1206">
            <v>2</v>
          </cell>
          <cell r="H1206" t="str">
            <v>2006-02-28</v>
          </cell>
        </row>
        <row r="1207">
          <cell r="A1207">
            <v>481004</v>
          </cell>
          <cell r="B1207">
            <v>1015</v>
          </cell>
          <cell r="C1207">
            <v>0</v>
          </cell>
          <cell r="D1207" t="str">
            <v>203</v>
          </cell>
          <cell r="E1207" t="str">
            <v>404</v>
          </cell>
          <cell r="F1207">
            <v>0</v>
          </cell>
          <cell r="G1207">
            <v>2</v>
          </cell>
          <cell r="H1207" t="str">
            <v>2006-02-28</v>
          </cell>
        </row>
        <row r="1208">
          <cell r="A1208">
            <v>481004</v>
          </cell>
          <cell r="B1208">
            <v>1015</v>
          </cell>
          <cell r="C1208">
            <v>0</v>
          </cell>
          <cell r="D1208" t="str">
            <v>203</v>
          </cell>
          <cell r="E1208" t="str">
            <v>404</v>
          </cell>
          <cell r="F1208">
            <v>0</v>
          </cell>
          <cell r="G1208">
            <v>2</v>
          </cell>
          <cell r="H1208" t="str">
            <v>2006-02-28</v>
          </cell>
        </row>
        <row r="1209">
          <cell r="A1209">
            <v>480000</v>
          </cell>
          <cell r="B1209">
            <v>1015</v>
          </cell>
          <cell r="C1209">
            <v>-439241.82</v>
          </cell>
          <cell r="D1209" t="str">
            <v>203</v>
          </cell>
          <cell r="E1209" t="str">
            <v>407</v>
          </cell>
          <cell r="F1209">
            <v>0</v>
          </cell>
          <cell r="G1209">
            <v>2</v>
          </cell>
          <cell r="H1209" t="str">
            <v>2006-02-28</v>
          </cell>
        </row>
        <row r="1210">
          <cell r="A1210">
            <v>480000</v>
          </cell>
          <cell r="B1210">
            <v>1015</v>
          </cell>
          <cell r="C1210">
            <v>-538446.92000000004</v>
          </cell>
          <cell r="D1210" t="str">
            <v>203</v>
          </cell>
          <cell r="E1210" t="str">
            <v>407</v>
          </cell>
          <cell r="F1210">
            <v>0</v>
          </cell>
          <cell r="G1210">
            <v>2</v>
          </cell>
          <cell r="H1210" t="str">
            <v>2006-02-28</v>
          </cell>
        </row>
        <row r="1211">
          <cell r="A1211">
            <v>480000</v>
          </cell>
          <cell r="B1211">
            <v>1015</v>
          </cell>
          <cell r="C1211">
            <v>-645911.75</v>
          </cell>
          <cell r="D1211" t="str">
            <v>203</v>
          </cell>
          <cell r="E1211" t="str">
            <v>407</v>
          </cell>
          <cell r="F1211">
            <v>0</v>
          </cell>
          <cell r="G1211">
            <v>2</v>
          </cell>
          <cell r="H1211" t="str">
            <v>2006-02-28</v>
          </cell>
        </row>
        <row r="1212">
          <cell r="A1212">
            <v>480000</v>
          </cell>
          <cell r="B1212">
            <v>1015</v>
          </cell>
          <cell r="C1212">
            <v>-1540654.3</v>
          </cell>
          <cell r="D1212" t="str">
            <v>203</v>
          </cell>
          <cell r="E1212" t="str">
            <v>407</v>
          </cell>
          <cell r="F1212">
            <v>0</v>
          </cell>
          <cell r="G1212">
            <v>2</v>
          </cell>
          <cell r="H1212" t="str">
            <v>2006-02-28</v>
          </cell>
        </row>
        <row r="1213">
          <cell r="A1213">
            <v>480000</v>
          </cell>
          <cell r="B1213">
            <v>1015</v>
          </cell>
          <cell r="C1213">
            <v>-1021334.53</v>
          </cell>
          <cell r="D1213" t="str">
            <v>203</v>
          </cell>
          <cell r="E1213" t="str">
            <v>407</v>
          </cell>
          <cell r="F1213">
            <v>0</v>
          </cell>
          <cell r="G1213">
            <v>2</v>
          </cell>
          <cell r="H1213" t="str">
            <v>2006-02-28</v>
          </cell>
        </row>
        <row r="1214">
          <cell r="A1214">
            <v>480000</v>
          </cell>
          <cell r="B1214">
            <v>1015</v>
          </cell>
          <cell r="C1214">
            <v>-545678.99</v>
          </cell>
          <cell r="D1214" t="str">
            <v>203</v>
          </cell>
          <cell r="E1214" t="str">
            <v>407</v>
          </cell>
          <cell r="F1214">
            <v>0</v>
          </cell>
          <cell r="G1214">
            <v>2</v>
          </cell>
          <cell r="H1214" t="str">
            <v>2006-02-28</v>
          </cell>
        </row>
        <row r="1215">
          <cell r="A1215">
            <v>480000</v>
          </cell>
          <cell r="B1215">
            <v>1015</v>
          </cell>
          <cell r="C1215">
            <v>-867772.24</v>
          </cell>
          <cell r="D1215" t="str">
            <v>203</v>
          </cell>
          <cell r="E1215" t="str">
            <v>407</v>
          </cell>
          <cell r="F1215">
            <v>0</v>
          </cell>
          <cell r="G1215">
            <v>2</v>
          </cell>
          <cell r="H1215" t="str">
            <v>2006-02-28</v>
          </cell>
        </row>
        <row r="1216">
          <cell r="A1216">
            <v>480000</v>
          </cell>
          <cell r="B1216">
            <v>1015</v>
          </cell>
          <cell r="C1216">
            <v>-1097558.1200000001</v>
          </cell>
          <cell r="D1216" t="str">
            <v>203</v>
          </cell>
          <cell r="E1216" t="str">
            <v>407</v>
          </cell>
          <cell r="F1216">
            <v>0</v>
          </cell>
          <cell r="G1216">
            <v>2</v>
          </cell>
          <cell r="H1216" t="str">
            <v>2006-02-28</v>
          </cell>
        </row>
        <row r="1217">
          <cell r="A1217">
            <v>480000</v>
          </cell>
          <cell r="B1217">
            <v>1015</v>
          </cell>
          <cell r="C1217">
            <v>-666367.18000000005</v>
          </cell>
          <cell r="D1217" t="str">
            <v>203</v>
          </cell>
          <cell r="E1217" t="str">
            <v>407</v>
          </cell>
          <cell r="F1217">
            <v>0</v>
          </cell>
          <cell r="G1217">
            <v>2</v>
          </cell>
          <cell r="H1217" t="str">
            <v>2006-02-28</v>
          </cell>
        </row>
        <row r="1218">
          <cell r="A1218">
            <v>480000</v>
          </cell>
          <cell r="B1218">
            <v>1015</v>
          </cell>
          <cell r="C1218">
            <v>-480682.9</v>
          </cell>
          <cell r="D1218" t="str">
            <v>203</v>
          </cell>
          <cell r="E1218" t="str">
            <v>407</v>
          </cell>
          <cell r="F1218">
            <v>0</v>
          </cell>
          <cell r="G1218">
            <v>2</v>
          </cell>
          <cell r="H1218" t="str">
            <v>2006-02-28</v>
          </cell>
        </row>
        <row r="1219">
          <cell r="A1219">
            <v>480000</v>
          </cell>
          <cell r="B1219">
            <v>1015</v>
          </cell>
          <cell r="C1219">
            <v>-1171728.03</v>
          </cell>
          <cell r="D1219" t="str">
            <v>203</v>
          </cell>
          <cell r="E1219" t="str">
            <v>407</v>
          </cell>
          <cell r="F1219">
            <v>0</v>
          </cell>
          <cell r="G1219">
            <v>2</v>
          </cell>
          <cell r="H1219" t="str">
            <v>2006-02-28</v>
          </cell>
        </row>
        <row r="1220">
          <cell r="A1220">
            <v>480000</v>
          </cell>
          <cell r="B1220">
            <v>1015</v>
          </cell>
          <cell r="C1220">
            <v>-1005189.52</v>
          </cell>
          <cell r="D1220" t="str">
            <v>203</v>
          </cell>
          <cell r="E1220" t="str">
            <v>407</v>
          </cell>
          <cell r="F1220">
            <v>0</v>
          </cell>
          <cell r="G1220">
            <v>2</v>
          </cell>
          <cell r="H1220" t="str">
            <v>2006-02-28</v>
          </cell>
        </row>
        <row r="1221">
          <cell r="A1221">
            <v>480000</v>
          </cell>
          <cell r="B1221">
            <v>1015</v>
          </cell>
          <cell r="C1221">
            <v>-20718.689999999999</v>
          </cell>
          <cell r="D1221" t="str">
            <v>203</v>
          </cell>
          <cell r="E1221" t="str">
            <v>407</v>
          </cell>
          <cell r="F1221">
            <v>0</v>
          </cell>
          <cell r="G1221">
            <v>2</v>
          </cell>
          <cell r="H1221" t="str">
            <v>2006-02-28</v>
          </cell>
        </row>
        <row r="1222">
          <cell r="A1222">
            <v>480000</v>
          </cell>
          <cell r="B1222">
            <v>1015</v>
          </cell>
          <cell r="C1222">
            <v>-12665.74</v>
          </cell>
          <cell r="D1222" t="str">
            <v>203</v>
          </cell>
          <cell r="E1222" t="str">
            <v>407</v>
          </cell>
          <cell r="F1222">
            <v>0</v>
          </cell>
          <cell r="G1222">
            <v>2</v>
          </cell>
          <cell r="H1222" t="str">
            <v>2006-02-28</v>
          </cell>
        </row>
        <row r="1223">
          <cell r="A1223">
            <v>480001</v>
          </cell>
          <cell r="B1223">
            <v>1015</v>
          </cell>
          <cell r="C1223">
            <v>1237869.8500000001</v>
          </cell>
          <cell r="D1223" t="str">
            <v>203</v>
          </cell>
          <cell r="E1223" t="str">
            <v>407</v>
          </cell>
          <cell r="F1223">
            <v>0</v>
          </cell>
          <cell r="G1223">
            <v>2</v>
          </cell>
          <cell r="H1223" t="str">
            <v>2006-02-28</v>
          </cell>
        </row>
        <row r="1224">
          <cell r="A1224">
            <v>481004</v>
          </cell>
          <cell r="B1224">
            <v>1015</v>
          </cell>
          <cell r="C1224">
            <v>-96595.3</v>
          </cell>
          <cell r="D1224" t="str">
            <v>203</v>
          </cell>
          <cell r="E1224" t="str">
            <v>407</v>
          </cell>
          <cell r="F1224">
            <v>0</v>
          </cell>
          <cell r="G1224">
            <v>2</v>
          </cell>
          <cell r="H1224" t="str">
            <v>2006-02-28</v>
          </cell>
        </row>
        <row r="1225">
          <cell r="A1225">
            <v>481004</v>
          </cell>
          <cell r="B1225">
            <v>1015</v>
          </cell>
          <cell r="C1225">
            <v>-194390.86</v>
          </cell>
          <cell r="D1225" t="str">
            <v>203</v>
          </cell>
          <cell r="E1225" t="str">
            <v>407</v>
          </cell>
          <cell r="F1225">
            <v>0</v>
          </cell>
          <cell r="G1225">
            <v>2</v>
          </cell>
          <cell r="H1225" t="str">
            <v>2006-02-28</v>
          </cell>
        </row>
        <row r="1226">
          <cell r="A1226">
            <v>481004</v>
          </cell>
          <cell r="B1226">
            <v>1015</v>
          </cell>
          <cell r="C1226">
            <v>-182176.19</v>
          </cell>
          <cell r="D1226" t="str">
            <v>203</v>
          </cell>
          <cell r="E1226" t="str">
            <v>407</v>
          </cell>
          <cell r="F1226">
            <v>0</v>
          </cell>
          <cell r="G1226">
            <v>2</v>
          </cell>
          <cell r="H1226" t="str">
            <v>2006-02-28</v>
          </cell>
        </row>
        <row r="1227">
          <cell r="A1227">
            <v>481004</v>
          </cell>
          <cell r="B1227">
            <v>1015</v>
          </cell>
          <cell r="C1227">
            <v>-846624.46</v>
          </cell>
          <cell r="D1227" t="str">
            <v>203</v>
          </cell>
          <cell r="E1227" t="str">
            <v>407</v>
          </cell>
          <cell r="F1227">
            <v>0</v>
          </cell>
          <cell r="G1227">
            <v>2</v>
          </cell>
          <cell r="H1227" t="str">
            <v>2006-02-28</v>
          </cell>
        </row>
        <row r="1228">
          <cell r="A1228">
            <v>481004</v>
          </cell>
          <cell r="B1228">
            <v>1015</v>
          </cell>
          <cell r="C1228">
            <v>-713902.7</v>
          </cell>
          <cell r="D1228" t="str">
            <v>203</v>
          </cell>
          <cell r="E1228" t="str">
            <v>407</v>
          </cell>
          <cell r="F1228">
            <v>0</v>
          </cell>
          <cell r="G1228">
            <v>2</v>
          </cell>
          <cell r="H1228" t="str">
            <v>2006-02-28</v>
          </cell>
        </row>
        <row r="1229">
          <cell r="A1229">
            <v>481004</v>
          </cell>
          <cell r="B1229">
            <v>1015</v>
          </cell>
          <cell r="C1229">
            <v>-225582.73</v>
          </cell>
          <cell r="D1229" t="str">
            <v>203</v>
          </cell>
          <cell r="E1229" t="str">
            <v>407</v>
          </cell>
          <cell r="F1229">
            <v>0</v>
          </cell>
          <cell r="G1229">
            <v>2</v>
          </cell>
          <cell r="H1229" t="str">
            <v>2006-02-28</v>
          </cell>
        </row>
        <row r="1230">
          <cell r="A1230">
            <v>481004</v>
          </cell>
          <cell r="B1230">
            <v>1015</v>
          </cell>
          <cell r="C1230">
            <v>-287204.05</v>
          </cell>
          <cell r="D1230" t="str">
            <v>203</v>
          </cell>
          <cell r="E1230" t="str">
            <v>407</v>
          </cell>
          <cell r="F1230">
            <v>0</v>
          </cell>
          <cell r="G1230">
            <v>2</v>
          </cell>
          <cell r="H1230" t="str">
            <v>2006-02-28</v>
          </cell>
        </row>
        <row r="1231">
          <cell r="A1231">
            <v>481004</v>
          </cell>
          <cell r="B1231">
            <v>1015</v>
          </cell>
          <cell r="C1231">
            <v>-436774.86</v>
          </cell>
          <cell r="D1231" t="str">
            <v>203</v>
          </cell>
          <cell r="E1231" t="str">
            <v>407</v>
          </cell>
          <cell r="F1231">
            <v>0</v>
          </cell>
          <cell r="G1231">
            <v>2</v>
          </cell>
          <cell r="H1231" t="str">
            <v>2006-02-28</v>
          </cell>
        </row>
        <row r="1232">
          <cell r="A1232">
            <v>481004</v>
          </cell>
          <cell r="B1232">
            <v>1015</v>
          </cell>
          <cell r="C1232">
            <v>-228251.58</v>
          </cell>
          <cell r="D1232" t="str">
            <v>203</v>
          </cell>
          <cell r="E1232" t="str">
            <v>407</v>
          </cell>
          <cell r="F1232">
            <v>0</v>
          </cell>
          <cell r="G1232">
            <v>2</v>
          </cell>
          <cell r="H1232" t="str">
            <v>2006-02-28</v>
          </cell>
        </row>
        <row r="1233">
          <cell r="A1233">
            <v>481004</v>
          </cell>
          <cell r="B1233">
            <v>1015</v>
          </cell>
          <cell r="C1233">
            <v>-226659.48</v>
          </cell>
          <cell r="D1233" t="str">
            <v>203</v>
          </cell>
          <cell r="E1233" t="str">
            <v>407</v>
          </cell>
          <cell r="F1233">
            <v>0</v>
          </cell>
          <cell r="G1233">
            <v>2</v>
          </cell>
          <cell r="H1233" t="str">
            <v>2006-02-28</v>
          </cell>
        </row>
        <row r="1234">
          <cell r="A1234">
            <v>481004</v>
          </cell>
          <cell r="B1234">
            <v>1015</v>
          </cell>
          <cell r="C1234">
            <v>-444983.44</v>
          </cell>
          <cell r="D1234" t="str">
            <v>203</v>
          </cell>
          <cell r="E1234" t="str">
            <v>407</v>
          </cell>
          <cell r="F1234">
            <v>0</v>
          </cell>
          <cell r="G1234">
            <v>2</v>
          </cell>
          <cell r="H1234" t="str">
            <v>2006-02-28</v>
          </cell>
        </row>
        <row r="1235">
          <cell r="A1235">
            <v>481004</v>
          </cell>
          <cell r="B1235">
            <v>1015</v>
          </cell>
          <cell r="C1235">
            <v>-389005.07</v>
          </cell>
          <cell r="D1235" t="str">
            <v>203</v>
          </cell>
          <cell r="E1235" t="str">
            <v>407</v>
          </cell>
          <cell r="F1235">
            <v>0</v>
          </cell>
          <cell r="G1235">
            <v>2</v>
          </cell>
          <cell r="H1235" t="str">
            <v>2006-02-28</v>
          </cell>
        </row>
        <row r="1236">
          <cell r="A1236">
            <v>481004</v>
          </cell>
          <cell r="B1236">
            <v>1015</v>
          </cell>
          <cell r="C1236">
            <v>-22214.85</v>
          </cell>
          <cell r="D1236" t="str">
            <v>203</v>
          </cell>
          <cell r="E1236" t="str">
            <v>407</v>
          </cell>
          <cell r="F1236">
            <v>0</v>
          </cell>
          <cell r="G1236">
            <v>2</v>
          </cell>
          <cell r="H1236" t="str">
            <v>2006-02-28</v>
          </cell>
        </row>
        <row r="1237">
          <cell r="A1237">
            <v>481004</v>
          </cell>
          <cell r="B1237">
            <v>1015</v>
          </cell>
          <cell r="C1237">
            <v>-6801.55</v>
          </cell>
          <cell r="D1237" t="str">
            <v>203</v>
          </cell>
          <cell r="E1237" t="str">
            <v>407</v>
          </cell>
          <cell r="F1237">
            <v>0</v>
          </cell>
          <cell r="G1237">
            <v>2</v>
          </cell>
          <cell r="H1237" t="str">
            <v>2006-02-28</v>
          </cell>
        </row>
        <row r="1238">
          <cell r="A1238">
            <v>480000</v>
          </cell>
          <cell r="B1238">
            <v>1015</v>
          </cell>
          <cell r="C1238">
            <v>-74.790000000000006</v>
          </cell>
          <cell r="D1238" t="str">
            <v>203</v>
          </cell>
          <cell r="E1238" t="str">
            <v>408</v>
          </cell>
          <cell r="F1238">
            <v>0</v>
          </cell>
          <cell r="G1238">
            <v>2</v>
          </cell>
          <cell r="H1238" t="str">
            <v>2006-02-28</v>
          </cell>
        </row>
        <row r="1239">
          <cell r="A1239">
            <v>480000</v>
          </cell>
          <cell r="B1239">
            <v>1015</v>
          </cell>
          <cell r="C1239">
            <v>-25</v>
          </cell>
          <cell r="D1239" t="str">
            <v>203</v>
          </cell>
          <cell r="E1239" t="str">
            <v>408</v>
          </cell>
          <cell r="F1239">
            <v>0</v>
          </cell>
          <cell r="G1239">
            <v>2</v>
          </cell>
          <cell r="H1239" t="str">
            <v>2006-02-28</v>
          </cell>
        </row>
        <row r="1240">
          <cell r="A1240">
            <v>480000</v>
          </cell>
          <cell r="B1240">
            <v>1015</v>
          </cell>
          <cell r="C1240">
            <v>-84.34</v>
          </cell>
          <cell r="D1240" t="str">
            <v>203</v>
          </cell>
          <cell r="E1240" t="str">
            <v>408</v>
          </cell>
          <cell r="F1240">
            <v>0</v>
          </cell>
          <cell r="G1240">
            <v>2</v>
          </cell>
          <cell r="H1240" t="str">
            <v>2006-02-28</v>
          </cell>
        </row>
        <row r="1241">
          <cell r="A1241">
            <v>480000</v>
          </cell>
          <cell r="B1241">
            <v>1015</v>
          </cell>
          <cell r="C1241">
            <v>-15312.23</v>
          </cell>
          <cell r="D1241" t="str">
            <v>203</v>
          </cell>
          <cell r="E1241" t="str">
            <v>408</v>
          </cell>
          <cell r="F1241">
            <v>0</v>
          </cell>
          <cell r="G1241">
            <v>2</v>
          </cell>
          <cell r="H1241" t="str">
            <v>2006-02-28</v>
          </cell>
        </row>
        <row r="1242">
          <cell r="A1242">
            <v>480000</v>
          </cell>
          <cell r="B1242">
            <v>1015</v>
          </cell>
          <cell r="C1242">
            <v>-88.53</v>
          </cell>
          <cell r="D1242" t="str">
            <v>203</v>
          </cell>
          <cell r="E1242" t="str">
            <v>408</v>
          </cell>
          <cell r="F1242">
            <v>0</v>
          </cell>
          <cell r="G1242">
            <v>2</v>
          </cell>
          <cell r="H1242" t="str">
            <v>2006-02-28</v>
          </cell>
        </row>
        <row r="1243">
          <cell r="A1243">
            <v>480000</v>
          </cell>
          <cell r="B1243">
            <v>1015</v>
          </cell>
          <cell r="C1243">
            <v>-127.45</v>
          </cell>
          <cell r="D1243" t="str">
            <v>203</v>
          </cell>
          <cell r="E1243" t="str">
            <v>408</v>
          </cell>
          <cell r="F1243">
            <v>0</v>
          </cell>
          <cell r="G1243">
            <v>2</v>
          </cell>
          <cell r="H1243" t="str">
            <v>2006-02-28</v>
          </cell>
        </row>
        <row r="1244">
          <cell r="A1244">
            <v>480000</v>
          </cell>
          <cell r="B1244">
            <v>1015</v>
          </cell>
          <cell r="C1244">
            <v>-12430.07</v>
          </cell>
          <cell r="D1244" t="str">
            <v>203</v>
          </cell>
          <cell r="E1244" t="str">
            <v>408</v>
          </cell>
          <cell r="F1244">
            <v>0</v>
          </cell>
          <cell r="G1244">
            <v>2</v>
          </cell>
          <cell r="H1244" t="str">
            <v>2006-02-28</v>
          </cell>
        </row>
        <row r="1245">
          <cell r="A1245">
            <v>480000</v>
          </cell>
          <cell r="B1245">
            <v>1015</v>
          </cell>
          <cell r="C1245">
            <v>-35259.67</v>
          </cell>
          <cell r="D1245" t="str">
            <v>203</v>
          </cell>
          <cell r="E1245" t="str">
            <v>408</v>
          </cell>
          <cell r="F1245">
            <v>0</v>
          </cell>
          <cell r="G1245">
            <v>2</v>
          </cell>
          <cell r="H1245" t="str">
            <v>2006-02-28</v>
          </cell>
        </row>
        <row r="1246">
          <cell r="A1246">
            <v>480000</v>
          </cell>
          <cell r="B1246">
            <v>1015</v>
          </cell>
          <cell r="C1246">
            <v>-193.15</v>
          </cell>
          <cell r="D1246" t="str">
            <v>203</v>
          </cell>
          <cell r="E1246" t="str">
            <v>408</v>
          </cell>
          <cell r="F1246">
            <v>0</v>
          </cell>
          <cell r="G1246">
            <v>2</v>
          </cell>
          <cell r="H1246" t="str">
            <v>2006-02-28</v>
          </cell>
        </row>
        <row r="1247">
          <cell r="A1247">
            <v>480000</v>
          </cell>
          <cell r="B1247">
            <v>1015</v>
          </cell>
          <cell r="C1247">
            <v>-64.430000000000007</v>
          </cell>
          <cell r="D1247" t="str">
            <v>203</v>
          </cell>
          <cell r="E1247" t="str">
            <v>408</v>
          </cell>
          <cell r="F1247">
            <v>0</v>
          </cell>
          <cell r="G1247">
            <v>2</v>
          </cell>
          <cell r="H1247" t="str">
            <v>2006-02-28</v>
          </cell>
        </row>
        <row r="1248">
          <cell r="A1248">
            <v>480000</v>
          </cell>
          <cell r="B1248">
            <v>1015</v>
          </cell>
          <cell r="C1248">
            <v>-67.28</v>
          </cell>
          <cell r="D1248" t="str">
            <v>203</v>
          </cell>
          <cell r="E1248" t="str">
            <v>408</v>
          </cell>
          <cell r="F1248">
            <v>0</v>
          </cell>
          <cell r="G1248">
            <v>2</v>
          </cell>
          <cell r="H1248" t="str">
            <v>2006-02-28</v>
          </cell>
        </row>
        <row r="1249">
          <cell r="A1249">
            <v>480000</v>
          </cell>
          <cell r="B1249">
            <v>1015</v>
          </cell>
          <cell r="C1249">
            <v>-3934.94</v>
          </cell>
          <cell r="D1249" t="str">
            <v>203</v>
          </cell>
          <cell r="E1249" t="str">
            <v>408</v>
          </cell>
          <cell r="F1249">
            <v>0</v>
          </cell>
          <cell r="G1249">
            <v>2</v>
          </cell>
          <cell r="H1249" t="str">
            <v>2006-02-28</v>
          </cell>
        </row>
        <row r="1250">
          <cell r="A1250">
            <v>480000</v>
          </cell>
          <cell r="B1250">
            <v>1015</v>
          </cell>
          <cell r="C1250">
            <v>-18.37</v>
          </cell>
          <cell r="D1250" t="str">
            <v>203</v>
          </cell>
          <cell r="E1250" t="str">
            <v>408</v>
          </cell>
          <cell r="F1250">
            <v>0</v>
          </cell>
          <cell r="G1250">
            <v>2</v>
          </cell>
          <cell r="H1250" t="str">
            <v>2006-02-28</v>
          </cell>
        </row>
        <row r="1251">
          <cell r="A1251">
            <v>480000</v>
          </cell>
          <cell r="B1251">
            <v>1015</v>
          </cell>
          <cell r="C1251">
            <v>-37.950000000000003</v>
          </cell>
          <cell r="D1251" t="str">
            <v>203</v>
          </cell>
          <cell r="E1251" t="str">
            <v>408</v>
          </cell>
          <cell r="F1251">
            <v>0</v>
          </cell>
          <cell r="G1251">
            <v>2</v>
          </cell>
          <cell r="H1251" t="str">
            <v>2006-02-28</v>
          </cell>
        </row>
        <row r="1252">
          <cell r="A1252">
            <v>480001</v>
          </cell>
          <cell r="B1252">
            <v>1015</v>
          </cell>
          <cell r="C1252">
            <v>13787.73</v>
          </cell>
          <cell r="D1252" t="str">
            <v>203</v>
          </cell>
          <cell r="E1252" t="str">
            <v>408</v>
          </cell>
          <cell r="F1252">
            <v>0</v>
          </cell>
          <cell r="G1252">
            <v>2</v>
          </cell>
          <cell r="H1252" t="str">
            <v>2006-02-28</v>
          </cell>
        </row>
        <row r="1253">
          <cell r="A1253">
            <v>481004</v>
          </cell>
          <cell r="B1253">
            <v>1015</v>
          </cell>
          <cell r="C1253">
            <v>0</v>
          </cell>
          <cell r="D1253" t="str">
            <v>203</v>
          </cell>
          <cell r="E1253" t="str">
            <v>408</v>
          </cell>
          <cell r="F1253">
            <v>0</v>
          </cell>
          <cell r="G1253">
            <v>2</v>
          </cell>
          <cell r="H1253" t="str">
            <v>2006-02-28</v>
          </cell>
        </row>
        <row r="1254">
          <cell r="A1254">
            <v>481004</v>
          </cell>
          <cell r="B1254">
            <v>1015</v>
          </cell>
          <cell r="C1254">
            <v>-1982.09</v>
          </cell>
          <cell r="D1254" t="str">
            <v>203</v>
          </cell>
          <cell r="E1254" t="str">
            <v>408</v>
          </cell>
          <cell r="F1254">
            <v>0</v>
          </cell>
          <cell r="G1254">
            <v>2</v>
          </cell>
          <cell r="H1254" t="str">
            <v>2006-02-28</v>
          </cell>
        </row>
        <row r="1255">
          <cell r="A1255">
            <v>481004</v>
          </cell>
          <cell r="B1255">
            <v>1015</v>
          </cell>
          <cell r="C1255">
            <v>-41.01</v>
          </cell>
          <cell r="D1255" t="str">
            <v>203</v>
          </cell>
          <cell r="E1255" t="str">
            <v>408</v>
          </cell>
          <cell r="F1255">
            <v>0</v>
          </cell>
          <cell r="G1255">
            <v>2</v>
          </cell>
          <cell r="H1255" t="str">
            <v>2006-02-28</v>
          </cell>
        </row>
        <row r="1256">
          <cell r="A1256">
            <v>481004</v>
          </cell>
          <cell r="B1256">
            <v>1015</v>
          </cell>
          <cell r="C1256">
            <v>-8200.23</v>
          </cell>
          <cell r="D1256" t="str">
            <v>203</v>
          </cell>
          <cell r="E1256" t="str">
            <v>408</v>
          </cell>
          <cell r="F1256">
            <v>0</v>
          </cell>
          <cell r="G1256">
            <v>2</v>
          </cell>
          <cell r="H1256" t="str">
            <v>2006-02-28</v>
          </cell>
        </row>
        <row r="1257">
          <cell r="A1257">
            <v>481004</v>
          </cell>
          <cell r="B1257">
            <v>1015</v>
          </cell>
          <cell r="C1257">
            <v>-22089.58</v>
          </cell>
          <cell r="D1257" t="str">
            <v>203</v>
          </cell>
          <cell r="E1257" t="str">
            <v>408</v>
          </cell>
          <cell r="F1257">
            <v>0</v>
          </cell>
          <cell r="G1257">
            <v>2</v>
          </cell>
          <cell r="H1257" t="str">
            <v>2006-02-28</v>
          </cell>
        </row>
        <row r="1258">
          <cell r="A1258">
            <v>481004</v>
          </cell>
          <cell r="B1258">
            <v>1015</v>
          </cell>
          <cell r="C1258">
            <v>-119.36</v>
          </cell>
          <cell r="D1258" t="str">
            <v>203</v>
          </cell>
          <cell r="E1258" t="str">
            <v>408</v>
          </cell>
          <cell r="F1258">
            <v>0</v>
          </cell>
          <cell r="G1258">
            <v>2</v>
          </cell>
          <cell r="H1258" t="str">
            <v>2006-02-28</v>
          </cell>
        </row>
        <row r="1259">
          <cell r="A1259">
            <v>481004</v>
          </cell>
          <cell r="B1259">
            <v>1015</v>
          </cell>
          <cell r="C1259">
            <v>-166.91</v>
          </cell>
          <cell r="D1259" t="str">
            <v>203</v>
          </cell>
          <cell r="E1259" t="str">
            <v>408</v>
          </cell>
          <cell r="F1259">
            <v>0</v>
          </cell>
          <cell r="G1259">
            <v>2</v>
          </cell>
          <cell r="H1259" t="str">
            <v>2006-02-28</v>
          </cell>
        </row>
        <row r="1260">
          <cell r="A1260">
            <v>481004</v>
          </cell>
          <cell r="B1260">
            <v>1015</v>
          </cell>
          <cell r="C1260">
            <v>-8.9700000000000006</v>
          </cell>
          <cell r="D1260" t="str">
            <v>203</v>
          </cell>
          <cell r="E1260" t="str">
            <v>408</v>
          </cell>
          <cell r="F1260">
            <v>0</v>
          </cell>
          <cell r="G1260">
            <v>2</v>
          </cell>
          <cell r="H1260" t="str">
            <v>2006-02-28</v>
          </cell>
        </row>
        <row r="1261">
          <cell r="A1261">
            <v>481004</v>
          </cell>
          <cell r="B1261">
            <v>1015</v>
          </cell>
          <cell r="C1261">
            <v>-864.72</v>
          </cell>
          <cell r="D1261" t="str">
            <v>203</v>
          </cell>
          <cell r="E1261" t="str">
            <v>408</v>
          </cell>
          <cell r="F1261">
            <v>0</v>
          </cell>
          <cell r="G1261">
            <v>2</v>
          </cell>
          <cell r="H1261" t="str">
            <v>2006-02-28</v>
          </cell>
        </row>
        <row r="1262">
          <cell r="A1262">
            <v>481004</v>
          </cell>
          <cell r="B1262">
            <v>1015</v>
          </cell>
          <cell r="C1262">
            <v>-109.66</v>
          </cell>
          <cell r="D1262" t="str">
            <v>203</v>
          </cell>
          <cell r="E1262" t="str">
            <v>408</v>
          </cell>
          <cell r="F1262">
            <v>0</v>
          </cell>
          <cell r="G1262">
            <v>2</v>
          </cell>
          <cell r="H1262" t="str">
            <v>2006-02-28</v>
          </cell>
        </row>
        <row r="1263">
          <cell r="A1263">
            <v>481002</v>
          </cell>
          <cell r="B1263">
            <v>1015</v>
          </cell>
          <cell r="C1263">
            <v>0</v>
          </cell>
          <cell r="D1263" t="str">
            <v>203</v>
          </cell>
          <cell r="E1263" t="str">
            <v>409</v>
          </cell>
          <cell r="F1263">
            <v>0</v>
          </cell>
          <cell r="G1263">
            <v>2</v>
          </cell>
          <cell r="H1263" t="str">
            <v>2006-02-28</v>
          </cell>
        </row>
        <row r="1264">
          <cell r="A1264">
            <v>481002</v>
          </cell>
          <cell r="B1264">
            <v>1015</v>
          </cell>
          <cell r="C1264">
            <v>0</v>
          </cell>
          <cell r="D1264" t="str">
            <v>203</v>
          </cell>
          <cell r="E1264" t="str">
            <v>409</v>
          </cell>
          <cell r="F1264">
            <v>0</v>
          </cell>
          <cell r="G1264">
            <v>2</v>
          </cell>
          <cell r="H1264" t="str">
            <v>2006-02-28</v>
          </cell>
        </row>
        <row r="1265">
          <cell r="A1265">
            <v>481002</v>
          </cell>
          <cell r="B1265">
            <v>1015</v>
          </cell>
          <cell r="C1265">
            <v>0</v>
          </cell>
          <cell r="D1265" t="str">
            <v>203</v>
          </cell>
          <cell r="E1265" t="str">
            <v>409</v>
          </cell>
          <cell r="F1265">
            <v>0</v>
          </cell>
          <cell r="G1265">
            <v>2</v>
          </cell>
          <cell r="H1265" t="str">
            <v>2006-02-28</v>
          </cell>
        </row>
        <row r="1266">
          <cell r="A1266">
            <v>481002</v>
          </cell>
          <cell r="B1266">
            <v>1015</v>
          </cell>
          <cell r="C1266">
            <v>0</v>
          </cell>
          <cell r="D1266" t="str">
            <v>203</v>
          </cell>
          <cell r="E1266" t="str">
            <v>411</v>
          </cell>
          <cell r="F1266">
            <v>0</v>
          </cell>
          <cell r="G1266">
            <v>2</v>
          </cell>
          <cell r="H1266" t="str">
            <v>2006-02-28</v>
          </cell>
        </row>
        <row r="1267">
          <cell r="A1267">
            <v>481002</v>
          </cell>
          <cell r="B1267">
            <v>1015</v>
          </cell>
          <cell r="C1267">
            <v>-32989.5</v>
          </cell>
          <cell r="D1267" t="str">
            <v>203</v>
          </cell>
          <cell r="E1267" t="str">
            <v>411</v>
          </cell>
          <cell r="F1267">
            <v>0</v>
          </cell>
          <cell r="G1267">
            <v>2</v>
          </cell>
          <cell r="H1267" t="str">
            <v>2006-02-28</v>
          </cell>
        </row>
        <row r="1268">
          <cell r="A1268">
            <v>481002</v>
          </cell>
          <cell r="B1268">
            <v>1015</v>
          </cell>
          <cell r="C1268">
            <v>48583.76</v>
          </cell>
          <cell r="D1268" t="str">
            <v>203</v>
          </cell>
          <cell r="E1268" t="str">
            <v>411</v>
          </cell>
          <cell r="F1268">
            <v>0</v>
          </cell>
          <cell r="G1268">
            <v>2</v>
          </cell>
          <cell r="H1268" t="str">
            <v>2006-02-28</v>
          </cell>
        </row>
        <row r="1269">
          <cell r="A1269">
            <v>481002</v>
          </cell>
          <cell r="B1269">
            <v>1015</v>
          </cell>
          <cell r="C1269">
            <v>-6662.66</v>
          </cell>
          <cell r="D1269" t="str">
            <v>203</v>
          </cell>
          <cell r="E1269" t="str">
            <v>411</v>
          </cell>
          <cell r="F1269">
            <v>0</v>
          </cell>
          <cell r="G1269">
            <v>2</v>
          </cell>
          <cell r="H1269" t="str">
            <v>2006-02-28</v>
          </cell>
        </row>
        <row r="1270">
          <cell r="A1270">
            <v>481002</v>
          </cell>
          <cell r="B1270">
            <v>1015</v>
          </cell>
          <cell r="C1270">
            <v>-9586.2199999999993</v>
          </cell>
          <cell r="D1270" t="str">
            <v>203</v>
          </cell>
          <cell r="E1270" t="str">
            <v>411</v>
          </cell>
          <cell r="F1270">
            <v>0</v>
          </cell>
          <cell r="G1270">
            <v>2</v>
          </cell>
          <cell r="H1270" t="str">
            <v>2006-02-28</v>
          </cell>
        </row>
        <row r="1271">
          <cell r="A1271">
            <v>481002</v>
          </cell>
          <cell r="B1271">
            <v>1015</v>
          </cell>
          <cell r="C1271">
            <v>-194.54</v>
          </cell>
          <cell r="D1271" t="str">
            <v>203</v>
          </cell>
          <cell r="E1271" t="str">
            <v>411</v>
          </cell>
          <cell r="F1271">
            <v>0</v>
          </cell>
          <cell r="G1271">
            <v>2</v>
          </cell>
          <cell r="H1271" t="str">
            <v>2006-02-28</v>
          </cell>
        </row>
        <row r="1272">
          <cell r="A1272">
            <v>481002</v>
          </cell>
          <cell r="B1272">
            <v>1015</v>
          </cell>
          <cell r="C1272">
            <v>-1473.3</v>
          </cell>
          <cell r="D1272" t="str">
            <v>203</v>
          </cell>
          <cell r="E1272" t="str">
            <v>411</v>
          </cell>
          <cell r="F1272">
            <v>0</v>
          </cell>
          <cell r="G1272">
            <v>2</v>
          </cell>
          <cell r="H1272" t="str">
            <v>2006-02-28</v>
          </cell>
        </row>
        <row r="1273">
          <cell r="A1273">
            <v>481002</v>
          </cell>
          <cell r="B1273">
            <v>1015</v>
          </cell>
          <cell r="C1273">
            <v>-613.35</v>
          </cell>
          <cell r="D1273" t="str">
            <v>203</v>
          </cell>
          <cell r="E1273" t="str">
            <v>411</v>
          </cell>
          <cell r="F1273">
            <v>0</v>
          </cell>
          <cell r="G1273">
            <v>2</v>
          </cell>
          <cell r="H1273" t="str">
            <v>2006-02-28</v>
          </cell>
        </row>
        <row r="1274">
          <cell r="A1274">
            <v>481002</v>
          </cell>
          <cell r="B1274">
            <v>1015</v>
          </cell>
          <cell r="C1274">
            <v>-1519.48</v>
          </cell>
          <cell r="D1274" t="str">
            <v>203</v>
          </cell>
          <cell r="E1274" t="str">
            <v>411</v>
          </cell>
          <cell r="F1274">
            <v>0</v>
          </cell>
          <cell r="G1274">
            <v>2</v>
          </cell>
          <cell r="H1274" t="str">
            <v>2006-02-28</v>
          </cell>
        </row>
        <row r="1275">
          <cell r="A1275">
            <v>481002</v>
          </cell>
          <cell r="B1275">
            <v>1015</v>
          </cell>
          <cell r="C1275">
            <v>-343.87</v>
          </cell>
          <cell r="D1275" t="str">
            <v>203</v>
          </cell>
          <cell r="E1275" t="str">
            <v>411</v>
          </cell>
          <cell r="F1275">
            <v>0</v>
          </cell>
          <cell r="G1275">
            <v>2</v>
          </cell>
          <cell r="H1275" t="str">
            <v>2006-02-28</v>
          </cell>
        </row>
        <row r="1276">
          <cell r="A1276">
            <v>481002</v>
          </cell>
          <cell r="B1276">
            <v>1015</v>
          </cell>
          <cell r="C1276">
            <v>-1052.1199999999999</v>
          </cell>
          <cell r="D1276" t="str">
            <v>203</v>
          </cell>
          <cell r="E1276" t="str">
            <v>411</v>
          </cell>
          <cell r="F1276">
            <v>0</v>
          </cell>
          <cell r="G1276">
            <v>2</v>
          </cell>
          <cell r="H1276" t="str">
            <v>2006-02-28</v>
          </cell>
        </row>
        <row r="1277">
          <cell r="A1277">
            <v>481005</v>
          </cell>
          <cell r="B1277">
            <v>1015</v>
          </cell>
          <cell r="C1277">
            <v>0</v>
          </cell>
          <cell r="D1277" t="str">
            <v>203</v>
          </cell>
          <cell r="E1277" t="str">
            <v>411</v>
          </cell>
          <cell r="F1277">
            <v>0</v>
          </cell>
          <cell r="G1277">
            <v>2</v>
          </cell>
          <cell r="H1277" t="str">
            <v>2006-02-28</v>
          </cell>
        </row>
        <row r="1278">
          <cell r="A1278">
            <v>481005</v>
          </cell>
          <cell r="B1278">
            <v>1015</v>
          </cell>
          <cell r="C1278">
            <v>61257.85</v>
          </cell>
          <cell r="D1278" t="str">
            <v>203</v>
          </cell>
          <cell r="E1278" t="str">
            <v>411</v>
          </cell>
          <cell r="F1278">
            <v>0</v>
          </cell>
          <cell r="G1278">
            <v>2</v>
          </cell>
          <cell r="H1278" t="str">
            <v>2006-02-28</v>
          </cell>
        </row>
        <row r="1279">
          <cell r="A1279">
            <v>481005</v>
          </cell>
          <cell r="B1279">
            <v>1015</v>
          </cell>
          <cell r="C1279">
            <v>-70330.77</v>
          </cell>
          <cell r="D1279" t="str">
            <v>203</v>
          </cell>
          <cell r="E1279" t="str">
            <v>411</v>
          </cell>
          <cell r="F1279">
            <v>0</v>
          </cell>
          <cell r="G1279">
            <v>2</v>
          </cell>
          <cell r="H1279" t="str">
            <v>2006-02-28</v>
          </cell>
        </row>
        <row r="1280">
          <cell r="A1280">
            <v>481005</v>
          </cell>
          <cell r="B1280">
            <v>1015</v>
          </cell>
          <cell r="C1280">
            <v>-19.78</v>
          </cell>
          <cell r="D1280" t="str">
            <v>203</v>
          </cell>
          <cell r="E1280" t="str">
            <v>411</v>
          </cell>
          <cell r="F1280">
            <v>0</v>
          </cell>
          <cell r="G1280">
            <v>2</v>
          </cell>
          <cell r="H1280" t="str">
            <v>2006-02-28</v>
          </cell>
        </row>
        <row r="1281">
          <cell r="A1281">
            <v>481005</v>
          </cell>
          <cell r="B1281">
            <v>1015</v>
          </cell>
          <cell r="C1281">
            <v>-278.32</v>
          </cell>
          <cell r="D1281" t="str">
            <v>203</v>
          </cell>
          <cell r="E1281" t="str">
            <v>411</v>
          </cell>
          <cell r="F1281">
            <v>0</v>
          </cell>
          <cell r="G1281">
            <v>2</v>
          </cell>
          <cell r="H1281" t="str">
            <v>2006-02-28</v>
          </cell>
        </row>
        <row r="1282">
          <cell r="A1282">
            <v>481005</v>
          </cell>
          <cell r="B1282">
            <v>1015</v>
          </cell>
          <cell r="C1282">
            <v>-7173.51</v>
          </cell>
          <cell r="D1282" t="str">
            <v>203</v>
          </cell>
          <cell r="E1282" t="str">
            <v>411</v>
          </cell>
          <cell r="F1282">
            <v>0</v>
          </cell>
          <cell r="G1282">
            <v>2</v>
          </cell>
          <cell r="H1282" t="str">
            <v>2006-02-28</v>
          </cell>
        </row>
        <row r="1283">
          <cell r="A1283">
            <v>481005</v>
          </cell>
          <cell r="B1283">
            <v>1015</v>
          </cell>
          <cell r="C1283">
            <v>-266.82</v>
          </cell>
          <cell r="D1283" t="str">
            <v>203</v>
          </cell>
          <cell r="E1283" t="str">
            <v>411</v>
          </cell>
          <cell r="F1283">
            <v>0</v>
          </cell>
          <cell r="G1283">
            <v>2</v>
          </cell>
          <cell r="H1283" t="str">
            <v>2006-02-28</v>
          </cell>
        </row>
        <row r="1284">
          <cell r="A1284">
            <v>481005</v>
          </cell>
          <cell r="B1284">
            <v>1015</v>
          </cell>
          <cell r="C1284">
            <v>-1272.5899999999999</v>
          </cell>
          <cell r="D1284" t="str">
            <v>203</v>
          </cell>
          <cell r="E1284" t="str">
            <v>411</v>
          </cell>
          <cell r="F1284">
            <v>0</v>
          </cell>
          <cell r="G1284">
            <v>2</v>
          </cell>
          <cell r="H1284" t="str">
            <v>2006-02-28</v>
          </cell>
        </row>
        <row r="1285">
          <cell r="A1285">
            <v>481005</v>
          </cell>
          <cell r="B1285">
            <v>1015</v>
          </cell>
          <cell r="C1285">
            <v>-362.82</v>
          </cell>
          <cell r="D1285" t="str">
            <v>203</v>
          </cell>
          <cell r="E1285" t="str">
            <v>411</v>
          </cell>
          <cell r="F1285">
            <v>0</v>
          </cell>
          <cell r="G1285">
            <v>2</v>
          </cell>
          <cell r="H1285" t="str">
            <v>2006-02-28</v>
          </cell>
        </row>
        <row r="1286">
          <cell r="A1286">
            <v>481005</v>
          </cell>
          <cell r="B1286">
            <v>1015</v>
          </cell>
          <cell r="C1286">
            <v>-258.77999999999997</v>
          </cell>
          <cell r="D1286" t="str">
            <v>203</v>
          </cell>
          <cell r="E1286" t="str">
            <v>411</v>
          </cell>
          <cell r="F1286">
            <v>0</v>
          </cell>
          <cell r="G1286">
            <v>2</v>
          </cell>
          <cell r="H1286" t="str">
            <v>2006-02-28</v>
          </cell>
        </row>
        <row r="1287">
          <cell r="A1287">
            <v>481005</v>
          </cell>
          <cell r="B1287">
            <v>1015</v>
          </cell>
          <cell r="C1287">
            <v>-541.84</v>
          </cell>
          <cell r="D1287" t="str">
            <v>203</v>
          </cell>
          <cell r="E1287" t="str">
            <v>411</v>
          </cell>
          <cell r="F1287">
            <v>0</v>
          </cell>
          <cell r="G1287">
            <v>2</v>
          </cell>
          <cell r="H1287" t="str">
            <v>2006-02-28</v>
          </cell>
        </row>
        <row r="1288">
          <cell r="A1288">
            <v>481005</v>
          </cell>
          <cell r="B1288">
            <v>1015</v>
          </cell>
          <cell r="C1288">
            <v>-695.38</v>
          </cell>
          <cell r="D1288" t="str">
            <v>203</v>
          </cell>
          <cell r="E1288" t="str">
            <v>411</v>
          </cell>
          <cell r="F1288">
            <v>0</v>
          </cell>
          <cell r="G1288">
            <v>2</v>
          </cell>
          <cell r="H1288" t="str">
            <v>2006-02-28</v>
          </cell>
        </row>
        <row r="1289">
          <cell r="A1289">
            <v>481005</v>
          </cell>
          <cell r="B1289">
            <v>1015</v>
          </cell>
          <cell r="C1289">
            <v>-1428.37</v>
          </cell>
          <cell r="D1289" t="str">
            <v>203</v>
          </cell>
          <cell r="E1289" t="str">
            <v>411</v>
          </cell>
          <cell r="F1289">
            <v>0</v>
          </cell>
          <cell r="G1289">
            <v>2</v>
          </cell>
          <cell r="H1289" t="str">
            <v>2006-02-28</v>
          </cell>
        </row>
        <row r="1290">
          <cell r="A1290">
            <v>481005</v>
          </cell>
          <cell r="B1290">
            <v>1015</v>
          </cell>
          <cell r="C1290">
            <v>-420.36</v>
          </cell>
          <cell r="D1290" t="str">
            <v>203</v>
          </cell>
          <cell r="E1290" t="str">
            <v>411</v>
          </cell>
          <cell r="F1290">
            <v>0</v>
          </cell>
          <cell r="G1290">
            <v>2</v>
          </cell>
          <cell r="H1290" t="str">
            <v>2006-02-28</v>
          </cell>
        </row>
        <row r="1291">
          <cell r="A1291">
            <v>481002</v>
          </cell>
          <cell r="B1291">
            <v>1015</v>
          </cell>
          <cell r="C1291">
            <v>0</v>
          </cell>
          <cell r="D1291" t="str">
            <v>203</v>
          </cell>
          <cell r="E1291" t="str">
            <v>414</v>
          </cell>
          <cell r="F1291">
            <v>0</v>
          </cell>
          <cell r="G1291">
            <v>2</v>
          </cell>
          <cell r="H1291" t="str">
            <v>2006-02-28</v>
          </cell>
        </row>
        <row r="1292">
          <cell r="A1292">
            <v>481002</v>
          </cell>
          <cell r="B1292">
            <v>1015</v>
          </cell>
          <cell r="C1292">
            <v>-3954.74</v>
          </cell>
          <cell r="D1292" t="str">
            <v>203</v>
          </cell>
          <cell r="E1292" t="str">
            <v>414</v>
          </cell>
          <cell r="F1292">
            <v>0</v>
          </cell>
          <cell r="G1292">
            <v>2</v>
          </cell>
          <cell r="H1292" t="str">
            <v>2006-02-28</v>
          </cell>
        </row>
        <row r="1293">
          <cell r="A1293">
            <v>481002</v>
          </cell>
          <cell r="B1293">
            <v>1015</v>
          </cell>
          <cell r="C1293">
            <v>5565.26</v>
          </cell>
          <cell r="D1293" t="str">
            <v>203</v>
          </cell>
          <cell r="E1293" t="str">
            <v>414</v>
          </cell>
          <cell r="F1293">
            <v>0</v>
          </cell>
          <cell r="G1293">
            <v>2</v>
          </cell>
          <cell r="H1293" t="str">
            <v>2006-02-28</v>
          </cell>
        </row>
        <row r="1294">
          <cell r="A1294">
            <v>481002</v>
          </cell>
          <cell r="B1294">
            <v>1015</v>
          </cell>
          <cell r="C1294">
            <v>-1187.3699999999999</v>
          </cell>
          <cell r="D1294" t="str">
            <v>203</v>
          </cell>
          <cell r="E1294" t="str">
            <v>414</v>
          </cell>
          <cell r="F1294">
            <v>0</v>
          </cell>
          <cell r="G1294">
            <v>2</v>
          </cell>
          <cell r="H1294" t="str">
            <v>2006-02-28</v>
          </cell>
        </row>
        <row r="1295">
          <cell r="A1295">
            <v>481002</v>
          </cell>
          <cell r="B1295">
            <v>1015</v>
          </cell>
          <cell r="C1295">
            <v>-1471.54</v>
          </cell>
          <cell r="D1295" t="str">
            <v>203</v>
          </cell>
          <cell r="E1295" t="str">
            <v>414</v>
          </cell>
          <cell r="F1295">
            <v>0</v>
          </cell>
          <cell r="G1295">
            <v>2</v>
          </cell>
          <cell r="H1295" t="str">
            <v>2006-02-28</v>
          </cell>
        </row>
        <row r="1296">
          <cell r="A1296">
            <v>481005</v>
          </cell>
          <cell r="B1296">
            <v>1015</v>
          </cell>
          <cell r="C1296">
            <v>0</v>
          </cell>
          <cell r="D1296" t="str">
            <v>203</v>
          </cell>
          <cell r="E1296" t="str">
            <v>414</v>
          </cell>
          <cell r="F1296">
            <v>0</v>
          </cell>
          <cell r="G1296">
            <v>2</v>
          </cell>
          <cell r="H1296" t="str">
            <v>2006-02-28</v>
          </cell>
        </row>
        <row r="1297">
          <cell r="A1297">
            <v>481005</v>
          </cell>
          <cell r="B1297">
            <v>1015</v>
          </cell>
          <cell r="C1297">
            <v>6557.17</v>
          </cell>
          <cell r="D1297" t="str">
            <v>203</v>
          </cell>
          <cell r="E1297" t="str">
            <v>414</v>
          </cell>
          <cell r="F1297">
            <v>0</v>
          </cell>
          <cell r="G1297">
            <v>2</v>
          </cell>
          <cell r="H1297" t="str">
            <v>2006-02-28</v>
          </cell>
        </row>
        <row r="1298">
          <cell r="A1298">
            <v>481005</v>
          </cell>
          <cell r="B1298">
            <v>1015</v>
          </cell>
          <cell r="C1298">
            <v>-7376.47</v>
          </cell>
          <cell r="D1298" t="str">
            <v>203</v>
          </cell>
          <cell r="E1298" t="str">
            <v>414</v>
          </cell>
          <cell r="F1298">
            <v>0</v>
          </cell>
          <cell r="G1298">
            <v>2</v>
          </cell>
          <cell r="H1298" t="str">
            <v>2006-02-28</v>
          </cell>
        </row>
        <row r="1299">
          <cell r="A1299">
            <v>481005</v>
          </cell>
          <cell r="B1299">
            <v>1015</v>
          </cell>
          <cell r="C1299">
            <v>-876.31</v>
          </cell>
          <cell r="D1299" t="str">
            <v>203</v>
          </cell>
          <cell r="E1299" t="str">
            <v>414</v>
          </cell>
          <cell r="F1299">
            <v>0</v>
          </cell>
          <cell r="G1299">
            <v>2</v>
          </cell>
          <cell r="H1299" t="str">
            <v>2006-02-28</v>
          </cell>
        </row>
        <row r="1300">
          <cell r="A1300">
            <v>481005</v>
          </cell>
          <cell r="B1300">
            <v>1015</v>
          </cell>
          <cell r="C1300">
            <v>-163.47</v>
          </cell>
          <cell r="D1300" t="str">
            <v>203</v>
          </cell>
          <cell r="E1300" t="str">
            <v>414</v>
          </cell>
          <cell r="F1300">
            <v>0</v>
          </cell>
          <cell r="G1300">
            <v>2</v>
          </cell>
          <cell r="H1300" t="str">
            <v>2006-02-28</v>
          </cell>
        </row>
        <row r="1301">
          <cell r="A1301">
            <v>481000</v>
          </cell>
          <cell r="B1301">
            <v>1015</v>
          </cell>
          <cell r="C1301">
            <v>0</v>
          </cell>
          <cell r="D1301" t="str">
            <v>203</v>
          </cell>
          <cell r="E1301" t="str">
            <v>451</v>
          </cell>
          <cell r="F1301">
            <v>0</v>
          </cell>
          <cell r="G1301">
            <v>2</v>
          </cell>
          <cell r="H1301" t="str">
            <v>2006-02-28</v>
          </cell>
        </row>
        <row r="1302">
          <cell r="A1302">
            <v>481000</v>
          </cell>
          <cell r="B1302">
            <v>1015</v>
          </cell>
          <cell r="C1302">
            <v>0</v>
          </cell>
          <cell r="D1302" t="str">
            <v>203</v>
          </cell>
          <cell r="E1302" t="str">
            <v>451</v>
          </cell>
          <cell r="F1302">
            <v>0</v>
          </cell>
          <cell r="G1302">
            <v>2</v>
          </cell>
          <cell r="H1302" t="str">
            <v>2006-02-28</v>
          </cell>
        </row>
        <row r="1303">
          <cell r="A1303">
            <v>481000</v>
          </cell>
          <cell r="B1303">
            <v>1015</v>
          </cell>
          <cell r="C1303">
            <v>0</v>
          </cell>
          <cell r="D1303" t="str">
            <v>203</v>
          </cell>
          <cell r="E1303" t="str">
            <v>451</v>
          </cell>
          <cell r="F1303">
            <v>0</v>
          </cell>
          <cell r="G1303">
            <v>2</v>
          </cell>
          <cell r="H1303" t="str">
            <v>2006-02-28</v>
          </cell>
        </row>
        <row r="1304">
          <cell r="A1304">
            <v>481004</v>
          </cell>
          <cell r="B1304">
            <v>1015</v>
          </cell>
          <cell r="C1304">
            <v>0</v>
          </cell>
          <cell r="D1304" t="str">
            <v>203</v>
          </cell>
          <cell r="E1304" t="str">
            <v>451</v>
          </cell>
          <cell r="F1304">
            <v>0</v>
          </cell>
          <cell r="G1304">
            <v>2</v>
          </cell>
          <cell r="H1304" t="str">
            <v>2006-02-28</v>
          </cell>
        </row>
        <row r="1305">
          <cell r="A1305">
            <v>481004</v>
          </cell>
          <cell r="B1305">
            <v>1015</v>
          </cell>
          <cell r="C1305">
            <v>0</v>
          </cell>
          <cell r="D1305" t="str">
            <v>203</v>
          </cell>
          <cell r="E1305" t="str">
            <v>451</v>
          </cell>
          <cell r="F1305">
            <v>0</v>
          </cell>
          <cell r="G1305">
            <v>2</v>
          </cell>
          <cell r="H1305" t="str">
            <v>2006-02-28</v>
          </cell>
        </row>
        <row r="1306">
          <cell r="A1306">
            <v>481004</v>
          </cell>
          <cell r="B1306">
            <v>1015</v>
          </cell>
          <cell r="C1306">
            <v>0</v>
          </cell>
          <cell r="D1306" t="str">
            <v>203</v>
          </cell>
          <cell r="E1306" t="str">
            <v>451</v>
          </cell>
          <cell r="F1306">
            <v>0</v>
          </cell>
          <cell r="G1306">
            <v>2</v>
          </cell>
          <cell r="H1306" t="str">
            <v>2006-02-28</v>
          </cell>
        </row>
        <row r="1307">
          <cell r="A1307">
            <v>480001</v>
          </cell>
          <cell r="B1307">
            <v>1015</v>
          </cell>
          <cell r="C1307">
            <v>0</v>
          </cell>
          <cell r="D1307" t="str">
            <v>203</v>
          </cell>
          <cell r="E1307" t="str">
            <v>453</v>
          </cell>
          <cell r="F1307">
            <v>0</v>
          </cell>
          <cell r="G1307">
            <v>2</v>
          </cell>
          <cell r="H1307" t="str">
            <v>2006-02-28</v>
          </cell>
        </row>
        <row r="1308">
          <cell r="A1308">
            <v>480001</v>
          </cell>
          <cell r="B1308">
            <v>1015</v>
          </cell>
          <cell r="C1308">
            <v>0</v>
          </cell>
          <cell r="D1308" t="str">
            <v>203</v>
          </cell>
          <cell r="E1308" t="str">
            <v>455</v>
          </cell>
          <cell r="F1308">
            <v>0</v>
          </cell>
          <cell r="G1308">
            <v>2</v>
          </cell>
          <cell r="H1308" t="str">
            <v>2006-02-28</v>
          </cell>
        </row>
        <row r="1309">
          <cell r="A1309">
            <v>481002</v>
          </cell>
          <cell r="B1309">
            <v>1015</v>
          </cell>
          <cell r="C1309">
            <v>0</v>
          </cell>
          <cell r="D1309" t="str">
            <v>203</v>
          </cell>
          <cell r="E1309" t="str">
            <v>456</v>
          </cell>
          <cell r="F1309">
            <v>0</v>
          </cell>
          <cell r="G1309">
            <v>2</v>
          </cell>
          <cell r="H1309" t="str">
            <v>2006-02-28</v>
          </cell>
        </row>
        <row r="1310">
          <cell r="A1310">
            <v>481002</v>
          </cell>
          <cell r="B1310">
            <v>1015</v>
          </cell>
          <cell r="C1310">
            <v>0</v>
          </cell>
          <cell r="D1310" t="str">
            <v>203</v>
          </cell>
          <cell r="E1310" t="str">
            <v>456</v>
          </cell>
          <cell r="F1310">
            <v>0</v>
          </cell>
          <cell r="G1310">
            <v>2</v>
          </cell>
          <cell r="H1310" t="str">
            <v>2006-02-28</v>
          </cell>
        </row>
        <row r="1311">
          <cell r="A1311">
            <v>481002</v>
          </cell>
          <cell r="B1311">
            <v>1015</v>
          </cell>
          <cell r="C1311">
            <v>0</v>
          </cell>
          <cell r="D1311" t="str">
            <v>203</v>
          </cell>
          <cell r="E1311" t="str">
            <v>456</v>
          </cell>
          <cell r="F1311">
            <v>0</v>
          </cell>
          <cell r="G1311">
            <v>2</v>
          </cell>
          <cell r="H1311" t="str">
            <v>2006-02-28</v>
          </cell>
        </row>
        <row r="1312">
          <cell r="A1312">
            <v>481002</v>
          </cell>
          <cell r="B1312">
            <v>1015</v>
          </cell>
          <cell r="C1312">
            <v>0</v>
          </cell>
          <cell r="D1312" t="str">
            <v>203</v>
          </cell>
          <cell r="E1312" t="str">
            <v>457</v>
          </cell>
          <cell r="F1312">
            <v>0</v>
          </cell>
          <cell r="G1312">
            <v>2</v>
          </cell>
          <cell r="H1312" t="str">
            <v>2006-02-28</v>
          </cell>
        </row>
        <row r="1313">
          <cell r="A1313">
            <v>481002</v>
          </cell>
          <cell r="B1313">
            <v>1015</v>
          </cell>
          <cell r="C1313">
            <v>3689.42</v>
          </cell>
          <cell r="D1313" t="str">
            <v>203</v>
          </cell>
          <cell r="E1313" t="str">
            <v>457</v>
          </cell>
          <cell r="F1313">
            <v>0</v>
          </cell>
          <cell r="G1313">
            <v>2</v>
          </cell>
          <cell r="H1313" t="str">
            <v>2006-02-28</v>
          </cell>
        </row>
        <row r="1314">
          <cell r="A1314">
            <v>481002</v>
          </cell>
          <cell r="B1314">
            <v>1015</v>
          </cell>
          <cell r="C1314">
            <v>-3838.64</v>
          </cell>
          <cell r="D1314" t="str">
            <v>203</v>
          </cell>
          <cell r="E1314" t="str">
            <v>457</v>
          </cell>
          <cell r="F1314">
            <v>0</v>
          </cell>
          <cell r="G1314">
            <v>2</v>
          </cell>
          <cell r="H1314" t="str">
            <v>2006-02-28</v>
          </cell>
        </row>
        <row r="1315">
          <cell r="A1315">
            <v>481005</v>
          </cell>
          <cell r="B1315">
            <v>1015</v>
          </cell>
          <cell r="C1315">
            <v>0</v>
          </cell>
          <cell r="D1315" t="str">
            <v>203</v>
          </cell>
          <cell r="E1315" t="str">
            <v>457</v>
          </cell>
          <cell r="F1315">
            <v>0</v>
          </cell>
          <cell r="G1315">
            <v>2</v>
          </cell>
          <cell r="H1315" t="str">
            <v>2006-02-28</v>
          </cell>
        </row>
        <row r="1316">
          <cell r="A1316">
            <v>481005</v>
          </cell>
          <cell r="B1316">
            <v>1015</v>
          </cell>
          <cell r="C1316">
            <v>5925.3</v>
          </cell>
          <cell r="D1316" t="str">
            <v>203</v>
          </cell>
          <cell r="E1316" t="str">
            <v>457</v>
          </cell>
          <cell r="F1316">
            <v>0</v>
          </cell>
          <cell r="G1316">
            <v>2</v>
          </cell>
          <cell r="H1316" t="str">
            <v>2006-02-28</v>
          </cell>
        </row>
        <row r="1317">
          <cell r="A1317">
            <v>481005</v>
          </cell>
          <cell r="B1317">
            <v>1015</v>
          </cell>
          <cell r="C1317">
            <v>-8736.2999999999993</v>
          </cell>
          <cell r="D1317" t="str">
            <v>203</v>
          </cell>
          <cell r="E1317" t="str">
            <v>457</v>
          </cell>
          <cell r="F1317">
            <v>0</v>
          </cell>
          <cell r="G1317">
            <v>2</v>
          </cell>
          <cell r="H1317" t="str">
            <v>2006-02-28</v>
          </cell>
        </row>
        <row r="1318">
          <cell r="A1318">
            <v>489300</v>
          </cell>
          <cell r="B1318">
            <v>1015</v>
          </cell>
          <cell r="C1318">
            <v>0</v>
          </cell>
          <cell r="D1318" t="str">
            <v>250</v>
          </cell>
          <cell r="E1318" t="str">
            <v>405</v>
          </cell>
          <cell r="F1318">
            <v>0</v>
          </cell>
          <cell r="G1318">
            <v>2</v>
          </cell>
          <cell r="H1318" t="str">
            <v>2006-02-28</v>
          </cell>
        </row>
        <row r="1319">
          <cell r="A1319">
            <v>489300</v>
          </cell>
          <cell r="B1319">
            <v>1015</v>
          </cell>
          <cell r="C1319">
            <v>60469.26</v>
          </cell>
          <cell r="D1319" t="str">
            <v>250</v>
          </cell>
          <cell r="E1319" t="str">
            <v>405</v>
          </cell>
          <cell r="F1319">
            <v>326858</v>
          </cell>
          <cell r="G1319">
            <v>2</v>
          </cell>
          <cell r="H1319" t="str">
            <v>2006-02-28</v>
          </cell>
        </row>
        <row r="1320">
          <cell r="A1320">
            <v>489300</v>
          </cell>
          <cell r="B1320">
            <v>1015</v>
          </cell>
          <cell r="C1320">
            <v>-54876.58</v>
          </cell>
          <cell r="D1320" t="str">
            <v>250</v>
          </cell>
          <cell r="E1320" t="str">
            <v>405</v>
          </cell>
          <cell r="F1320">
            <v>-287562</v>
          </cell>
          <cell r="G1320">
            <v>2</v>
          </cell>
          <cell r="H1320" t="str">
            <v>2006-02-28</v>
          </cell>
        </row>
        <row r="1321">
          <cell r="A1321">
            <v>489300</v>
          </cell>
          <cell r="B1321">
            <v>1015</v>
          </cell>
          <cell r="C1321">
            <v>-3069.96</v>
          </cell>
          <cell r="D1321" t="str">
            <v>250</v>
          </cell>
          <cell r="E1321" t="str">
            <v>405</v>
          </cell>
          <cell r="F1321">
            <v>0</v>
          </cell>
          <cell r="G1321">
            <v>2</v>
          </cell>
          <cell r="H1321" t="str">
            <v>2006-02-28</v>
          </cell>
        </row>
        <row r="1322">
          <cell r="A1322">
            <v>489300</v>
          </cell>
          <cell r="B1322">
            <v>1015</v>
          </cell>
          <cell r="C1322">
            <v>-60469.26</v>
          </cell>
          <cell r="D1322" t="str">
            <v>250</v>
          </cell>
          <cell r="E1322" t="str">
            <v>405</v>
          </cell>
          <cell r="F1322">
            <v>-326858</v>
          </cell>
          <cell r="G1322">
            <v>2</v>
          </cell>
          <cell r="H1322" t="str">
            <v>2006-02-28</v>
          </cell>
        </row>
        <row r="1323">
          <cell r="A1323">
            <v>489304</v>
          </cell>
          <cell r="B1323">
            <v>1015</v>
          </cell>
          <cell r="C1323">
            <v>0</v>
          </cell>
          <cell r="D1323" t="str">
            <v>250</v>
          </cell>
          <cell r="E1323" t="str">
            <v>405</v>
          </cell>
          <cell r="F1323">
            <v>0</v>
          </cell>
          <cell r="G1323">
            <v>2</v>
          </cell>
          <cell r="H1323" t="str">
            <v>2006-02-28</v>
          </cell>
        </row>
        <row r="1324">
          <cell r="A1324">
            <v>489304</v>
          </cell>
          <cell r="B1324">
            <v>1015</v>
          </cell>
          <cell r="C1324">
            <v>32558.23</v>
          </cell>
          <cell r="D1324" t="str">
            <v>250</v>
          </cell>
          <cell r="E1324" t="str">
            <v>405</v>
          </cell>
          <cell r="F1324">
            <v>178720</v>
          </cell>
          <cell r="G1324">
            <v>2</v>
          </cell>
          <cell r="H1324" t="str">
            <v>2006-02-28</v>
          </cell>
        </row>
        <row r="1325">
          <cell r="A1325">
            <v>489304</v>
          </cell>
          <cell r="B1325">
            <v>1015</v>
          </cell>
          <cell r="C1325">
            <v>-30803.56</v>
          </cell>
          <cell r="D1325" t="str">
            <v>250</v>
          </cell>
          <cell r="E1325" t="str">
            <v>405</v>
          </cell>
          <cell r="F1325">
            <v>-167794</v>
          </cell>
          <cell r="G1325">
            <v>2</v>
          </cell>
          <cell r="H1325" t="str">
            <v>2006-02-28</v>
          </cell>
        </row>
        <row r="1326">
          <cell r="A1326">
            <v>489304</v>
          </cell>
          <cell r="B1326">
            <v>1015</v>
          </cell>
          <cell r="C1326">
            <v>-32558.23</v>
          </cell>
          <cell r="D1326" t="str">
            <v>250</v>
          </cell>
          <cell r="E1326" t="str">
            <v>405</v>
          </cell>
          <cell r="F1326">
            <v>-178720</v>
          </cell>
          <cell r="G1326">
            <v>2</v>
          </cell>
          <cell r="H1326" t="str">
            <v>2006-02-28</v>
          </cell>
        </row>
        <row r="1327">
          <cell r="A1327">
            <v>489300</v>
          </cell>
          <cell r="B1327">
            <v>1015</v>
          </cell>
          <cell r="C1327">
            <v>0</v>
          </cell>
          <cell r="D1327" t="str">
            <v>250</v>
          </cell>
          <cell r="E1327" t="str">
            <v>405</v>
          </cell>
          <cell r="F1327">
            <v>0</v>
          </cell>
          <cell r="G1327">
            <v>2</v>
          </cell>
          <cell r="H1327" t="str">
            <v>2006-02-28</v>
          </cell>
        </row>
        <row r="1328">
          <cell r="A1328">
            <v>489300</v>
          </cell>
          <cell r="B1328">
            <v>1015</v>
          </cell>
          <cell r="C1328">
            <v>79549.09</v>
          </cell>
          <cell r="D1328" t="str">
            <v>250</v>
          </cell>
          <cell r="E1328" t="str">
            <v>405</v>
          </cell>
          <cell r="F1328">
            <v>328298</v>
          </cell>
          <cell r="G1328">
            <v>2</v>
          </cell>
          <cell r="H1328" t="str">
            <v>2006-02-28</v>
          </cell>
        </row>
        <row r="1329">
          <cell r="A1329">
            <v>489300</v>
          </cell>
          <cell r="B1329">
            <v>1015</v>
          </cell>
          <cell r="C1329">
            <v>-76971.92</v>
          </cell>
          <cell r="D1329" t="str">
            <v>250</v>
          </cell>
          <cell r="E1329" t="str">
            <v>405</v>
          </cell>
          <cell r="F1329">
            <v>-299321</v>
          </cell>
          <cell r="G1329">
            <v>2</v>
          </cell>
          <cell r="H1329" t="str">
            <v>2006-02-28</v>
          </cell>
        </row>
        <row r="1330">
          <cell r="A1330">
            <v>489300</v>
          </cell>
          <cell r="B1330">
            <v>1015</v>
          </cell>
          <cell r="C1330">
            <v>1465.22</v>
          </cell>
          <cell r="D1330" t="str">
            <v>250</v>
          </cell>
          <cell r="E1330" t="str">
            <v>405</v>
          </cell>
          <cell r="F1330">
            <v>0</v>
          </cell>
          <cell r="G1330">
            <v>2</v>
          </cell>
          <cell r="H1330" t="str">
            <v>2006-02-28</v>
          </cell>
        </row>
        <row r="1331">
          <cell r="A1331">
            <v>489300</v>
          </cell>
          <cell r="B1331">
            <v>1015</v>
          </cell>
          <cell r="C1331">
            <v>-1465.22</v>
          </cell>
          <cell r="D1331" t="str">
            <v>250</v>
          </cell>
          <cell r="E1331" t="str">
            <v>405</v>
          </cell>
          <cell r="F1331">
            <v>0</v>
          </cell>
          <cell r="G1331">
            <v>2</v>
          </cell>
          <cell r="H1331" t="str">
            <v>2006-02-28</v>
          </cell>
        </row>
        <row r="1332">
          <cell r="A1332">
            <v>489300</v>
          </cell>
          <cell r="B1332">
            <v>1015</v>
          </cell>
          <cell r="C1332">
            <v>-630.48</v>
          </cell>
          <cell r="D1332" t="str">
            <v>250</v>
          </cell>
          <cell r="E1332" t="str">
            <v>405</v>
          </cell>
          <cell r="F1332">
            <v>0</v>
          </cell>
          <cell r="G1332">
            <v>2</v>
          </cell>
          <cell r="H1332" t="str">
            <v>2006-02-28</v>
          </cell>
        </row>
        <row r="1333">
          <cell r="A1333">
            <v>489300</v>
          </cell>
          <cell r="B1333">
            <v>1015</v>
          </cell>
          <cell r="C1333">
            <v>-77295</v>
          </cell>
          <cell r="D1333" t="str">
            <v>250</v>
          </cell>
          <cell r="E1333" t="str">
            <v>405</v>
          </cell>
          <cell r="F1333">
            <v>-310021</v>
          </cell>
          <cell r="G1333">
            <v>2</v>
          </cell>
          <cell r="H1333" t="str">
            <v>2006-02-28</v>
          </cell>
        </row>
        <row r="1334">
          <cell r="A1334">
            <v>489300</v>
          </cell>
          <cell r="B1334">
            <v>1015</v>
          </cell>
          <cell r="C1334">
            <v>-1632.42</v>
          </cell>
          <cell r="D1334" t="str">
            <v>250</v>
          </cell>
          <cell r="E1334" t="str">
            <v>405</v>
          </cell>
          <cell r="F1334">
            <v>-18277</v>
          </cell>
          <cell r="G1334">
            <v>2</v>
          </cell>
          <cell r="H1334" t="str">
            <v>2006-02-28</v>
          </cell>
        </row>
        <row r="1335">
          <cell r="A1335">
            <v>489304</v>
          </cell>
          <cell r="B1335">
            <v>1015</v>
          </cell>
          <cell r="C1335">
            <v>0</v>
          </cell>
          <cell r="D1335" t="str">
            <v>250</v>
          </cell>
          <cell r="E1335" t="str">
            <v>405</v>
          </cell>
          <cell r="F1335">
            <v>0</v>
          </cell>
          <cell r="G1335">
            <v>2</v>
          </cell>
          <cell r="H1335" t="str">
            <v>2006-02-28</v>
          </cell>
        </row>
        <row r="1336">
          <cell r="A1336">
            <v>489304</v>
          </cell>
          <cell r="B1336">
            <v>1015</v>
          </cell>
          <cell r="C1336">
            <v>42930.05</v>
          </cell>
          <cell r="D1336" t="str">
            <v>250</v>
          </cell>
          <cell r="E1336" t="str">
            <v>405</v>
          </cell>
          <cell r="F1336">
            <v>224361</v>
          </cell>
          <cell r="G1336">
            <v>2</v>
          </cell>
          <cell r="H1336" t="str">
            <v>2006-02-28</v>
          </cell>
        </row>
        <row r="1337">
          <cell r="A1337">
            <v>489304</v>
          </cell>
          <cell r="B1337">
            <v>1015</v>
          </cell>
          <cell r="C1337">
            <v>-42193.3</v>
          </cell>
          <cell r="D1337" t="str">
            <v>250</v>
          </cell>
          <cell r="E1337" t="str">
            <v>405</v>
          </cell>
          <cell r="F1337">
            <v>-199625</v>
          </cell>
          <cell r="G1337">
            <v>2</v>
          </cell>
          <cell r="H1337" t="str">
            <v>2006-02-28</v>
          </cell>
        </row>
        <row r="1338">
          <cell r="A1338">
            <v>489304</v>
          </cell>
          <cell r="B1338">
            <v>1015</v>
          </cell>
          <cell r="C1338">
            <v>-42930.05</v>
          </cell>
          <cell r="D1338" t="str">
            <v>250</v>
          </cell>
          <cell r="E1338" t="str">
            <v>405</v>
          </cell>
          <cell r="F1338">
            <v>-224361</v>
          </cell>
          <cell r="G1338">
            <v>2</v>
          </cell>
          <cell r="H1338" t="str">
            <v>2006-02-28</v>
          </cell>
        </row>
        <row r="1339">
          <cell r="A1339">
            <v>489304</v>
          </cell>
          <cell r="B1339">
            <v>1015</v>
          </cell>
          <cell r="C1339">
            <v>-621.66999999999996</v>
          </cell>
          <cell r="D1339" t="str">
            <v>250</v>
          </cell>
          <cell r="E1339" t="str">
            <v>405</v>
          </cell>
          <cell r="F1339">
            <v>0</v>
          </cell>
          <cell r="G1339">
            <v>2</v>
          </cell>
          <cell r="H1339" t="str">
            <v>2006-02-28</v>
          </cell>
        </row>
        <row r="1340">
          <cell r="A1340">
            <v>489304</v>
          </cell>
          <cell r="B1340">
            <v>1015</v>
          </cell>
          <cell r="C1340">
            <v>927.31</v>
          </cell>
          <cell r="D1340" t="str">
            <v>250</v>
          </cell>
          <cell r="E1340" t="str">
            <v>405</v>
          </cell>
          <cell r="F1340">
            <v>4725</v>
          </cell>
          <cell r="G1340">
            <v>2</v>
          </cell>
          <cell r="H1340" t="str">
            <v>2006-02-28</v>
          </cell>
        </row>
        <row r="1341">
          <cell r="A1341">
            <v>489304</v>
          </cell>
          <cell r="B1341">
            <v>1015</v>
          </cell>
          <cell r="C1341">
            <v>-2.66</v>
          </cell>
          <cell r="D1341" t="str">
            <v>250</v>
          </cell>
          <cell r="E1341" t="str">
            <v>405</v>
          </cell>
          <cell r="F1341">
            <v>-13</v>
          </cell>
          <cell r="G1341">
            <v>2</v>
          </cell>
          <cell r="H1341" t="str">
            <v>2006-02-28</v>
          </cell>
        </row>
        <row r="1342">
          <cell r="A1342">
            <v>489300</v>
          </cell>
          <cell r="B1342">
            <v>1015</v>
          </cell>
          <cell r="C1342">
            <v>0</v>
          </cell>
          <cell r="D1342" t="str">
            <v>250</v>
          </cell>
          <cell r="E1342" t="str">
            <v>415</v>
          </cell>
          <cell r="F1342">
            <v>0</v>
          </cell>
          <cell r="G1342">
            <v>2</v>
          </cell>
          <cell r="H1342" t="str">
            <v>2006-02-28</v>
          </cell>
        </row>
        <row r="1343">
          <cell r="A1343">
            <v>489300</v>
          </cell>
          <cell r="B1343">
            <v>1015</v>
          </cell>
          <cell r="C1343">
            <v>202946.29</v>
          </cell>
          <cell r="D1343" t="str">
            <v>250</v>
          </cell>
          <cell r="E1343" t="str">
            <v>415</v>
          </cell>
          <cell r="F1343">
            <v>1421071</v>
          </cell>
          <cell r="G1343">
            <v>2</v>
          </cell>
          <cell r="H1343" t="str">
            <v>2006-02-28</v>
          </cell>
        </row>
        <row r="1344">
          <cell r="A1344">
            <v>489300</v>
          </cell>
          <cell r="B1344">
            <v>1015</v>
          </cell>
          <cell r="C1344">
            <v>-213266.42</v>
          </cell>
          <cell r="D1344" t="str">
            <v>250</v>
          </cell>
          <cell r="E1344" t="str">
            <v>415</v>
          </cell>
          <cell r="F1344">
            <v>-1401101</v>
          </cell>
          <cell r="G1344">
            <v>2</v>
          </cell>
          <cell r="H1344" t="str">
            <v>2006-02-28</v>
          </cell>
        </row>
        <row r="1345">
          <cell r="A1345">
            <v>489300</v>
          </cell>
          <cell r="B1345">
            <v>1015</v>
          </cell>
          <cell r="C1345">
            <v>3069.96</v>
          </cell>
          <cell r="D1345" t="str">
            <v>250</v>
          </cell>
          <cell r="E1345" t="str">
            <v>415</v>
          </cell>
          <cell r="F1345">
            <v>0</v>
          </cell>
          <cell r="G1345">
            <v>2</v>
          </cell>
          <cell r="H1345" t="str">
            <v>2006-02-28</v>
          </cell>
        </row>
        <row r="1346">
          <cell r="A1346">
            <v>489300</v>
          </cell>
          <cell r="B1346">
            <v>1015</v>
          </cell>
          <cell r="C1346">
            <v>-64.38</v>
          </cell>
          <cell r="D1346" t="str">
            <v>250</v>
          </cell>
          <cell r="E1346" t="str">
            <v>415</v>
          </cell>
          <cell r="F1346">
            <v>0</v>
          </cell>
          <cell r="G1346">
            <v>2</v>
          </cell>
          <cell r="H1346" t="str">
            <v>2006-02-28</v>
          </cell>
        </row>
        <row r="1347">
          <cell r="A1347">
            <v>489300</v>
          </cell>
          <cell r="B1347">
            <v>1015</v>
          </cell>
          <cell r="C1347">
            <v>-202946.29</v>
          </cell>
          <cell r="D1347" t="str">
            <v>250</v>
          </cell>
          <cell r="E1347" t="str">
            <v>415</v>
          </cell>
          <cell r="F1347">
            <v>-1421071</v>
          </cell>
          <cell r="G1347">
            <v>2</v>
          </cell>
          <cell r="H1347" t="str">
            <v>2006-02-28</v>
          </cell>
        </row>
        <row r="1348">
          <cell r="A1348">
            <v>489300</v>
          </cell>
          <cell r="B1348">
            <v>4015</v>
          </cell>
          <cell r="C1348">
            <v>0</v>
          </cell>
          <cell r="D1348" t="str">
            <v>250</v>
          </cell>
          <cell r="E1348" t="str">
            <v>415</v>
          </cell>
          <cell r="F1348">
            <v>0</v>
          </cell>
          <cell r="G1348">
            <v>2</v>
          </cell>
          <cell r="H1348" t="str">
            <v>2006-02-28</v>
          </cell>
        </row>
        <row r="1349">
          <cell r="A1349">
            <v>489304</v>
          </cell>
          <cell r="B1349">
            <v>1015</v>
          </cell>
          <cell r="C1349">
            <v>0</v>
          </cell>
          <cell r="D1349" t="str">
            <v>250</v>
          </cell>
          <cell r="E1349" t="str">
            <v>415</v>
          </cell>
          <cell r="F1349">
            <v>0</v>
          </cell>
          <cell r="G1349">
            <v>2</v>
          </cell>
          <cell r="H1349" t="str">
            <v>2006-02-28</v>
          </cell>
        </row>
        <row r="1350">
          <cell r="A1350">
            <v>489304</v>
          </cell>
          <cell r="B1350">
            <v>1015</v>
          </cell>
          <cell r="C1350">
            <v>83924.68</v>
          </cell>
          <cell r="D1350" t="str">
            <v>250</v>
          </cell>
          <cell r="E1350" t="str">
            <v>415</v>
          </cell>
          <cell r="F1350">
            <v>487278</v>
          </cell>
          <cell r="G1350">
            <v>2</v>
          </cell>
          <cell r="H1350" t="str">
            <v>2006-02-28</v>
          </cell>
        </row>
        <row r="1351">
          <cell r="A1351">
            <v>489304</v>
          </cell>
          <cell r="B1351">
            <v>1015</v>
          </cell>
          <cell r="C1351">
            <v>-80232.649999999994</v>
          </cell>
          <cell r="D1351" t="str">
            <v>250</v>
          </cell>
          <cell r="E1351" t="str">
            <v>415</v>
          </cell>
          <cell r="F1351">
            <v>-425123</v>
          </cell>
          <cell r="G1351">
            <v>2</v>
          </cell>
          <cell r="H1351" t="str">
            <v>2006-02-28</v>
          </cell>
        </row>
        <row r="1352">
          <cell r="A1352">
            <v>489304</v>
          </cell>
          <cell r="B1352">
            <v>1015</v>
          </cell>
          <cell r="C1352">
            <v>-83087.61</v>
          </cell>
          <cell r="D1352" t="str">
            <v>250</v>
          </cell>
          <cell r="E1352" t="str">
            <v>415</v>
          </cell>
          <cell r="F1352">
            <v>-482896</v>
          </cell>
          <cell r="G1352">
            <v>2</v>
          </cell>
          <cell r="H1352" t="str">
            <v>2006-02-28</v>
          </cell>
        </row>
        <row r="1353">
          <cell r="A1353">
            <v>489304</v>
          </cell>
          <cell r="B1353">
            <v>1015</v>
          </cell>
          <cell r="C1353">
            <v>-837.07</v>
          </cell>
          <cell r="D1353" t="str">
            <v>250</v>
          </cell>
          <cell r="E1353" t="str">
            <v>415</v>
          </cell>
          <cell r="F1353">
            <v>-4382</v>
          </cell>
          <cell r="G1353">
            <v>2</v>
          </cell>
          <cell r="H1353" t="str">
            <v>2006-02-28</v>
          </cell>
        </row>
        <row r="1354">
          <cell r="A1354">
            <v>489300</v>
          </cell>
          <cell r="B1354">
            <v>1015</v>
          </cell>
          <cell r="C1354">
            <v>0</v>
          </cell>
          <cell r="D1354" t="str">
            <v>250</v>
          </cell>
          <cell r="E1354" t="str">
            <v>416</v>
          </cell>
          <cell r="F1354">
            <v>0</v>
          </cell>
          <cell r="G1354">
            <v>2</v>
          </cell>
          <cell r="H1354" t="str">
            <v>2006-02-28</v>
          </cell>
        </row>
        <row r="1355">
          <cell r="A1355">
            <v>489300</v>
          </cell>
          <cell r="B1355">
            <v>1015</v>
          </cell>
          <cell r="C1355">
            <v>0</v>
          </cell>
          <cell r="D1355" t="str">
            <v>250</v>
          </cell>
          <cell r="E1355" t="str">
            <v>416</v>
          </cell>
          <cell r="F1355">
            <v>0</v>
          </cell>
          <cell r="G1355">
            <v>2</v>
          </cell>
          <cell r="H1355" t="str">
            <v>2006-02-28</v>
          </cell>
        </row>
        <row r="1356">
          <cell r="A1356">
            <v>489300</v>
          </cell>
          <cell r="B1356">
            <v>1015</v>
          </cell>
          <cell r="C1356">
            <v>0</v>
          </cell>
          <cell r="D1356" t="str">
            <v>250</v>
          </cell>
          <cell r="E1356" t="str">
            <v>416</v>
          </cell>
          <cell r="F1356">
            <v>0</v>
          </cell>
          <cell r="G1356">
            <v>2</v>
          </cell>
          <cell r="H1356" t="str">
            <v>2006-02-28</v>
          </cell>
        </row>
        <row r="1357">
          <cell r="A1357">
            <v>489304</v>
          </cell>
          <cell r="B1357">
            <v>1015</v>
          </cell>
          <cell r="C1357">
            <v>0</v>
          </cell>
          <cell r="D1357" t="str">
            <v>250</v>
          </cell>
          <cell r="E1357" t="str">
            <v>416</v>
          </cell>
          <cell r="F1357">
            <v>0</v>
          </cell>
          <cell r="G1357">
            <v>2</v>
          </cell>
          <cell r="H1357" t="str">
            <v>2006-02-28</v>
          </cell>
        </row>
        <row r="1358">
          <cell r="A1358">
            <v>489304</v>
          </cell>
          <cell r="B1358">
            <v>1015</v>
          </cell>
          <cell r="C1358">
            <v>1903.51</v>
          </cell>
          <cell r="D1358" t="str">
            <v>250</v>
          </cell>
          <cell r="E1358" t="str">
            <v>416</v>
          </cell>
          <cell r="F1358">
            <v>3600</v>
          </cell>
          <cell r="G1358">
            <v>2</v>
          </cell>
          <cell r="H1358" t="str">
            <v>2006-02-28</v>
          </cell>
        </row>
        <row r="1359">
          <cell r="A1359">
            <v>489304</v>
          </cell>
          <cell r="B1359">
            <v>1015</v>
          </cell>
          <cell r="C1359">
            <v>-1583.63</v>
          </cell>
          <cell r="D1359" t="str">
            <v>250</v>
          </cell>
          <cell r="E1359" t="str">
            <v>416</v>
          </cell>
          <cell r="F1359">
            <v>-2783</v>
          </cell>
          <cell r="G1359">
            <v>2</v>
          </cell>
          <cell r="H1359" t="str">
            <v>2006-02-28</v>
          </cell>
        </row>
        <row r="1360">
          <cell r="A1360">
            <v>489304</v>
          </cell>
          <cell r="B1360">
            <v>1015</v>
          </cell>
          <cell r="C1360">
            <v>-1903.51</v>
          </cell>
          <cell r="D1360" t="str">
            <v>250</v>
          </cell>
          <cell r="E1360" t="str">
            <v>416</v>
          </cell>
          <cell r="F1360">
            <v>-3600</v>
          </cell>
          <cell r="G1360">
            <v>2</v>
          </cell>
          <cell r="H1360" t="str">
            <v>2006-02-28</v>
          </cell>
        </row>
        <row r="1361">
          <cell r="A1361">
            <v>489300</v>
          </cell>
          <cell r="B1361">
            <v>1015</v>
          </cell>
          <cell r="C1361">
            <v>0</v>
          </cell>
          <cell r="D1361" t="str">
            <v>250</v>
          </cell>
          <cell r="E1361" t="str">
            <v>458</v>
          </cell>
          <cell r="F1361">
            <v>0</v>
          </cell>
          <cell r="G1361">
            <v>2</v>
          </cell>
          <cell r="H1361" t="str">
            <v>2006-02-28</v>
          </cell>
        </row>
        <row r="1362">
          <cell r="A1362">
            <v>489300</v>
          </cell>
          <cell r="B1362">
            <v>1015</v>
          </cell>
          <cell r="C1362">
            <v>4356.42</v>
          </cell>
          <cell r="D1362" t="str">
            <v>250</v>
          </cell>
          <cell r="E1362" t="str">
            <v>458</v>
          </cell>
          <cell r="F1362">
            <v>34272</v>
          </cell>
          <cell r="G1362">
            <v>2</v>
          </cell>
          <cell r="H1362" t="str">
            <v>2006-02-28</v>
          </cell>
        </row>
        <row r="1363">
          <cell r="A1363">
            <v>489300</v>
          </cell>
          <cell r="B1363">
            <v>1015</v>
          </cell>
          <cell r="C1363">
            <v>-3393.7</v>
          </cell>
          <cell r="D1363" t="str">
            <v>250</v>
          </cell>
          <cell r="E1363" t="str">
            <v>458</v>
          </cell>
          <cell r="F1363">
            <v>-22172</v>
          </cell>
          <cell r="G1363">
            <v>2</v>
          </cell>
          <cell r="H1363" t="str">
            <v>2006-02-28</v>
          </cell>
        </row>
        <row r="1364">
          <cell r="A1364">
            <v>489300</v>
          </cell>
          <cell r="B1364">
            <v>1015</v>
          </cell>
          <cell r="C1364">
            <v>-647.79</v>
          </cell>
          <cell r="D1364" t="str">
            <v>250</v>
          </cell>
          <cell r="E1364" t="str">
            <v>458</v>
          </cell>
          <cell r="F1364">
            <v>0</v>
          </cell>
          <cell r="G1364">
            <v>2</v>
          </cell>
          <cell r="H1364" t="str">
            <v>2006-02-28</v>
          </cell>
        </row>
        <row r="1365">
          <cell r="A1365">
            <v>489300</v>
          </cell>
          <cell r="B1365">
            <v>1015</v>
          </cell>
          <cell r="C1365">
            <v>-1332.8</v>
          </cell>
          <cell r="D1365" t="str">
            <v>250</v>
          </cell>
          <cell r="E1365" t="str">
            <v>458</v>
          </cell>
          <cell r="F1365">
            <v>-20825</v>
          </cell>
          <cell r="G1365">
            <v>2</v>
          </cell>
          <cell r="H1365" t="str">
            <v>2006-02-28</v>
          </cell>
        </row>
        <row r="1366">
          <cell r="A1366">
            <v>489300</v>
          </cell>
          <cell r="B1366">
            <v>1015</v>
          </cell>
          <cell r="C1366">
            <v>-3023.62</v>
          </cell>
          <cell r="D1366" t="str">
            <v>250</v>
          </cell>
          <cell r="E1366" t="str">
            <v>458</v>
          </cell>
          <cell r="F1366">
            <v>-13447</v>
          </cell>
          <cell r="G1366">
            <v>2</v>
          </cell>
          <cell r="H1366" t="str">
            <v>2006-02-28</v>
          </cell>
        </row>
        <row r="1367">
          <cell r="A1367">
            <v>489304</v>
          </cell>
          <cell r="B1367">
            <v>1015</v>
          </cell>
          <cell r="C1367">
            <v>0</v>
          </cell>
          <cell r="D1367" t="str">
            <v>250</v>
          </cell>
          <cell r="E1367" t="str">
            <v>458</v>
          </cell>
          <cell r="F1367">
            <v>0</v>
          </cell>
          <cell r="G1367">
            <v>2</v>
          </cell>
          <cell r="H1367" t="str">
            <v>2006-02-28</v>
          </cell>
        </row>
        <row r="1368">
          <cell r="A1368">
            <v>489304</v>
          </cell>
          <cell r="B1368">
            <v>1015</v>
          </cell>
          <cell r="C1368">
            <v>1559.9</v>
          </cell>
          <cell r="D1368" t="str">
            <v>250</v>
          </cell>
          <cell r="E1368" t="str">
            <v>458</v>
          </cell>
          <cell r="F1368">
            <v>4863</v>
          </cell>
          <cell r="G1368">
            <v>2</v>
          </cell>
          <cell r="H1368" t="str">
            <v>2006-02-28</v>
          </cell>
        </row>
        <row r="1369">
          <cell r="A1369">
            <v>489304</v>
          </cell>
          <cell r="B1369">
            <v>1015</v>
          </cell>
          <cell r="C1369">
            <v>-1368.5</v>
          </cell>
          <cell r="D1369" t="str">
            <v>250</v>
          </cell>
          <cell r="E1369" t="str">
            <v>458</v>
          </cell>
          <cell r="F1369">
            <v>-4225</v>
          </cell>
          <cell r="G1369">
            <v>2</v>
          </cell>
          <cell r="H1369" t="str">
            <v>2006-02-28</v>
          </cell>
        </row>
        <row r="1370">
          <cell r="A1370">
            <v>489304</v>
          </cell>
          <cell r="B1370">
            <v>1015</v>
          </cell>
          <cell r="C1370">
            <v>-1559.9</v>
          </cell>
          <cell r="D1370" t="str">
            <v>250</v>
          </cell>
          <cell r="E1370" t="str">
            <v>458</v>
          </cell>
          <cell r="F1370">
            <v>-4863</v>
          </cell>
          <cell r="G1370">
            <v>2</v>
          </cell>
          <cell r="H1370" t="str">
            <v>2006-02-28</v>
          </cell>
        </row>
        <row r="1371">
          <cell r="A1371">
            <v>489300</v>
          </cell>
          <cell r="B1371">
            <v>1015</v>
          </cell>
          <cell r="C1371">
            <v>0</v>
          </cell>
          <cell r="D1371" t="str">
            <v>250</v>
          </cell>
          <cell r="E1371" t="str">
            <v>459</v>
          </cell>
          <cell r="F1371">
            <v>0</v>
          </cell>
          <cell r="G1371">
            <v>2</v>
          </cell>
          <cell r="H1371" t="str">
            <v>2006-02-28</v>
          </cell>
        </row>
        <row r="1372">
          <cell r="A1372">
            <v>489300</v>
          </cell>
          <cell r="B1372">
            <v>1015</v>
          </cell>
          <cell r="C1372">
            <v>2047.51</v>
          </cell>
          <cell r="D1372" t="str">
            <v>250</v>
          </cell>
          <cell r="E1372" t="str">
            <v>459</v>
          </cell>
          <cell r="F1372">
            <v>7900</v>
          </cell>
          <cell r="G1372">
            <v>2</v>
          </cell>
          <cell r="H1372" t="str">
            <v>2006-02-28</v>
          </cell>
        </row>
        <row r="1373">
          <cell r="A1373">
            <v>489300</v>
          </cell>
          <cell r="B1373">
            <v>1015</v>
          </cell>
          <cell r="C1373">
            <v>-2016.61</v>
          </cell>
          <cell r="D1373" t="str">
            <v>250</v>
          </cell>
          <cell r="E1373" t="str">
            <v>459</v>
          </cell>
          <cell r="F1373">
            <v>-7627</v>
          </cell>
          <cell r="G1373">
            <v>2</v>
          </cell>
          <cell r="H1373" t="str">
            <v>2006-02-28</v>
          </cell>
        </row>
        <row r="1374">
          <cell r="A1374">
            <v>489300</v>
          </cell>
          <cell r="B1374">
            <v>1015</v>
          </cell>
          <cell r="C1374">
            <v>-2047.51</v>
          </cell>
          <cell r="D1374" t="str">
            <v>250</v>
          </cell>
          <cell r="E1374" t="str">
            <v>459</v>
          </cell>
          <cell r="F1374">
            <v>-7900</v>
          </cell>
          <cell r="G1374">
            <v>2</v>
          </cell>
          <cell r="H1374" t="str">
            <v>2006-02-28</v>
          </cell>
        </row>
        <row r="1375">
          <cell r="A1375">
            <v>489304</v>
          </cell>
          <cell r="B1375">
            <v>1015</v>
          </cell>
          <cell r="C1375">
            <v>0</v>
          </cell>
          <cell r="D1375" t="str">
            <v>250</v>
          </cell>
          <cell r="E1375" t="str">
            <v>459</v>
          </cell>
          <cell r="F1375">
            <v>0</v>
          </cell>
          <cell r="G1375">
            <v>2</v>
          </cell>
          <cell r="H1375" t="str">
            <v>2006-02-28</v>
          </cell>
        </row>
        <row r="1376">
          <cell r="A1376">
            <v>489304</v>
          </cell>
          <cell r="B1376">
            <v>1015</v>
          </cell>
          <cell r="C1376">
            <v>0</v>
          </cell>
          <cell r="D1376" t="str">
            <v>250</v>
          </cell>
          <cell r="E1376" t="str">
            <v>459</v>
          </cell>
          <cell r="F1376">
            <v>0</v>
          </cell>
          <cell r="G1376">
            <v>2</v>
          </cell>
          <cell r="H1376" t="str">
            <v>2006-02-28</v>
          </cell>
        </row>
        <row r="1377">
          <cell r="A1377">
            <v>489304</v>
          </cell>
          <cell r="B1377">
            <v>1015</v>
          </cell>
          <cell r="C1377">
            <v>0</v>
          </cell>
          <cell r="D1377" t="str">
            <v>250</v>
          </cell>
          <cell r="E1377" t="str">
            <v>459</v>
          </cell>
          <cell r="F1377">
            <v>0</v>
          </cell>
          <cell r="G1377">
            <v>2</v>
          </cell>
          <cell r="H1377" t="str">
            <v>2006-02-28</v>
          </cell>
        </row>
        <row r="1378">
          <cell r="A1378">
            <v>480000</v>
          </cell>
          <cell r="B1378">
            <v>1015</v>
          </cell>
          <cell r="C1378">
            <v>-0.01</v>
          </cell>
          <cell r="D1378" t="str">
            <v>205</v>
          </cell>
          <cell r="E1378" t="str">
            <v>407</v>
          </cell>
          <cell r="F1378">
            <v>0</v>
          </cell>
          <cell r="G1378">
            <v>2</v>
          </cell>
          <cell r="H1378" t="str">
            <v>2006-02-28</v>
          </cell>
        </row>
        <row r="1379">
          <cell r="A1379">
            <v>480000</v>
          </cell>
          <cell r="B1379">
            <v>1015</v>
          </cell>
          <cell r="C1379">
            <v>0.21</v>
          </cell>
          <cell r="D1379" t="str">
            <v>205</v>
          </cell>
          <cell r="E1379" t="str">
            <v>407</v>
          </cell>
          <cell r="F1379">
            <v>0</v>
          </cell>
          <cell r="G1379">
            <v>2</v>
          </cell>
          <cell r="H1379" t="str">
            <v>2006-02-28</v>
          </cell>
        </row>
        <row r="1380">
          <cell r="A1380">
            <v>480000</v>
          </cell>
          <cell r="B1380">
            <v>1015</v>
          </cell>
          <cell r="C1380">
            <v>-100170.47</v>
          </cell>
          <cell r="D1380" t="str">
            <v>205</v>
          </cell>
          <cell r="E1380" t="str">
            <v>407</v>
          </cell>
          <cell r="F1380">
            <v>0</v>
          </cell>
          <cell r="G1380">
            <v>2</v>
          </cell>
          <cell r="H1380" t="str">
            <v>2006-02-28</v>
          </cell>
        </row>
        <row r="1381">
          <cell r="A1381">
            <v>480000</v>
          </cell>
          <cell r="B1381">
            <v>1015</v>
          </cell>
          <cell r="C1381">
            <v>-116273.9</v>
          </cell>
          <cell r="D1381" t="str">
            <v>205</v>
          </cell>
          <cell r="E1381" t="str">
            <v>407</v>
          </cell>
          <cell r="F1381">
            <v>0</v>
          </cell>
          <cell r="G1381">
            <v>2</v>
          </cell>
          <cell r="H1381" t="str">
            <v>2006-02-28</v>
          </cell>
        </row>
        <row r="1382">
          <cell r="A1382">
            <v>480000</v>
          </cell>
          <cell r="B1382">
            <v>1015</v>
          </cell>
          <cell r="C1382">
            <v>-141011.88</v>
          </cell>
          <cell r="D1382" t="str">
            <v>205</v>
          </cell>
          <cell r="E1382" t="str">
            <v>407</v>
          </cell>
          <cell r="F1382">
            <v>0</v>
          </cell>
          <cell r="G1382">
            <v>2</v>
          </cell>
          <cell r="H1382" t="str">
            <v>2006-02-28</v>
          </cell>
        </row>
        <row r="1383">
          <cell r="A1383">
            <v>480000</v>
          </cell>
          <cell r="B1383">
            <v>1015</v>
          </cell>
          <cell r="C1383">
            <v>-329500.96000000002</v>
          </cell>
          <cell r="D1383" t="str">
            <v>205</v>
          </cell>
          <cell r="E1383" t="str">
            <v>407</v>
          </cell>
          <cell r="F1383">
            <v>0</v>
          </cell>
          <cell r="G1383">
            <v>2</v>
          </cell>
          <cell r="H1383" t="str">
            <v>2006-02-28</v>
          </cell>
        </row>
        <row r="1384">
          <cell r="A1384">
            <v>480000</v>
          </cell>
          <cell r="B1384">
            <v>1015</v>
          </cell>
          <cell r="C1384">
            <v>-202621.54</v>
          </cell>
          <cell r="D1384" t="str">
            <v>205</v>
          </cell>
          <cell r="E1384" t="str">
            <v>407</v>
          </cell>
          <cell r="F1384">
            <v>0</v>
          </cell>
          <cell r="G1384">
            <v>2</v>
          </cell>
          <cell r="H1384" t="str">
            <v>2006-02-28</v>
          </cell>
        </row>
        <row r="1385">
          <cell r="A1385">
            <v>480000</v>
          </cell>
          <cell r="B1385">
            <v>1015</v>
          </cell>
          <cell r="C1385">
            <v>-105827.47</v>
          </cell>
          <cell r="D1385" t="str">
            <v>205</v>
          </cell>
          <cell r="E1385" t="str">
            <v>407</v>
          </cell>
          <cell r="F1385">
            <v>0</v>
          </cell>
          <cell r="G1385">
            <v>2</v>
          </cell>
          <cell r="H1385" t="str">
            <v>2006-02-28</v>
          </cell>
        </row>
        <row r="1386">
          <cell r="A1386">
            <v>480000</v>
          </cell>
          <cell r="B1386">
            <v>1015</v>
          </cell>
          <cell r="C1386">
            <v>-144656.48000000001</v>
          </cell>
          <cell r="D1386" t="str">
            <v>205</v>
          </cell>
          <cell r="E1386" t="str">
            <v>407</v>
          </cell>
          <cell r="F1386">
            <v>0</v>
          </cell>
          <cell r="G1386">
            <v>2</v>
          </cell>
          <cell r="H1386" t="str">
            <v>2006-02-28</v>
          </cell>
        </row>
        <row r="1387">
          <cell r="A1387">
            <v>480000</v>
          </cell>
          <cell r="B1387">
            <v>1015</v>
          </cell>
          <cell r="C1387">
            <v>-136434.41</v>
          </cell>
          <cell r="D1387" t="str">
            <v>205</v>
          </cell>
          <cell r="E1387" t="str">
            <v>407</v>
          </cell>
          <cell r="F1387">
            <v>0</v>
          </cell>
          <cell r="G1387">
            <v>2</v>
          </cell>
          <cell r="H1387" t="str">
            <v>2006-02-28</v>
          </cell>
        </row>
        <row r="1388">
          <cell r="A1388">
            <v>480000</v>
          </cell>
          <cell r="B1388">
            <v>1015</v>
          </cell>
          <cell r="C1388">
            <v>-57393.38</v>
          </cell>
          <cell r="D1388" t="str">
            <v>205</v>
          </cell>
          <cell r="E1388" t="str">
            <v>407</v>
          </cell>
          <cell r="F1388">
            <v>0</v>
          </cell>
          <cell r="G1388">
            <v>2</v>
          </cell>
          <cell r="H1388" t="str">
            <v>2006-02-28</v>
          </cell>
        </row>
        <row r="1389">
          <cell r="A1389">
            <v>480000</v>
          </cell>
          <cell r="B1389">
            <v>1015</v>
          </cell>
          <cell r="C1389">
            <v>-22052.71</v>
          </cell>
          <cell r="D1389" t="str">
            <v>205</v>
          </cell>
          <cell r="E1389" t="str">
            <v>407</v>
          </cell>
          <cell r="F1389">
            <v>0</v>
          </cell>
          <cell r="G1389">
            <v>2</v>
          </cell>
          <cell r="H1389" t="str">
            <v>2006-02-28</v>
          </cell>
        </row>
        <row r="1390">
          <cell r="A1390">
            <v>480000</v>
          </cell>
          <cell r="B1390">
            <v>1015</v>
          </cell>
          <cell r="C1390">
            <v>63071.12</v>
          </cell>
          <cell r="D1390" t="str">
            <v>205</v>
          </cell>
          <cell r="E1390" t="str">
            <v>407</v>
          </cell>
          <cell r="F1390">
            <v>0</v>
          </cell>
          <cell r="G1390">
            <v>2</v>
          </cell>
          <cell r="H1390" t="str">
            <v>2006-02-28</v>
          </cell>
        </row>
        <row r="1391">
          <cell r="A1391">
            <v>480000</v>
          </cell>
          <cell r="B1391">
            <v>1015</v>
          </cell>
          <cell r="C1391">
            <v>65255.77</v>
          </cell>
          <cell r="D1391" t="str">
            <v>205</v>
          </cell>
          <cell r="E1391" t="str">
            <v>407</v>
          </cell>
          <cell r="F1391">
            <v>0</v>
          </cell>
          <cell r="G1391">
            <v>2</v>
          </cell>
          <cell r="H1391" t="str">
            <v>2006-02-28</v>
          </cell>
        </row>
        <row r="1392">
          <cell r="A1392">
            <v>480000</v>
          </cell>
          <cell r="B1392">
            <v>1015</v>
          </cell>
          <cell r="C1392">
            <v>1498.18</v>
          </cell>
          <cell r="D1392" t="str">
            <v>205</v>
          </cell>
          <cell r="E1392" t="str">
            <v>407</v>
          </cell>
          <cell r="F1392">
            <v>0</v>
          </cell>
          <cell r="G1392">
            <v>2</v>
          </cell>
          <cell r="H1392" t="str">
            <v>2006-02-28</v>
          </cell>
        </row>
        <row r="1393">
          <cell r="A1393">
            <v>480000</v>
          </cell>
          <cell r="B1393">
            <v>1015</v>
          </cell>
          <cell r="C1393">
            <v>1044.8</v>
          </cell>
          <cell r="D1393" t="str">
            <v>205</v>
          </cell>
          <cell r="E1393" t="str">
            <v>407</v>
          </cell>
          <cell r="F1393">
            <v>0</v>
          </cell>
          <cell r="G1393">
            <v>2</v>
          </cell>
          <cell r="H1393" t="str">
            <v>2006-02-28</v>
          </cell>
        </row>
        <row r="1394">
          <cell r="A1394">
            <v>480001</v>
          </cell>
          <cell r="B1394">
            <v>1015</v>
          </cell>
          <cell r="C1394">
            <v>2216865.02</v>
          </cell>
          <cell r="D1394" t="str">
            <v>205</v>
          </cell>
          <cell r="E1394" t="str">
            <v>407</v>
          </cell>
          <cell r="F1394">
            <v>0</v>
          </cell>
          <cell r="G1394">
            <v>2</v>
          </cell>
          <cell r="H1394" t="str">
            <v>2006-02-28</v>
          </cell>
        </row>
        <row r="1395">
          <cell r="A1395">
            <v>481004</v>
          </cell>
          <cell r="B1395">
            <v>1015</v>
          </cell>
          <cell r="C1395">
            <v>-12277.97</v>
          </cell>
          <cell r="D1395" t="str">
            <v>205</v>
          </cell>
          <cell r="E1395" t="str">
            <v>407</v>
          </cell>
          <cell r="F1395">
            <v>0</v>
          </cell>
          <cell r="G1395">
            <v>2</v>
          </cell>
          <cell r="H1395" t="str">
            <v>2006-02-28</v>
          </cell>
        </row>
        <row r="1396">
          <cell r="A1396">
            <v>481004</v>
          </cell>
          <cell r="B1396">
            <v>1015</v>
          </cell>
          <cell r="C1396">
            <v>-23628.85</v>
          </cell>
          <cell r="D1396" t="str">
            <v>205</v>
          </cell>
          <cell r="E1396" t="str">
            <v>407</v>
          </cell>
          <cell r="F1396">
            <v>0</v>
          </cell>
          <cell r="G1396">
            <v>2</v>
          </cell>
          <cell r="H1396" t="str">
            <v>2006-02-28</v>
          </cell>
        </row>
        <row r="1397">
          <cell r="A1397">
            <v>481004</v>
          </cell>
          <cell r="B1397">
            <v>1015</v>
          </cell>
          <cell r="C1397">
            <v>-20500.89</v>
          </cell>
          <cell r="D1397" t="str">
            <v>205</v>
          </cell>
          <cell r="E1397" t="str">
            <v>407</v>
          </cell>
          <cell r="F1397">
            <v>0</v>
          </cell>
          <cell r="G1397">
            <v>2</v>
          </cell>
          <cell r="H1397" t="str">
            <v>2006-02-28</v>
          </cell>
        </row>
        <row r="1398">
          <cell r="A1398">
            <v>481004</v>
          </cell>
          <cell r="B1398">
            <v>1015</v>
          </cell>
          <cell r="C1398">
            <v>-92492.4</v>
          </cell>
          <cell r="D1398" t="str">
            <v>205</v>
          </cell>
          <cell r="E1398" t="str">
            <v>407</v>
          </cell>
          <cell r="F1398">
            <v>0</v>
          </cell>
          <cell r="G1398">
            <v>2</v>
          </cell>
          <cell r="H1398" t="str">
            <v>2006-02-28</v>
          </cell>
        </row>
        <row r="1399">
          <cell r="A1399">
            <v>481004</v>
          </cell>
          <cell r="B1399">
            <v>1015</v>
          </cell>
          <cell r="C1399">
            <v>-77581.279999999999</v>
          </cell>
          <cell r="D1399" t="str">
            <v>205</v>
          </cell>
          <cell r="E1399" t="str">
            <v>407</v>
          </cell>
          <cell r="F1399">
            <v>0</v>
          </cell>
          <cell r="G1399">
            <v>2</v>
          </cell>
          <cell r="H1399" t="str">
            <v>2006-02-28</v>
          </cell>
        </row>
        <row r="1400">
          <cell r="A1400">
            <v>481004</v>
          </cell>
          <cell r="B1400">
            <v>1015</v>
          </cell>
          <cell r="C1400">
            <v>-21604.66</v>
          </cell>
          <cell r="D1400" t="str">
            <v>205</v>
          </cell>
          <cell r="E1400" t="str">
            <v>407</v>
          </cell>
          <cell r="F1400">
            <v>0</v>
          </cell>
          <cell r="G1400">
            <v>2</v>
          </cell>
          <cell r="H1400" t="str">
            <v>2006-02-28</v>
          </cell>
        </row>
        <row r="1401">
          <cell r="A1401">
            <v>481004</v>
          </cell>
          <cell r="B1401">
            <v>1015</v>
          </cell>
          <cell r="C1401">
            <v>-24713.03</v>
          </cell>
          <cell r="D1401" t="str">
            <v>205</v>
          </cell>
          <cell r="E1401" t="str">
            <v>407</v>
          </cell>
          <cell r="F1401">
            <v>0</v>
          </cell>
          <cell r="G1401">
            <v>2</v>
          </cell>
          <cell r="H1401" t="str">
            <v>2006-02-28</v>
          </cell>
        </row>
        <row r="1402">
          <cell r="A1402">
            <v>481004</v>
          </cell>
          <cell r="B1402">
            <v>1015</v>
          </cell>
          <cell r="C1402">
            <v>-30844.58</v>
          </cell>
          <cell r="D1402" t="str">
            <v>205</v>
          </cell>
          <cell r="E1402" t="str">
            <v>407</v>
          </cell>
          <cell r="F1402">
            <v>0</v>
          </cell>
          <cell r="G1402">
            <v>2</v>
          </cell>
          <cell r="H1402" t="str">
            <v>2006-02-28</v>
          </cell>
        </row>
        <row r="1403">
          <cell r="A1403">
            <v>481004</v>
          </cell>
          <cell r="B1403">
            <v>1015</v>
          </cell>
          <cell r="C1403">
            <v>-11200.66</v>
          </cell>
          <cell r="D1403" t="str">
            <v>205</v>
          </cell>
          <cell r="E1403" t="str">
            <v>407</v>
          </cell>
          <cell r="F1403">
            <v>0</v>
          </cell>
          <cell r="G1403">
            <v>2</v>
          </cell>
          <cell r="H1403" t="str">
            <v>2006-02-28</v>
          </cell>
        </row>
        <row r="1404">
          <cell r="A1404">
            <v>481004</v>
          </cell>
          <cell r="B1404">
            <v>1015</v>
          </cell>
          <cell r="C1404">
            <v>-6749.21</v>
          </cell>
          <cell r="D1404" t="str">
            <v>205</v>
          </cell>
          <cell r="E1404" t="str">
            <v>407</v>
          </cell>
          <cell r="F1404">
            <v>0</v>
          </cell>
          <cell r="G1404">
            <v>2</v>
          </cell>
          <cell r="H1404" t="str">
            <v>2006-02-28</v>
          </cell>
        </row>
        <row r="1405">
          <cell r="A1405">
            <v>481004</v>
          </cell>
          <cell r="B1405">
            <v>1015</v>
          </cell>
          <cell r="C1405">
            <v>11769.67</v>
          </cell>
          <cell r="D1405" t="str">
            <v>205</v>
          </cell>
          <cell r="E1405" t="str">
            <v>407</v>
          </cell>
          <cell r="F1405">
            <v>0</v>
          </cell>
          <cell r="G1405">
            <v>2</v>
          </cell>
          <cell r="H1405" t="str">
            <v>2006-02-28</v>
          </cell>
        </row>
        <row r="1406">
          <cell r="A1406">
            <v>481004</v>
          </cell>
          <cell r="B1406">
            <v>1015</v>
          </cell>
          <cell r="C1406">
            <v>13980.12</v>
          </cell>
          <cell r="D1406" t="str">
            <v>205</v>
          </cell>
          <cell r="E1406" t="str">
            <v>407</v>
          </cell>
          <cell r="F1406">
            <v>0</v>
          </cell>
          <cell r="G1406">
            <v>2</v>
          </cell>
          <cell r="H1406" t="str">
            <v>2006-02-28</v>
          </cell>
        </row>
        <row r="1407">
          <cell r="A1407">
            <v>481004</v>
          </cell>
          <cell r="B1407">
            <v>1015</v>
          </cell>
          <cell r="C1407">
            <v>524.4</v>
          </cell>
          <cell r="D1407" t="str">
            <v>205</v>
          </cell>
          <cell r="E1407" t="str">
            <v>407</v>
          </cell>
          <cell r="F1407">
            <v>0</v>
          </cell>
          <cell r="G1407">
            <v>2</v>
          </cell>
          <cell r="H1407" t="str">
            <v>2006-02-28</v>
          </cell>
        </row>
        <row r="1408">
          <cell r="A1408">
            <v>481004</v>
          </cell>
          <cell r="B1408">
            <v>1015</v>
          </cell>
          <cell r="C1408">
            <v>271.45</v>
          </cell>
          <cell r="D1408" t="str">
            <v>205</v>
          </cell>
          <cell r="E1408" t="str">
            <v>407</v>
          </cell>
          <cell r="F1408">
            <v>0</v>
          </cell>
          <cell r="G1408">
            <v>2</v>
          </cell>
          <cell r="H1408" t="str">
            <v>2006-02-28</v>
          </cell>
        </row>
        <row r="1409">
          <cell r="A1409">
            <v>480000</v>
          </cell>
          <cell r="B1409">
            <v>1015</v>
          </cell>
          <cell r="C1409">
            <v>-56.82</v>
          </cell>
          <cell r="D1409" t="str">
            <v>205</v>
          </cell>
          <cell r="E1409" t="str">
            <v>408</v>
          </cell>
          <cell r="F1409">
            <v>0</v>
          </cell>
          <cell r="G1409">
            <v>2</v>
          </cell>
          <cell r="H1409" t="str">
            <v>2006-02-28</v>
          </cell>
        </row>
        <row r="1410">
          <cell r="A1410">
            <v>480000</v>
          </cell>
          <cell r="B1410">
            <v>1015</v>
          </cell>
          <cell r="C1410">
            <v>-17.5</v>
          </cell>
          <cell r="D1410" t="str">
            <v>205</v>
          </cell>
          <cell r="E1410" t="str">
            <v>408</v>
          </cell>
          <cell r="F1410">
            <v>0</v>
          </cell>
          <cell r="G1410">
            <v>2</v>
          </cell>
          <cell r="H1410" t="str">
            <v>2006-02-28</v>
          </cell>
        </row>
        <row r="1411">
          <cell r="A1411">
            <v>480000</v>
          </cell>
          <cell r="B1411">
            <v>1015</v>
          </cell>
          <cell r="C1411">
            <v>-29.43</v>
          </cell>
          <cell r="D1411" t="str">
            <v>205</v>
          </cell>
          <cell r="E1411" t="str">
            <v>408</v>
          </cell>
          <cell r="F1411">
            <v>0</v>
          </cell>
          <cell r="G1411">
            <v>2</v>
          </cell>
          <cell r="H1411" t="str">
            <v>2006-02-28</v>
          </cell>
        </row>
        <row r="1412">
          <cell r="A1412">
            <v>480000</v>
          </cell>
          <cell r="B1412">
            <v>1015</v>
          </cell>
          <cell r="C1412">
            <v>-6405.69</v>
          </cell>
          <cell r="D1412" t="str">
            <v>205</v>
          </cell>
          <cell r="E1412" t="str">
            <v>408</v>
          </cell>
          <cell r="F1412">
            <v>0</v>
          </cell>
          <cell r="G1412">
            <v>2</v>
          </cell>
          <cell r="H1412" t="str">
            <v>2006-02-28</v>
          </cell>
        </row>
        <row r="1413">
          <cell r="A1413">
            <v>480000</v>
          </cell>
          <cell r="B1413">
            <v>1015</v>
          </cell>
          <cell r="C1413">
            <v>-38.4</v>
          </cell>
          <cell r="D1413" t="str">
            <v>205</v>
          </cell>
          <cell r="E1413" t="str">
            <v>408</v>
          </cell>
          <cell r="F1413">
            <v>0</v>
          </cell>
          <cell r="G1413">
            <v>2</v>
          </cell>
          <cell r="H1413" t="str">
            <v>2006-02-28</v>
          </cell>
        </row>
        <row r="1414">
          <cell r="A1414">
            <v>480000</v>
          </cell>
          <cell r="B1414">
            <v>1015</v>
          </cell>
          <cell r="C1414">
            <v>-19.02</v>
          </cell>
          <cell r="D1414" t="str">
            <v>205</v>
          </cell>
          <cell r="E1414" t="str">
            <v>408</v>
          </cell>
          <cell r="F1414">
            <v>0</v>
          </cell>
          <cell r="G1414">
            <v>2</v>
          </cell>
          <cell r="H1414" t="str">
            <v>2006-02-28</v>
          </cell>
        </row>
        <row r="1415">
          <cell r="A1415">
            <v>480000</v>
          </cell>
          <cell r="B1415">
            <v>1015</v>
          </cell>
          <cell r="C1415">
            <v>-3539.56</v>
          </cell>
          <cell r="D1415" t="str">
            <v>205</v>
          </cell>
          <cell r="E1415" t="str">
            <v>408</v>
          </cell>
          <cell r="F1415">
            <v>0</v>
          </cell>
          <cell r="G1415">
            <v>2</v>
          </cell>
          <cell r="H1415" t="str">
            <v>2006-02-28</v>
          </cell>
        </row>
        <row r="1416">
          <cell r="A1416">
            <v>480000</v>
          </cell>
          <cell r="B1416">
            <v>1015</v>
          </cell>
          <cell r="C1416">
            <v>-7209.03</v>
          </cell>
          <cell r="D1416" t="str">
            <v>205</v>
          </cell>
          <cell r="E1416" t="str">
            <v>408</v>
          </cell>
          <cell r="F1416">
            <v>0</v>
          </cell>
          <cell r="G1416">
            <v>2</v>
          </cell>
          <cell r="H1416" t="str">
            <v>2006-02-28</v>
          </cell>
        </row>
        <row r="1417">
          <cell r="A1417">
            <v>480000</v>
          </cell>
          <cell r="B1417">
            <v>1015</v>
          </cell>
          <cell r="C1417">
            <v>-36.08</v>
          </cell>
          <cell r="D1417" t="str">
            <v>205</v>
          </cell>
          <cell r="E1417" t="str">
            <v>408</v>
          </cell>
          <cell r="F1417">
            <v>0</v>
          </cell>
          <cell r="G1417">
            <v>2</v>
          </cell>
          <cell r="H1417" t="str">
            <v>2006-02-28</v>
          </cell>
        </row>
        <row r="1418">
          <cell r="A1418">
            <v>480000</v>
          </cell>
          <cell r="B1418">
            <v>1015</v>
          </cell>
          <cell r="C1418">
            <v>-13.16</v>
          </cell>
          <cell r="D1418" t="str">
            <v>205</v>
          </cell>
          <cell r="E1418" t="str">
            <v>408</v>
          </cell>
          <cell r="F1418">
            <v>0</v>
          </cell>
          <cell r="G1418">
            <v>2</v>
          </cell>
          <cell r="H1418" t="str">
            <v>2006-02-28</v>
          </cell>
        </row>
        <row r="1419">
          <cell r="A1419">
            <v>480000</v>
          </cell>
          <cell r="B1419">
            <v>1015</v>
          </cell>
          <cell r="C1419">
            <v>-20.16</v>
          </cell>
          <cell r="D1419" t="str">
            <v>205</v>
          </cell>
          <cell r="E1419" t="str">
            <v>408</v>
          </cell>
          <cell r="F1419">
            <v>0</v>
          </cell>
          <cell r="G1419">
            <v>2</v>
          </cell>
          <cell r="H1419" t="str">
            <v>2006-02-28</v>
          </cell>
        </row>
        <row r="1420">
          <cell r="A1420">
            <v>480000</v>
          </cell>
          <cell r="B1420">
            <v>1015</v>
          </cell>
          <cell r="C1420">
            <v>-335.14</v>
          </cell>
          <cell r="D1420" t="str">
            <v>205</v>
          </cell>
          <cell r="E1420" t="str">
            <v>408</v>
          </cell>
          <cell r="F1420">
            <v>0</v>
          </cell>
          <cell r="G1420">
            <v>2</v>
          </cell>
          <cell r="H1420" t="str">
            <v>2006-02-28</v>
          </cell>
        </row>
        <row r="1421">
          <cell r="A1421">
            <v>480000</v>
          </cell>
          <cell r="B1421">
            <v>1015</v>
          </cell>
          <cell r="C1421">
            <v>-4.54</v>
          </cell>
          <cell r="D1421" t="str">
            <v>205</v>
          </cell>
          <cell r="E1421" t="str">
            <v>408</v>
          </cell>
          <cell r="F1421">
            <v>0</v>
          </cell>
          <cell r="G1421">
            <v>2</v>
          </cell>
          <cell r="H1421" t="str">
            <v>2006-02-28</v>
          </cell>
        </row>
        <row r="1422">
          <cell r="A1422">
            <v>480000</v>
          </cell>
          <cell r="B1422">
            <v>1015</v>
          </cell>
          <cell r="C1422">
            <v>1.93</v>
          </cell>
          <cell r="D1422" t="str">
            <v>205</v>
          </cell>
          <cell r="E1422" t="str">
            <v>408</v>
          </cell>
          <cell r="F1422">
            <v>0</v>
          </cell>
          <cell r="G1422">
            <v>2</v>
          </cell>
          <cell r="H1422" t="str">
            <v>2006-02-28</v>
          </cell>
        </row>
        <row r="1423">
          <cell r="A1423">
            <v>480001</v>
          </cell>
          <cell r="B1423">
            <v>1015</v>
          </cell>
          <cell r="C1423">
            <v>14483.28</v>
          </cell>
          <cell r="D1423" t="str">
            <v>205</v>
          </cell>
          <cell r="E1423" t="str">
            <v>408</v>
          </cell>
          <cell r="F1423">
            <v>0</v>
          </cell>
          <cell r="G1423">
            <v>2</v>
          </cell>
          <cell r="H1423" t="str">
            <v>2006-02-28</v>
          </cell>
        </row>
        <row r="1424">
          <cell r="A1424">
            <v>481004</v>
          </cell>
          <cell r="B1424">
            <v>1015</v>
          </cell>
          <cell r="C1424">
            <v>3.34</v>
          </cell>
          <cell r="D1424" t="str">
            <v>205</v>
          </cell>
          <cell r="E1424" t="str">
            <v>408</v>
          </cell>
          <cell r="F1424">
            <v>0</v>
          </cell>
          <cell r="G1424">
            <v>2</v>
          </cell>
          <cell r="H1424" t="str">
            <v>2006-02-28</v>
          </cell>
        </row>
        <row r="1425">
          <cell r="A1425">
            <v>481004</v>
          </cell>
          <cell r="B1425">
            <v>1015</v>
          </cell>
          <cell r="C1425">
            <v>-913.19</v>
          </cell>
          <cell r="D1425" t="str">
            <v>205</v>
          </cell>
          <cell r="E1425" t="str">
            <v>408</v>
          </cell>
          <cell r="F1425">
            <v>0</v>
          </cell>
          <cell r="G1425">
            <v>2</v>
          </cell>
          <cell r="H1425" t="str">
            <v>2006-02-28</v>
          </cell>
        </row>
        <row r="1426">
          <cell r="A1426">
            <v>481004</v>
          </cell>
          <cell r="B1426">
            <v>1015</v>
          </cell>
          <cell r="C1426">
            <v>-30.27</v>
          </cell>
          <cell r="D1426" t="str">
            <v>205</v>
          </cell>
          <cell r="E1426" t="str">
            <v>408</v>
          </cell>
          <cell r="F1426">
            <v>0</v>
          </cell>
          <cell r="G1426">
            <v>2</v>
          </cell>
          <cell r="H1426" t="str">
            <v>2006-02-28</v>
          </cell>
        </row>
        <row r="1427">
          <cell r="A1427">
            <v>481004</v>
          </cell>
          <cell r="B1427">
            <v>1015</v>
          </cell>
          <cell r="C1427">
            <v>-2060.11</v>
          </cell>
          <cell r="D1427" t="str">
            <v>205</v>
          </cell>
          <cell r="E1427" t="str">
            <v>408</v>
          </cell>
          <cell r="F1427">
            <v>0</v>
          </cell>
          <cell r="G1427">
            <v>2</v>
          </cell>
          <cell r="H1427" t="str">
            <v>2006-02-28</v>
          </cell>
        </row>
        <row r="1428">
          <cell r="A1428">
            <v>481004</v>
          </cell>
          <cell r="B1428">
            <v>1015</v>
          </cell>
          <cell r="C1428">
            <v>-4417.96</v>
          </cell>
          <cell r="D1428" t="str">
            <v>205</v>
          </cell>
          <cell r="E1428" t="str">
            <v>408</v>
          </cell>
          <cell r="F1428">
            <v>0</v>
          </cell>
          <cell r="G1428">
            <v>2</v>
          </cell>
          <cell r="H1428" t="str">
            <v>2006-02-28</v>
          </cell>
        </row>
        <row r="1429">
          <cell r="A1429">
            <v>481004</v>
          </cell>
          <cell r="B1429">
            <v>1015</v>
          </cell>
          <cell r="C1429">
            <v>-17.68</v>
          </cell>
          <cell r="D1429" t="str">
            <v>205</v>
          </cell>
          <cell r="E1429" t="str">
            <v>408</v>
          </cell>
          <cell r="F1429">
            <v>0</v>
          </cell>
          <cell r="G1429">
            <v>2</v>
          </cell>
          <cell r="H1429" t="str">
            <v>2006-02-28</v>
          </cell>
        </row>
        <row r="1430">
          <cell r="A1430">
            <v>481004</v>
          </cell>
          <cell r="B1430">
            <v>1015</v>
          </cell>
          <cell r="C1430">
            <v>-26.6</v>
          </cell>
          <cell r="D1430" t="str">
            <v>205</v>
          </cell>
          <cell r="E1430" t="str">
            <v>408</v>
          </cell>
          <cell r="F1430">
            <v>0</v>
          </cell>
          <cell r="G1430">
            <v>2</v>
          </cell>
          <cell r="H1430" t="str">
            <v>2006-02-28</v>
          </cell>
        </row>
        <row r="1431">
          <cell r="A1431">
            <v>481004</v>
          </cell>
          <cell r="B1431">
            <v>1015</v>
          </cell>
          <cell r="C1431">
            <v>0.01</v>
          </cell>
          <cell r="D1431" t="str">
            <v>205</v>
          </cell>
          <cell r="E1431" t="str">
            <v>408</v>
          </cell>
          <cell r="F1431">
            <v>0</v>
          </cell>
          <cell r="G1431">
            <v>2</v>
          </cell>
          <cell r="H1431" t="str">
            <v>2006-02-28</v>
          </cell>
        </row>
        <row r="1432">
          <cell r="A1432">
            <v>481004</v>
          </cell>
          <cell r="B1432">
            <v>1015</v>
          </cell>
          <cell r="C1432">
            <v>-50.91</v>
          </cell>
          <cell r="D1432" t="str">
            <v>205</v>
          </cell>
          <cell r="E1432" t="str">
            <v>408</v>
          </cell>
          <cell r="F1432">
            <v>0</v>
          </cell>
          <cell r="G1432">
            <v>2</v>
          </cell>
          <cell r="H1432" t="str">
            <v>2006-02-28</v>
          </cell>
        </row>
        <row r="1433">
          <cell r="A1433">
            <v>481004</v>
          </cell>
          <cell r="B1433">
            <v>1015</v>
          </cell>
          <cell r="C1433">
            <v>-19.309999999999999</v>
          </cell>
          <cell r="D1433" t="str">
            <v>205</v>
          </cell>
          <cell r="E1433" t="str">
            <v>408</v>
          </cell>
          <cell r="F1433">
            <v>0</v>
          </cell>
          <cell r="G1433">
            <v>2</v>
          </cell>
          <cell r="H1433" t="str">
            <v>2006-02-28</v>
          </cell>
        </row>
        <row r="1434">
          <cell r="A1434">
            <v>480000</v>
          </cell>
          <cell r="B1434">
            <v>1015</v>
          </cell>
          <cell r="C1434">
            <v>-6330.82</v>
          </cell>
          <cell r="D1434" t="str">
            <v>205</v>
          </cell>
          <cell r="E1434" t="str">
            <v>453</v>
          </cell>
          <cell r="F1434">
            <v>0</v>
          </cell>
          <cell r="G1434">
            <v>2</v>
          </cell>
          <cell r="H1434" t="str">
            <v>2006-02-28</v>
          </cell>
        </row>
        <row r="1435">
          <cell r="A1435">
            <v>480000</v>
          </cell>
          <cell r="B1435">
            <v>1015</v>
          </cell>
          <cell r="C1435">
            <v>-166.3</v>
          </cell>
          <cell r="D1435" t="str">
            <v>205</v>
          </cell>
          <cell r="E1435" t="str">
            <v>453</v>
          </cell>
          <cell r="F1435">
            <v>0</v>
          </cell>
          <cell r="G1435">
            <v>2</v>
          </cell>
          <cell r="H1435" t="str">
            <v>2006-02-28</v>
          </cell>
        </row>
        <row r="1436">
          <cell r="A1436">
            <v>480000</v>
          </cell>
          <cell r="B1436">
            <v>1015</v>
          </cell>
          <cell r="C1436">
            <v>-9443.73</v>
          </cell>
          <cell r="D1436" t="str">
            <v>205</v>
          </cell>
          <cell r="E1436" t="str">
            <v>453</v>
          </cell>
          <cell r="F1436">
            <v>0</v>
          </cell>
          <cell r="G1436">
            <v>2</v>
          </cell>
          <cell r="H1436" t="str">
            <v>2006-02-28</v>
          </cell>
        </row>
        <row r="1437">
          <cell r="A1437">
            <v>480000</v>
          </cell>
          <cell r="B1437">
            <v>1015</v>
          </cell>
          <cell r="C1437">
            <v>-196.8</v>
          </cell>
          <cell r="D1437" t="str">
            <v>205</v>
          </cell>
          <cell r="E1437" t="str">
            <v>453</v>
          </cell>
          <cell r="F1437">
            <v>0</v>
          </cell>
          <cell r="G1437">
            <v>2</v>
          </cell>
          <cell r="H1437" t="str">
            <v>2006-02-28</v>
          </cell>
        </row>
        <row r="1438">
          <cell r="A1438">
            <v>480000</v>
          </cell>
          <cell r="B1438">
            <v>1015</v>
          </cell>
          <cell r="C1438">
            <v>-14999.62</v>
          </cell>
          <cell r="D1438" t="str">
            <v>205</v>
          </cell>
          <cell r="E1438" t="str">
            <v>453</v>
          </cell>
          <cell r="F1438">
            <v>0</v>
          </cell>
          <cell r="G1438">
            <v>2</v>
          </cell>
          <cell r="H1438" t="str">
            <v>2006-02-28</v>
          </cell>
        </row>
        <row r="1439">
          <cell r="A1439">
            <v>480000</v>
          </cell>
          <cell r="B1439">
            <v>1015</v>
          </cell>
          <cell r="C1439">
            <v>-6110.46</v>
          </cell>
          <cell r="D1439" t="str">
            <v>205</v>
          </cell>
          <cell r="E1439" t="str">
            <v>453</v>
          </cell>
          <cell r="F1439">
            <v>0</v>
          </cell>
          <cell r="G1439">
            <v>2</v>
          </cell>
          <cell r="H1439" t="str">
            <v>2006-02-28</v>
          </cell>
        </row>
        <row r="1440">
          <cell r="A1440">
            <v>480000</v>
          </cell>
          <cell r="B1440">
            <v>1015</v>
          </cell>
          <cell r="C1440">
            <v>-254.61</v>
          </cell>
          <cell r="D1440" t="str">
            <v>205</v>
          </cell>
          <cell r="E1440" t="str">
            <v>453</v>
          </cell>
          <cell r="F1440">
            <v>0</v>
          </cell>
          <cell r="G1440">
            <v>2</v>
          </cell>
          <cell r="H1440" t="str">
            <v>2006-02-28</v>
          </cell>
        </row>
        <row r="1441">
          <cell r="A1441">
            <v>480000</v>
          </cell>
          <cell r="B1441">
            <v>1015</v>
          </cell>
          <cell r="C1441">
            <v>-11178.19</v>
          </cell>
          <cell r="D1441" t="str">
            <v>205</v>
          </cell>
          <cell r="E1441" t="str">
            <v>453</v>
          </cell>
          <cell r="F1441">
            <v>0</v>
          </cell>
          <cell r="G1441">
            <v>2</v>
          </cell>
          <cell r="H1441" t="str">
            <v>2006-02-28</v>
          </cell>
        </row>
        <row r="1442">
          <cell r="A1442">
            <v>480000</v>
          </cell>
          <cell r="B1442">
            <v>1015</v>
          </cell>
          <cell r="C1442">
            <v>-95.61</v>
          </cell>
          <cell r="D1442" t="str">
            <v>205</v>
          </cell>
          <cell r="E1442" t="str">
            <v>453</v>
          </cell>
          <cell r="F1442">
            <v>0</v>
          </cell>
          <cell r="G1442">
            <v>2</v>
          </cell>
          <cell r="H1442" t="str">
            <v>2006-02-28</v>
          </cell>
        </row>
        <row r="1443">
          <cell r="A1443">
            <v>480000</v>
          </cell>
          <cell r="B1443">
            <v>1015</v>
          </cell>
          <cell r="C1443">
            <v>-14044.27</v>
          </cell>
          <cell r="D1443" t="str">
            <v>205</v>
          </cell>
          <cell r="E1443" t="str">
            <v>453</v>
          </cell>
          <cell r="F1443">
            <v>0</v>
          </cell>
          <cell r="G1443">
            <v>2</v>
          </cell>
          <cell r="H1443" t="str">
            <v>2006-02-28</v>
          </cell>
        </row>
        <row r="1444">
          <cell r="A1444">
            <v>480000</v>
          </cell>
          <cell r="B1444">
            <v>1015</v>
          </cell>
          <cell r="C1444">
            <v>-96.02</v>
          </cell>
          <cell r="D1444" t="str">
            <v>205</v>
          </cell>
          <cell r="E1444" t="str">
            <v>453</v>
          </cell>
          <cell r="F1444">
            <v>0</v>
          </cell>
          <cell r="G1444">
            <v>2</v>
          </cell>
          <cell r="H1444" t="str">
            <v>2006-02-28</v>
          </cell>
        </row>
        <row r="1445">
          <cell r="A1445">
            <v>480000</v>
          </cell>
          <cell r="B1445">
            <v>1015</v>
          </cell>
          <cell r="C1445">
            <v>-1485.87</v>
          </cell>
          <cell r="D1445" t="str">
            <v>205</v>
          </cell>
          <cell r="E1445" t="str">
            <v>453</v>
          </cell>
          <cell r="F1445">
            <v>0</v>
          </cell>
          <cell r="G1445">
            <v>2</v>
          </cell>
          <cell r="H1445" t="str">
            <v>2006-02-28</v>
          </cell>
        </row>
        <row r="1446">
          <cell r="A1446">
            <v>480000</v>
          </cell>
          <cell r="B1446">
            <v>1015</v>
          </cell>
          <cell r="C1446">
            <v>17.43</v>
          </cell>
          <cell r="D1446" t="str">
            <v>205</v>
          </cell>
          <cell r="E1446" t="str">
            <v>453</v>
          </cell>
          <cell r="F1446">
            <v>0</v>
          </cell>
          <cell r="G1446">
            <v>2</v>
          </cell>
          <cell r="H1446" t="str">
            <v>2006-02-28</v>
          </cell>
        </row>
        <row r="1447">
          <cell r="A1447">
            <v>480000</v>
          </cell>
          <cell r="B1447">
            <v>1015</v>
          </cell>
          <cell r="C1447">
            <v>4.1399999999999997</v>
          </cell>
          <cell r="D1447" t="str">
            <v>205</v>
          </cell>
          <cell r="E1447" t="str">
            <v>453</v>
          </cell>
          <cell r="F1447">
            <v>0</v>
          </cell>
          <cell r="G1447">
            <v>2</v>
          </cell>
          <cell r="H1447" t="str">
            <v>2006-02-28</v>
          </cell>
        </row>
        <row r="1448">
          <cell r="A1448">
            <v>480001</v>
          </cell>
          <cell r="B1448">
            <v>1015</v>
          </cell>
          <cell r="C1448">
            <v>82479.78</v>
          </cell>
          <cell r="D1448" t="str">
            <v>205</v>
          </cell>
          <cell r="E1448" t="str">
            <v>453</v>
          </cell>
          <cell r="F1448">
            <v>0</v>
          </cell>
          <cell r="G1448">
            <v>2</v>
          </cell>
          <cell r="H1448" t="str">
            <v>2006-02-28</v>
          </cell>
        </row>
        <row r="1449">
          <cell r="A1449">
            <v>481004</v>
          </cell>
          <cell r="B1449">
            <v>1015</v>
          </cell>
          <cell r="C1449">
            <v>-1229.8699999999999</v>
          </cell>
          <cell r="D1449" t="str">
            <v>205</v>
          </cell>
          <cell r="E1449" t="str">
            <v>453</v>
          </cell>
          <cell r="F1449">
            <v>0</v>
          </cell>
          <cell r="G1449">
            <v>2</v>
          </cell>
          <cell r="H1449" t="str">
            <v>2006-02-28</v>
          </cell>
        </row>
        <row r="1450">
          <cell r="A1450">
            <v>481004</v>
          </cell>
          <cell r="B1450">
            <v>1015</v>
          </cell>
          <cell r="C1450">
            <v>-90.41</v>
          </cell>
          <cell r="D1450" t="str">
            <v>205</v>
          </cell>
          <cell r="E1450" t="str">
            <v>453</v>
          </cell>
          <cell r="F1450">
            <v>0</v>
          </cell>
          <cell r="G1450">
            <v>2</v>
          </cell>
          <cell r="H1450" t="str">
            <v>2006-02-28</v>
          </cell>
        </row>
        <row r="1451">
          <cell r="A1451">
            <v>481004</v>
          </cell>
          <cell r="B1451">
            <v>1015</v>
          </cell>
          <cell r="C1451">
            <v>-3967.86</v>
          </cell>
          <cell r="D1451" t="str">
            <v>205</v>
          </cell>
          <cell r="E1451" t="str">
            <v>453</v>
          </cell>
          <cell r="F1451">
            <v>0</v>
          </cell>
          <cell r="G1451">
            <v>2</v>
          </cell>
          <cell r="H1451" t="str">
            <v>2006-02-28</v>
          </cell>
        </row>
        <row r="1452">
          <cell r="A1452">
            <v>481004</v>
          </cell>
          <cell r="B1452">
            <v>1015</v>
          </cell>
          <cell r="C1452">
            <v>-410.49</v>
          </cell>
          <cell r="D1452" t="str">
            <v>205</v>
          </cell>
          <cell r="E1452" t="str">
            <v>453</v>
          </cell>
          <cell r="F1452">
            <v>0</v>
          </cell>
          <cell r="G1452">
            <v>2</v>
          </cell>
          <cell r="H1452" t="str">
            <v>2006-02-28</v>
          </cell>
        </row>
        <row r="1453">
          <cell r="A1453">
            <v>481004</v>
          </cell>
          <cell r="B1453">
            <v>1015</v>
          </cell>
          <cell r="C1453">
            <v>-7265.92</v>
          </cell>
          <cell r="D1453" t="str">
            <v>205</v>
          </cell>
          <cell r="E1453" t="str">
            <v>453</v>
          </cell>
          <cell r="F1453">
            <v>0</v>
          </cell>
          <cell r="G1453">
            <v>2</v>
          </cell>
          <cell r="H1453" t="str">
            <v>2006-02-28</v>
          </cell>
        </row>
        <row r="1454">
          <cell r="A1454">
            <v>481004</v>
          </cell>
          <cell r="B1454">
            <v>1015</v>
          </cell>
          <cell r="C1454">
            <v>-2257.5</v>
          </cell>
          <cell r="D1454" t="str">
            <v>205</v>
          </cell>
          <cell r="E1454" t="str">
            <v>453</v>
          </cell>
          <cell r="F1454">
            <v>0</v>
          </cell>
          <cell r="G1454">
            <v>2</v>
          </cell>
          <cell r="H1454" t="str">
            <v>2006-02-28</v>
          </cell>
        </row>
        <row r="1455">
          <cell r="A1455">
            <v>481004</v>
          </cell>
          <cell r="B1455">
            <v>1015</v>
          </cell>
          <cell r="C1455">
            <v>-173.5</v>
          </cell>
          <cell r="D1455" t="str">
            <v>205</v>
          </cell>
          <cell r="E1455" t="str">
            <v>453</v>
          </cell>
          <cell r="F1455">
            <v>0</v>
          </cell>
          <cell r="G1455">
            <v>2</v>
          </cell>
          <cell r="H1455" t="str">
            <v>2006-02-28</v>
          </cell>
        </row>
        <row r="1456">
          <cell r="A1456">
            <v>481004</v>
          </cell>
          <cell r="B1456">
            <v>1015</v>
          </cell>
          <cell r="C1456">
            <v>-8808.5</v>
          </cell>
          <cell r="D1456" t="str">
            <v>205</v>
          </cell>
          <cell r="E1456" t="str">
            <v>453</v>
          </cell>
          <cell r="F1456">
            <v>0</v>
          </cell>
          <cell r="G1456">
            <v>2</v>
          </cell>
          <cell r="H1456" t="str">
            <v>2006-02-28</v>
          </cell>
        </row>
        <row r="1457">
          <cell r="A1457">
            <v>481004</v>
          </cell>
          <cell r="B1457">
            <v>1015</v>
          </cell>
          <cell r="C1457">
            <v>-116.86</v>
          </cell>
          <cell r="D1457" t="str">
            <v>205</v>
          </cell>
          <cell r="E1457" t="str">
            <v>453</v>
          </cell>
          <cell r="F1457">
            <v>0</v>
          </cell>
          <cell r="G1457">
            <v>2</v>
          </cell>
          <cell r="H1457" t="str">
            <v>2006-02-28</v>
          </cell>
        </row>
        <row r="1458">
          <cell r="A1458">
            <v>481004</v>
          </cell>
          <cell r="B1458">
            <v>1015</v>
          </cell>
          <cell r="C1458">
            <v>-3437.74</v>
          </cell>
          <cell r="D1458" t="str">
            <v>205</v>
          </cell>
          <cell r="E1458" t="str">
            <v>453</v>
          </cell>
          <cell r="F1458">
            <v>0</v>
          </cell>
          <cell r="G1458">
            <v>2</v>
          </cell>
          <cell r="H1458" t="str">
            <v>2006-02-28</v>
          </cell>
        </row>
        <row r="1459">
          <cell r="A1459">
            <v>481004</v>
          </cell>
          <cell r="B1459">
            <v>1015</v>
          </cell>
          <cell r="C1459">
            <v>-354.69</v>
          </cell>
          <cell r="D1459" t="str">
            <v>205</v>
          </cell>
          <cell r="E1459" t="str">
            <v>453</v>
          </cell>
          <cell r="F1459">
            <v>0</v>
          </cell>
          <cell r="G1459">
            <v>2</v>
          </cell>
          <cell r="H1459" t="str">
            <v>2006-02-28</v>
          </cell>
        </row>
        <row r="1460">
          <cell r="A1460">
            <v>481004</v>
          </cell>
          <cell r="B1460">
            <v>1015</v>
          </cell>
          <cell r="C1460">
            <v>-918.13</v>
          </cell>
          <cell r="D1460" t="str">
            <v>205</v>
          </cell>
          <cell r="E1460" t="str">
            <v>453</v>
          </cell>
          <cell r="F1460">
            <v>0</v>
          </cell>
          <cell r="G1460">
            <v>2</v>
          </cell>
          <cell r="H1460" t="str">
            <v>2006-02-28</v>
          </cell>
        </row>
        <row r="1461">
          <cell r="A1461">
            <v>481004</v>
          </cell>
          <cell r="B1461">
            <v>1015</v>
          </cell>
          <cell r="C1461">
            <v>-46.23</v>
          </cell>
          <cell r="D1461" t="str">
            <v>205</v>
          </cell>
          <cell r="E1461" t="str">
            <v>453</v>
          </cell>
          <cell r="F1461">
            <v>0</v>
          </cell>
          <cell r="G1461">
            <v>2</v>
          </cell>
          <cell r="H1461" t="str">
            <v>2006-02-28</v>
          </cell>
        </row>
        <row r="1462">
          <cell r="A1462">
            <v>481004</v>
          </cell>
          <cell r="B1462">
            <v>1015</v>
          </cell>
          <cell r="C1462">
            <v>-1.35</v>
          </cell>
          <cell r="D1462" t="str">
            <v>205</v>
          </cell>
          <cell r="E1462" t="str">
            <v>453</v>
          </cell>
          <cell r="F1462">
            <v>0</v>
          </cell>
          <cell r="G1462">
            <v>2</v>
          </cell>
          <cell r="H1462" t="str">
            <v>2006-02-28</v>
          </cell>
        </row>
        <row r="1463">
          <cell r="A1463">
            <v>480000</v>
          </cell>
          <cell r="B1463">
            <v>1015</v>
          </cell>
          <cell r="C1463">
            <v>-20.05</v>
          </cell>
          <cell r="D1463" t="str">
            <v>205</v>
          </cell>
          <cell r="E1463" t="str">
            <v>455</v>
          </cell>
          <cell r="F1463">
            <v>0</v>
          </cell>
          <cell r="G1463">
            <v>2</v>
          </cell>
          <cell r="H1463" t="str">
            <v>2006-02-28</v>
          </cell>
        </row>
        <row r="1464">
          <cell r="A1464">
            <v>480000</v>
          </cell>
          <cell r="B1464">
            <v>1015</v>
          </cell>
          <cell r="C1464">
            <v>-0.74</v>
          </cell>
          <cell r="D1464" t="str">
            <v>205</v>
          </cell>
          <cell r="E1464" t="str">
            <v>455</v>
          </cell>
          <cell r="F1464">
            <v>0</v>
          </cell>
          <cell r="G1464">
            <v>2</v>
          </cell>
          <cell r="H1464" t="str">
            <v>2006-02-28</v>
          </cell>
        </row>
        <row r="1465">
          <cell r="A1465">
            <v>480000</v>
          </cell>
          <cell r="B1465">
            <v>1015</v>
          </cell>
          <cell r="C1465">
            <v>-4198.67</v>
          </cell>
          <cell r="D1465" t="str">
            <v>205</v>
          </cell>
          <cell r="E1465" t="str">
            <v>455</v>
          </cell>
          <cell r="F1465">
            <v>0</v>
          </cell>
          <cell r="G1465">
            <v>2</v>
          </cell>
          <cell r="H1465" t="str">
            <v>2006-02-28</v>
          </cell>
        </row>
        <row r="1466">
          <cell r="A1466">
            <v>480000</v>
          </cell>
          <cell r="B1466">
            <v>1015</v>
          </cell>
          <cell r="C1466">
            <v>-50.15</v>
          </cell>
          <cell r="D1466" t="str">
            <v>205</v>
          </cell>
          <cell r="E1466" t="str">
            <v>455</v>
          </cell>
          <cell r="F1466">
            <v>0</v>
          </cell>
          <cell r="G1466">
            <v>2</v>
          </cell>
          <cell r="H1466" t="str">
            <v>2006-02-28</v>
          </cell>
        </row>
        <row r="1467">
          <cell r="A1467">
            <v>480000</v>
          </cell>
          <cell r="B1467">
            <v>1015</v>
          </cell>
          <cell r="C1467">
            <v>0.04</v>
          </cell>
          <cell r="D1467" t="str">
            <v>205</v>
          </cell>
          <cell r="E1467" t="str">
            <v>455</v>
          </cell>
          <cell r="F1467">
            <v>0</v>
          </cell>
          <cell r="G1467">
            <v>2</v>
          </cell>
          <cell r="H1467" t="str">
            <v>2006-02-28</v>
          </cell>
        </row>
        <row r="1468">
          <cell r="A1468">
            <v>480000</v>
          </cell>
          <cell r="B1468">
            <v>1015</v>
          </cell>
          <cell r="C1468">
            <v>-24.42</v>
          </cell>
          <cell r="D1468" t="str">
            <v>205</v>
          </cell>
          <cell r="E1468" t="str">
            <v>455</v>
          </cell>
          <cell r="F1468">
            <v>0</v>
          </cell>
          <cell r="G1468">
            <v>2</v>
          </cell>
          <cell r="H1468" t="str">
            <v>2006-02-28</v>
          </cell>
        </row>
        <row r="1469">
          <cell r="A1469">
            <v>480000</v>
          </cell>
          <cell r="B1469">
            <v>1015</v>
          </cell>
          <cell r="C1469">
            <v>-5.01</v>
          </cell>
          <cell r="D1469" t="str">
            <v>205</v>
          </cell>
          <cell r="E1469" t="str">
            <v>455</v>
          </cell>
          <cell r="F1469">
            <v>0</v>
          </cell>
          <cell r="G1469">
            <v>2</v>
          </cell>
          <cell r="H1469" t="str">
            <v>2006-02-28</v>
          </cell>
        </row>
        <row r="1470">
          <cell r="A1470">
            <v>480000</v>
          </cell>
          <cell r="B1470">
            <v>1015</v>
          </cell>
          <cell r="C1470">
            <v>0.64</v>
          </cell>
          <cell r="D1470" t="str">
            <v>205</v>
          </cell>
          <cell r="E1470" t="str">
            <v>455</v>
          </cell>
          <cell r="F1470">
            <v>0</v>
          </cell>
          <cell r="G1470">
            <v>2</v>
          </cell>
          <cell r="H1470" t="str">
            <v>2006-02-28</v>
          </cell>
        </row>
        <row r="1471">
          <cell r="A1471">
            <v>480000</v>
          </cell>
          <cell r="B1471">
            <v>1015</v>
          </cell>
          <cell r="C1471">
            <v>4.25</v>
          </cell>
          <cell r="D1471" t="str">
            <v>205</v>
          </cell>
          <cell r="E1471" t="str">
            <v>455</v>
          </cell>
          <cell r="F1471">
            <v>0</v>
          </cell>
          <cell r="G1471">
            <v>2</v>
          </cell>
          <cell r="H1471" t="str">
            <v>2006-02-28</v>
          </cell>
        </row>
        <row r="1472">
          <cell r="A1472">
            <v>480001</v>
          </cell>
          <cell r="B1472">
            <v>1015</v>
          </cell>
          <cell r="C1472">
            <v>7336.54</v>
          </cell>
          <cell r="D1472" t="str">
            <v>205</v>
          </cell>
          <cell r="E1472" t="str">
            <v>455</v>
          </cell>
          <cell r="F1472">
            <v>0</v>
          </cell>
          <cell r="G1472">
            <v>2</v>
          </cell>
          <cell r="H1472" t="str">
            <v>2006-02-28</v>
          </cell>
        </row>
        <row r="1473">
          <cell r="A1473">
            <v>481004</v>
          </cell>
          <cell r="B1473">
            <v>1015</v>
          </cell>
          <cell r="C1473">
            <v>-3.09</v>
          </cell>
          <cell r="D1473" t="str">
            <v>205</v>
          </cell>
          <cell r="E1473" t="str">
            <v>455</v>
          </cell>
          <cell r="F1473">
            <v>0</v>
          </cell>
          <cell r="G1473">
            <v>2</v>
          </cell>
          <cell r="H1473" t="str">
            <v>2006-02-28</v>
          </cell>
        </row>
        <row r="1474">
          <cell r="A1474">
            <v>481004</v>
          </cell>
          <cell r="B1474">
            <v>1015</v>
          </cell>
          <cell r="C1474">
            <v>-2735</v>
          </cell>
          <cell r="D1474" t="str">
            <v>205</v>
          </cell>
          <cell r="E1474" t="str">
            <v>455</v>
          </cell>
          <cell r="F1474">
            <v>0</v>
          </cell>
          <cell r="G1474">
            <v>2</v>
          </cell>
          <cell r="H1474" t="str">
            <v>2006-02-28</v>
          </cell>
        </row>
        <row r="1475">
          <cell r="A1475">
            <v>481004</v>
          </cell>
          <cell r="B1475">
            <v>1015</v>
          </cell>
          <cell r="C1475">
            <v>-145.34</v>
          </cell>
          <cell r="D1475" t="str">
            <v>205</v>
          </cell>
          <cell r="E1475" t="str">
            <v>455</v>
          </cell>
          <cell r="F1475">
            <v>0</v>
          </cell>
          <cell r="G1475">
            <v>2</v>
          </cell>
          <cell r="H1475" t="str">
            <v>2006-02-28</v>
          </cell>
        </row>
        <row r="1476">
          <cell r="A1476">
            <v>481004</v>
          </cell>
          <cell r="B1476">
            <v>1015</v>
          </cell>
          <cell r="C1476">
            <v>-38.19</v>
          </cell>
          <cell r="D1476" t="str">
            <v>205</v>
          </cell>
          <cell r="E1476" t="str">
            <v>455</v>
          </cell>
          <cell r="F1476">
            <v>0</v>
          </cell>
          <cell r="G1476">
            <v>2</v>
          </cell>
          <cell r="H1476" t="str">
            <v>2006-02-28</v>
          </cell>
        </row>
        <row r="1477">
          <cell r="A1477">
            <v>481004</v>
          </cell>
          <cell r="B1477">
            <v>1015</v>
          </cell>
          <cell r="C1477">
            <v>-120.81</v>
          </cell>
          <cell r="D1477" t="str">
            <v>205</v>
          </cell>
          <cell r="E1477" t="str">
            <v>455</v>
          </cell>
          <cell r="F1477">
            <v>0</v>
          </cell>
          <cell r="G1477">
            <v>2</v>
          </cell>
          <cell r="H1477" t="str">
            <v>2006-02-28</v>
          </cell>
        </row>
        <row r="1478">
          <cell r="A1478" t="str">
            <v>481000</v>
          </cell>
          <cell r="B1478" t="str">
            <v>1015</v>
          </cell>
          <cell r="C1478">
            <v>-25253.79</v>
          </cell>
          <cell r="D1478" t="str">
            <v>202</v>
          </cell>
          <cell r="E1478" t="str">
            <v>402</v>
          </cell>
          <cell r="F1478">
            <v>-52244.800000000003</v>
          </cell>
          <cell r="G1478">
            <v>3</v>
          </cell>
          <cell r="H1478" t="str">
            <v>2006-03-31</v>
          </cell>
        </row>
        <row r="1479">
          <cell r="A1479" t="str">
            <v>481000</v>
          </cell>
          <cell r="B1479" t="str">
            <v>1015</v>
          </cell>
          <cell r="C1479">
            <v>-53926.77</v>
          </cell>
          <cell r="D1479" t="str">
            <v>203</v>
          </cell>
          <cell r="E1479" t="str">
            <v>402</v>
          </cell>
          <cell r="F1479">
            <v>0</v>
          </cell>
          <cell r="G1479">
            <v>3</v>
          </cell>
          <cell r="H1479" t="str">
            <v>2006-03-31</v>
          </cell>
        </row>
        <row r="1480">
          <cell r="A1480" t="str">
            <v>481000</v>
          </cell>
          <cell r="B1480" t="str">
            <v>1015</v>
          </cell>
          <cell r="C1480">
            <v>-359198.49</v>
          </cell>
          <cell r="D1480" t="str">
            <v>204</v>
          </cell>
          <cell r="E1480" t="str">
            <v>402</v>
          </cell>
          <cell r="F1480">
            <v>0</v>
          </cell>
          <cell r="G1480">
            <v>3</v>
          </cell>
          <cell r="H1480" t="str">
            <v>2006-03-31</v>
          </cell>
        </row>
        <row r="1481">
          <cell r="A1481" t="str">
            <v>481000</v>
          </cell>
          <cell r="B1481" t="str">
            <v>1015</v>
          </cell>
          <cell r="C1481">
            <v>0</v>
          </cell>
          <cell r="D1481" t="str">
            <v>210</v>
          </cell>
          <cell r="E1481" t="str">
            <v>402</v>
          </cell>
          <cell r="F1481">
            <v>0</v>
          </cell>
          <cell r="G1481">
            <v>3</v>
          </cell>
          <cell r="H1481" t="str">
            <v>2006-03-31</v>
          </cell>
        </row>
        <row r="1482">
          <cell r="A1482" t="str">
            <v>481004</v>
          </cell>
          <cell r="B1482" t="str">
            <v>1015</v>
          </cell>
          <cell r="C1482">
            <v>-423619.33</v>
          </cell>
          <cell r="D1482" t="str">
            <v>202</v>
          </cell>
          <cell r="E1482" t="str">
            <v>402</v>
          </cell>
          <cell r="F1482">
            <v>-804269.78</v>
          </cell>
          <cell r="G1482">
            <v>3</v>
          </cell>
          <cell r="H1482" t="str">
            <v>2006-03-31</v>
          </cell>
        </row>
        <row r="1483">
          <cell r="A1483" t="str">
            <v>481004</v>
          </cell>
          <cell r="B1483" t="str">
            <v>1015</v>
          </cell>
          <cell r="C1483">
            <v>-830159.73</v>
          </cell>
          <cell r="D1483" t="str">
            <v>203</v>
          </cell>
          <cell r="E1483" t="str">
            <v>402</v>
          </cell>
          <cell r="F1483">
            <v>0</v>
          </cell>
          <cell r="G1483">
            <v>3</v>
          </cell>
          <cell r="H1483" t="str">
            <v>2006-03-31</v>
          </cell>
        </row>
        <row r="1484">
          <cell r="A1484" t="str">
            <v>481004</v>
          </cell>
          <cell r="B1484" t="str">
            <v>1015</v>
          </cell>
          <cell r="C1484">
            <v>-5529573.0800000001</v>
          </cell>
          <cell r="D1484" t="str">
            <v>204</v>
          </cell>
          <cell r="E1484" t="str">
            <v>402</v>
          </cell>
          <cell r="F1484">
            <v>0</v>
          </cell>
          <cell r="G1484">
            <v>3</v>
          </cell>
          <cell r="H1484" t="str">
            <v>2006-03-31</v>
          </cell>
        </row>
        <row r="1485">
          <cell r="A1485" t="str">
            <v>481004</v>
          </cell>
          <cell r="B1485" t="str">
            <v>1015</v>
          </cell>
          <cell r="C1485">
            <v>0</v>
          </cell>
          <cell r="D1485" t="str">
            <v>210</v>
          </cell>
          <cell r="E1485" t="str">
            <v>402</v>
          </cell>
          <cell r="F1485">
            <v>0</v>
          </cell>
          <cell r="G1485">
            <v>3</v>
          </cell>
          <cell r="H1485" t="str">
            <v>2006-03-31</v>
          </cell>
        </row>
        <row r="1486">
          <cell r="A1486" t="str">
            <v>481000</v>
          </cell>
          <cell r="B1486" t="str">
            <v>1015</v>
          </cell>
          <cell r="C1486">
            <v>-7324.64</v>
          </cell>
          <cell r="D1486" t="str">
            <v>202</v>
          </cell>
          <cell r="E1486" t="str">
            <v>403</v>
          </cell>
          <cell r="F1486">
            <v>0</v>
          </cell>
          <cell r="G1486">
            <v>3</v>
          </cell>
          <cell r="H1486" t="str">
            <v>2006-03-31</v>
          </cell>
        </row>
        <row r="1487">
          <cell r="A1487" t="str">
            <v>481000</v>
          </cell>
          <cell r="B1487" t="str">
            <v>1015</v>
          </cell>
          <cell r="C1487">
            <v>-1622.26</v>
          </cell>
          <cell r="D1487" t="str">
            <v>203</v>
          </cell>
          <cell r="E1487" t="str">
            <v>403</v>
          </cell>
          <cell r="F1487">
            <v>0</v>
          </cell>
          <cell r="G1487">
            <v>3</v>
          </cell>
          <cell r="H1487" t="str">
            <v>2006-03-31</v>
          </cell>
        </row>
        <row r="1488">
          <cell r="A1488" t="str">
            <v>481000</v>
          </cell>
          <cell r="B1488" t="str">
            <v>1015</v>
          </cell>
          <cell r="C1488">
            <v>-2948.85</v>
          </cell>
          <cell r="D1488" t="str">
            <v>204</v>
          </cell>
          <cell r="E1488" t="str">
            <v>403</v>
          </cell>
          <cell r="F1488">
            <v>0</v>
          </cell>
          <cell r="G1488">
            <v>3</v>
          </cell>
          <cell r="H1488" t="str">
            <v>2006-03-31</v>
          </cell>
        </row>
        <row r="1489">
          <cell r="A1489" t="str">
            <v>481000</v>
          </cell>
          <cell r="B1489" t="str">
            <v>1015</v>
          </cell>
          <cell r="C1489">
            <v>0</v>
          </cell>
          <cell r="D1489" t="str">
            <v>210</v>
          </cell>
          <cell r="E1489" t="str">
            <v>403</v>
          </cell>
          <cell r="F1489">
            <v>0</v>
          </cell>
          <cell r="G1489">
            <v>3</v>
          </cell>
          <cell r="H1489" t="str">
            <v>2006-03-31</v>
          </cell>
        </row>
        <row r="1490">
          <cell r="A1490" t="str">
            <v>481004</v>
          </cell>
          <cell r="B1490" t="str">
            <v>1015</v>
          </cell>
          <cell r="C1490">
            <v>0</v>
          </cell>
          <cell r="D1490" t="str">
            <v>202</v>
          </cell>
          <cell r="E1490" t="str">
            <v>403</v>
          </cell>
          <cell r="F1490">
            <v>0</v>
          </cell>
          <cell r="G1490">
            <v>3</v>
          </cell>
          <cell r="H1490" t="str">
            <v>2006-03-31</v>
          </cell>
        </row>
        <row r="1491">
          <cell r="A1491" t="str">
            <v>481004</v>
          </cell>
          <cell r="B1491" t="str">
            <v>1015</v>
          </cell>
          <cell r="C1491">
            <v>0</v>
          </cell>
          <cell r="D1491" t="str">
            <v>203</v>
          </cell>
          <cell r="E1491" t="str">
            <v>403</v>
          </cell>
          <cell r="F1491">
            <v>0</v>
          </cell>
          <cell r="G1491">
            <v>3</v>
          </cell>
          <cell r="H1491" t="str">
            <v>2006-03-31</v>
          </cell>
        </row>
        <row r="1492">
          <cell r="A1492" t="str">
            <v>481004</v>
          </cell>
          <cell r="B1492" t="str">
            <v>1015</v>
          </cell>
          <cell r="C1492">
            <v>0</v>
          </cell>
          <cell r="D1492" t="str">
            <v>204</v>
          </cell>
          <cell r="E1492" t="str">
            <v>403</v>
          </cell>
          <cell r="F1492">
            <v>0</v>
          </cell>
          <cell r="G1492">
            <v>3</v>
          </cell>
          <cell r="H1492" t="str">
            <v>2006-03-31</v>
          </cell>
        </row>
        <row r="1493">
          <cell r="A1493" t="str">
            <v>481004</v>
          </cell>
          <cell r="B1493" t="str">
            <v>1015</v>
          </cell>
          <cell r="C1493">
            <v>0</v>
          </cell>
          <cell r="D1493" t="str">
            <v>210</v>
          </cell>
          <cell r="E1493" t="str">
            <v>403</v>
          </cell>
          <cell r="F1493">
            <v>0</v>
          </cell>
          <cell r="G1493">
            <v>3</v>
          </cell>
          <cell r="H1493" t="str">
            <v>2006-03-31</v>
          </cell>
        </row>
        <row r="1494">
          <cell r="A1494" t="str">
            <v>481000</v>
          </cell>
          <cell r="B1494" t="str">
            <v>1015</v>
          </cell>
          <cell r="C1494">
            <v>-90839.52</v>
          </cell>
          <cell r="D1494" t="str">
            <v>202</v>
          </cell>
          <cell r="E1494" t="str">
            <v>404</v>
          </cell>
          <cell r="F1494">
            <v>-278474</v>
          </cell>
          <cell r="G1494">
            <v>3</v>
          </cell>
          <cell r="H1494" t="str">
            <v>2006-03-31</v>
          </cell>
        </row>
        <row r="1495">
          <cell r="A1495" t="str">
            <v>481000</v>
          </cell>
          <cell r="B1495" t="str">
            <v>1015</v>
          </cell>
          <cell r="C1495">
            <v>-201077.72</v>
          </cell>
          <cell r="D1495" t="str">
            <v>203</v>
          </cell>
          <cell r="E1495" t="str">
            <v>404</v>
          </cell>
          <cell r="F1495">
            <v>0</v>
          </cell>
          <cell r="G1495">
            <v>3</v>
          </cell>
          <cell r="H1495" t="str">
            <v>2006-03-31</v>
          </cell>
        </row>
        <row r="1496">
          <cell r="A1496" t="str">
            <v>481000</v>
          </cell>
          <cell r="B1496" t="str">
            <v>1015</v>
          </cell>
          <cell r="C1496">
            <v>-1914583.94</v>
          </cell>
          <cell r="D1496" t="str">
            <v>204</v>
          </cell>
          <cell r="E1496" t="str">
            <v>404</v>
          </cell>
          <cell r="F1496">
            <v>0</v>
          </cell>
          <cell r="G1496">
            <v>3</v>
          </cell>
          <cell r="H1496" t="str">
            <v>2006-03-31</v>
          </cell>
        </row>
        <row r="1497">
          <cell r="A1497" t="str">
            <v>481000</v>
          </cell>
          <cell r="B1497" t="str">
            <v>1015</v>
          </cell>
          <cell r="C1497">
            <v>0</v>
          </cell>
          <cell r="D1497" t="str">
            <v>210</v>
          </cell>
          <cell r="E1497" t="str">
            <v>404</v>
          </cell>
          <cell r="F1497">
            <v>0</v>
          </cell>
          <cell r="G1497">
            <v>3</v>
          </cell>
          <cell r="H1497" t="str">
            <v>2006-03-31</v>
          </cell>
        </row>
        <row r="1498">
          <cell r="A1498" t="str">
            <v>481004</v>
          </cell>
          <cell r="B1498" t="str">
            <v>1015</v>
          </cell>
          <cell r="C1498">
            <v>0</v>
          </cell>
          <cell r="D1498" t="str">
            <v>202</v>
          </cell>
          <cell r="E1498" t="str">
            <v>404</v>
          </cell>
          <cell r="F1498">
            <v>0</v>
          </cell>
          <cell r="G1498">
            <v>3</v>
          </cell>
          <cell r="H1498" t="str">
            <v>2006-03-31</v>
          </cell>
        </row>
        <row r="1499">
          <cell r="A1499" t="str">
            <v>481004</v>
          </cell>
          <cell r="B1499" t="str">
            <v>1015</v>
          </cell>
          <cell r="C1499">
            <v>0</v>
          </cell>
          <cell r="D1499" t="str">
            <v>203</v>
          </cell>
          <cell r="E1499" t="str">
            <v>404</v>
          </cell>
          <cell r="F1499">
            <v>0</v>
          </cell>
          <cell r="G1499">
            <v>3</v>
          </cell>
          <cell r="H1499" t="str">
            <v>2006-03-31</v>
          </cell>
        </row>
        <row r="1500">
          <cell r="A1500" t="str">
            <v>481004</v>
          </cell>
          <cell r="B1500" t="str">
            <v>1015</v>
          </cell>
          <cell r="C1500">
            <v>0</v>
          </cell>
          <cell r="D1500" t="str">
            <v>204</v>
          </cell>
          <cell r="E1500" t="str">
            <v>404</v>
          </cell>
          <cell r="F1500">
            <v>0</v>
          </cell>
          <cell r="G1500">
            <v>3</v>
          </cell>
          <cell r="H1500" t="str">
            <v>2006-03-31</v>
          </cell>
        </row>
        <row r="1501">
          <cell r="A1501" t="str">
            <v>481004</v>
          </cell>
          <cell r="B1501" t="str">
            <v>1015</v>
          </cell>
          <cell r="C1501">
            <v>0</v>
          </cell>
          <cell r="D1501" t="str">
            <v>210</v>
          </cell>
          <cell r="E1501" t="str">
            <v>404</v>
          </cell>
          <cell r="F1501">
            <v>0</v>
          </cell>
          <cell r="G1501">
            <v>3</v>
          </cell>
          <cell r="H1501" t="str">
            <v>2006-03-31</v>
          </cell>
        </row>
        <row r="1502">
          <cell r="A1502" t="str">
            <v>489300</v>
          </cell>
          <cell r="B1502" t="str">
            <v>1015</v>
          </cell>
          <cell r="C1502">
            <v>-60446.74</v>
          </cell>
          <cell r="D1502" t="str">
            <v>250</v>
          </cell>
          <cell r="E1502" t="str">
            <v>405</v>
          </cell>
          <cell r="F1502">
            <v>-329538</v>
          </cell>
          <cell r="G1502">
            <v>3</v>
          </cell>
          <cell r="H1502" t="str">
            <v>2006-03-31</v>
          </cell>
        </row>
        <row r="1503">
          <cell r="A1503" t="str">
            <v>489304</v>
          </cell>
          <cell r="B1503" t="str">
            <v>1015</v>
          </cell>
          <cell r="C1503">
            <v>-31347.18</v>
          </cell>
          <cell r="D1503" t="str">
            <v>250</v>
          </cell>
          <cell r="E1503" t="str">
            <v>405</v>
          </cell>
          <cell r="F1503">
            <v>-171474</v>
          </cell>
          <cell r="G1503">
            <v>3</v>
          </cell>
          <cell r="H1503" t="str">
            <v>2006-03-31</v>
          </cell>
        </row>
        <row r="1504">
          <cell r="A1504" t="str">
            <v>489300</v>
          </cell>
          <cell r="B1504" t="str">
            <v>1015</v>
          </cell>
          <cell r="C1504">
            <v>-105960.42</v>
          </cell>
          <cell r="D1504" t="str">
            <v>250</v>
          </cell>
          <cell r="E1504" t="str">
            <v>406</v>
          </cell>
          <cell r="F1504">
            <v>-318506</v>
          </cell>
          <cell r="G1504">
            <v>3</v>
          </cell>
          <cell r="H1504" t="str">
            <v>2006-03-31</v>
          </cell>
        </row>
        <row r="1505">
          <cell r="A1505" t="str">
            <v>489304</v>
          </cell>
          <cell r="B1505" t="str">
            <v>1015</v>
          </cell>
          <cell r="C1505">
            <v>-41987.51</v>
          </cell>
          <cell r="D1505" t="str">
            <v>250</v>
          </cell>
          <cell r="E1505" t="str">
            <v>406</v>
          </cell>
          <cell r="F1505">
            <v>-214171</v>
          </cell>
          <cell r="G1505">
            <v>3</v>
          </cell>
          <cell r="H1505" t="str">
            <v>2006-03-31</v>
          </cell>
        </row>
        <row r="1506">
          <cell r="A1506" t="str">
            <v>480000</v>
          </cell>
          <cell r="B1506" t="str">
            <v>1015</v>
          </cell>
          <cell r="C1506">
            <v>-21502441.02</v>
          </cell>
          <cell r="D1506" t="str">
            <v>202</v>
          </cell>
          <cell r="E1506" t="str">
            <v>407</v>
          </cell>
          <cell r="F1506">
            <v>-8604965.0600000005</v>
          </cell>
          <cell r="G1506">
            <v>3</v>
          </cell>
          <cell r="H1506" t="str">
            <v>2006-03-31</v>
          </cell>
        </row>
        <row r="1507">
          <cell r="A1507" t="str">
            <v>480000</v>
          </cell>
          <cell r="B1507" t="str">
            <v>1015</v>
          </cell>
          <cell r="C1507">
            <v>-9121973.9199999999</v>
          </cell>
          <cell r="D1507" t="str">
            <v>203</v>
          </cell>
          <cell r="E1507" t="str">
            <v>407</v>
          </cell>
          <cell r="F1507">
            <v>0</v>
          </cell>
          <cell r="G1507">
            <v>3</v>
          </cell>
          <cell r="H1507" t="str">
            <v>2006-03-31</v>
          </cell>
        </row>
        <row r="1508">
          <cell r="A1508" t="str">
            <v>480000</v>
          </cell>
          <cell r="B1508" t="str">
            <v>1015</v>
          </cell>
          <cell r="C1508">
            <v>-59579374</v>
          </cell>
          <cell r="D1508" t="str">
            <v>204</v>
          </cell>
          <cell r="E1508" t="str">
            <v>407</v>
          </cell>
          <cell r="F1508">
            <v>0</v>
          </cell>
          <cell r="G1508">
            <v>3</v>
          </cell>
          <cell r="H1508" t="str">
            <v>2006-03-31</v>
          </cell>
        </row>
        <row r="1509">
          <cell r="A1509" t="str">
            <v>480000</v>
          </cell>
          <cell r="B1509" t="str">
            <v>1015</v>
          </cell>
          <cell r="C1509">
            <v>1225125.58</v>
          </cell>
          <cell r="D1509" t="str">
            <v>205</v>
          </cell>
          <cell r="E1509" t="str">
            <v>407</v>
          </cell>
          <cell r="F1509">
            <v>0</v>
          </cell>
          <cell r="G1509">
            <v>3</v>
          </cell>
          <cell r="H1509" t="str">
            <v>2006-03-31</v>
          </cell>
        </row>
        <row r="1510">
          <cell r="A1510" t="str">
            <v>480000</v>
          </cell>
          <cell r="B1510" t="str">
            <v>1015</v>
          </cell>
          <cell r="C1510">
            <v>12188.18</v>
          </cell>
          <cell r="D1510" t="str">
            <v>210</v>
          </cell>
          <cell r="E1510" t="str">
            <v>407</v>
          </cell>
          <cell r="F1510">
            <v>1959.3</v>
          </cell>
          <cell r="G1510">
            <v>3</v>
          </cell>
          <cell r="H1510" t="str">
            <v>2006-03-31</v>
          </cell>
        </row>
        <row r="1511">
          <cell r="A1511" t="str">
            <v>480001</v>
          </cell>
          <cell r="B1511" t="str">
            <v>1015</v>
          </cell>
          <cell r="C1511">
            <v>2981705.85</v>
          </cell>
          <cell r="D1511" t="str">
            <v>202</v>
          </cell>
          <cell r="E1511" t="str">
            <v>407</v>
          </cell>
          <cell r="F1511">
            <v>1841965</v>
          </cell>
          <cell r="G1511">
            <v>3</v>
          </cell>
          <cell r="H1511" t="str">
            <v>2006-03-31</v>
          </cell>
        </row>
        <row r="1512">
          <cell r="A1512" t="str">
            <v>480001</v>
          </cell>
          <cell r="B1512" t="str">
            <v>1015</v>
          </cell>
          <cell r="C1512">
            <v>1952695.18</v>
          </cell>
          <cell r="D1512" t="str">
            <v>203</v>
          </cell>
          <cell r="E1512" t="str">
            <v>407</v>
          </cell>
          <cell r="F1512">
            <v>0</v>
          </cell>
          <cell r="G1512">
            <v>3</v>
          </cell>
          <cell r="H1512" t="str">
            <v>2006-03-31</v>
          </cell>
        </row>
        <row r="1513">
          <cell r="A1513" t="str">
            <v>480001</v>
          </cell>
          <cell r="B1513" t="str">
            <v>1015</v>
          </cell>
          <cell r="C1513">
            <v>12796240.02</v>
          </cell>
          <cell r="D1513" t="str">
            <v>204</v>
          </cell>
          <cell r="E1513" t="str">
            <v>407</v>
          </cell>
          <cell r="F1513">
            <v>0</v>
          </cell>
          <cell r="G1513">
            <v>3</v>
          </cell>
          <cell r="H1513" t="str">
            <v>2006-03-31</v>
          </cell>
        </row>
        <row r="1514">
          <cell r="A1514" t="str">
            <v>480001</v>
          </cell>
          <cell r="B1514" t="str">
            <v>1015</v>
          </cell>
          <cell r="C1514">
            <v>-174858.75</v>
          </cell>
          <cell r="D1514" t="str">
            <v>205</v>
          </cell>
          <cell r="E1514" t="str">
            <v>407</v>
          </cell>
          <cell r="F1514">
            <v>0</v>
          </cell>
          <cell r="G1514">
            <v>3</v>
          </cell>
          <cell r="H1514" t="str">
            <v>2006-03-31</v>
          </cell>
        </row>
        <row r="1515">
          <cell r="A1515" t="str">
            <v>480001</v>
          </cell>
          <cell r="B1515" t="str">
            <v>1015</v>
          </cell>
          <cell r="C1515">
            <v>-15273.13</v>
          </cell>
          <cell r="D1515" t="str">
            <v>210</v>
          </cell>
          <cell r="E1515" t="str">
            <v>407</v>
          </cell>
          <cell r="F1515">
            <v>-2449</v>
          </cell>
          <cell r="G1515">
            <v>3</v>
          </cell>
          <cell r="H1515" t="str">
            <v>2006-03-31</v>
          </cell>
        </row>
        <row r="1516">
          <cell r="A1516" t="str">
            <v>481004</v>
          </cell>
          <cell r="B1516" t="str">
            <v>1015</v>
          </cell>
          <cell r="C1516">
            <v>-5457565.8300000001</v>
          </cell>
          <cell r="D1516" t="str">
            <v>202</v>
          </cell>
          <cell r="E1516" t="str">
            <v>407</v>
          </cell>
          <cell r="F1516">
            <v>-3709329.65</v>
          </cell>
          <cell r="G1516">
            <v>3</v>
          </cell>
          <cell r="H1516" t="str">
            <v>2006-03-31</v>
          </cell>
        </row>
        <row r="1517">
          <cell r="A1517" t="str">
            <v>481004</v>
          </cell>
          <cell r="B1517" t="str">
            <v>1015</v>
          </cell>
          <cell r="C1517">
            <v>-3929192.26</v>
          </cell>
          <cell r="D1517" t="str">
            <v>203</v>
          </cell>
          <cell r="E1517" t="str">
            <v>407</v>
          </cell>
          <cell r="F1517">
            <v>0</v>
          </cell>
          <cell r="G1517">
            <v>3</v>
          </cell>
          <cell r="H1517" t="str">
            <v>2006-03-31</v>
          </cell>
        </row>
        <row r="1518">
          <cell r="A1518" t="str">
            <v>481004</v>
          </cell>
          <cell r="B1518" t="str">
            <v>1015</v>
          </cell>
          <cell r="C1518">
            <v>-25658685.02</v>
          </cell>
          <cell r="D1518" t="str">
            <v>204</v>
          </cell>
          <cell r="E1518" t="str">
            <v>407</v>
          </cell>
          <cell r="F1518">
            <v>0</v>
          </cell>
          <cell r="G1518">
            <v>3</v>
          </cell>
          <cell r="H1518" t="str">
            <v>2006-03-31</v>
          </cell>
        </row>
        <row r="1519">
          <cell r="A1519" t="str">
            <v>481004</v>
          </cell>
          <cell r="B1519" t="str">
            <v>1015</v>
          </cell>
          <cell r="C1519">
            <v>281050.17</v>
          </cell>
          <cell r="D1519" t="str">
            <v>205</v>
          </cell>
          <cell r="E1519" t="str">
            <v>407</v>
          </cell>
          <cell r="F1519">
            <v>0</v>
          </cell>
          <cell r="G1519">
            <v>3</v>
          </cell>
          <cell r="H1519" t="str">
            <v>2006-03-31</v>
          </cell>
        </row>
        <row r="1520">
          <cell r="A1520" t="str">
            <v>481004</v>
          </cell>
          <cell r="B1520" t="str">
            <v>1015</v>
          </cell>
          <cell r="C1520">
            <v>3084.95</v>
          </cell>
          <cell r="D1520" t="str">
            <v>210</v>
          </cell>
          <cell r="E1520" t="str">
            <v>407</v>
          </cell>
          <cell r="F1520">
            <v>489.4</v>
          </cell>
          <cell r="G1520">
            <v>3</v>
          </cell>
          <cell r="H1520" t="str">
            <v>2006-03-31</v>
          </cell>
        </row>
        <row r="1521">
          <cell r="A1521" t="str">
            <v>480000</v>
          </cell>
          <cell r="B1521" t="str">
            <v>1015</v>
          </cell>
          <cell r="C1521">
            <v>-226106.1</v>
          </cell>
          <cell r="D1521" t="str">
            <v>202</v>
          </cell>
          <cell r="E1521" t="str">
            <v>408</v>
          </cell>
          <cell r="F1521">
            <v>-55803.61</v>
          </cell>
          <cell r="G1521">
            <v>3</v>
          </cell>
          <cell r="H1521" t="str">
            <v>2006-03-31</v>
          </cell>
        </row>
        <row r="1522">
          <cell r="A1522" t="str">
            <v>480000</v>
          </cell>
          <cell r="B1522" t="str">
            <v>1015</v>
          </cell>
          <cell r="C1522">
            <v>-59173.67</v>
          </cell>
          <cell r="D1522" t="str">
            <v>203</v>
          </cell>
          <cell r="E1522" t="str">
            <v>408</v>
          </cell>
          <cell r="F1522">
            <v>0</v>
          </cell>
          <cell r="G1522">
            <v>3</v>
          </cell>
          <cell r="H1522" t="str">
            <v>2006-03-31</v>
          </cell>
        </row>
        <row r="1523">
          <cell r="A1523" t="str">
            <v>480000</v>
          </cell>
          <cell r="B1523" t="str">
            <v>1015</v>
          </cell>
          <cell r="C1523">
            <v>-386297.12</v>
          </cell>
          <cell r="D1523" t="str">
            <v>204</v>
          </cell>
          <cell r="E1523" t="str">
            <v>408</v>
          </cell>
          <cell r="F1523">
            <v>0</v>
          </cell>
          <cell r="G1523">
            <v>3</v>
          </cell>
          <cell r="H1523" t="str">
            <v>2006-03-31</v>
          </cell>
        </row>
        <row r="1524">
          <cell r="A1524" t="str">
            <v>480000</v>
          </cell>
          <cell r="B1524" t="str">
            <v>1015</v>
          </cell>
          <cell r="C1524">
            <v>5161</v>
          </cell>
          <cell r="D1524" t="str">
            <v>205</v>
          </cell>
          <cell r="E1524" t="str">
            <v>408</v>
          </cell>
          <cell r="F1524">
            <v>0</v>
          </cell>
          <cell r="G1524">
            <v>3</v>
          </cell>
          <cell r="H1524" t="str">
            <v>2006-03-31</v>
          </cell>
        </row>
        <row r="1525">
          <cell r="A1525" t="str">
            <v>480001</v>
          </cell>
          <cell r="B1525" t="str">
            <v>1015</v>
          </cell>
          <cell r="C1525">
            <v>21451.66</v>
          </cell>
          <cell r="D1525" t="str">
            <v>202</v>
          </cell>
          <cell r="E1525" t="str">
            <v>408</v>
          </cell>
          <cell r="F1525">
            <v>5515</v>
          </cell>
          <cell r="G1525">
            <v>3</v>
          </cell>
          <cell r="H1525" t="str">
            <v>2006-03-31</v>
          </cell>
        </row>
        <row r="1526">
          <cell r="A1526" t="str">
            <v>480001</v>
          </cell>
          <cell r="B1526" t="str">
            <v>1015</v>
          </cell>
          <cell r="C1526">
            <v>5882.56</v>
          </cell>
          <cell r="D1526" t="str">
            <v>203</v>
          </cell>
          <cell r="E1526" t="str">
            <v>408</v>
          </cell>
          <cell r="F1526">
            <v>0</v>
          </cell>
          <cell r="G1526">
            <v>3</v>
          </cell>
          <cell r="H1526" t="str">
            <v>2006-03-31</v>
          </cell>
        </row>
        <row r="1527">
          <cell r="A1527" t="str">
            <v>480001</v>
          </cell>
          <cell r="B1527" t="str">
            <v>1015</v>
          </cell>
          <cell r="C1527">
            <v>38484.769999999997</v>
          </cell>
          <cell r="D1527" t="str">
            <v>204</v>
          </cell>
          <cell r="E1527" t="str">
            <v>408</v>
          </cell>
          <cell r="F1527">
            <v>0</v>
          </cell>
          <cell r="G1527">
            <v>3</v>
          </cell>
          <cell r="H1527" t="str">
            <v>2006-03-31</v>
          </cell>
        </row>
        <row r="1528">
          <cell r="A1528" t="str">
            <v>480001</v>
          </cell>
          <cell r="B1528" t="str">
            <v>1015</v>
          </cell>
          <cell r="C1528">
            <v>3813.15</v>
          </cell>
          <cell r="D1528" t="str">
            <v>205</v>
          </cell>
          <cell r="E1528" t="str">
            <v>408</v>
          </cell>
          <cell r="F1528">
            <v>0</v>
          </cell>
          <cell r="G1528">
            <v>3</v>
          </cell>
          <cell r="H1528" t="str">
            <v>2006-03-31</v>
          </cell>
        </row>
        <row r="1529">
          <cell r="A1529" t="str">
            <v>480001</v>
          </cell>
          <cell r="B1529" t="str">
            <v>1015</v>
          </cell>
          <cell r="C1529">
            <v>0</v>
          </cell>
          <cell r="D1529" t="str">
            <v>210</v>
          </cell>
          <cell r="E1529" t="str">
            <v>408</v>
          </cell>
          <cell r="F1529">
            <v>0</v>
          </cell>
          <cell r="G1529">
            <v>3</v>
          </cell>
          <cell r="H1529" t="str">
            <v>2006-03-31</v>
          </cell>
        </row>
        <row r="1530">
          <cell r="A1530" t="str">
            <v>481004</v>
          </cell>
          <cell r="B1530" t="str">
            <v>1015</v>
          </cell>
          <cell r="C1530">
            <v>-113086.56</v>
          </cell>
          <cell r="D1530" t="str">
            <v>202</v>
          </cell>
          <cell r="E1530" t="str">
            <v>408</v>
          </cell>
          <cell r="F1530">
            <v>-28035.82</v>
          </cell>
          <cell r="G1530">
            <v>3</v>
          </cell>
          <cell r="H1530" t="str">
            <v>2006-03-31</v>
          </cell>
        </row>
        <row r="1531">
          <cell r="A1531" t="str">
            <v>481004</v>
          </cell>
          <cell r="B1531" t="str">
            <v>1015</v>
          </cell>
          <cell r="C1531">
            <v>-29715.89</v>
          </cell>
          <cell r="D1531" t="str">
            <v>203</v>
          </cell>
          <cell r="E1531" t="str">
            <v>408</v>
          </cell>
          <cell r="F1531">
            <v>0</v>
          </cell>
          <cell r="G1531">
            <v>3</v>
          </cell>
          <cell r="H1531" t="str">
            <v>2006-03-31</v>
          </cell>
        </row>
        <row r="1532">
          <cell r="A1532" t="str">
            <v>481004</v>
          </cell>
          <cell r="B1532" t="str">
            <v>1015</v>
          </cell>
          <cell r="C1532">
            <v>-193989.65</v>
          </cell>
          <cell r="D1532" t="str">
            <v>204</v>
          </cell>
          <cell r="E1532" t="str">
            <v>408</v>
          </cell>
          <cell r="F1532">
            <v>0</v>
          </cell>
          <cell r="G1532">
            <v>3</v>
          </cell>
          <cell r="H1532" t="str">
            <v>2006-03-31</v>
          </cell>
        </row>
        <row r="1533">
          <cell r="A1533" t="str">
            <v>481004</v>
          </cell>
          <cell r="B1533" t="str">
            <v>1015</v>
          </cell>
          <cell r="C1533">
            <v>4915.8500000000004</v>
          </cell>
          <cell r="D1533" t="str">
            <v>205</v>
          </cell>
          <cell r="E1533" t="str">
            <v>408</v>
          </cell>
          <cell r="F1533">
            <v>0</v>
          </cell>
          <cell r="G1533">
            <v>3</v>
          </cell>
          <cell r="H1533" t="str">
            <v>2006-03-31</v>
          </cell>
        </row>
        <row r="1534">
          <cell r="A1534" t="str">
            <v>481002</v>
          </cell>
          <cell r="B1534" t="str">
            <v>1015</v>
          </cell>
          <cell r="C1534">
            <v>0</v>
          </cell>
          <cell r="D1534" t="str">
            <v>202</v>
          </cell>
          <cell r="E1534" t="str">
            <v>409</v>
          </cell>
          <cell r="F1534">
            <v>0</v>
          </cell>
          <cell r="G1534">
            <v>3</v>
          </cell>
          <cell r="H1534" t="str">
            <v>2006-03-31</v>
          </cell>
        </row>
        <row r="1535">
          <cell r="A1535" t="str">
            <v>481002</v>
          </cell>
          <cell r="B1535" t="str">
            <v>1015</v>
          </cell>
          <cell r="C1535">
            <v>0</v>
          </cell>
          <cell r="D1535" t="str">
            <v>203</v>
          </cell>
          <cell r="E1535" t="str">
            <v>409</v>
          </cell>
          <cell r="F1535">
            <v>0</v>
          </cell>
          <cell r="G1535">
            <v>3</v>
          </cell>
          <cell r="H1535" t="str">
            <v>2006-03-31</v>
          </cell>
        </row>
        <row r="1536">
          <cell r="A1536" t="str">
            <v>481002</v>
          </cell>
          <cell r="B1536" t="str">
            <v>1015</v>
          </cell>
          <cell r="C1536">
            <v>0</v>
          </cell>
          <cell r="D1536" t="str">
            <v>204</v>
          </cell>
          <cell r="E1536" t="str">
            <v>409</v>
          </cell>
          <cell r="F1536">
            <v>0</v>
          </cell>
          <cell r="G1536">
            <v>3</v>
          </cell>
          <cell r="H1536" t="str">
            <v>2006-03-31</v>
          </cell>
        </row>
        <row r="1537">
          <cell r="A1537" t="str">
            <v>481002</v>
          </cell>
          <cell r="B1537" t="str">
            <v>1015</v>
          </cell>
          <cell r="C1537">
            <v>0</v>
          </cell>
          <cell r="D1537" t="str">
            <v>210</v>
          </cell>
          <cell r="E1537" t="str">
            <v>409</v>
          </cell>
          <cell r="F1537">
            <v>0</v>
          </cell>
          <cell r="G1537">
            <v>3</v>
          </cell>
          <cell r="H1537" t="str">
            <v>2006-03-31</v>
          </cell>
        </row>
        <row r="1538">
          <cell r="A1538" t="str">
            <v>481002</v>
          </cell>
          <cell r="B1538" t="str">
            <v>1015</v>
          </cell>
          <cell r="C1538">
            <v>-4637.5</v>
          </cell>
          <cell r="D1538" t="str">
            <v>202</v>
          </cell>
          <cell r="E1538" t="str">
            <v>411</v>
          </cell>
          <cell r="F1538">
            <v>-20387.88</v>
          </cell>
          <cell r="G1538">
            <v>3</v>
          </cell>
          <cell r="H1538" t="str">
            <v>2006-03-31</v>
          </cell>
        </row>
        <row r="1539">
          <cell r="A1539" t="str">
            <v>481002</v>
          </cell>
          <cell r="B1539" t="str">
            <v>1015</v>
          </cell>
          <cell r="C1539">
            <v>-3728.36</v>
          </cell>
          <cell r="D1539" t="str">
            <v>203</v>
          </cell>
          <cell r="E1539" t="str">
            <v>411</v>
          </cell>
          <cell r="F1539">
            <v>0</v>
          </cell>
          <cell r="G1539">
            <v>3</v>
          </cell>
          <cell r="H1539" t="str">
            <v>2006-03-31</v>
          </cell>
        </row>
        <row r="1540">
          <cell r="A1540" t="str">
            <v>481002</v>
          </cell>
          <cell r="B1540" t="str">
            <v>1015</v>
          </cell>
          <cell r="C1540">
            <v>-127180.95</v>
          </cell>
          <cell r="D1540" t="str">
            <v>204</v>
          </cell>
          <cell r="E1540" t="str">
            <v>411</v>
          </cell>
          <cell r="F1540">
            <v>0</v>
          </cell>
          <cell r="G1540">
            <v>3</v>
          </cell>
          <cell r="H1540" t="str">
            <v>2006-03-31</v>
          </cell>
        </row>
        <row r="1541">
          <cell r="A1541" t="str">
            <v>481002</v>
          </cell>
          <cell r="B1541" t="str">
            <v>1015</v>
          </cell>
          <cell r="C1541">
            <v>0</v>
          </cell>
          <cell r="D1541" t="str">
            <v>210</v>
          </cell>
          <cell r="E1541" t="str">
            <v>411</v>
          </cell>
          <cell r="F1541">
            <v>0</v>
          </cell>
          <cell r="G1541">
            <v>3</v>
          </cell>
          <cell r="H1541" t="str">
            <v>2006-03-31</v>
          </cell>
        </row>
        <row r="1542">
          <cell r="A1542" t="str">
            <v>481005</v>
          </cell>
          <cell r="B1542" t="str">
            <v>1015</v>
          </cell>
          <cell r="C1542">
            <v>-35794.69</v>
          </cell>
          <cell r="D1542" t="str">
            <v>202</v>
          </cell>
          <cell r="E1542" t="str">
            <v>411</v>
          </cell>
          <cell r="F1542">
            <v>-136256.5</v>
          </cell>
          <cell r="G1542">
            <v>3</v>
          </cell>
          <cell r="H1542" t="str">
            <v>2006-03-31</v>
          </cell>
        </row>
        <row r="1543">
          <cell r="A1543" t="str">
            <v>481005</v>
          </cell>
          <cell r="B1543" t="str">
            <v>1015</v>
          </cell>
          <cell r="C1543">
            <v>-24917.47</v>
          </cell>
          <cell r="D1543" t="str">
            <v>203</v>
          </cell>
          <cell r="E1543" t="str">
            <v>411</v>
          </cell>
          <cell r="F1543">
            <v>0</v>
          </cell>
          <cell r="G1543">
            <v>3</v>
          </cell>
          <cell r="H1543" t="str">
            <v>2006-03-31</v>
          </cell>
        </row>
        <row r="1544">
          <cell r="A1544" t="str">
            <v>481005</v>
          </cell>
          <cell r="B1544" t="str">
            <v>1015</v>
          </cell>
          <cell r="C1544">
            <v>-849968.85</v>
          </cell>
          <cell r="D1544" t="str">
            <v>204</v>
          </cell>
          <cell r="E1544" t="str">
            <v>411</v>
          </cell>
          <cell r="F1544">
            <v>0</v>
          </cell>
          <cell r="G1544">
            <v>3</v>
          </cell>
          <cell r="H1544" t="str">
            <v>2006-03-31</v>
          </cell>
        </row>
        <row r="1545">
          <cell r="A1545" t="str">
            <v>481005</v>
          </cell>
          <cell r="B1545" t="str">
            <v>1015</v>
          </cell>
          <cell r="C1545">
            <v>0</v>
          </cell>
          <cell r="D1545" t="str">
            <v>210</v>
          </cell>
          <cell r="E1545" t="str">
            <v>411</v>
          </cell>
          <cell r="F1545">
            <v>0</v>
          </cell>
          <cell r="G1545">
            <v>3</v>
          </cell>
          <cell r="H1545" t="str">
            <v>2006-03-31</v>
          </cell>
        </row>
        <row r="1546">
          <cell r="A1546" t="str">
            <v>481002</v>
          </cell>
          <cell r="B1546" t="str">
            <v>1015</v>
          </cell>
          <cell r="C1546">
            <v>0</v>
          </cell>
          <cell r="D1546" t="str">
            <v>210</v>
          </cell>
          <cell r="E1546" t="str">
            <v>412</v>
          </cell>
          <cell r="F1546">
            <v>0</v>
          </cell>
          <cell r="G1546">
            <v>3</v>
          </cell>
          <cell r="H1546" t="str">
            <v>2006-03-31</v>
          </cell>
        </row>
        <row r="1547">
          <cell r="A1547" t="str">
            <v>481002</v>
          </cell>
          <cell r="B1547" t="str">
            <v>1015</v>
          </cell>
          <cell r="C1547">
            <v>-7130.13</v>
          </cell>
          <cell r="D1547" t="str">
            <v>202</v>
          </cell>
          <cell r="E1547" t="str">
            <v>414</v>
          </cell>
          <cell r="F1547">
            <v>-32222.89</v>
          </cell>
          <cell r="G1547">
            <v>3</v>
          </cell>
          <cell r="H1547" t="str">
            <v>2006-03-31</v>
          </cell>
        </row>
        <row r="1548">
          <cell r="A1548" t="str">
            <v>481002</v>
          </cell>
          <cell r="B1548" t="str">
            <v>1015</v>
          </cell>
          <cell r="C1548">
            <v>-5892.62</v>
          </cell>
          <cell r="D1548" t="str">
            <v>203</v>
          </cell>
          <cell r="E1548" t="str">
            <v>414</v>
          </cell>
          <cell r="F1548">
            <v>0</v>
          </cell>
          <cell r="G1548">
            <v>3</v>
          </cell>
          <cell r="H1548" t="str">
            <v>2006-03-31</v>
          </cell>
        </row>
        <row r="1549">
          <cell r="A1549" t="str">
            <v>481002</v>
          </cell>
          <cell r="B1549" t="str">
            <v>1015</v>
          </cell>
          <cell r="C1549">
            <v>-201008.04</v>
          </cell>
          <cell r="D1549" t="str">
            <v>204</v>
          </cell>
          <cell r="E1549" t="str">
            <v>414</v>
          </cell>
          <cell r="F1549">
            <v>0</v>
          </cell>
          <cell r="G1549">
            <v>3</v>
          </cell>
          <cell r="H1549" t="str">
            <v>2006-03-31</v>
          </cell>
        </row>
        <row r="1550">
          <cell r="A1550" t="str">
            <v>481002</v>
          </cell>
          <cell r="B1550" t="str">
            <v>1015</v>
          </cell>
          <cell r="C1550">
            <v>0</v>
          </cell>
          <cell r="D1550" t="str">
            <v>210</v>
          </cell>
          <cell r="E1550" t="str">
            <v>414</v>
          </cell>
          <cell r="F1550">
            <v>0</v>
          </cell>
          <cell r="G1550">
            <v>3</v>
          </cell>
          <cell r="H1550" t="str">
            <v>2006-03-31</v>
          </cell>
        </row>
        <row r="1551">
          <cell r="A1551" t="str">
            <v>481005</v>
          </cell>
          <cell r="B1551" t="str">
            <v>1015</v>
          </cell>
          <cell r="C1551">
            <v>-13853.04</v>
          </cell>
          <cell r="D1551" t="str">
            <v>202</v>
          </cell>
          <cell r="E1551" t="str">
            <v>414</v>
          </cell>
          <cell r="F1551">
            <v>-14722.32</v>
          </cell>
          <cell r="G1551">
            <v>3</v>
          </cell>
          <cell r="H1551" t="str">
            <v>2006-03-31</v>
          </cell>
        </row>
        <row r="1552">
          <cell r="A1552" t="str">
            <v>481005</v>
          </cell>
          <cell r="B1552" t="str">
            <v>1015</v>
          </cell>
          <cell r="C1552">
            <v>-2692.08</v>
          </cell>
          <cell r="D1552" t="str">
            <v>203</v>
          </cell>
          <cell r="E1552" t="str">
            <v>414</v>
          </cell>
          <cell r="F1552">
            <v>0</v>
          </cell>
          <cell r="G1552">
            <v>3</v>
          </cell>
          <cell r="H1552" t="str">
            <v>2006-03-31</v>
          </cell>
        </row>
        <row r="1553">
          <cell r="A1553" t="str">
            <v>481005</v>
          </cell>
          <cell r="B1553" t="str">
            <v>1015</v>
          </cell>
          <cell r="C1553">
            <v>-91836.62</v>
          </cell>
          <cell r="D1553" t="str">
            <v>204</v>
          </cell>
          <cell r="E1553" t="str">
            <v>414</v>
          </cell>
          <cell r="F1553">
            <v>0</v>
          </cell>
          <cell r="G1553">
            <v>3</v>
          </cell>
          <cell r="H1553" t="str">
            <v>2006-03-31</v>
          </cell>
        </row>
        <row r="1554">
          <cell r="A1554" t="str">
            <v>481005</v>
          </cell>
          <cell r="B1554" t="str">
            <v>1015</v>
          </cell>
          <cell r="C1554">
            <v>0</v>
          </cell>
          <cell r="D1554" t="str">
            <v>210</v>
          </cell>
          <cell r="E1554" t="str">
            <v>414</v>
          </cell>
          <cell r="F1554">
            <v>0</v>
          </cell>
          <cell r="G1554">
            <v>3</v>
          </cell>
          <cell r="H1554" t="str">
            <v>2006-03-31</v>
          </cell>
        </row>
        <row r="1555">
          <cell r="A1555" t="str">
            <v>489300</v>
          </cell>
          <cell r="B1555" t="str">
            <v>1015</v>
          </cell>
          <cell r="C1555">
            <v>-203305.63</v>
          </cell>
          <cell r="D1555" t="str">
            <v>250</v>
          </cell>
          <cell r="E1555" t="str">
            <v>415</v>
          </cell>
          <cell r="F1555">
            <v>-1295679</v>
          </cell>
          <cell r="G1555">
            <v>3</v>
          </cell>
          <cell r="H1555" t="str">
            <v>2006-03-31</v>
          </cell>
        </row>
        <row r="1556">
          <cell r="A1556" t="str">
            <v>489304</v>
          </cell>
          <cell r="B1556" t="str">
            <v>1015</v>
          </cell>
          <cell r="C1556">
            <v>-68314.460000000006</v>
          </cell>
          <cell r="D1556" t="str">
            <v>250</v>
          </cell>
          <cell r="E1556" t="str">
            <v>415</v>
          </cell>
          <cell r="F1556">
            <v>-292141</v>
          </cell>
          <cell r="G1556">
            <v>3</v>
          </cell>
          <cell r="H1556" t="str">
            <v>2006-03-31</v>
          </cell>
        </row>
        <row r="1557">
          <cell r="A1557" t="str">
            <v>489300</v>
          </cell>
          <cell r="B1557" t="str">
            <v>1015</v>
          </cell>
          <cell r="C1557">
            <v>0</v>
          </cell>
          <cell r="D1557" t="str">
            <v>250</v>
          </cell>
          <cell r="E1557" t="str">
            <v>416</v>
          </cell>
          <cell r="F1557">
            <v>0</v>
          </cell>
          <cell r="G1557">
            <v>3</v>
          </cell>
          <cell r="H1557" t="str">
            <v>2006-03-31</v>
          </cell>
        </row>
        <row r="1558">
          <cell r="A1558" t="str">
            <v>489304</v>
          </cell>
          <cell r="B1558" t="str">
            <v>1015</v>
          </cell>
          <cell r="C1558">
            <v>-1719.49</v>
          </cell>
          <cell r="D1558" t="str">
            <v>250</v>
          </cell>
          <cell r="E1558" t="str">
            <v>416</v>
          </cell>
          <cell r="F1558">
            <v>-3130</v>
          </cell>
          <cell r="G1558">
            <v>3</v>
          </cell>
          <cell r="H1558" t="str">
            <v>2006-03-31</v>
          </cell>
        </row>
        <row r="1559">
          <cell r="A1559" t="str">
            <v>481000</v>
          </cell>
          <cell r="B1559" t="str">
            <v>1015</v>
          </cell>
          <cell r="C1559">
            <v>0</v>
          </cell>
          <cell r="D1559" t="str">
            <v>202</v>
          </cell>
          <cell r="E1559" t="str">
            <v>451</v>
          </cell>
          <cell r="F1559">
            <v>0.33</v>
          </cell>
          <cell r="G1559">
            <v>3</v>
          </cell>
          <cell r="H1559" t="str">
            <v>2006-03-31</v>
          </cell>
        </row>
        <row r="1560">
          <cell r="A1560" t="str">
            <v>481000</v>
          </cell>
          <cell r="B1560" t="str">
            <v>1015</v>
          </cell>
          <cell r="C1560">
            <v>0</v>
          </cell>
          <cell r="D1560" t="str">
            <v>203</v>
          </cell>
          <cell r="E1560" t="str">
            <v>451</v>
          </cell>
          <cell r="F1560">
            <v>0</v>
          </cell>
          <cell r="G1560">
            <v>3</v>
          </cell>
          <cell r="H1560" t="str">
            <v>2006-03-31</v>
          </cell>
        </row>
        <row r="1561">
          <cell r="A1561" t="str">
            <v>481000</v>
          </cell>
          <cell r="B1561" t="str">
            <v>1015</v>
          </cell>
          <cell r="C1561">
            <v>0</v>
          </cell>
          <cell r="D1561" t="str">
            <v>204</v>
          </cell>
          <cell r="E1561" t="str">
            <v>451</v>
          </cell>
          <cell r="F1561">
            <v>0</v>
          </cell>
          <cell r="G1561">
            <v>3</v>
          </cell>
          <cell r="H1561" t="str">
            <v>2006-03-31</v>
          </cell>
        </row>
        <row r="1562">
          <cell r="A1562" t="str">
            <v>481000</v>
          </cell>
          <cell r="B1562" t="str">
            <v>1015</v>
          </cell>
          <cell r="C1562">
            <v>0</v>
          </cell>
          <cell r="D1562" t="str">
            <v>210</v>
          </cell>
          <cell r="E1562" t="str">
            <v>451</v>
          </cell>
          <cell r="F1562">
            <v>0</v>
          </cell>
          <cell r="G1562">
            <v>3</v>
          </cell>
          <cell r="H1562" t="str">
            <v>2006-03-31</v>
          </cell>
        </row>
        <row r="1563">
          <cell r="A1563" t="str">
            <v>481004</v>
          </cell>
          <cell r="B1563" t="str">
            <v>1015</v>
          </cell>
          <cell r="C1563">
            <v>-26270</v>
          </cell>
          <cell r="D1563" t="str">
            <v>202</v>
          </cell>
          <cell r="E1563" t="str">
            <v>451</v>
          </cell>
          <cell r="F1563">
            <v>-28730.26</v>
          </cell>
          <cell r="G1563">
            <v>3</v>
          </cell>
          <cell r="H1563" t="str">
            <v>2006-03-31</v>
          </cell>
        </row>
        <row r="1564">
          <cell r="A1564" t="str">
            <v>481004</v>
          </cell>
          <cell r="B1564" t="str">
            <v>1015</v>
          </cell>
          <cell r="C1564">
            <v>0</v>
          </cell>
          <cell r="D1564" t="str">
            <v>203</v>
          </cell>
          <cell r="E1564" t="str">
            <v>451</v>
          </cell>
          <cell r="F1564">
            <v>0</v>
          </cell>
          <cell r="G1564">
            <v>3</v>
          </cell>
          <cell r="H1564" t="str">
            <v>2006-03-31</v>
          </cell>
        </row>
        <row r="1565">
          <cell r="A1565" t="str">
            <v>481004</v>
          </cell>
          <cell r="B1565" t="str">
            <v>1015</v>
          </cell>
          <cell r="C1565">
            <v>-221503</v>
          </cell>
          <cell r="D1565" t="str">
            <v>204</v>
          </cell>
          <cell r="E1565" t="str">
            <v>451</v>
          </cell>
          <cell r="F1565">
            <v>0</v>
          </cell>
          <cell r="G1565">
            <v>3</v>
          </cell>
          <cell r="H1565" t="str">
            <v>2006-03-31</v>
          </cell>
        </row>
        <row r="1566">
          <cell r="A1566" t="str">
            <v>481004</v>
          </cell>
          <cell r="B1566" t="str">
            <v>1015</v>
          </cell>
          <cell r="C1566">
            <v>0</v>
          </cell>
          <cell r="D1566" t="str">
            <v>210</v>
          </cell>
          <cell r="E1566" t="str">
            <v>451</v>
          </cell>
          <cell r="F1566">
            <v>0</v>
          </cell>
          <cell r="G1566">
            <v>3</v>
          </cell>
          <cell r="H1566" t="str">
            <v>2006-03-31</v>
          </cell>
        </row>
        <row r="1567">
          <cell r="A1567" t="str">
            <v>480000</v>
          </cell>
          <cell r="B1567" t="str">
            <v>1015</v>
          </cell>
          <cell r="C1567">
            <v>-732375.69</v>
          </cell>
          <cell r="D1567" t="str">
            <v>202</v>
          </cell>
          <cell r="E1567" t="str">
            <v>453</v>
          </cell>
          <cell r="F1567">
            <v>-274329.98</v>
          </cell>
          <cell r="G1567">
            <v>3</v>
          </cell>
          <cell r="H1567" t="str">
            <v>2006-03-31</v>
          </cell>
        </row>
        <row r="1568">
          <cell r="A1568" t="str">
            <v>480000</v>
          </cell>
          <cell r="B1568" t="str">
            <v>1015</v>
          </cell>
          <cell r="C1568">
            <v>-2227476.63</v>
          </cell>
          <cell r="D1568" t="str">
            <v>204</v>
          </cell>
          <cell r="E1568" t="str">
            <v>453</v>
          </cell>
          <cell r="F1568">
            <v>0</v>
          </cell>
          <cell r="G1568">
            <v>3</v>
          </cell>
          <cell r="H1568" t="str">
            <v>2006-03-31</v>
          </cell>
        </row>
        <row r="1569">
          <cell r="A1569" t="str">
            <v>480000</v>
          </cell>
          <cell r="B1569" t="str">
            <v>1015</v>
          </cell>
          <cell r="C1569">
            <v>18682.54</v>
          </cell>
          <cell r="D1569" t="str">
            <v>205</v>
          </cell>
          <cell r="E1569" t="str">
            <v>453</v>
          </cell>
          <cell r="F1569">
            <v>0</v>
          </cell>
          <cell r="G1569">
            <v>3</v>
          </cell>
          <cell r="H1569" t="str">
            <v>2006-03-31</v>
          </cell>
        </row>
        <row r="1570">
          <cell r="A1570" t="str">
            <v>480001</v>
          </cell>
          <cell r="B1570" t="str">
            <v>1015</v>
          </cell>
          <cell r="C1570">
            <v>85198.7</v>
          </cell>
          <cell r="D1570" t="str">
            <v>202</v>
          </cell>
          <cell r="E1570" t="str">
            <v>453</v>
          </cell>
          <cell r="F1570">
            <v>53620</v>
          </cell>
          <cell r="G1570">
            <v>3</v>
          </cell>
          <cell r="H1570" t="str">
            <v>2006-03-31</v>
          </cell>
        </row>
        <row r="1571">
          <cell r="A1571" t="str">
            <v>480001</v>
          </cell>
          <cell r="B1571" t="str">
            <v>1015</v>
          </cell>
          <cell r="C1571">
            <v>0</v>
          </cell>
          <cell r="D1571" t="str">
            <v>203</v>
          </cell>
          <cell r="E1571" t="str">
            <v>453</v>
          </cell>
          <cell r="F1571">
            <v>0</v>
          </cell>
          <cell r="G1571">
            <v>3</v>
          </cell>
          <cell r="H1571" t="str">
            <v>2006-03-31</v>
          </cell>
        </row>
        <row r="1572">
          <cell r="A1572" t="str">
            <v>480001</v>
          </cell>
          <cell r="B1572" t="str">
            <v>1015</v>
          </cell>
          <cell r="C1572">
            <v>591950.68999999994</v>
          </cell>
          <cell r="D1572" t="str">
            <v>204</v>
          </cell>
          <cell r="E1572" t="str">
            <v>453</v>
          </cell>
          <cell r="F1572">
            <v>0</v>
          </cell>
          <cell r="G1572">
            <v>3</v>
          </cell>
          <cell r="H1572" t="str">
            <v>2006-03-31</v>
          </cell>
        </row>
        <row r="1573">
          <cell r="A1573" t="str">
            <v>480001</v>
          </cell>
          <cell r="B1573" t="str">
            <v>1015</v>
          </cell>
          <cell r="C1573">
            <v>8842.86</v>
          </cell>
          <cell r="D1573" t="str">
            <v>205</v>
          </cell>
          <cell r="E1573" t="str">
            <v>453</v>
          </cell>
          <cell r="F1573">
            <v>0</v>
          </cell>
          <cell r="G1573">
            <v>3</v>
          </cell>
          <cell r="H1573" t="str">
            <v>2006-03-31</v>
          </cell>
        </row>
        <row r="1574">
          <cell r="A1574" t="str">
            <v>480001</v>
          </cell>
          <cell r="B1574" t="str">
            <v>1015</v>
          </cell>
          <cell r="C1574">
            <v>0</v>
          </cell>
          <cell r="D1574" t="str">
            <v>210</v>
          </cell>
          <cell r="E1574" t="str">
            <v>453</v>
          </cell>
          <cell r="F1574">
            <v>0</v>
          </cell>
          <cell r="G1574">
            <v>3</v>
          </cell>
          <cell r="H1574" t="str">
            <v>2006-03-31</v>
          </cell>
        </row>
        <row r="1575">
          <cell r="A1575" t="str">
            <v>481004</v>
          </cell>
          <cell r="B1575" t="str">
            <v>1015</v>
          </cell>
          <cell r="C1575">
            <v>-289452.01</v>
          </cell>
          <cell r="D1575" t="str">
            <v>202</v>
          </cell>
          <cell r="E1575" t="str">
            <v>453</v>
          </cell>
          <cell r="F1575">
            <v>-167220.4</v>
          </cell>
          <cell r="G1575">
            <v>3</v>
          </cell>
          <cell r="H1575" t="str">
            <v>2006-03-31</v>
          </cell>
        </row>
        <row r="1576">
          <cell r="A1576" t="str">
            <v>481004</v>
          </cell>
          <cell r="B1576" t="str">
            <v>1015</v>
          </cell>
          <cell r="C1576">
            <v>-1355348.06</v>
          </cell>
          <cell r="D1576" t="str">
            <v>204</v>
          </cell>
          <cell r="E1576" t="str">
            <v>453</v>
          </cell>
          <cell r="F1576">
            <v>0</v>
          </cell>
          <cell r="G1576">
            <v>3</v>
          </cell>
          <cell r="H1576" t="str">
            <v>2006-03-31</v>
          </cell>
        </row>
        <row r="1577">
          <cell r="A1577" t="str">
            <v>481004</v>
          </cell>
          <cell r="B1577" t="str">
            <v>1015</v>
          </cell>
          <cell r="C1577">
            <v>9273.6</v>
          </cell>
          <cell r="D1577" t="str">
            <v>205</v>
          </cell>
          <cell r="E1577" t="str">
            <v>453</v>
          </cell>
          <cell r="F1577">
            <v>0</v>
          </cell>
          <cell r="G1577">
            <v>3</v>
          </cell>
          <cell r="H1577" t="str">
            <v>2006-03-31</v>
          </cell>
        </row>
        <row r="1578">
          <cell r="A1578" t="str">
            <v>480000</v>
          </cell>
          <cell r="B1578" t="str">
            <v>1015</v>
          </cell>
          <cell r="C1578">
            <v>-34460.18</v>
          </cell>
          <cell r="D1578" t="str">
            <v>202</v>
          </cell>
          <cell r="E1578" t="str">
            <v>455</v>
          </cell>
          <cell r="F1578">
            <v>-12050.45</v>
          </cell>
          <cell r="G1578">
            <v>3</v>
          </cell>
          <cell r="H1578" t="str">
            <v>2006-03-31</v>
          </cell>
        </row>
        <row r="1579">
          <cell r="A1579" t="str">
            <v>480000</v>
          </cell>
          <cell r="B1579" t="str">
            <v>1015</v>
          </cell>
          <cell r="C1579">
            <v>-98460.57</v>
          </cell>
          <cell r="D1579" t="str">
            <v>204</v>
          </cell>
          <cell r="E1579" t="str">
            <v>455</v>
          </cell>
          <cell r="F1579">
            <v>0</v>
          </cell>
          <cell r="G1579">
            <v>3</v>
          </cell>
          <cell r="H1579" t="str">
            <v>2006-03-31</v>
          </cell>
        </row>
        <row r="1580">
          <cell r="A1580" t="str">
            <v>480000</v>
          </cell>
          <cell r="B1580" t="str">
            <v>1015</v>
          </cell>
          <cell r="C1580">
            <v>1030.23</v>
          </cell>
          <cell r="D1580" t="str">
            <v>205</v>
          </cell>
          <cell r="E1580" t="str">
            <v>455</v>
          </cell>
          <cell r="F1580">
            <v>0</v>
          </cell>
          <cell r="G1580">
            <v>3</v>
          </cell>
          <cell r="H1580" t="str">
            <v>2006-03-31</v>
          </cell>
        </row>
        <row r="1581">
          <cell r="A1581" t="str">
            <v>480001</v>
          </cell>
          <cell r="B1581" t="str">
            <v>1015</v>
          </cell>
          <cell r="C1581">
            <v>11225.78</v>
          </cell>
          <cell r="D1581" t="str">
            <v>202</v>
          </cell>
          <cell r="E1581" t="str">
            <v>455</v>
          </cell>
          <cell r="F1581">
            <v>5065</v>
          </cell>
          <cell r="G1581">
            <v>3</v>
          </cell>
          <cell r="H1581" t="str">
            <v>2006-03-31</v>
          </cell>
        </row>
        <row r="1582">
          <cell r="A1582" t="str">
            <v>480001</v>
          </cell>
          <cell r="B1582" t="str">
            <v>1015</v>
          </cell>
          <cell r="C1582">
            <v>0</v>
          </cell>
          <cell r="D1582" t="str">
            <v>203</v>
          </cell>
          <cell r="E1582" t="str">
            <v>455</v>
          </cell>
          <cell r="F1582">
            <v>0</v>
          </cell>
          <cell r="G1582">
            <v>3</v>
          </cell>
          <cell r="H1582" t="str">
            <v>2006-03-31</v>
          </cell>
        </row>
        <row r="1583">
          <cell r="A1583" t="str">
            <v>480001</v>
          </cell>
          <cell r="B1583" t="str">
            <v>1015</v>
          </cell>
          <cell r="C1583">
            <v>50670.98</v>
          </cell>
          <cell r="D1583" t="str">
            <v>204</v>
          </cell>
          <cell r="E1583" t="str">
            <v>455</v>
          </cell>
          <cell r="F1583">
            <v>0</v>
          </cell>
          <cell r="G1583">
            <v>3</v>
          </cell>
          <cell r="H1583" t="str">
            <v>2006-03-31</v>
          </cell>
        </row>
        <row r="1584">
          <cell r="A1584" t="str">
            <v>480001</v>
          </cell>
          <cell r="B1584" t="str">
            <v>1015</v>
          </cell>
          <cell r="C1584">
            <v>-2189.19</v>
          </cell>
          <cell r="D1584" t="str">
            <v>205</v>
          </cell>
          <cell r="E1584" t="str">
            <v>455</v>
          </cell>
          <cell r="F1584">
            <v>0</v>
          </cell>
          <cell r="G1584">
            <v>3</v>
          </cell>
          <cell r="H1584" t="str">
            <v>2006-03-31</v>
          </cell>
        </row>
        <row r="1585">
          <cell r="A1585" t="str">
            <v>480001</v>
          </cell>
          <cell r="B1585" t="str">
            <v>1015</v>
          </cell>
          <cell r="C1585">
            <v>0</v>
          </cell>
          <cell r="D1585" t="str">
            <v>210</v>
          </cell>
          <cell r="E1585" t="str">
            <v>455</v>
          </cell>
          <cell r="F1585">
            <v>0</v>
          </cell>
          <cell r="G1585">
            <v>3</v>
          </cell>
          <cell r="H1585" t="str">
            <v>2006-03-31</v>
          </cell>
        </row>
        <row r="1586">
          <cell r="A1586" t="str">
            <v>481004</v>
          </cell>
          <cell r="B1586" t="str">
            <v>1015</v>
          </cell>
          <cell r="C1586">
            <v>-23538.6</v>
          </cell>
          <cell r="D1586" t="str">
            <v>202</v>
          </cell>
          <cell r="E1586" t="str">
            <v>455</v>
          </cell>
          <cell r="F1586">
            <v>-9557.3700000000008</v>
          </cell>
          <cell r="G1586">
            <v>3</v>
          </cell>
          <cell r="H1586" t="str">
            <v>2006-03-31</v>
          </cell>
        </row>
        <row r="1587">
          <cell r="A1587" t="str">
            <v>481004</v>
          </cell>
          <cell r="B1587" t="str">
            <v>1015</v>
          </cell>
          <cell r="C1587">
            <v>-79754.41</v>
          </cell>
          <cell r="D1587" t="str">
            <v>204</v>
          </cell>
          <cell r="E1587" t="str">
            <v>455</v>
          </cell>
          <cell r="F1587">
            <v>0</v>
          </cell>
          <cell r="G1587">
            <v>3</v>
          </cell>
          <cell r="H1587" t="str">
            <v>2006-03-31</v>
          </cell>
        </row>
        <row r="1588">
          <cell r="A1588" t="str">
            <v>481004</v>
          </cell>
          <cell r="B1588" t="str">
            <v>1015</v>
          </cell>
          <cell r="C1588">
            <v>1158.96</v>
          </cell>
          <cell r="D1588" t="str">
            <v>205</v>
          </cell>
          <cell r="E1588" t="str">
            <v>455</v>
          </cell>
          <cell r="F1588">
            <v>0</v>
          </cell>
          <cell r="G1588">
            <v>3</v>
          </cell>
          <cell r="H1588" t="str">
            <v>2006-03-31</v>
          </cell>
        </row>
        <row r="1589">
          <cell r="A1589" t="str">
            <v>481002</v>
          </cell>
          <cell r="B1589" t="str">
            <v>1015</v>
          </cell>
          <cell r="C1589">
            <v>0</v>
          </cell>
          <cell r="D1589" t="str">
            <v>202</v>
          </cell>
          <cell r="E1589" t="str">
            <v>456</v>
          </cell>
          <cell r="F1589">
            <v>0</v>
          </cell>
          <cell r="G1589">
            <v>3</v>
          </cell>
          <cell r="H1589" t="str">
            <v>2006-03-31</v>
          </cell>
        </row>
        <row r="1590">
          <cell r="A1590" t="str">
            <v>481002</v>
          </cell>
          <cell r="B1590" t="str">
            <v>1015</v>
          </cell>
          <cell r="C1590">
            <v>0</v>
          </cell>
          <cell r="D1590" t="str">
            <v>203</v>
          </cell>
          <cell r="E1590" t="str">
            <v>456</v>
          </cell>
          <cell r="F1590">
            <v>0</v>
          </cell>
          <cell r="G1590">
            <v>3</v>
          </cell>
          <cell r="H1590" t="str">
            <v>2006-03-31</v>
          </cell>
        </row>
        <row r="1591">
          <cell r="A1591" t="str">
            <v>481002</v>
          </cell>
          <cell r="B1591" t="str">
            <v>1015</v>
          </cell>
          <cell r="C1591">
            <v>0</v>
          </cell>
          <cell r="D1591" t="str">
            <v>204</v>
          </cell>
          <cell r="E1591" t="str">
            <v>456</v>
          </cell>
          <cell r="F1591">
            <v>0</v>
          </cell>
          <cell r="G1591">
            <v>3</v>
          </cell>
          <cell r="H1591" t="str">
            <v>2006-03-31</v>
          </cell>
        </row>
        <row r="1592">
          <cell r="A1592" t="str">
            <v>481002</v>
          </cell>
          <cell r="B1592" t="str">
            <v>1015</v>
          </cell>
          <cell r="C1592">
            <v>0</v>
          </cell>
          <cell r="D1592" t="str">
            <v>210</v>
          </cell>
          <cell r="E1592" t="str">
            <v>456</v>
          </cell>
          <cell r="F1592">
            <v>0</v>
          </cell>
          <cell r="G1592">
            <v>3</v>
          </cell>
          <cell r="H1592" t="str">
            <v>2006-03-31</v>
          </cell>
        </row>
        <row r="1593">
          <cell r="A1593" t="str">
            <v>481002</v>
          </cell>
          <cell r="B1593" t="str">
            <v>1015</v>
          </cell>
          <cell r="C1593">
            <v>-384.68</v>
          </cell>
          <cell r="D1593" t="str">
            <v>202</v>
          </cell>
          <cell r="E1593" t="str">
            <v>457</v>
          </cell>
          <cell r="F1593">
            <v>-2321</v>
          </cell>
          <cell r="G1593">
            <v>3</v>
          </cell>
          <cell r="H1593" t="str">
            <v>2006-03-31</v>
          </cell>
        </row>
        <row r="1594">
          <cell r="A1594" t="str">
            <v>481002</v>
          </cell>
          <cell r="B1594" t="str">
            <v>1015</v>
          </cell>
          <cell r="C1594">
            <v>-424.44</v>
          </cell>
          <cell r="D1594" t="str">
            <v>203</v>
          </cell>
          <cell r="E1594" t="str">
            <v>457</v>
          </cell>
          <cell r="F1594">
            <v>0</v>
          </cell>
          <cell r="G1594">
            <v>3</v>
          </cell>
          <cell r="H1594" t="str">
            <v>2006-03-31</v>
          </cell>
        </row>
        <row r="1595">
          <cell r="A1595" t="str">
            <v>481002</v>
          </cell>
          <cell r="B1595" t="str">
            <v>1015</v>
          </cell>
          <cell r="C1595">
            <v>-14451.89</v>
          </cell>
          <cell r="D1595" t="str">
            <v>204</v>
          </cell>
          <cell r="E1595" t="str">
            <v>457</v>
          </cell>
          <cell r="F1595">
            <v>0</v>
          </cell>
          <cell r="G1595">
            <v>3</v>
          </cell>
          <cell r="H1595" t="str">
            <v>2006-03-31</v>
          </cell>
        </row>
        <row r="1596">
          <cell r="A1596" t="str">
            <v>481002</v>
          </cell>
          <cell r="B1596" t="str">
            <v>1015</v>
          </cell>
          <cell r="C1596">
            <v>0</v>
          </cell>
          <cell r="D1596" t="str">
            <v>210</v>
          </cell>
          <cell r="E1596" t="str">
            <v>457</v>
          </cell>
          <cell r="F1596">
            <v>0</v>
          </cell>
          <cell r="G1596">
            <v>3</v>
          </cell>
          <cell r="H1596" t="str">
            <v>2006-03-31</v>
          </cell>
        </row>
        <row r="1597">
          <cell r="A1597" t="str">
            <v>481005</v>
          </cell>
          <cell r="B1597" t="str">
            <v>1015</v>
          </cell>
          <cell r="C1597">
            <v>-2422</v>
          </cell>
          <cell r="D1597" t="str">
            <v>202</v>
          </cell>
          <cell r="E1597" t="str">
            <v>457</v>
          </cell>
          <cell r="F1597">
            <v>-12804.71</v>
          </cell>
          <cell r="G1597">
            <v>3</v>
          </cell>
          <cell r="H1597" t="str">
            <v>2006-03-31</v>
          </cell>
        </row>
        <row r="1598">
          <cell r="A1598" t="str">
            <v>481005</v>
          </cell>
          <cell r="B1598" t="str">
            <v>1015</v>
          </cell>
          <cell r="C1598">
            <v>-2342</v>
          </cell>
          <cell r="D1598" t="str">
            <v>203</v>
          </cell>
          <cell r="E1598" t="str">
            <v>457</v>
          </cell>
          <cell r="F1598">
            <v>0</v>
          </cell>
          <cell r="G1598">
            <v>3</v>
          </cell>
          <cell r="H1598" t="str">
            <v>2006-03-31</v>
          </cell>
        </row>
        <row r="1599">
          <cell r="A1599" t="str">
            <v>481005</v>
          </cell>
          <cell r="B1599" t="str">
            <v>1015</v>
          </cell>
          <cell r="C1599">
            <v>-79731</v>
          </cell>
          <cell r="D1599" t="str">
            <v>204</v>
          </cell>
          <cell r="E1599" t="str">
            <v>457</v>
          </cell>
          <cell r="F1599">
            <v>0</v>
          </cell>
          <cell r="G1599">
            <v>3</v>
          </cell>
          <cell r="H1599" t="str">
            <v>2006-03-31</v>
          </cell>
        </row>
        <row r="1600">
          <cell r="A1600" t="str">
            <v>481005</v>
          </cell>
          <cell r="B1600" t="str">
            <v>1015</v>
          </cell>
          <cell r="C1600">
            <v>0</v>
          </cell>
          <cell r="D1600" t="str">
            <v>210</v>
          </cell>
          <cell r="E1600" t="str">
            <v>457</v>
          </cell>
          <cell r="F1600">
            <v>0</v>
          </cell>
          <cell r="G1600">
            <v>3</v>
          </cell>
          <cell r="H1600" t="str">
            <v>2006-03-31</v>
          </cell>
        </row>
        <row r="1601">
          <cell r="A1601" t="str">
            <v>489300</v>
          </cell>
          <cell r="B1601" t="str">
            <v>1015</v>
          </cell>
          <cell r="C1601">
            <v>-3342.71</v>
          </cell>
          <cell r="D1601" t="str">
            <v>250</v>
          </cell>
          <cell r="E1601" t="str">
            <v>458</v>
          </cell>
          <cell r="F1601">
            <v>-20758</v>
          </cell>
          <cell r="G1601">
            <v>3</v>
          </cell>
          <cell r="H1601" t="str">
            <v>2006-03-31</v>
          </cell>
        </row>
        <row r="1602">
          <cell r="A1602" t="str">
            <v>489304</v>
          </cell>
          <cell r="B1602" t="str">
            <v>1015</v>
          </cell>
          <cell r="C1602">
            <v>-1139.9000000000001</v>
          </cell>
          <cell r="D1602" t="str">
            <v>250</v>
          </cell>
          <cell r="E1602" t="str">
            <v>458</v>
          </cell>
          <cell r="F1602">
            <v>-3463</v>
          </cell>
          <cell r="G1602">
            <v>3</v>
          </cell>
          <cell r="H1602" t="str">
            <v>2006-03-31</v>
          </cell>
        </row>
        <row r="1603">
          <cell r="A1603" t="str">
            <v>489300</v>
          </cell>
          <cell r="B1603" t="str">
            <v>1015</v>
          </cell>
          <cell r="C1603">
            <v>-1843.2</v>
          </cell>
          <cell r="D1603" t="str">
            <v>250</v>
          </cell>
          <cell r="E1603" t="str">
            <v>459</v>
          </cell>
          <cell r="F1603">
            <v>-6095</v>
          </cell>
          <cell r="G1603">
            <v>3</v>
          </cell>
          <cell r="H1603" t="str">
            <v>2006-03-31</v>
          </cell>
        </row>
        <row r="1604">
          <cell r="A1604" t="str">
            <v>489304</v>
          </cell>
          <cell r="B1604" t="str">
            <v>1015</v>
          </cell>
          <cell r="C1604">
            <v>0</v>
          </cell>
          <cell r="D1604" t="str">
            <v>250</v>
          </cell>
          <cell r="E1604" t="str">
            <v>459</v>
          </cell>
          <cell r="F1604">
            <v>0</v>
          </cell>
          <cell r="G1604">
            <v>3</v>
          </cell>
          <cell r="H1604" t="str">
            <v>2006-03-31</v>
          </cell>
        </row>
        <row r="1605">
          <cell r="A1605" t="str">
            <v>481003</v>
          </cell>
          <cell r="B1605" t="str">
            <v>1015</v>
          </cell>
          <cell r="C1605">
            <v>-107908.54</v>
          </cell>
          <cell r="D1605" t="str">
            <v>200</v>
          </cell>
          <cell r="F1605">
            <v>-10196.879999999999</v>
          </cell>
          <cell r="G1605">
            <v>3</v>
          </cell>
          <cell r="H1605" t="str">
            <v>2006-03-31</v>
          </cell>
        </row>
        <row r="1606">
          <cell r="A1606" t="str">
            <v>481000</v>
          </cell>
          <cell r="B1606" t="str">
            <v>1015</v>
          </cell>
          <cell r="C1606">
            <v>-18326.52</v>
          </cell>
          <cell r="D1606" t="str">
            <v>202</v>
          </cell>
          <cell r="E1606" t="str">
            <v>402</v>
          </cell>
          <cell r="F1606">
            <v>-43446.18</v>
          </cell>
          <cell r="G1606">
            <v>4</v>
          </cell>
          <cell r="H1606" t="str">
            <v>2006-04-30</v>
          </cell>
        </row>
        <row r="1607">
          <cell r="A1607" t="str">
            <v>481000</v>
          </cell>
          <cell r="B1607" t="str">
            <v>1015</v>
          </cell>
          <cell r="C1607">
            <v>-21617.43</v>
          </cell>
          <cell r="D1607" t="str">
            <v>203</v>
          </cell>
          <cell r="E1607" t="str">
            <v>402</v>
          </cell>
          <cell r="F1607">
            <v>0</v>
          </cell>
          <cell r="G1607">
            <v>4</v>
          </cell>
          <cell r="H1607" t="str">
            <v>2006-04-30</v>
          </cell>
        </row>
        <row r="1608">
          <cell r="A1608" t="str">
            <v>481000</v>
          </cell>
          <cell r="B1608" t="str">
            <v>1015</v>
          </cell>
          <cell r="C1608">
            <v>-282152.67</v>
          </cell>
          <cell r="D1608" t="str">
            <v>204</v>
          </cell>
          <cell r="E1608" t="str">
            <v>402</v>
          </cell>
          <cell r="F1608">
            <v>0</v>
          </cell>
          <cell r="G1608">
            <v>4</v>
          </cell>
          <cell r="H1608" t="str">
            <v>2006-04-30</v>
          </cell>
        </row>
        <row r="1609">
          <cell r="A1609" t="str">
            <v>481000</v>
          </cell>
          <cell r="B1609" t="str">
            <v>1015</v>
          </cell>
          <cell r="C1609">
            <v>0</v>
          </cell>
          <cell r="D1609" t="str">
            <v>210</v>
          </cell>
          <cell r="E1609" t="str">
            <v>402</v>
          </cell>
          <cell r="F1609">
            <v>0</v>
          </cell>
          <cell r="G1609">
            <v>4</v>
          </cell>
          <cell r="H1609" t="str">
            <v>2006-04-30</v>
          </cell>
        </row>
        <row r="1610">
          <cell r="A1610" t="str">
            <v>481004</v>
          </cell>
          <cell r="B1610" t="str">
            <v>1015</v>
          </cell>
          <cell r="C1610">
            <v>-285226.58</v>
          </cell>
          <cell r="D1610" t="str">
            <v>202</v>
          </cell>
          <cell r="E1610" t="str">
            <v>402</v>
          </cell>
          <cell r="F1610">
            <v>-611294.41</v>
          </cell>
          <cell r="G1610">
            <v>4</v>
          </cell>
          <cell r="H1610" t="str">
            <v>2006-04-30</v>
          </cell>
        </row>
        <row r="1611">
          <cell r="A1611" t="str">
            <v>481004</v>
          </cell>
          <cell r="B1611" t="str">
            <v>1015</v>
          </cell>
          <cell r="C1611">
            <v>-244592.78</v>
          </cell>
          <cell r="D1611" t="str">
            <v>203</v>
          </cell>
          <cell r="E1611" t="str">
            <v>402</v>
          </cell>
          <cell r="F1611">
            <v>0</v>
          </cell>
          <cell r="G1611">
            <v>4</v>
          </cell>
          <cell r="H1611" t="str">
            <v>2006-04-30</v>
          </cell>
        </row>
        <row r="1612">
          <cell r="A1612" t="str">
            <v>481004</v>
          </cell>
          <cell r="B1612" t="str">
            <v>1015</v>
          </cell>
          <cell r="C1612">
            <v>-3976030.4</v>
          </cell>
          <cell r="D1612" t="str">
            <v>204</v>
          </cell>
          <cell r="E1612" t="str">
            <v>402</v>
          </cell>
          <cell r="F1612">
            <v>0</v>
          </cell>
          <cell r="G1612">
            <v>4</v>
          </cell>
          <cell r="H1612" t="str">
            <v>2006-04-30</v>
          </cell>
        </row>
        <row r="1613">
          <cell r="A1613" t="str">
            <v>481004</v>
          </cell>
          <cell r="B1613" t="str">
            <v>1015</v>
          </cell>
          <cell r="C1613">
            <v>0</v>
          </cell>
          <cell r="D1613" t="str">
            <v>210</v>
          </cell>
          <cell r="E1613" t="str">
            <v>402</v>
          </cell>
          <cell r="F1613">
            <v>0</v>
          </cell>
          <cell r="G1613">
            <v>4</v>
          </cell>
          <cell r="H1613" t="str">
            <v>2006-04-30</v>
          </cell>
        </row>
        <row r="1614">
          <cell r="A1614" t="str">
            <v>481000</v>
          </cell>
          <cell r="B1614" t="str">
            <v>1015</v>
          </cell>
          <cell r="C1614">
            <v>-7313.31</v>
          </cell>
          <cell r="D1614" t="str">
            <v>202</v>
          </cell>
          <cell r="E1614" t="str">
            <v>403</v>
          </cell>
          <cell r="F1614">
            <v>0</v>
          </cell>
          <cell r="G1614">
            <v>4</v>
          </cell>
          <cell r="H1614" t="str">
            <v>2006-04-30</v>
          </cell>
        </row>
        <row r="1615">
          <cell r="A1615" t="str">
            <v>481000</v>
          </cell>
          <cell r="B1615" t="str">
            <v>1015</v>
          </cell>
          <cell r="C1615">
            <v>-1619.75</v>
          </cell>
          <cell r="D1615" t="str">
            <v>203</v>
          </cell>
          <cell r="E1615" t="str">
            <v>403</v>
          </cell>
          <cell r="F1615">
            <v>0</v>
          </cell>
          <cell r="G1615">
            <v>4</v>
          </cell>
          <cell r="H1615" t="str">
            <v>2006-04-30</v>
          </cell>
        </row>
        <row r="1616">
          <cell r="A1616" t="str">
            <v>481000</v>
          </cell>
          <cell r="B1616" t="str">
            <v>1015</v>
          </cell>
          <cell r="C1616">
            <v>-2944.28</v>
          </cell>
          <cell r="D1616" t="str">
            <v>204</v>
          </cell>
          <cell r="E1616" t="str">
            <v>403</v>
          </cell>
          <cell r="F1616">
            <v>0</v>
          </cell>
          <cell r="G1616">
            <v>4</v>
          </cell>
          <cell r="H1616" t="str">
            <v>2006-04-30</v>
          </cell>
        </row>
        <row r="1617">
          <cell r="A1617" t="str">
            <v>481000</v>
          </cell>
          <cell r="B1617" t="str">
            <v>1015</v>
          </cell>
          <cell r="C1617">
            <v>0</v>
          </cell>
          <cell r="D1617" t="str">
            <v>210</v>
          </cell>
          <cell r="E1617" t="str">
            <v>403</v>
          </cell>
          <cell r="F1617">
            <v>0</v>
          </cell>
          <cell r="G1617">
            <v>4</v>
          </cell>
          <cell r="H1617" t="str">
            <v>2006-04-30</v>
          </cell>
        </row>
        <row r="1618">
          <cell r="A1618" t="str">
            <v>481004</v>
          </cell>
          <cell r="B1618" t="str">
            <v>1015</v>
          </cell>
          <cell r="C1618">
            <v>0</v>
          </cell>
          <cell r="D1618" t="str">
            <v>202</v>
          </cell>
          <cell r="E1618" t="str">
            <v>403</v>
          </cell>
          <cell r="F1618">
            <v>0</v>
          </cell>
          <cell r="G1618">
            <v>4</v>
          </cell>
          <cell r="H1618" t="str">
            <v>2006-04-30</v>
          </cell>
        </row>
        <row r="1619">
          <cell r="A1619" t="str">
            <v>481004</v>
          </cell>
          <cell r="B1619" t="str">
            <v>1015</v>
          </cell>
          <cell r="C1619">
            <v>0</v>
          </cell>
          <cell r="D1619" t="str">
            <v>203</v>
          </cell>
          <cell r="E1619" t="str">
            <v>403</v>
          </cell>
          <cell r="F1619">
            <v>0</v>
          </cell>
          <cell r="G1619">
            <v>4</v>
          </cell>
          <cell r="H1619" t="str">
            <v>2006-04-30</v>
          </cell>
        </row>
        <row r="1620">
          <cell r="A1620" t="str">
            <v>481004</v>
          </cell>
          <cell r="B1620" t="str">
            <v>1015</v>
          </cell>
          <cell r="C1620">
            <v>0</v>
          </cell>
          <cell r="D1620" t="str">
            <v>204</v>
          </cell>
          <cell r="E1620" t="str">
            <v>403</v>
          </cell>
          <cell r="F1620">
            <v>0</v>
          </cell>
          <cell r="G1620">
            <v>4</v>
          </cell>
          <cell r="H1620" t="str">
            <v>2006-04-30</v>
          </cell>
        </row>
        <row r="1621">
          <cell r="A1621" t="str">
            <v>481004</v>
          </cell>
          <cell r="B1621" t="str">
            <v>1015</v>
          </cell>
          <cell r="C1621">
            <v>0</v>
          </cell>
          <cell r="D1621" t="str">
            <v>210</v>
          </cell>
          <cell r="E1621" t="str">
            <v>403</v>
          </cell>
          <cell r="F1621">
            <v>0</v>
          </cell>
          <cell r="G1621">
            <v>4</v>
          </cell>
          <cell r="H1621" t="str">
            <v>2006-04-30</v>
          </cell>
        </row>
        <row r="1622">
          <cell r="A1622" t="str">
            <v>481000</v>
          </cell>
          <cell r="B1622" t="str">
            <v>1015</v>
          </cell>
          <cell r="C1622">
            <v>-87768.14</v>
          </cell>
          <cell r="D1622" t="str">
            <v>202</v>
          </cell>
          <cell r="E1622" t="str">
            <v>404</v>
          </cell>
          <cell r="F1622">
            <v>-269007</v>
          </cell>
          <cell r="G1622">
            <v>4</v>
          </cell>
          <cell r="H1622" t="str">
            <v>2006-04-30</v>
          </cell>
        </row>
        <row r="1623">
          <cell r="A1623" t="str">
            <v>481000</v>
          </cell>
          <cell r="B1623" t="str">
            <v>1015</v>
          </cell>
          <cell r="C1623">
            <v>-194241.88</v>
          </cell>
          <cell r="D1623" t="str">
            <v>203</v>
          </cell>
          <cell r="E1623" t="str">
            <v>404</v>
          </cell>
          <cell r="F1623">
            <v>0</v>
          </cell>
          <cell r="G1623">
            <v>4</v>
          </cell>
          <cell r="H1623" t="str">
            <v>2006-04-30</v>
          </cell>
        </row>
        <row r="1624">
          <cell r="A1624" t="str">
            <v>481000</v>
          </cell>
          <cell r="B1624" t="str">
            <v>1015</v>
          </cell>
          <cell r="C1624">
            <v>-1747020.23</v>
          </cell>
          <cell r="D1624" t="str">
            <v>204</v>
          </cell>
          <cell r="E1624" t="str">
            <v>404</v>
          </cell>
          <cell r="F1624">
            <v>0</v>
          </cell>
          <cell r="G1624">
            <v>4</v>
          </cell>
          <cell r="H1624" t="str">
            <v>2006-04-30</v>
          </cell>
        </row>
        <row r="1625">
          <cell r="A1625" t="str">
            <v>481000</v>
          </cell>
          <cell r="B1625" t="str">
            <v>1015</v>
          </cell>
          <cell r="C1625">
            <v>0</v>
          </cell>
          <cell r="D1625" t="str">
            <v>210</v>
          </cell>
          <cell r="E1625" t="str">
            <v>404</v>
          </cell>
          <cell r="F1625">
            <v>0</v>
          </cell>
          <cell r="G1625">
            <v>4</v>
          </cell>
          <cell r="H1625" t="str">
            <v>2006-04-30</v>
          </cell>
        </row>
        <row r="1626">
          <cell r="A1626" t="str">
            <v>481004</v>
          </cell>
          <cell r="B1626" t="str">
            <v>1015</v>
          </cell>
          <cell r="C1626">
            <v>0</v>
          </cell>
          <cell r="D1626" t="str">
            <v>202</v>
          </cell>
          <cell r="E1626" t="str">
            <v>404</v>
          </cell>
          <cell r="F1626">
            <v>0</v>
          </cell>
          <cell r="G1626">
            <v>4</v>
          </cell>
          <cell r="H1626" t="str">
            <v>2006-04-30</v>
          </cell>
        </row>
        <row r="1627">
          <cell r="A1627" t="str">
            <v>481004</v>
          </cell>
          <cell r="B1627" t="str">
            <v>1015</v>
          </cell>
          <cell r="C1627">
            <v>0</v>
          </cell>
          <cell r="D1627" t="str">
            <v>203</v>
          </cell>
          <cell r="E1627" t="str">
            <v>404</v>
          </cell>
          <cell r="F1627">
            <v>0</v>
          </cell>
          <cell r="G1627">
            <v>4</v>
          </cell>
          <cell r="H1627" t="str">
            <v>2006-04-30</v>
          </cell>
        </row>
        <row r="1628">
          <cell r="A1628" t="str">
            <v>481004</v>
          </cell>
          <cell r="B1628" t="str">
            <v>1015</v>
          </cell>
          <cell r="C1628">
            <v>0</v>
          </cell>
          <cell r="D1628" t="str">
            <v>204</v>
          </cell>
          <cell r="E1628" t="str">
            <v>404</v>
          </cell>
          <cell r="F1628">
            <v>0</v>
          </cell>
          <cell r="G1628">
            <v>4</v>
          </cell>
          <cell r="H1628" t="str">
            <v>2006-04-30</v>
          </cell>
        </row>
        <row r="1629">
          <cell r="A1629" t="str">
            <v>481004</v>
          </cell>
          <cell r="B1629" t="str">
            <v>1015</v>
          </cell>
          <cell r="C1629">
            <v>0</v>
          </cell>
          <cell r="D1629" t="str">
            <v>210</v>
          </cell>
          <cell r="E1629" t="str">
            <v>404</v>
          </cell>
          <cell r="F1629">
            <v>0</v>
          </cell>
          <cell r="G1629">
            <v>4</v>
          </cell>
          <cell r="H1629" t="str">
            <v>2006-04-30</v>
          </cell>
        </row>
        <row r="1630">
          <cell r="A1630" t="str">
            <v>489300</v>
          </cell>
          <cell r="B1630" t="str">
            <v>1015</v>
          </cell>
          <cell r="C1630">
            <v>-55492.78</v>
          </cell>
          <cell r="D1630" t="str">
            <v>250</v>
          </cell>
          <cell r="E1630" t="str">
            <v>405</v>
          </cell>
          <cell r="F1630">
            <v>-293156</v>
          </cell>
          <cell r="G1630">
            <v>4</v>
          </cell>
          <cell r="H1630" t="str">
            <v>2006-04-30</v>
          </cell>
        </row>
        <row r="1631">
          <cell r="A1631" t="str">
            <v>489304</v>
          </cell>
          <cell r="B1631" t="str">
            <v>1015</v>
          </cell>
          <cell r="C1631">
            <v>-24809.05</v>
          </cell>
          <cell r="D1631" t="str">
            <v>250</v>
          </cell>
          <cell r="E1631" t="str">
            <v>405</v>
          </cell>
          <cell r="F1631">
            <v>-133013</v>
          </cell>
          <cell r="G1631">
            <v>4</v>
          </cell>
          <cell r="H1631" t="str">
            <v>2006-04-30</v>
          </cell>
        </row>
        <row r="1632">
          <cell r="A1632" t="str">
            <v>489300</v>
          </cell>
          <cell r="B1632" t="str">
            <v>1015</v>
          </cell>
          <cell r="C1632">
            <v>-70373.509999999995</v>
          </cell>
          <cell r="D1632" t="str">
            <v>250</v>
          </cell>
          <cell r="E1632" t="str">
            <v>406</v>
          </cell>
          <cell r="F1632">
            <v>-284435</v>
          </cell>
          <cell r="G1632">
            <v>4</v>
          </cell>
          <cell r="H1632" t="str">
            <v>2006-04-30</v>
          </cell>
        </row>
        <row r="1633">
          <cell r="A1633" t="str">
            <v>489304</v>
          </cell>
          <cell r="B1633" t="str">
            <v>1015</v>
          </cell>
          <cell r="C1633">
            <v>-38178.89</v>
          </cell>
          <cell r="D1633" t="str">
            <v>250</v>
          </cell>
          <cell r="E1633" t="str">
            <v>406</v>
          </cell>
          <cell r="F1633">
            <v>-190988</v>
          </cell>
          <cell r="G1633">
            <v>4</v>
          </cell>
          <cell r="H1633" t="str">
            <v>2006-04-30</v>
          </cell>
        </row>
        <row r="1634">
          <cell r="A1634" t="str">
            <v>480000</v>
          </cell>
          <cell r="B1634" t="str">
            <v>1015</v>
          </cell>
          <cell r="C1634">
            <v>-16369897.15</v>
          </cell>
          <cell r="D1634" t="str">
            <v>202</v>
          </cell>
          <cell r="E1634" t="str">
            <v>407</v>
          </cell>
          <cell r="F1634">
            <v>-6490458.5499999998</v>
          </cell>
          <cell r="G1634">
            <v>4</v>
          </cell>
          <cell r="H1634" t="str">
            <v>2006-04-30</v>
          </cell>
        </row>
        <row r="1635">
          <cell r="A1635" t="str">
            <v>480000</v>
          </cell>
          <cell r="B1635" t="str">
            <v>1015</v>
          </cell>
          <cell r="C1635">
            <v>-5446759.5800000001</v>
          </cell>
          <cell r="D1635" t="str">
            <v>203</v>
          </cell>
          <cell r="E1635" t="str">
            <v>407</v>
          </cell>
          <cell r="F1635">
            <v>0</v>
          </cell>
          <cell r="G1635">
            <v>4</v>
          </cell>
          <cell r="H1635" t="str">
            <v>2006-04-30</v>
          </cell>
        </row>
        <row r="1636">
          <cell r="A1636" t="str">
            <v>480000</v>
          </cell>
          <cell r="B1636" t="str">
            <v>1015</v>
          </cell>
          <cell r="C1636">
            <v>-44411277.920000002</v>
          </cell>
          <cell r="D1636" t="str">
            <v>204</v>
          </cell>
          <cell r="E1636" t="str">
            <v>407</v>
          </cell>
          <cell r="F1636">
            <v>0</v>
          </cell>
          <cell r="G1636">
            <v>4</v>
          </cell>
          <cell r="H1636" t="str">
            <v>2006-04-30</v>
          </cell>
        </row>
        <row r="1637">
          <cell r="A1637" t="str">
            <v>480000</v>
          </cell>
          <cell r="B1637" t="str">
            <v>1015</v>
          </cell>
          <cell r="C1637">
            <v>-167234.57999999999</v>
          </cell>
          <cell r="D1637" t="str">
            <v>205</v>
          </cell>
          <cell r="E1637" t="str">
            <v>407</v>
          </cell>
          <cell r="F1637">
            <v>0</v>
          </cell>
          <cell r="G1637">
            <v>4</v>
          </cell>
          <cell r="H1637" t="str">
            <v>2006-04-30</v>
          </cell>
        </row>
        <row r="1638">
          <cell r="A1638" t="str">
            <v>480000</v>
          </cell>
          <cell r="B1638" t="str">
            <v>1015</v>
          </cell>
          <cell r="C1638">
            <v>579</v>
          </cell>
          <cell r="D1638" t="str">
            <v>210</v>
          </cell>
          <cell r="E1638" t="str">
            <v>407</v>
          </cell>
          <cell r="F1638">
            <v>76.3</v>
          </cell>
          <cell r="G1638">
            <v>4</v>
          </cell>
          <cell r="H1638" t="str">
            <v>2006-04-30</v>
          </cell>
        </row>
        <row r="1639">
          <cell r="A1639" t="str">
            <v>480001</v>
          </cell>
          <cell r="B1639" t="str">
            <v>1015</v>
          </cell>
          <cell r="C1639">
            <v>6703900.1699999999</v>
          </cell>
          <cell r="D1639" t="str">
            <v>202</v>
          </cell>
          <cell r="E1639" t="str">
            <v>407</v>
          </cell>
          <cell r="F1639">
            <v>3379571</v>
          </cell>
          <cell r="G1639">
            <v>4</v>
          </cell>
          <cell r="H1639" t="str">
            <v>2006-04-30</v>
          </cell>
        </row>
        <row r="1640">
          <cell r="A1640" t="str">
            <v>480001</v>
          </cell>
          <cell r="B1640" t="str">
            <v>1015</v>
          </cell>
          <cell r="C1640">
            <v>4863471.41</v>
          </cell>
          <cell r="D1640" t="str">
            <v>203</v>
          </cell>
          <cell r="E1640" t="str">
            <v>407</v>
          </cell>
          <cell r="F1640">
            <v>0</v>
          </cell>
          <cell r="G1640">
            <v>4</v>
          </cell>
          <cell r="H1640" t="str">
            <v>2006-04-30</v>
          </cell>
        </row>
        <row r="1641">
          <cell r="A1641" t="str">
            <v>480001</v>
          </cell>
          <cell r="B1641" t="str">
            <v>1015</v>
          </cell>
          <cell r="C1641">
            <v>24469963.870000001</v>
          </cell>
          <cell r="D1641" t="str">
            <v>204</v>
          </cell>
          <cell r="E1641" t="str">
            <v>407</v>
          </cell>
          <cell r="F1641">
            <v>0</v>
          </cell>
          <cell r="G1641">
            <v>4</v>
          </cell>
          <cell r="H1641" t="str">
            <v>2006-04-30</v>
          </cell>
        </row>
        <row r="1642">
          <cell r="A1642" t="str">
            <v>480001</v>
          </cell>
          <cell r="B1642" t="str">
            <v>1015</v>
          </cell>
          <cell r="C1642">
            <v>-813520.76</v>
          </cell>
          <cell r="D1642" t="str">
            <v>205</v>
          </cell>
          <cell r="E1642" t="str">
            <v>407</v>
          </cell>
          <cell r="F1642">
            <v>0</v>
          </cell>
          <cell r="G1642">
            <v>4</v>
          </cell>
          <cell r="H1642" t="str">
            <v>2006-04-30</v>
          </cell>
        </row>
        <row r="1643">
          <cell r="A1643" t="str">
            <v>480001</v>
          </cell>
          <cell r="B1643" t="str">
            <v>1015</v>
          </cell>
          <cell r="C1643">
            <v>-6546.39</v>
          </cell>
          <cell r="D1643" t="str">
            <v>210</v>
          </cell>
          <cell r="E1643" t="str">
            <v>407</v>
          </cell>
          <cell r="F1643">
            <v>-937</v>
          </cell>
          <cell r="G1643">
            <v>4</v>
          </cell>
          <cell r="H1643" t="str">
            <v>2006-04-30</v>
          </cell>
        </row>
        <row r="1644">
          <cell r="A1644" t="str">
            <v>481000</v>
          </cell>
          <cell r="B1644" t="str">
            <v>1015</v>
          </cell>
          <cell r="C1644">
            <v>-95.55</v>
          </cell>
          <cell r="D1644" t="str">
            <v>202</v>
          </cell>
          <cell r="E1644" t="str">
            <v>407</v>
          </cell>
          <cell r="F1644">
            <v>-22.55</v>
          </cell>
          <cell r="G1644">
            <v>4</v>
          </cell>
          <cell r="H1644" t="str">
            <v>2006-04-30</v>
          </cell>
        </row>
        <row r="1645">
          <cell r="A1645" t="str">
            <v>481000</v>
          </cell>
          <cell r="B1645" t="str">
            <v>1015</v>
          </cell>
          <cell r="C1645">
            <v>-12.97</v>
          </cell>
          <cell r="D1645" t="str">
            <v>203</v>
          </cell>
          <cell r="E1645" t="str">
            <v>407</v>
          </cell>
          <cell r="F1645">
            <v>0</v>
          </cell>
          <cell r="G1645">
            <v>4</v>
          </cell>
          <cell r="H1645" t="str">
            <v>2006-04-30</v>
          </cell>
        </row>
        <row r="1646">
          <cell r="A1646" t="str">
            <v>481000</v>
          </cell>
          <cell r="B1646" t="str">
            <v>1015</v>
          </cell>
          <cell r="C1646">
            <v>-109.88</v>
          </cell>
          <cell r="D1646" t="str">
            <v>204</v>
          </cell>
          <cell r="E1646" t="str">
            <v>407</v>
          </cell>
          <cell r="F1646">
            <v>0</v>
          </cell>
          <cell r="G1646">
            <v>4</v>
          </cell>
          <cell r="H1646" t="str">
            <v>2006-04-30</v>
          </cell>
        </row>
        <row r="1647">
          <cell r="A1647" t="str">
            <v>481004</v>
          </cell>
          <cell r="B1647" t="str">
            <v>1015</v>
          </cell>
          <cell r="C1647">
            <v>-4113384.02</v>
          </cell>
          <cell r="D1647" t="str">
            <v>202</v>
          </cell>
          <cell r="E1647" t="str">
            <v>407</v>
          </cell>
          <cell r="F1647">
            <v>-2784809.51</v>
          </cell>
          <cell r="G1647">
            <v>4</v>
          </cell>
          <cell r="H1647" t="str">
            <v>2006-04-30</v>
          </cell>
        </row>
        <row r="1648">
          <cell r="A1648" t="str">
            <v>481004</v>
          </cell>
          <cell r="B1648" t="str">
            <v>1015</v>
          </cell>
          <cell r="C1648">
            <v>-2350351.83</v>
          </cell>
          <cell r="D1648" t="str">
            <v>203</v>
          </cell>
          <cell r="E1648" t="str">
            <v>407</v>
          </cell>
          <cell r="F1648">
            <v>0</v>
          </cell>
          <cell r="G1648">
            <v>4</v>
          </cell>
          <cell r="H1648" t="str">
            <v>2006-04-30</v>
          </cell>
        </row>
        <row r="1649">
          <cell r="A1649" t="str">
            <v>481004</v>
          </cell>
          <cell r="B1649" t="str">
            <v>1015</v>
          </cell>
          <cell r="C1649">
            <v>-19045148.949999999</v>
          </cell>
          <cell r="D1649" t="str">
            <v>204</v>
          </cell>
          <cell r="E1649" t="str">
            <v>407</v>
          </cell>
          <cell r="F1649">
            <v>0</v>
          </cell>
          <cell r="G1649">
            <v>4</v>
          </cell>
          <cell r="H1649" t="str">
            <v>2006-04-30</v>
          </cell>
        </row>
        <row r="1650">
          <cell r="A1650" t="str">
            <v>481004</v>
          </cell>
          <cell r="B1650" t="str">
            <v>1015</v>
          </cell>
          <cell r="C1650">
            <v>-11951.66</v>
          </cell>
          <cell r="D1650" t="str">
            <v>205</v>
          </cell>
          <cell r="E1650" t="str">
            <v>407</v>
          </cell>
          <cell r="F1650">
            <v>0</v>
          </cell>
          <cell r="G1650">
            <v>4</v>
          </cell>
          <cell r="H1650" t="str">
            <v>2006-04-30</v>
          </cell>
        </row>
        <row r="1651">
          <cell r="A1651" t="str">
            <v>481004</v>
          </cell>
          <cell r="B1651" t="str">
            <v>1015</v>
          </cell>
          <cell r="C1651">
            <v>5967.39</v>
          </cell>
          <cell r="D1651" t="str">
            <v>210</v>
          </cell>
          <cell r="E1651" t="str">
            <v>407</v>
          </cell>
          <cell r="F1651">
            <v>860.5</v>
          </cell>
          <cell r="G1651">
            <v>4</v>
          </cell>
          <cell r="H1651" t="str">
            <v>2006-04-30</v>
          </cell>
        </row>
        <row r="1652">
          <cell r="A1652" t="str">
            <v>480000</v>
          </cell>
          <cell r="B1652" t="str">
            <v>1015</v>
          </cell>
          <cell r="C1652">
            <v>-172712.78</v>
          </cell>
          <cell r="D1652" t="str">
            <v>202</v>
          </cell>
          <cell r="E1652" t="str">
            <v>408</v>
          </cell>
          <cell r="F1652">
            <v>-43040.54</v>
          </cell>
          <cell r="G1652">
            <v>4</v>
          </cell>
          <cell r="H1652" t="str">
            <v>2006-04-30</v>
          </cell>
        </row>
        <row r="1653">
          <cell r="A1653" t="str">
            <v>480000</v>
          </cell>
          <cell r="B1653" t="str">
            <v>1015</v>
          </cell>
          <cell r="C1653">
            <v>-35574.639999999999</v>
          </cell>
          <cell r="D1653" t="str">
            <v>203</v>
          </cell>
          <cell r="E1653" t="str">
            <v>408</v>
          </cell>
          <cell r="F1653">
            <v>0</v>
          </cell>
          <cell r="G1653">
            <v>4</v>
          </cell>
          <cell r="H1653" t="str">
            <v>2006-04-30</v>
          </cell>
        </row>
        <row r="1654">
          <cell r="A1654" t="str">
            <v>480000</v>
          </cell>
          <cell r="B1654" t="str">
            <v>1015</v>
          </cell>
          <cell r="C1654">
            <v>-294531.33</v>
          </cell>
          <cell r="D1654" t="str">
            <v>204</v>
          </cell>
          <cell r="E1654" t="str">
            <v>408</v>
          </cell>
          <cell r="F1654">
            <v>0</v>
          </cell>
          <cell r="G1654">
            <v>4</v>
          </cell>
          <cell r="H1654" t="str">
            <v>2006-04-30</v>
          </cell>
        </row>
        <row r="1655">
          <cell r="A1655" t="str">
            <v>480000</v>
          </cell>
          <cell r="B1655" t="str">
            <v>1015</v>
          </cell>
          <cell r="C1655">
            <v>-10417.84</v>
          </cell>
          <cell r="D1655" t="str">
            <v>205</v>
          </cell>
          <cell r="E1655" t="str">
            <v>408</v>
          </cell>
          <cell r="F1655">
            <v>0</v>
          </cell>
          <cell r="G1655">
            <v>4</v>
          </cell>
          <cell r="H1655" t="str">
            <v>2006-04-30</v>
          </cell>
        </row>
        <row r="1656">
          <cell r="A1656" t="str">
            <v>480001</v>
          </cell>
          <cell r="B1656" t="str">
            <v>1015</v>
          </cell>
          <cell r="C1656">
            <v>79442.09</v>
          </cell>
          <cell r="D1656" t="str">
            <v>202</v>
          </cell>
          <cell r="E1656" t="str">
            <v>408</v>
          </cell>
          <cell r="F1656">
            <v>20014</v>
          </cell>
          <cell r="G1656">
            <v>4</v>
          </cell>
          <cell r="H1656" t="str">
            <v>2006-04-30</v>
          </cell>
        </row>
        <row r="1657">
          <cell r="A1657" t="str">
            <v>480001</v>
          </cell>
          <cell r="B1657" t="str">
            <v>1015</v>
          </cell>
          <cell r="C1657">
            <v>30120.7</v>
          </cell>
          <cell r="D1657" t="str">
            <v>203</v>
          </cell>
          <cell r="E1657" t="str">
            <v>408</v>
          </cell>
          <cell r="F1657">
            <v>0</v>
          </cell>
          <cell r="G1657">
            <v>4</v>
          </cell>
          <cell r="H1657" t="str">
            <v>2006-04-30</v>
          </cell>
        </row>
        <row r="1658">
          <cell r="A1658" t="str">
            <v>480001</v>
          </cell>
          <cell r="B1658" t="str">
            <v>1015</v>
          </cell>
          <cell r="C1658">
            <v>146353.67000000001</v>
          </cell>
          <cell r="D1658" t="str">
            <v>204</v>
          </cell>
          <cell r="E1658" t="str">
            <v>408</v>
          </cell>
          <cell r="F1658">
            <v>0</v>
          </cell>
          <cell r="G1658">
            <v>4</v>
          </cell>
          <cell r="H1658" t="str">
            <v>2006-04-30</v>
          </cell>
        </row>
        <row r="1659">
          <cell r="A1659" t="str">
            <v>480001</v>
          </cell>
          <cell r="B1659" t="str">
            <v>1015</v>
          </cell>
          <cell r="C1659">
            <v>-18221.68</v>
          </cell>
          <cell r="D1659" t="str">
            <v>205</v>
          </cell>
          <cell r="E1659" t="str">
            <v>408</v>
          </cell>
          <cell r="F1659">
            <v>0</v>
          </cell>
          <cell r="G1659">
            <v>4</v>
          </cell>
          <cell r="H1659" t="str">
            <v>2006-04-30</v>
          </cell>
        </row>
        <row r="1660">
          <cell r="A1660" t="str">
            <v>480001</v>
          </cell>
          <cell r="B1660" t="str">
            <v>1015</v>
          </cell>
          <cell r="C1660">
            <v>0</v>
          </cell>
          <cell r="D1660" t="str">
            <v>210</v>
          </cell>
          <cell r="E1660" t="str">
            <v>408</v>
          </cell>
          <cell r="F1660">
            <v>0</v>
          </cell>
          <cell r="G1660">
            <v>4</v>
          </cell>
          <cell r="H1660" t="str">
            <v>2006-04-30</v>
          </cell>
        </row>
        <row r="1661">
          <cell r="A1661" t="str">
            <v>481004</v>
          </cell>
          <cell r="B1661" t="str">
            <v>1015</v>
          </cell>
          <cell r="C1661">
            <v>-78728.31</v>
          </cell>
          <cell r="D1661" t="str">
            <v>202</v>
          </cell>
          <cell r="E1661" t="str">
            <v>408</v>
          </cell>
          <cell r="F1661">
            <v>-19739.939999999999</v>
          </cell>
          <cell r="G1661">
            <v>4</v>
          </cell>
          <cell r="H1661" t="str">
            <v>2006-04-30</v>
          </cell>
        </row>
        <row r="1662">
          <cell r="A1662" t="str">
            <v>481004</v>
          </cell>
          <cell r="B1662" t="str">
            <v>1015</v>
          </cell>
          <cell r="C1662">
            <v>-15826.06</v>
          </cell>
          <cell r="D1662" t="str">
            <v>203</v>
          </cell>
          <cell r="E1662" t="str">
            <v>408</v>
          </cell>
          <cell r="F1662">
            <v>0</v>
          </cell>
          <cell r="G1662">
            <v>4</v>
          </cell>
          <cell r="H1662" t="str">
            <v>2006-04-30</v>
          </cell>
        </row>
        <row r="1663">
          <cell r="A1663" t="str">
            <v>481004</v>
          </cell>
          <cell r="B1663" t="str">
            <v>1015</v>
          </cell>
          <cell r="C1663">
            <v>-134620.34</v>
          </cell>
          <cell r="D1663" t="str">
            <v>204</v>
          </cell>
          <cell r="E1663" t="str">
            <v>408</v>
          </cell>
          <cell r="F1663">
            <v>0</v>
          </cell>
          <cell r="G1663">
            <v>4</v>
          </cell>
          <cell r="H1663" t="str">
            <v>2006-04-30</v>
          </cell>
        </row>
        <row r="1664">
          <cell r="A1664" t="str">
            <v>481004</v>
          </cell>
          <cell r="B1664" t="str">
            <v>1015</v>
          </cell>
          <cell r="C1664">
            <v>-8243.48</v>
          </cell>
          <cell r="D1664" t="str">
            <v>205</v>
          </cell>
          <cell r="E1664" t="str">
            <v>408</v>
          </cell>
          <cell r="F1664">
            <v>0</v>
          </cell>
          <cell r="G1664">
            <v>4</v>
          </cell>
          <cell r="H1664" t="str">
            <v>2006-04-30</v>
          </cell>
        </row>
        <row r="1665">
          <cell r="A1665" t="str">
            <v>481002</v>
          </cell>
          <cell r="B1665" t="str">
            <v>1015</v>
          </cell>
          <cell r="C1665">
            <v>0</v>
          </cell>
          <cell r="D1665" t="str">
            <v>202</v>
          </cell>
          <cell r="E1665" t="str">
            <v>409</v>
          </cell>
          <cell r="F1665">
            <v>0</v>
          </cell>
          <cell r="G1665">
            <v>4</v>
          </cell>
          <cell r="H1665" t="str">
            <v>2006-04-30</v>
          </cell>
        </row>
        <row r="1666">
          <cell r="A1666" t="str">
            <v>481002</v>
          </cell>
          <cell r="B1666" t="str">
            <v>1015</v>
          </cell>
          <cell r="C1666">
            <v>0</v>
          </cell>
          <cell r="D1666" t="str">
            <v>203</v>
          </cell>
          <cell r="E1666" t="str">
            <v>409</v>
          </cell>
          <cell r="F1666">
            <v>0</v>
          </cell>
          <cell r="G1666">
            <v>4</v>
          </cell>
          <cell r="H1666" t="str">
            <v>2006-04-30</v>
          </cell>
        </row>
        <row r="1667">
          <cell r="A1667" t="str">
            <v>481002</v>
          </cell>
          <cell r="B1667" t="str">
            <v>1015</v>
          </cell>
          <cell r="C1667">
            <v>0</v>
          </cell>
          <cell r="D1667" t="str">
            <v>204</v>
          </cell>
          <cell r="E1667" t="str">
            <v>409</v>
          </cell>
          <cell r="F1667">
            <v>0</v>
          </cell>
          <cell r="G1667">
            <v>4</v>
          </cell>
          <cell r="H1667" t="str">
            <v>2006-04-30</v>
          </cell>
        </row>
        <row r="1668">
          <cell r="A1668" t="str">
            <v>481002</v>
          </cell>
          <cell r="B1668" t="str">
            <v>1015</v>
          </cell>
          <cell r="C1668">
            <v>0</v>
          </cell>
          <cell r="D1668" t="str">
            <v>210</v>
          </cell>
          <cell r="E1668" t="str">
            <v>409</v>
          </cell>
          <cell r="F1668">
            <v>0</v>
          </cell>
          <cell r="G1668">
            <v>4</v>
          </cell>
          <cell r="H1668" t="str">
            <v>2006-04-30</v>
          </cell>
        </row>
        <row r="1669">
          <cell r="A1669" t="str">
            <v>481002</v>
          </cell>
          <cell r="B1669" t="str">
            <v>1015</v>
          </cell>
          <cell r="C1669">
            <v>-4264.3999999999996</v>
          </cell>
          <cell r="D1669" t="str">
            <v>202</v>
          </cell>
          <cell r="E1669" t="str">
            <v>411</v>
          </cell>
          <cell r="F1669">
            <v>-17747.14</v>
          </cell>
          <cell r="G1669">
            <v>4</v>
          </cell>
          <cell r="H1669" t="str">
            <v>2006-04-30</v>
          </cell>
        </row>
        <row r="1670">
          <cell r="A1670" t="str">
            <v>481002</v>
          </cell>
          <cell r="B1670" t="str">
            <v>1015</v>
          </cell>
          <cell r="C1670">
            <v>-3245.4</v>
          </cell>
          <cell r="D1670" t="str">
            <v>203</v>
          </cell>
          <cell r="E1670" t="str">
            <v>411</v>
          </cell>
          <cell r="F1670">
            <v>0</v>
          </cell>
          <cell r="G1670">
            <v>4</v>
          </cell>
          <cell r="H1670" t="str">
            <v>2006-04-30</v>
          </cell>
        </row>
        <row r="1671">
          <cell r="A1671" t="str">
            <v>481002</v>
          </cell>
          <cell r="B1671" t="str">
            <v>1015</v>
          </cell>
          <cell r="C1671">
            <v>-101405.65</v>
          </cell>
          <cell r="D1671" t="str">
            <v>204</v>
          </cell>
          <cell r="E1671" t="str">
            <v>411</v>
          </cell>
          <cell r="F1671">
            <v>0</v>
          </cell>
          <cell r="G1671">
            <v>4</v>
          </cell>
          <cell r="H1671" t="str">
            <v>2006-04-30</v>
          </cell>
        </row>
        <row r="1672">
          <cell r="A1672" t="str">
            <v>481002</v>
          </cell>
          <cell r="B1672" t="str">
            <v>1015</v>
          </cell>
          <cell r="C1672">
            <v>0</v>
          </cell>
          <cell r="D1672" t="str">
            <v>210</v>
          </cell>
          <cell r="E1672" t="str">
            <v>411</v>
          </cell>
          <cell r="F1672">
            <v>0</v>
          </cell>
          <cell r="G1672">
            <v>4</v>
          </cell>
          <cell r="H1672" t="str">
            <v>2006-04-30</v>
          </cell>
        </row>
        <row r="1673">
          <cell r="A1673" t="str">
            <v>481005</v>
          </cell>
          <cell r="B1673" t="str">
            <v>1015</v>
          </cell>
          <cell r="C1673">
            <v>-30974.11</v>
          </cell>
          <cell r="D1673" t="str">
            <v>202</v>
          </cell>
          <cell r="E1673" t="str">
            <v>411</v>
          </cell>
          <cell r="F1673">
            <v>-102241.24</v>
          </cell>
          <cell r="G1673">
            <v>4</v>
          </cell>
          <cell r="H1673" t="str">
            <v>2006-04-30</v>
          </cell>
        </row>
        <row r="1674">
          <cell r="A1674" t="str">
            <v>481005</v>
          </cell>
          <cell r="B1674" t="str">
            <v>1015</v>
          </cell>
          <cell r="C1674">
            <v>-18696.61</v>
          </cell>
          <cell r="D1674" t="str">
            <v>203</v>
          </cell>
          <cell r="E1674" t="str">
            <v>411</v>
          </cell>
          <cell r="F1674">
            <v>0</v>
          </cell>
          <cell r="G1674">
            <v>4</v>
          </cell>
          <cell r="H1674" t="str">
            <v>2006-04-30</v>
          </cell>
        </row>
        <row r="1675">
          <cell r="A1675" t="str">
            <v>481005</v>
          </cell>
          <cell r="B1675" t="str">
            <v>1015</v>
          </cell>
          <cell r="C1675">
            <v>-584201.30000000005</v>
          </cell>
          <cell r="D1675" t="str">
            <v>204</v>
          </cell>
          <cell r="E1675" t="str">
            <v>411</v>
          </cell>
          <cell r="F1675">
            <v>0</v>
          </cell>
          <cell r="G1675">
            <v>4</v>
          </cell>
          <cell r="H1675" t="str">
            <v>2006-04-30</v>
          </cell>
        </row>
        <row r="1676">
          <cell r="A1676" t="str">
            <v>481005</v>
          </cell>
          <cell r="B1676" t="str">
            <v>1015</v>
          </cell>
          <cell r="C1676">
            <v>0</v>
          </cell>
          <cell r="D1676" t="str">
            <v>210</v>
          </cell>
          <cell r="E1676" t="str">
            <v>411</v>
          </cell>
          <cell r="F1676">
            <v>0</v>
          </cell>
          <cell r="G1676">
            <v>4</v>
          </cell>
          <cell r="H1676" t="str">
            <v>2006-04-30</v>
          </cell>
        </row>
        <row r="1677">
          <cell r="A1677" t="str">
            <v>481002</v>
          </cell>
          <cell r="B1677" t="str">
            <v>1015</v>
          </cell>
          <cell r="C1677">
            <v>0</v>
          </cell>
          <cell r="D1677" t="str">
            <v>210</v>
          </cell>
          <cell r="E1677" t="str">
            <v>412</v>
          </cell>
          <cell r="F1677">
            <v>0</v>
          </cell>
          <cell r="G1677">
            <v>4</v>
          </cell>
          <cell r="H1677" t="str">
            <v>2006-04-30</v>
          </cell>
        </row>
        <row r="1678">
          <cell r="A1678" t="str">
            <v>481002</v>
          </cell>
          <cell r="B1678" t="str">
            <v>1015</v>
          </cell>
          <cell r="C1678">
            <v>-6847.94</v>
          </cell>
          <cell r="D1678" t="str">
            <v>202</v>
          </cell>
          <cell r="E1678" t="str">
            <v>414</v>
          </cell>
          <cell r="F1678">
            <v>-30271.91</v>
          </cell>
          <cell r="G1678">
            <v>4</v>
          </cell>
          <cell r="H1678" t="str">
            <v>2006-04-30</v>
          </cell>
        </row>
        <row r="1679">
          <cell r="A1679" t="str">
            <v>481002</v>
          </cell>
          <cell r="B1679" t="str">
            <v>1015</v>
          </cell>
          <cell r="C1679">
            <v>-5535.84</v>
          </cell>
          <cell r="D1679" t="str">
            <v>203</v>
          </cell>
          <cell r="E1679" t="str">
            <v>414</v>
          </cell>
          <cell r="F1679">
            <v>0</v>
          </cell>
          <cell r="G1679">
            <v>4</v>
          </cell>
          <cell r="H1679" t="str">
            <v>2006-04-30</v>
          </cell>
        </row>
        <row r="1680">
          <cell r="A1680" t="str">
            <v>481002</v>
          </cell>
          <cell r="B1680" t="str">
            <v>1015</v>
          </cell>
          <cell r="C1680">
            <v>-172973</v>
          </cell>
          <cell r="D1680" t="str">
            <v>204</v>
          </cell>
          <cell r="E1680" t="str">
            <v>414</v>
          </cell>
          <cell r="F1680">
            <v>0</v>
          </cell>
          <cell r="G1680">
            <v>4</v>
          </cell>
          <cell r="H1680" t="str">
            <v>2006-04-30</v>
          </cell>
        </row>
        <row r="1681">
          <cell r="A1681" t="str">
            <v>481002</v>
          </cell>
          <cell r="B1681" t="str">
            <v>1015</v>
          </cell>
          <cell r="C1681">
            <v>0</v>
          </cell>
          <cell r="D1681" t="str">
            <v>210</v>
          </cell>
          <cell r="E1681" t="str">
            <v>414</v>
          </cell>
          <cell r="F1681">
            <v>0</v>
          </cell>
          <cell r="G1681">
            <v>4</v>
          </cell>
          <cell r="H1681" t="str">
            <v>2006-04-30</v>
          </cell>
        </row>
        <row r="1682">
          <cell r="A1682" t="str">
            <v>481005</v>
          </cell>
          <cell r="B1682" t="str">
            <v>1015</v>
          </cell>
          <cell r="C1682">
            <v>-13506.64</v>
          </cell>
          <cell r="D1682" t="str">
            <v>202</v>
          </cell>
          <cell r="E1682" t="str">
            <v>414</v>
          </cell>
          <cell r="F1682">
            <v>-13124.58</v>
          </cell>
          <cell r="G1682">
            <v>4</v>
          </cell>
          <cell r="H1682" t="str">
            <v>2006-04-30</v>
          </cell>
        </row>
        <row r="1683">
          <cell r="A1683" t="str">
            <v>481005</v>
          </cell>
          <cell r="B1683" t="str">
            <v>1015</v>
          </cell>
          <cell r="C1683">
            <v>-2399.7800000000002</v>
          </cell>
          <cell r="D1683" t="str">
            <v>203</v>
          </cell>
          <cell r="E1683" t="str">
            <v>414</v>
          </cell>
          <cell r="F1683">
            <v>0</v>
          </cell>
          <cell r="G1683">
            <v>4</v>
          </cell>
          <cell r="H1683" t="str">
            <v>2006-04-30</v>
          </cell>
        </row>
        <row r="1684">
          <cell r="A1684" t="str">
            <v>481005</v>
          </cell>
          <cell r="B1684" t="str">
            <v>1015</v>
          </cell>
          <cell r="C1684">
            <v>-74995.98</v>
          </cell>
          <cell r="D1684" t="str">
            <v>204</v>
          </cell>
          <cell r="E1684" t="str">
            <v>414</v>
          </cell>
          <cell r="F1684">
            <v>0</v>
          </cell>
          <cell r="G1684">
            <v>4</v>
          </cell>
          <cell r="H1684" t="str">
            <v>2006-04-30</v>
          </cell>
        </row>
        <row r="1685">
          <cell r="A1685" t="str">
            <v>481005</v>
          </cell>
          <cell r="B1685" t="str">
            <v>1015</v>
          </cell>
          <cell r="C1685">
            <v>0</v>
          </cell>
          <cell r="D1685" t="str">
            <v>210</v>
          </cell>
          <cell r="E1685" t="str">
            <v>414</v>
          </cell>
          <cell r="F1685">
            <v>0</v>
          </cell>
          <cell r="G1685">
            <v>4</v>
          </cell>
          <cell r="H1685" t="str">
            <v>2006-04-30</v>
          </cell>
        </row>
        <row r="1686">
          <cell r="A1686" t="str">
            <v>489300</v>
          </cell>
          <cell r="B1686" t="str">
            <v>1015</v>
          </cell>
          <cell r="C1686">
            <v>-189319.41</v>
          </cell>
          <cell r="D1686" t="str">
            <v>250</v>
          </cell>
          <cell r="E1686" t="str">
            <v>415</v>
          </cell>
          <cell r="F1686">
            <v>-1180561</v>
          </cell>
          <cell r="G1686">
            <v>4</v>
          </cell>
          <cell r="H1686" t="str">
            <v>2006-04-30</v>
          </cell>
        </row>
        <row r="1687">
          <cell r="A1687" t="str">
            <v>489304</v>
          </cell>
          <cell r="B1687" t="str">
            <v>1015</v>
          </cell>
          <cell r="C1687">
            <v>-46340.24</v>
          </cell>
          <cell r="D1687" t="str">
            <v>250</v>
          </cell>
          <cell r="E1687" t="str">
            <v>415</v>
          </cell>
          <cell r="F1687">
            <v>-178473</v>
          </cell>
          <cell r="G1687">
            <v>4</v>
          </cell>
          <cell r="H1687" t="str">
            <v>2006-04-30</v>
          </cell>
        </row>
        <row r="1688">
          <cell r="A1688" t="str">
            <v>489300</v>
          </cell>
          <cell r="B1688" t="str">
            <v>1015</v>
          </cell>
          <cell r="C1688">
            <v>0</v>
          </cell>
          <cell r="D1688" t="str">
            <v>250</v>
          </cell>
          <cell r="E1688" t="str">
            <v>416</v>
          </cell>
          <cell r="F1688">
            <v>0</v>
          </cell>
          <cell r="G1688">
            <v>4</v>
          </cell>
          <cell r="H1688" t="str">
            <v>2006-04-30</v>
          </cell>
        </row>
        <row r="1689">
          <cell r="A1689" t="str">
            <v>489304</v>
          </cell>
          <cell r="B1689" t="str">
            <v>1015</v>
          </cell>
          <cell r="C1689">
            <v>-1093.82</v>
          </cell>
          <cell r="D1689" t="str">
            <v>250</v>
          </cell>
          <cell r="E1689" t="str">
            <v>416</v>
          </cell>
          <cell r="F1689">
            <v>-1532</v>
          </cell>
          <cell r="G1689">
            <v>4</v>
          </cell>
          <cell r="H1689" t="str">
            <v>2006-04-30</v>
          </cell>
        </row>
        <row r="1690">
          <cell r="A1690" t="str">
            <v>481000</v>
          </cell>
          <cell r="B1690" t="str">
            <v>1015</v>
          </cell>
          <cell r="C1690">
            <v>0</v>
          </cell>
          <cell r="D1690" t="str">
            <v>202</v>
          </cell>
          <cell r="E1690" t="str">
            <v>451</v>
          </cell>
          <cell r="F1690">
            <v>0.36</v>
          </cell>
          <cell r="G1690">
            <v>4</v>
          </cell>
          <cell r="H1690" t="str">
            <v>2006-04-30</v>
          </cell>
        </row>
        <row r="1691">
          <cell r="A1691" t="str">
            <v>481000</v>
          </cell>
          <cell r="B1691" t="str">
            <v>1015</v>
          </cell>
          <cell r="C1691">
            <v>0</v>
          </cell>
          <cell r="D1691" t="str">
            <v>203</v>
          </cell>
          <cell r="E1691" t="str">
            <v>451</v>
          </cell>
          <cell r="F1691">
            <v>0</v>
          </cell>
          <cell r="G1691">
            <v>4</v>
          </cell>
          <cell r="H1691" t="str">
            <v>2006-04-30</v>
          </cell>
        </row>
        <row r="1692">
          <cell r="A1692" t="str">
            <v>481000</v>
          </cell>
          <cell r="B1692" t="str">
            <v>1015</v>
          </cell>
          <cell r="C1692">
            <v>0</v>
          </cell>
          <cell r="D1692" t="str">
            <v>204</v>
          </cell>
          <cell r="E1692" t="str">
            <v>451</v>
          </cell>
          <cell r="F1692">
            <v>0</v>
          </cell>
          <cell r="G1692">
            <v>4</v>
          </cell>
          <cell r="H1692" t="str">
            <v>2006-04-30</v>
          </cell>
        </row>
        <row r="1693">
          <cell r="A1693" t="str">
            <v>481000</v>
          </cell>
          <cell r="B1693" t="str">
            <v>1015</v>
          </cell>
          <cell r="C1693">
            <v>0</v>
          </cell>
          <cell r="D1693" t="str">
            <v>210</v>
          </cell>
          <cell r="E1693" t="str">
            <v>451</v>
          </cell>
          <cell r="F1693">
            <v>0</v>
          </cell>
          <cell r="G1693">
            <v>4</v>
          </cell>
          <cell r="H1693" t="str">
            <v>2006-04-30</v>
          </cell>
        </row>
        <row r="1694">
          <cell r="A1694" t="str">
            <v>481004</v>
          </cell>
          <cell r="B1694" t="str">
            <v>1015</v>
          </cell>
          <cell r="C1694">
            <v>-23012</v>
          </cell>
          <cell r="D1694" t="str">
            <v>202</v>
          </cell>
          <cell r="E1694" t="str">
            <v>451</v>
          </cell>
          <cell r="F1694">
            <v>-24423.01</v>
          </cell>
          <cell r="G1694">
            <v>4</v>
          </cell>
          <cell r="H1694" t="str">
            <v>2006-04-30</v>
          </cell>
        </row>
        <row r="1695">
          <cell r="A1695" t="str">
            <v>481004</v>
          </cell>
          <cell r="B1695" t="str">
            <v>1015</v>
          </cell>
          <cell r="C1695">
            <v>0</v>
          </cell>
          <cell r="D1695" t="str">
            <v>203</v>
          </cell>
          <cell r="E1695" t="str">
            <v>451</v>
          </cell>
          <cell r="F1695">
            <v>0</v>
          </cell>
          <cell r="G1695">
            <v>4</v>
          </cell>
          <cell r="H1695" t="str">
            <v>2006-04-30</v>
          </cell>
        </row>
        <row r="1696">
          <cell r="A1696" t="str">
            <v>481004</v>
          </cell>
          <cell r="B1696" t="str">
            <v>1015</v>
          </cell>
          <cell r="C1696">
            <v>-188297</v>
          </cell>
          <cell r="D1696" t="str">
            <v>204</v>
          </cell>
          <cell r="E1696" t="str">
            <v>451</v>
          </cell>
          <cell r="F1696">
            <v>0</v>
          </cell>
          <cell r="G1696">
            <v>4</v>
          </cell>
          <cell r="H1696" t="str">
            <v>2006-04-30</v>
          </cell>
        </row>
        <row r="1697">
          <cell r="A1697" t="str">
            <v>481004</v>
          </cell>
          <cell r="B1697" t="str">
            <v>1015</v>
          </cell>
          <cell r="C1697">
            <v>0</v>
          </cell>
          <cell r="D1697" t="str">
            <v>210</v>
          </cell>
          <cell r="E1697" t="str">
            <v>451</v>
          </cell>
          <cell r="F1697">
            <v>0</v>
          </cell>
          <cell r="G1697">
            <v>4</v>
          </cell>
          <cell r="H1697" t="str">
            <v>2006-04-30</v>
          </cell>
        </row>
        <row r="1698">
          <cell r="A1698" t="str">
            <v>480000</v>
          </cell>
          <cell r="B1698" t="str">
            <v>1015</v>
          </cell>
          <cell r="C1698">
            <v>-598236.49</v>
          </cell>
          <cell r="D1698" t="str">
            <v>202</v>
          </cell>
          <cell r="E1698" t="str">
            <v>453</v>
          </cell>
          <cell r="F1698">
            <v>-207960.47</v>
          </cell>
          <cell r="G1698">
            <v>4</v>
          </cell>
          <cell r="H1698" t="str">
            <v>2006-04-30</v>
          </cell>
        </row>
        <row r="1699">
          <cell r="A1699" t="str">
            <v>480000</v>
          </cell>
          <cell r="B1699" t="str">
            <v>1015</v>
          </cell>
          <cell r="C1699">
            <v>-1604343.49</v>
          </cell>
          <cell r="D1699" t="str">
            <v>204</v>
          </cell>
          <cell r="E1699" t="str">
            <v>453</v>
          </cell>
          <cell r="F1699">
            <v>0</v>
          </cell>
          <cell r="G1699">
            <v>4</v>
          </cell>
          <cell r="H1699" t="str">
            <v>2006-04-30</v>
          </cell>
        </row>
        <row r="1700">
          <cell r="A1700" t="str">
            <v>480000</v>
          </cell>
          <cell r="B1700" t="str">
            <v>1015</v>
          </cell>
          <cell r="C1700">
            <v>2090.79</v>
          </cell>
          <cell r="D1700" t="str">
            <v>205</v>
          </cell>
          <cell r="E1700" t="str">
            <v>453</v>
          </cell>
          <cell r="F1700">
            <v>0</v>
          </cell>
          <cell r="G1700">
            <v>4</v>
          </cell>
          <cell r="H1700" t="str">
            <v>2006-04-30</v>
          </cell>
        </row>
        <row r="1701">
          <cell r="A1701" t="str">
            <v>480001</v>
          </cell>
          <cell r="B1701" t="str">
            <v>1015</v>
          </cell>
          <cell r="C1701">
            <v>153086.68</v>
          </cell>
          <cell r="D1701" t="str">
            <v>202</v>
          </cell>
          <cell r="E1701" t="str">
            <v>453</v>
          </cell>
          <cell r="F1701">
            <v>89339</v>
          </cell>
          <cell r="G1701">
            <v>4</v>
          </cell>
          <cell r="H1701" t="str">
            <v>2006-04-30</v>
          </cell>
        </row>
        <row r="1702">
          <cell r="A1702" t="str">
            <v>480001</v>
          </cell>
          <cell r="B1702" t="str">
            <v>1015</v>
          </cell>
          <cell r="C1702">
            <v>0</v>
          </cell>
          <cell r="D1702" t="str">
            <v>203</v>
          </cell>
          <cell r="E1702" t="str">
            <v>453</v>
          </cell>
          <cell r="F1702">
            <v>0</v>
          </cell>
          <cell r="G1702">
            <v>4</v>
          </cell>
          <cell r="H1702" t="str">
            <v>2006-04-30</v>
          </cell>
        </row>
        <row r="1703">
          <cell r="A1703" t="str">
            <v>480001</v>
          </cell>
          <cell r="B1703" t="str">
            <v>1015</v>
          </cell>
          <cell r="C1703">
            <v>690349.32</v>
          </cell>
          <cell r="D1703" t="str">
            <v>204</v>
          </cell>
          <cell r="E1703" t="str">
            <v>453</v>
          </cell>
          <cell r="F1703">
            <v>0</v>
          </cell>
          <cell r="G1703">
            <v>4</v>
          </cell>
          <cell r="H1703" t="str">
            <v>2006-04-30</v>
          </cell>
        </row>
        <row r="1704">
          <cell r="A1704" t="str">
            <v>480001</v>
          </cell>
          <cell r="B1704" t="str">
            <v>1015</v>
          </cell>
          <cell r="C1704">
            <v>-30533.919999999998</v>
          </cell>
          <cell r="D1704" t="str">
            <v>205</v>
          </cell>
          <cell r="E1704" t="str">
            <v>453</v>
          </cell>
          <cell r="F1704">
            <v>0</v>
          </cell>
          <cell r="G1704">
            <v>4</v>
          </cell>
          <cell r="H1704" t="str">
            <v>2006-04-30</v>
          </cell>
        </row>
        <row r="1705">
          <cell r="A1705" t="str">
            <v>480001</v>
          </cell>
          <cell r="B1705" t="str">
            <v>1015</v>
          </cell>
          <cell r="C1705">
            <v>0</v>
          </cell>
          <cell r="D1705" t="str">
            <v>210</v>
          </cell>
          <cell r="E1705" t="str">
            <v>453</v>
          </cell>
          <cell r="F1705">
            <v>0</v>
          </cell>
          <cell r="G1705">
            <v>4</v>
          </cell>
          <cell r="H1705" t="str">
            <v>2006-04-30</v>
          </cell>
        </row>
        <row r="1706">
          <cell r="A1706" t="str">
            <v>481004</v>
          </cell>
          <cell r="B1706" t="str">
            <v>1015</v>
          </cell>
          <cell r="C1706">
            <v>-226665.19</v>
          </cell>
          <cell r="D1706" t="str">
            <v>202</v>
          </cell>
          <cell r="E1706" t="str">
            <v>453</v>
          </cell>
          <cell r="F1706">
            <v>-125348.5</v>
          </cell>
          <cell r="G1706">
            <v>4</v>
          </cell>
          <cell r="H1706" t="str">
            <v>2006-04-30</v>
          </cell>
        </row>
        <row r="1707">
          <cell r="A1707" t="str">
            <v>481004</v>
          </cell>
          <cell r="B1707" t="str">
            <v>1015</v>
          </cell>
          <cell r="C1707">
            <v>-966972.83</v>
          </cell>
          <cell r="D1707" t="str">
            <v>204</v>
          </cell>
          <cell r="E1707" t="str">
            <v>453</v>
          </cell>
          <cell r="F1707">
            <v>0</v>
          </cell>
          <cell r="G1707">
            <v>4</v>
          </cell>
          <cell r="H1707" t="str">
            <v>2006-04-30</v>
          </cell>
        </row>
        <row r="1708">
          <cell r="A1708" t="str">
            <v>481004</v>
          </cell>
          <cell r="B1708" t="str">
            <v>1015</v>
          </cell>
          <cell r="C1708">
            <v>-24.87</v>
          </cell>
          <cell r="D1708" t="str">
            <v>205</v>
          </cell>
          <cell r="E1708" t="str">
            <v>453</v>
          </cell>
          <cell r="F1708">
            <v>0</v>
          </cell>
          <cell r="G1708">
            <v>4</v>
          </cell>
          <cell r="H1708" t="str">
            <v>2006-04-30</v>
          </cell>
        </row>
        <row r="1709">
          <cell r="A1709" t="str">
            <v>480000</v>
          </cell>
          <cell r="B1709" t="str">
            <v>1015</v>
          </cell>
          <cell r="C1709">
            <v>-30526.78</v>
          </cell>
          <cell r="D1709" t="str">
            <v>202</v>
          </cell>
          <cell r="E1709" t="str">
            <v>455</v>
          </cell>
          <cell r="F1709">
            <v>-10408.14</v>
          </cell>
          <cell r="G1709">
            <v>4</v>
          </cell>
          <cell r="H1709" t="str">
            <v>2006-04-30</v>
          </cell>
        </row>
        <row r="1710">
          <cell r="A1710" t="str">
            <v>480000</v>
          </cell>
          <cell r="B1710" t="str">
            <v>1015</v>
          </cell>
          <cell r="C1710">
            <v>-80317.84</v>
          </cell>
          <cell r="D1710" t="str">
            <v>204</v>
          </cell>
          <cell r="E1710" t="str">
            <v>455</v>
          </cell>
          <cell r="F1710">
            <v>0</v>
          </cell>
          <cell r="G1710">
            <v>4</v>
          </cell>
          <cell r="H1710" t="str">
            <v>2006-04-30</v>
          </cell>
        </row>
        <row r="1711">
          <cell r="A1711" t="str">
            <v>480000</v>
          </cell>
          <cell r="B1711" t="str">
            <v>1015</v>
          </cell>
          <cell r="C1711">
            <v>820.53</v>
          </cell>
          <cell r="D1711" t="str">
            <v>205</v>
          </cell>
          <cell r="E1711" t="str">
            <v>455</v>
          </cell>
          <cell r="F1711">
            <v>0</v>
          </cell>
          <cell r="G1711">
            <v>4</v>
          </cell>
          <cell r="H1711" t="str">
            <v>2006-04-30</v>
          </cell>
        </row>
        <row r="1712">
          <cell r="A1712" t="str">
            <v>480001</v>
          </cell>
          <cell r="B1712" t="str">
            <v>1015</v>
          </cell>
          <cell r="C1712">
            <v>13770.95</v>
          </cell>
          <cell r="D1712" t="str">
            <v>202</v>
          </cell>
          <cell r="E1712" t="str">
            <v>455</v>
          </cell>
          <cell r="F1712">
            <v>5753</v>
          </cell>
          <cell r="G1712">
            <v>4</v>
          </cell>
          <cell r="H1712" t="str">
            <v>2006-04-30</v>
          </cell>
        </row>
        <row r="1713">
          <cell r="A1713" t="str">
            <v>480001</v>
          </cell>
          <cell r="B1713" t="str">
            <v>1015</v>
          </cell>
          <cell r="C1713">
            <v>0</v>
          </cell>
          <cell r="D1713" t="str">
            <v>203</v>
          </cell>
          <cell r="E1713" t="str">
            <v>455</v>
          </cell>
          <cell r="F1713">
            <v>0</v>
          </cell>
          <cell r="G1713">
            <v>4</v>
          </cell>
          <cell r="H1713" t="str">
            <v>2006-04-30</v>
          </cell>
        </row>
        <row r="1714">
          <cell r="A1714" t="str">
            <v>480001</v>
          </cell>
          <cell r="B1714" t="str">
            <v>1015</v>
          </cell>
          <cell r="C1714">
            <v>44279.82</v>
          </cell>
          <cell r="D1714" t="str">
            <v>204</v>
          </cell>
          <cell r="E1714" t="str">
            <v>455</v>
          </cell>
          <cell r="F1714">
            <v>0</v>
          </cell>
          <cell r="G1714">
            <v>4</v>
          </cell>
          <cell r="H1714" t="str">
            <v>2006-04-30</v>
          </cell>
        </row>
        <row r="1715">
          <cell r="A1715" t="str">
            <v>480001</v>
          </cell>
          <cell r="B1715" t="str">
            <v>1015</v>
          </cell>
          <cell r="C1715">
            <v>-964.09</v>
          </cell>
          <cell r="D1715" t="str">
            <v>205</v>
          </cell>
          <cell r="E1715" t="str">
            <v>455</v>
          </cell>
          <cell r="F1715">
            <v>0</v>
          </cell>
          <cell r="G1715">
            <v>4</v>
          </cell>
          <cell r="H1715" t="str">
            <v>2006-04-30</v>
          </cell>
        </row>
        <row r="1716">
          <cell r="A1716" t="str">
            <v>480001</v>
          </cell>
          <cell r="B1716" t="str">
            <v>1015</v>
          </cell>
          <cell r="C1716">
            <v>0</v>
          </cell>
          <cell r="D1716" t="str">
            <v>210</v>
          </cell>
          <cell r="E1716" t="str">
            <v>455</v>
          </cell>
          <cell r="F1716">
            <v>0</v>
          </cell>
          <cell r="G1716">
            <v>4</v>
          </cell>
          <cell r="H1716" t="str">
            <v>2006-04-30</v>
          </cell>
        </row>
        <row r="1717">
          <cell r="A1717" t="str">
            <v>481004</v>
          </cell>
          <cell r="B1717" t="str">
            <v>1015</v>
          </cell>
          <cell r="C1717">
            <v>-16286.17</v>
          </cell>
          <cell r="D1717" t="str">
            <v>202</v>
          </cell>
          <cell r="E1717" t="str">
            <v>455</v>
          </cell>
          <cell r="F1717">
            <v>-6410.75</v>
          </cell>
          <cell r="G1717">
            <v>4</v>
          </cell>
          <cell r="H1717" t="str">
            <v>2006-04-30</v>
          </cell>
        </row>
        <row r="1718">
          <cell r="A1718" t="str">
            <v>481004</v>
          </cell>
          <cell r="B1718" t="str">
            <v>1015</v>
          </cell>
          <cell r="C1718">
            <v>-49278.98</v>
          </cell>
          <cell r="D1718" t="str">
            <v>204</v>
          </cell>
          <cell r="E1718" t="str">
            <v>455</v>
          </cell>
          <cell r="F1718">
            <v>0</v>
          </cell>
          <cell r="G1718">
            <v>4</v>
          </cell>
          <cell r="H1718" t="str">
            <v>2006-04-30</v>
          </cell>
        </row>
        <row r="1719">
          <cell r="A1719" t="str">
            <v>481004</v>
          </cell>
          <cell r="B1719" t="str">
            <v>1015</v>
          </cell>
          <cell r="C1719">
            <v>143.56</v>
          </cell>
          <cell r="D1719" t="str">
            <v>205</v>
          </cell>
          <cell r="E1719" t="str">
            <v>455</v>
          </cell>
          <cell r="F1719">
            <v>0</v>
          </cell>
          <cell r="G1719">
            <v>4</v>
          </cell>
          <cell r="H1719" t="str">
            <v>2006-04-30</v>
          </cell>
        </row>
        <row r="1720">
          <cell r="A1720" t="str">
            <v>481002</v>
          </cell>
          <cell r="B1720" t="str">
            <v>1015</v>
          </cell>
          <cell r="C1720">
            <v>0</v>
          </cell>
          <cell r="D1720" t="str">
            <v>202</v>
          </cell>
          <cell r="E1720" t="str">
            <v>456</v>
          </cell>
          <cell r="F1720">
            <v>0</v>
          </cell>
          <cell r="G1720">
            <v>4</v>
          </cell>
          <cell r="H1720" t="str">
            <v>2006-04-30</v>
          </cell>
        </row>
        <row r="1721">
          <cell r="A1721" t="str">
            <v>481002</v>
          </cell>
          <cell r="B1721" t="str">
            <v>1015</v>
          </cell>
          <cell r="C1721">
            <v>0</v>
          </cell>
          <cell r="D1721" t="str">
            <v>203</v>
          </cell>
          <cell r="E1721" t="str">
            <v>456</v>
          </cell>
          <cell r="F1721">
            <v>0</v>
          </cell>
          <cell r="G1721">
            <v>4</v>
          </cell>
          <cell r="H1721" t="str">
            <v>2006-04-30</v>
          </cell>
        </row>
        <row r="1722">
          <cell r="A1722" t="str">
            <v>481002</v>
          </cell>
          <cell r="B1722" t="str">
            <v>1015</v>
          </cell>
          <cell r="C1722">
            <v>0</v>
          </cell>
          <cell r="D1722" t="str">
            <v>204</v>
          </cell>
          <cell r="E1722" t="str">
            <v>456</v>
          </cell>
          <cell r="F1722">
            <v>0</v>
          </cell>
          <cell r="G1722">
            <v>4</v>
          </cell>
          <cell r="H1722" t="str">
            <v>2006-04-30</v>
          </cell>
        </row>
        <row r="1723">
          <cell r="A1723" t="str">
            <v>481002</v>
          </cell>
          <cell r="B1723" t="str">
            <v>1015</v>
          </cell>
          <cell r="C1723">
            <v>0</v>
          </cell>
          <cell r="D1723" t="str">
            <v>210</v>
          </cell>
          <cell r="E1723" t="str">
            <v>456</v>
          </cell>
          <cell r="F1723">
            <v>0</v>
          </cell>
          <cell r="G1723">
            <v>4</v>
          </cell>
          <cell r="H1723" t="str">
            <v>2006-04-30</v>
          </cell>
        </row>
        <row r="1724">
          <cell r="A1724" t="str">
            <v>481002</v>
          </cell>
          <cell r="B1724" t="str">
            <v>1015</v>
          </cell>
          <cell r="C1724">
            <v>-456.4</v>
          </cell>
          <cell r="D1724" t="str">
            <v>202</v>
          </cell>
          <cell r="E1724" t="str">
            <v>457</v>
          </cell>
          <cell r="F1724">
            <v>-2844.57</v>
          </cell>
          <cell r="G1724">
            <v>4</v>
          </cell>
          <cell r="H1724" t="str">
            <v>2006-04-30</v>
          </cell>
        </row>
        <row r="1725">
          <cell r="A1725" t="str">
            <v>481002</v>
          </cell>
          <cell r="B1725" t="str">
            <v>1015</v>
          </cell>
          <cell r="C1725">
            <v>-520.27</v>
          </cell>
          <cell r="D1725" t="str">
            <v>203</v>
          </cell>
          <cell r="E1725" t="str">
            <v>457</v>
          </cell>
          <cell r="F1725">
            <v>0</v>
          </cell>
          <cell r="G1725">
            <v>4</v>
          </cell>
          <cell r="H1725" t="str">
            <v>2006-04-30</v>
          </cell>
        </row>
        <row r="1726">
          <cell r="A1726" t="str">
            <v>481002</v>
          </cell>
          <cell r="B1726" t="str">
            <v>1015</v>
          </cell>
          <cell r="C1726">
            <v>-16223.64</v>
          </cell>
          <cell r="D1726" t="str">
            <v>204</v>
          </cell>
          <cell r="E1726" t="str">
            <v>457</v>
          </cell>
          <cell r="F1726">
            <v>0</v>
          </cell>
          <cell r="G1726">
            <v>4</v>
          </cell>
          <cell r="H1726" t="str">
            <v>2006-04-30</v>
          </cell>
        </row>
        <row r="1727">
          <cell r="A1727" t="str">
            <v>481002</v>
          </cell>
          <cell r="B1727" t="str">
            <v>1015</v>
          </cell>
          <cell r="C1727">
            <v>0</v>
          </cell>
          <cell r="D1727" t="str">
            <v>210</v>
          </cell>
          <cell r="E1727" t="str">
            <v>457</v>
          </cell>
          <cell r="F1727">
            <v>0</v>
          </cell>
          <cell r="G1727">
            <v>4</v>
          </cell>
          <cell r="H1727" t="str">
            <v>2006-04-30</v>
          </cell>
        </row>
        <row r="1728">
          <cell r="A1728" t="str">
            <v>481005</v>
          </cell>
          <cell r="B1728" t="str">
            <v>1015</v>
          </cell>
          <cell r="C1728">
            <v>-2015</v>
          </cell>
          <cell r="D1728" t="str">
            <v>202</v>
          </cell>
          <cell r="E1728" t="str">
            <v>457</v>
          </cell>
          <cell r="F1728">
            <v>-9753.51</v>
          </cell>
          <cell r="G1728">
            <v>4</v>
          </cell>
          <cell r="H1728" t="str">
            <v>2006-04-30</v>
          </cell>
        </row>
        <row r="1729">
          <cell r="A1729" t="str">
            <v>481005</v>
          </cell>
          <cell r="B1729" t="str">
            <v>1015</v>
          </cell>
          <cell r="C1729">
            <v>-1784</v>
          </cell>
          <cell r="D1729" t="str">
            <v>203</v>
          </cell>
          <cell r="E1729" t="str">
            <v>457</v>
          </cell>
          <cell r="F1729">
            <v>0</v>
          </cell>
          <cell r="G1729">
            <v>4</v>
          </cell>
          <cell r="H1729" t="str">
            <v>2006-04-30</v>
          </cell>
        </row>
        <row r="1730">
          <cell r="A1730" t="str">
            <v>481005</v>
          </cell>
          <cell r="B1730" t="str">
            <v>1015</v>
          </cell>
          <cell r="C1730">
            <v>-55617</v>
          </cell>
          <cell r="D1730" t="str">
            <v>204</v>
          </cell>
          <cell r="E1730" t="str">
            <v>457</v>
          </cell>
          <cell r="F1730">
            <v>0</v>
          </cell>
          <cell r="G1730">
            <v>4</v>
          </cell>
          <cell r="H1730" t="str">
            <v>2006-04-30</v>
          </cell>
        </row>
        <row r="1731">
          <cell r="A1731" t="str">
            <v>481005</v>
          </cell>
          <cell r="B1731" t="str">
            <v>1015</v>
          </cell>
          <cell r="C1731">
            <v>0</v>
          </cell>
          <cell r="D1731" t="str">
            <v>210</v>
          </cell>
          <cell r="E1731" t="str">
            <v>457</v>
          </cell>
          <cell r="F1731">
            <v>0</v>
          </cell>
          <cell r="G1731">
            <v>4</v>
          </cell>
          <cell r="H1731" t="str">
            <v>2006-04-30</v>
          </cell>
        </row>
        <row r="1732">
          <cell r="A1732" t="str">
            <v>489300</v>
          </cell>
          <cell r="B1732" t="str">
            <v>1015</v>
          </cell>
          <cell r="C1732">
            <v>-2810.78</v>
          </cell>
          <cell r="D1732" t="str">
            <v>250</v>
          </cell>
          <cell r="E1732" t="str">
            <v>458</v>
          </cell>
          <cell r="F1732">
            <v>-16544</v>
          </cell>
          <cell r="G1732">
            <v>4</v>
          </cell>
          <cell r="H1732" t="str">
            <v>2006-04-30</v>
          </cell>
        </row>
        <row r="1733">
          <cell r="A1733" t="str">
            <v>489304</v>
          </cell>
          <cell r="B1733" t="str">
            <v>1015</v>
          </cell>
          <cell r="C1733">
            <v>-753.5</v>
          </cell>
          <cell r="D1733" t="str">
            <v>250</v>
          </cell>
          <cell r="E1733" t="str">
            <v>458</v>
          </cell>
          <cell r="F1733">
            <v>-2175</v>
          </cell>
          <cell r="G1733">
            <v>4</v>
          </cell>
          <cell r="H1733" t="str">
            <v>2006-04-30</v>
          </cell>
        </row>
        <row r="1734">
          <cell r="A1734" t="str">
            <v>489300</v>
          </cell>
          <cell r="B1734" t="str">
            <v>1015</v>
          </cell>
          <cell r="C1734">
            <v>-1623.05</v>
          </cell>
          <cell r="D1734" t="str">
            <v>250</v>
          </cell>
          <cell r="E1734" t="str">
            <v>459</v>
          </cell>
          <cell r="F1734">
            <v>-4150</v>
          </cell>
          <cell r="G1734">
            <v>4</v>
          </cell>
          <cell r="H1734" t="str">
            <v>2006-04-30</v>
          </cell>
        </row>
        <row r="1735">
          <cell r="A1735" t="str">
            <v>489304</v>
          </cell>
          <cell r="B1735" t="str">
            <v>1015</v>
          </cell>
          <cell r="C1735">
            <v>0</v>
          </cell>
          <cell r="D1735" t="str">
            <v>250</v>
          </cell>
          <cell r="E1735" t="str">
            <v>459</v>
          </cell>
          <cell r="F1735">
            <v>0</v>
          </cell>
          <cell r="G1735">
            <v>4</v>
          </cell>
          <cell r="H1735" t="str">
            <v>2006-04-30</v>
          </cell>
        </row>
        <row r="1736">
          <cell r="A1736" t="str">
            <v>481003</v>
          </cell>
          <cell r="B1736" t="str">
            <v>1015</v>
          </cell>
          <cell r="C1736">
            <v>-113798.97</v>
          </cell>
          <cell r="D1736" t="str">
            <v>200</v>
          </cell>
          <cell r="F1736">
            <v>-11027.48</v>
          </cell>
          <cell r="G1736">
            <v>4</v>
          </cell>
          <cell r="H1736" t="str">
            <v>2006-04-30</v>
          </cell>
        </row>
        <row r="1737">
          <cell r="A1737" t="str">
            <v>481000</v>
          </cell>
          <cell r="B1737" t="str">
            <v>1015</v>
          </cell>
          <cell r="C1737">
            <v>-17156.46</v>
          </cell>
          <cell r="D1737" t="str">
            <v>202</v>
          </cell>
          <cell r="E1737" t="str">
            <v>402</v>
          </cell>
          <cell r="F1737">
            <v>-40340</v>
          </cell>
          <cell r="G1737">
            <v>5</v>
          </cell>
          <cell r="H1737" t="str">
            <v>2006-05-31</v>
          </cell>
        </row>
        <row r="1738">
          <cell r="A1738" t="str">
            <v>481000</v>
          </cell>
          <cell r="B1738" t="str">
            <v>1015</v>
          </cell>
          <cell r="C1738">
            <v>-20071.98</v>
          </cell>
          <cell r="D1738" t="str">
            <v>203</v>
          </cell>
          <cell r="E1738" t="str">
            <v>402</v>
          </cell>
          <cell r="F1738">
            <v>0</v>
          </cell>
          <cell r="G1738">
            <v>5</v>
          </cell>
          <cell r="H1738" t="str">
            <v>2006-05-31</v>
          </cell>
        </row>
        <row r="1739">
          <cell r="A1739" t="str">
            <v>481000</v>
          </cell>
          <cell r="B1739" t="str">
            <v>1015</v>
          </cell>
          <cell r="C1739">
            <v>-261981.28</v>
          </cell>
          <cell r="D1739" t="str">
            <v>204</v>
          </cell>
          <cell r="E1739" t="str">
            <v>402</v>
          </cell>
          <cell r="F1739">
            <v>0</v>
          </cell>
          <cell r="G1739">
            <v>5</v>
          </cell>
          <cell r="H1739" t="str">
            <v>2006-05-31</v>
          </cell>
        </row>
        <row r="1740">
          <cell r="A1740" t="str">
            <v>481000</v>
          </cell>
          <cell r="B1740" t="str">
            <v>1015</v>
          </cell>
          <cell r="C1740">
            <v>0</v>
          </cell>
          <cell r="D1740" t="str">
            <v>210</v>
          </cell>
          <cell r="E1740" t="str">
            <v>402</v>
          </cell>
          <cell r="F1740">
            <v>0</v>
          </cell>
          <cell r="G1740">
            <v>5</v>
          </cell>
          <cell r="H1740" t="str">
            <v>2006-05-31</v>
          </cell>
        </row>
        <row r="1741">
          <cell r="A1741" t="str">
            <v>481004</v>
          </cell>
          <cell r="B1741" t="str">
            <v>1015</v>
          </cell>
          <cell r="C1741">
            <v>-236453.56</v>
          </cell>
          <cell r="D1741" t="str">
            <v>202</v>
          </cell>
          <cell r="E1741" t="str">
            <v>402</v>
          </cell>
          <cell r="F1741">
            <v>-455361</v>
          </cell>
          <cell r="G1741">
            <v>5</v>
          </cell>
          <cell r="H1741" t="str">
            <v>2006-05-31</v>
          </cell>
        </row>
        <row r="1742">
          <cell r="A1742" t="str">
            <v>481004</v>
          </cell>
          <cell r="B1742" t="str">
            <v>1015</v>
          </cell>
          <cell r="C1742">
            <v>-226573.86</v>
          </cell>
          <cell r="D1742" t="str">
            <v>203</v>
          </cell>
          <cell r="E1742" t="str">
            <v>402</v>
          </cell>
          <cell r="F1742">
            <v>0</v>
          </cell>
          <cell r="G1742">
            <v>5</v>
          </cell>
          <cell r="H1742" t="str">
            <v>2006-05-31</v>
          </cell>
        </row>
        <row r="1743">
          <cell r="A1743" t="str">
            <v>481004</v>
          </cell>
          <cell r="B1743" t="str">
            <v>1015</v>
          </cell>
          <cell r="C1743">
            <v>-2957263.32</v>
          </cell>
          <cell r="D1743" t="str">
            <v>204</v>
          </cell>
          <cell r="E1743" t="str">
            <v>402</v>
          </cell>
          <cell r="F1743">
            <v>0</v>
          </cell>
          <cell r="G1743">
            <v>5</v>
          </cell>
          <cell r="H1743" t="str">
            <v>2006-05-31</v>
          </cell>
        </row>
        <row r="1744">
          <cell r="A1744" t="str">
            <v>481004</v>
          </cell>
          <cell r="B1744" t="str">
            <v>1015</v>
          </cell>
          <cell r="C1744">
            <v>0</v>
          </cell>
          <cell r="D1744" t="str">
            <v>210</v>
          </cell>
          <cell r="E1744" t="str">
            <v>402</v>
          </cell>
          <cell r="F1744">
            <v>0</v>
          </cell>
          <cell r="G1744">
            <v>5</v>
          </cell>
          <cell r="H1744" t="str">
            <v>2006-05-31</v>
          </cell>
        </row>
        <row r="1745">
          <cell r="A1745" t="str">
            <v>481000</v>
          </cell>
          <cell r="B1745" t="str">
            <v>1015</v>
          </cell>
          <cell r="C1745">
            <v>-7313.31</v>
          </cell>
          <cell r="D1745" t="str">
            <v>202</v>
          </cell>
          <cell r="E1745" t="str">
            <v>403</v>
          </cell>
          <cell r="F1745">
            <v>0</v>
          </cell>
          <cell r="G1745">
            <v>5</v>
          </cell>
          <cell r="H1745" t="str">
            <v>2006-05-31</v>
          </cell>
        </row>
        <row r="1746">
          <cell r="A1746" t="str">
            <v>481000</v>
          </cell>
          <cell r="B1746" t="str">
            <v>1015</v>
          </cell>
          <cell r="C1746">
            <v>-1619.75</v>
          </cell>
          <cell r="D1746" t="str">
            <v>203</v>
          </cell>
          <cell r="E1746" t="str">
            <v>403</v>
          </cell>
          <cell r="F1746">
            <v>0</v>
          </cell>
          <cell r="G1746">
            <v>5</v>
          </cell>
          <cell r="H1746" t="str">
            <v>2006-05-31</v>
          </cell>
        </row>
        <row r="1747">
          <cell r="A1747" t="str">
            <v>481000</v>
          </cell>
          <cell r="B1747" t="str">
            <v>1015</v>
          </cell>
          <cell r="C1747">
            <v>-2944.28</v>
          </cell>
          <cell r="D1747" t="str">
            <v>204</v>
          </cell>
          <cell r="E1747" t="str">
            <v>403</v>
          </cell>
          <cell r="F1747">
            <v>0</v>
          </cell>
          <cell r="G1747">
            <v>5</v>
          </cell>
          <cell r="H1747" t="str">
            <v>2006-05-31</v>
          </cell>
        </row>
        <row r="1748">
          <cell r="A1748" t="str">
            <v>481000</v>
          </cell>
          <cell r="B1748" t="str">
            <v>1015</v>
          </cell>
          <cell r="C1748">
            <v>0</v>
          </cell>
          <cell r="D1748" t="str">
            <v>210</v>
          </cell>
          <cell r="E1748" t="str">
            <v>403</v>
          </cell>
          <cell r="F1748">
            <v>0</v>
          </cell>
          <cell r="G1748">
            <v>5</v>
          </cell>
          <cell r="H1748" t="str">
            <v>2006-05-31</v>
          </cell>
        </row>
        <row r="1749">
          <cell r="A1749" t="str">
            <v>481004</v>
          </cell>
          <cell r="B1749" t="str">
            <v>1015</v>
          </cell>
          <cell r="C1749">
            <v>0</v>
          </cell>
          <cell r="D1749" t="str">
            <v>202</v>
          </cell>
          <cell r="E1749" t="str">
            <v>403</v>
          </cell>
          <cell r="F1749">
            <v>0</v>
          </cell>
          <cell r="G1749">
            <v>5</v>
          </cell>
          <cell r="H1749" t="str">
            <v>2006-05-31</v>
          </cell>
        </row>
        <row r="1750">
          <cell r="A1750" t="str">
            <v>481004</v>
          </cell>
          <cell r="B1750" t="str">
            <v>1015</v>
          </cell>
          <cell r="C1750">
            <v>0</v>
          </cell>
          <cell r="D1750" t="str">
            <v>203</v>
          </cell>
          <cell r="E1750" t="str">
            <v>403</v>
          </cell>
          <cell r="F1750">
            <v>0</v>
          </cell>
          <cell r="G1750">
            <v>5</v>
          </cell>
          <cell r="H1750" t="str">
            <v>2006-05-31</v>
          </cell>
        </row>
        <row r="1751">
          <cell r="A1751" t="str">
            <v>481004</v>
          </cell>
          <cell r="B1751" t="str">
            <v>1015</v>
          </cell>
          <cell r="C1751">
            <v>0</v>
          </cell>
          <cell r="D1751" t="str">
            <v>204</v>
          </cell>
          <cell r="E1751" t="str">
            <v>403</v>
          </cell>
          <cell r="F1751">
            <v>0</v>
          </cell>
          <cell r="G1751">
            <v>5</v>
          </cell>
          <cell r="H1751" t="str">
            <v>2006-05-31</v>
          </cell>
        </row>
        <row r="1752">
          <cell r="A1752" t="str">
            <v>481004</v>
          </cell>
          <cell r="B1752" t="str">
            <v>1015</v>
          </cell>
          <cell r="C1752">
            <v>0</v>
          </cell>
          <cell r="D1752" t="str">
            <v>210</v>
          </cell>
          <cell r="E1752" t="str">
            <v>403</v>
          </cell>
          <cell r="F1752">
            <v>0</v>
          </cell>
          <cell r="G1752">
            <v>5</v>
          </cell>
          <cell r="H1752" t="str">
            <v>2006-05-31</v>
          </cell>
        </row>
        <row r="1753">
          <cell r="A1753" t="str">
            <v>481000</v>
          </cell>
          <cell r="B1753" t="str">
            <v>1015</v>
          </cell>
          <cell r="C1753">
            <v>-91010.17</v>
          </cell>
          <cell r="D1753" t="str">
            <v>202</v>
          </cell>
          <cell r="E1753" t="str">
            <v>404</v>
          </cell>
          <cell r="F1753">
            <v>-279000</v>
          </cell>
          <cell r="G1753">
            <v>5</v>
          </cell>
          <cell r="H1753" t="str">
            <v>2006-05-31</v>
          </cell>
        </row>
        <row r="1754">
          <cell r="A1754" t="str">
            <v>481000</v>
          </cell>
          <cell r="B1754" t="str">
            <v>1015</v>
          </cell>
          <cell r="C1754">
            <v>-201457.53</v>
          </cell>
          <cell r="D1754" t="str">
            <v>203</v>
          </cell>
          <cell r="E1754" t="str">
            <v>404</v>
          </cell>
          <cell r="F1754">
            <v>0</v>
          </cell>
          <cell r="G1754">
            <v>5</v>
          </cell>
          <cell r="H1754" t="str">
            <v>2006-05-31</v>
          </cell>
        </row>
        <row r="1755">
          <cell r="A1755" t="str">
            <v>481000</v>
          </cell>
          <cell r="B1755" t="str">
            <v>1015</v>
          </cell>
          <cell r="C1755">
            <v>-1832413.17</v>
          </cell>
          <cell r="D1755" t="str">
            <v>204</v>
          </cell>
          <cell r="E1755" t="str">
            <v>404</v>
          </cell>
          <cell r="F1755">
            <v>0</v>
          </cell>
          <cell r="G1755">
            <v>5</v>
          </cell>
          <cell r="H1755" t="str">
            <v>2006-05-31</v>
          </cell>
        </row>
        <row r="1756">
          <cell r="A1756" t="str">
            <v>481000</v>
          </cell>
          <cell r="B1756" t="str">
            <v>1015</v>
          </cell>
          <cell r="C1756">
            <v>0</v>
          </cell>
          <cell r="D1756" t="str">
            <v>210</v>
          </cell>
          <cell r="E1756" t="str">
            <v>404</v>
          </cell>
          <cell r="F1756">
            <v>0</v>
          </cell>
          <cell r="G1756">
            <v>5</v>
          </cell>
          <cell r="H1756" t="str">
            <v>2006-05-31</v>
          </cell>
        </row>
        <row r="1757">
          <cell r="A1757" t="str">
            <v>481004</v>
          </cell>
          <cell r="B1757" t="str">
            <v>1015</v>
          </cell>
          <cell r="C1757">
            <v>0</v>
          </cell>
          <cell r="D1757" t="str">
            <v>202</v>
          </cell>
          <cell r="E1757" t="str">
            <v>404</v>
          </cell>
          <cell r="F1757">
            <v>0</v>
          </cell>
          <cell r="G1757">
            <v>5</v>
          </cell>
          <cell r="H1757" t="str">
            <v>2006-05-31</v>
          </cell>
        </row>
        <row r="1758">
          <cell r="A1758" t="str">
            <v>481004</v>
          </cell>
          <cell r="B1758" t="str">
            <v>1015</v>
          </cell>
          <cell r="C1758">
            <v>0</v>
          </cell>
          <cell r="D1758" t="str">
            <v>203</v>
          </cell>
          <cell r="E1758" t="str">
            <v>404</v>
          </cell>
          <cell r="F1758">
            <v>0</v>
          </cell>
          <cell r="G1758">
            <v>5</v>
          </cell>
          <cell r="H1758" t="str">
            <v>2006-05-31</v>
          </cell>
        </row>
        <row r="1759">
          <cell r="A1759" t="str">
            <v>481004</v>
          </cell>
          <cell r="B1759" t="str">
            <v>1015</v>
          </cell>
          <cell r="C1759">
            <v>0</v>
          </cell>
          <cell r="D1759" t="str">
            <v>204</v>
          </cell>
          <cell r="E1759" t="str">
            <v>404</v>
          </cell>
          <cell r="F1759">
            <v>0</v>
          </cell>
          <cell r="G1759">
            <v>5</v>
          </cell>
          <cell r="H1759" t="str">
            <v>2006-05-31</v>
          </cell>
        </row>
        <row r="1760">
          <cell r="A1760" t="str">
            <v>481004</v>
          </cell>
          <cell r="B1760" t="str">
            <v>1015</v>
          </cell>
          <cell r="C1760">
            <v>0</v>
          </cell>
          <cell r="D1760" t="str">
            <v>210</v>
          </cell>
          <cell r="E1760" t="str">
            <v>404</v>
          </cell>
          <cell r="F1760">
            <v>0</v>
          </cell>
          <cell r="G1760">
            <v>5</v>
          </cell>
          <cell r="H1760" t="str">
            <v>2006-05-31</v>
          </cell>
        </row>
        <row r="1761">
          <cell r="A1761" t="str">
            <v>489300</v>
          </cell>
          <cell r="B1761" t="str">
            <v>1015</v>
          </cell>
          <cell r="C1761">
            <v>-54587.24</v>
          </cell>
          <cell r="D1761" t="str">
            <v>250</v>
          </cell>
          <cell r="E1761" t="str">
            <v>405</v>
          </cell>
          <cell r="F1761">
            <v>-282950</v>
          </cell>
          <cell r="G1761">
            <v>5</v>
          </cell>
          <cell r="H1761" t="str">
            <v>2006-05-31</v>
          </cell>
        </row>
        <row r="1762">
          <cell r="A1762" t="str">
            <v>489304</v>
          </cell>
          <cell r="B1762" t="str">
            <v>1015</v>
          </cell>
          <cell r="C1762">
            <v>-41090.769999999997</v>
          </cell>
          <cell r="D1762" t="str">
            <v>250</v>
          </cell>
          <cell r="E1762" t="str">
            <v>405</v>
          </cell>
          <cell r="F1762">
            <v>-247894</v>
          </cell>
          <cell r="G1762">
            <v>5</v>
          </cell>
          <cell r="H1762" t="str">
            <v>2006-05-31</v>
          </cell>
        </row>
        <row r="1763">
          <cell r="A1763" t="str">
            <v>489300</v>
          </cell>
          <cell r="B1763" t="str">
            <v>1015</v>
          </cell>
          <cell r="C1763">
            <v>-87581.06</v>
          </cell>
          <cell r="D1763" t="str">
            <v>250</v>
          </cell>
          <cell r="E1763" t="str">
            <v>406</v>
          </cell>
          <cell r="F1763">
            <v>-281795</v>
          </cell>
          <cell r="G1763">
            <v>5</v>
          </cell>
          <cell r="H1763" t="str">
            <v>2006-05-31</v>
          </cell>
        </row>
        <row r="1764">
          <cell r="A1764" t="str">
            <v>489304</v>
          </cell>
          <cell r="B1764" t="str">
            <v>1015</v>
          </cell>
          <cell r="C1764">
            <v>-58707.7</v>
          </cell>
          <cell r="D1764" t="str">
            <v>250</v>
          </cell>
          <cell r="E1764" t="str">
            <v>406</v>
          </cell>
          <cell r="F1764">
            <v>-231742</v>
          </cell>
          <cell r="G1764">
            <v>5</v>
          </cell>
          <cell r="H1764" t="str">
            <v>2006-05-31</v>
          </cell>
        </row>
        <row r="1765">
          <cell r="A1765" t="str">
            <v>480000</v>
          </cell>
          <cell r="B1765" t="str">
            <v>1015</v>
          </cell>
          <cell r="C1765">
            <v>-9334794.2200000007</v>
          </cell>
          <cell r="D1765" t="str">
            <v>202</v>
          </cell>
          <cell r="E1765" t="str">
            <v>407</v>
          </cell>
          <cell r="F1765">
            <v>-3134787.19</v>
          </cell>
          <cell r="G1765">
            <v>5</v>
          </cell>
          <cell r="H1765" t="str">
            <v>2006-05-31</v>
          </cell>
        </row>
        <row r="1766">
          <cell r="A1766" t="str">
            <v>480000</v>
          </cell>
          <cell r="B1766" t="str">
            <v>1015</v>
          </cell>
          <cell r="C1766">
            <v>-1572345.17</v>
          </cell>
          <cell r="D1766" t="str">
            <v>203</v>
          </cell>
          <cell r="E1766" t="str">
            <v>407</v>
          </cell>
          <cell r="F1766">
            <v>0</v>
          </cell>
          <cell r="G1766">
            <v>5</v>
          </cell>
          <cell r="H1766" t="str">
            <v>2006-05-31</v>
          </cell>
        </row>
        <row r="1767">
          <cell r="A1767" t="str">
            <v>480000</v>
          </cell>
          <cell r="B1767" t="str">
            <v>1015</v>
          </cell>
          <cell r="C1767">
            <v>-20536846.43</v>
          </cell>
          <cell r="D1767" t="str">
            <v>204</v>
          </cell>
          <cell r="E1767" t="str">
            <v>407</v>
          </cell>
          <cell r="F1767">
            <v>0</v>
          </cell>
          <cell r="G1767">
            <v>5</v>
          </cell>
          <cell r="H1767" t="str">
            <v>2006-05-31</v>
          </cell>
        </row>
        <row r="1768">
          <cell r="A1768" t="str">
            <v>480000</v>
          </cell>
          <cell r="B1768" t="str">
            <v>1015</v>
          </cell>
          <cell r="C1768">
            <v>-816597.13</v>
          </cell>
          <cell r="D1768" t="str">
            <v>205</v>
          </cell>
          <cell r="E1768" t="str">
            <v>407</v>
          </cell>
          <cell r="F1768">
            <v>0</v>
          </cell>
          <cell r="G1768">
            <v>5</v>
          </cell>
          <cell r="H1768" t="str">
            <v>2006-05-31</v>
          </cell>
        </row>
        <row r="1769">
          <cell r="A1769" t="str">
            <v>480000</v>
          </cell>
          <cell r="B1769" t="str">
            <v>1015</v>
          </cell>
          <cell r="C1769">
            <v>15115.9</v>
          </cell>
          <cell r="D1769" t="str">
            <v>210</v>
          </cell>
          <cell r="E1769" t="str">
            <v>407</v>
          </cell>
          <cell r="F1769">
            <v>2081.1999999999998</v>
          </cell>
          <cell r="G1769">
            <v>5</v>
          </cell>
          <cell r="H1769" t="str">
            <v>2006-05-31</v>
          </cell>
        </row>
        <row r="1770">
          <cell r="A1770" t="str">
            <v>480001</v>
          </cell>
          <cell r="B1770" t="str">
            <v>1015</v>
          </cell>
          <cell r="C1770">
            <v>1673169.98</v>
          </cell>
          <cell r="D1770" t="str">
            <v>202</v>
          </cell>
          <cell r="E1770" t="str">
            <v>407</v>
          </cell>
          <cell r="F1770">
            <v>1234518.6599999999</v>
          </cell>
          <cell r="G1770">
            <v>5</v>
          </cell>
          <cell r="H1770" t="str">
            <v>2006-05-31</v>
          </cell>
        </row>
        <row r="1771">
          <cell r="A1771" t="str">
            <v>480001</v>
          </cell>
          <cell r="B1771" t="str">
            <v>1015</v>
          </cell>
          <cell r="C1771">
            <v>633079.35</v>
          </cell>
          <cell r="D1771" t="str">
            <v>203</v>
          </cell>
          <cell r="E1771" t="str">
            <v>407</v>
          </cell>
          <cell r="F1771">
            <v>0</v>
          </cell>
          <cell r="G1771">
            <v>5</v>
          </cell>
          <cell r="H1771" t="str">
            <v>2006-05-31</v>
          </cell>
        </row>
        <row r="1772">
          <cell r="A1772" t="str">
            <v>480001</v>
          </cell>
          <cell r="B1772" t="str">
            <v>1015</v>
          </cell>
          <cell r="C1772">
            <v>8133949.6600000001</v>
          </cell>
          <cell r="D1772" t="str">
            <v>204</v>
          </cell>
          <cell r="E1772" t="str">
            <v>407</v>
          </cell>
          <cell r="F1772">
            <v>0</v>
          </cell>
          <cell r="G1772">
            <v>5</v>
          </cell>
          <cell r="H1772" t="str">
            <v>2006-05-31</v>
          </cell>
        </row>
        <row r="1773">
          <cell r="A1773" t="str">
            <v>480001</v>
          </cell>
          <cell r="B1773" t="str">
            <v>1015</v>
          </cell>
          <cell r="C1773">
            <v>3323.21</v>
          </cell>
          <cell r="D1773" t="str">
            <v>205</v>
          </cell>
          <cell r="E1773" t="str">
            <v>407</v>
          </cell>
          <cell r="F1773">
            <v>0</v>
          </cell>
          <cell r="G1773">
            <v>5</v>
          </cell>
          <cell r="H1773" t="str">
            <v>2006-05-31</v>
          </cell>
        </row>
        <row r="1774">
          <cell r="A1774" t="str">
            <v>480001</v>
          </cell>
          <cell r="B1774" t="str">
            <v>1015</v>
          </cell>
          <cell r="C1774">
            <v>-15648.22</v>
          </cell>
          <cell r="D1774" t="str">
            <v>210</v>
          </cell>
          <cell r="E1774" t="str">
            <v>407</v>
          </cell>
          <cell r="F1774">
            <v>-2148.9</v>
          </cell>
          <cell r="G1774">
            <v>5</v>
          </cell>
          <cell r="H1774" t="str">
            <v>2006-05-31</v>
          </cell>
        </row>
        <row r="1775">
          <cell r="A1775" t="str">
            <v>481000</v>
          </cell>
          <cell r="B1775" t="str">
            <v>1015</v>
          </cell>
          <cell r="C1775">
            <v>-1304.19</v>
          </cell>
          <cell r="D1775" t="str">
            <v>202</v>
          </cell>
          <cell r="E1775" t="str">
            <v>407</v>
          </cell>
          <cell r="F1775">
            <v>-1392.36</v>
          </cell>
          <cell r="G1775">
            <v>5</v>
          </cell>
          <cell r="H1775" t="str">
            <v>2006-05-31</v>
          </cell>
        </row>
        <row r="1776">
          <cell r="A1776" t="str">
            <v>481000</v>
          </cell>
          <cell r="B1776" t="str">
            <v>1015</v>
          </cell>
          <cell r="C1776">
            <v>-692.83</v>
          </cell>
          <cell r="D1776" t="str">
            <v>203</v>
          </cell>
          <cell r="E1776" t="str">
            <v>407</v>
          </cell>
          <cell r="F1776">
            <v>0</v>
          </cell>
          <cell r="G1776">
            <v>5</v>
          </cell>
          <cell r="H1776" t="str">
            <v>2006-05-31</v>
          </cell>
        </row>
        <row r="1777">
          <cell r="A1777" t="str">
            <v>481000</v>
          </cell>
          <cell r="B1777" t="str">
            <v>1015</v>
          </cell>
          <cell r="C1777">
            <v>-9107.81</v>
          </cell>
          <cell r="D1777" t="str">
            <v>204</v>
          </cell>
          <cell r="E1777" t="str">
            <v>407</v>
          </cell>
          <cell r="F1777">
            <v>0</v>
          </cell>
          <cell r="G1777">
            <v>5</v>
          </cell>
          <cell r="H1777" t="str">
            <v>2006-05-31</v>
          </cell>
        </row>
        <row r="1778">
          <cell r="A1778" t="str">
            <v>481000</v>
          </cell>
          <cell r="B1778" t="str">
            <v>1015</v>
          </cell>
          <cell r="C1778">
            <v>-228.75</v>
          </cell>
          <cell r="D1778" t="str">
            <v>205</v>
          </cell>
          <cell r="E1778" t="str">
            <v>407</v>
          </cell>
          <cell r="F1778">
            <v>0</v>
          </cell>
          <cell r="G1778">
            <v>5</v>
          </cell>
          <cell r="H1778" t="str">
            <v>2006-05-31</v>
          </cell>
        </row>
        <row r="1779">
          <cell r="A1779" t="str">
            <v>481004</v>
          </cell>
          <cell r="B1779" t="str">
            <v>1015</v>
          </cell>
          <cell r="C1779">
            <v>-2224341.7599999998</v>
          </cell>
          <cell r="D1779" t="str">
            <v>202</v>
          </cell>
          <cell r="E1779" t="str">
            <v>407</v>
          </cell>
          <cell r="F1779">
            <v>-1315313.81</v>
          </cell>
          <cell r="G1779">
            <v>5</v>
          </cell>
          <cell r="H1779" t="str">
            <v>2006-05-31</v>
          </cell>
        </row>
        <row r="1780">
          <cell r="A1780" t="str">
            <v>481004</v>
          </cell>
          <cell r="B1780" t="str">
            <v>1015</v>
          </cell>
          <cell r="C1780">
            <v>-660776.18000000005</v>
          </cell>
          <cell r="D1780" t="str">
            <v>203</v>
          </cell>
          <cell r="E1780" t="str">
            <v>407</v>
          </cell>
          <cell r="F1780">
            <v>0</v>
          </cell>
          <cell r="G1780">
            <v>5</v>
          </cell>
          <cell r="H1780" t="str">
            <v>2006-05-31</v>
          </cell>
        </row>
        <row r="1781">
          <cell r="A1781" t="str">
            <v>481004</v>
          </cell>
          <cell r="B1781" t="str">
            <v>1015</v>
          </cell>
          <cell r="C1781">
            <v>-8615793.2300000004</v>
          </cell>
          <cell r="D1781" t="str">
            <v>204</v>
          </cell>
          <cell r="E1781" t="str">
            <v>407</v>
          </cell>
          <cell r="F1781">
            <v>0</v>
          </cell>
          <cell r="G1781">
            <v>5</v>
          </cell>
          <cell r="H1781" t="str">
            <v>2006-05-31</v>
          </cell>
        </row>
        <row r="1782">
          <cell r="A1782" t="str">
            <v>481004</v>
          </cell>
          <cell r="B1782" t="str">
            <v>1015</v>
          </cell>
          <cell r="C1782">
            <v>-196047.08</v>
          </cell>
          <cell r="D1782" t="str">
            <v>205</v>
          </cell>
          <cell r="E1782" t="str">
            <v>407</v>
          </cell>
          <cell r="F1782">
            <v>0</v>
          </cell>
          <cell r="G1782">
            <v>5</v>
          </cell>
          <cell r="H1782" t="str">
            <v>2006-05-31</v>
          </cell>
        </row>
        <row r="1783">
          <cell r="A1783" t="str">
            <v>481004</v>
          </cell>
          <cell r="B1783" t="str">
            <v>1015</v>
          </cell>
          <cell r="C1783">
            <v>532.32000000000005</v>
          </cell>
          <cell r="D1783" t="str">
            <v>210</v>
          </cell>
          <cell r="E1783" t="str">
            <v>407</v>
          </cell>
          <cell r="F1783">
            <v>67.7</v>
          </cell>
          <cell r="G1783">
            <v>5</v>
          </cell>
          <cell r="H1783" t="str">
            <v>2006-05-31</v>
          </cell>
        </row>
        <row r="1784">
          <cell r="A1784" t="str">
            <v>480000</v>
          </cell>
          <cell r="B1784" t="str">
            <v>1015</v>
          </cell>
          <cell r="C1784">
            <v>-86484.4</v>
          </cell>
          <cell r="D1784" t="str">
            <v>202</v>
          </cell>
          <cell r="E1784" t="str">
            <v>408</v>
          </cell>
          <cell r="F1784">
            <v>-21588.46</v>
          </cell>
          <cell r="G1784">
            <v>5</v>
          </cell>
          <cell r="H1784" t="str">
            <v>2006-05-31</v>
          </cell>
        </row>
        <row r="1785">
          <cell r="A1785" t="str">
            <v>480000</v>
          </cell>
          <cell r="B1785" t="str">
            <v>1015</v>
          </cell>
          <cell r="C1785">
            <v>-10787.55</v>
          </cell>
          <cell r="D1785" t="str">
            <v>203</v>
          </cell>
          <cell r="E1785" t="str">
            <v>408</v>
          </cell>
          <cell r="F1785">
            <v>0</v>
          </cell>
          <cell r="G1785">
            <v>5</v>
          </cell>
          <cell r="H1785" t="str">
            <v>2006-05-31</v>
          </cell>
        </row>
        <row r="1786">
          <cell r="A1786" t="str">
            <v>480000</v>
          </cell>
          <cell r="B1786" t="str">
            <v>1015</v>
          </cell>
          <cell r="C1786">
            <v>-141346.72</v>
          </cell>
          <cell r="D1786" t="str">
            <v>204</v>
          </cell>
          <cell r="E1786" t="str">
            <v>408</v>
          </cell>
          <cell r="F1786">
            <v>0</v>
          </cell>
          <cell r="G1786">
            <v>5</v>
          </cell>
          <cell r="H1786" t="str">
            <v>2006-05-31</v>
          </cell>
        </row>
        <row r="1787">
          <cell r="A1787" t="str">
            <v>480000</v>
          </cell>
          <cell r="B1787" t="str">
            <v>1015</v>
          </cell>
          <cell r="C1787">
            <v>-23248.93</v>
          </cell>
          <cell r="D1787" t="str">
            <v>205</v>
          </cell>
          <cell r="E1787" t="str">
            <v>408</v>
          </cell>
          <cell r="F1787">
            <v>0</v>
          </cell>
          <cell r="G1787">
            <v>5</v>
          </cell>
          <cell r="H1787" t="str">
            <v>2006-05-31</v>
          </cell>
        </row>
        <row r="1788">
          <cell r="A1788" t="str">
            <v>480001</v>
          </cell>
          <cell r="B1788" t="str">
            <v>1015</v>
          </cell>
          <cell r="C1788">
            <v>35479.86</v>
          </cell>
          <cell r="D1788" t="str">
            <v>202</v>
          </cell>
          <cell r="E1788" t="str">
            <v>408</v>
          </cell>
          <cell r="F1788">
            <v>10901.86</v>
          </cell>
          <cell r="G1788">
            <v>5</v>
          </cell>
          <cell r="H1788" t="str">
            <v>2006-05-31</v>
          </cell>
        </row>
        <row r="1789">
          <cell r="A1789" t="str">
            <v>480001</v>
          </cell>
          <cell r="B1789" t="str">
            <v>1015</v>
          </cell>
          <cell r="C1789">
            <v>5492.96</v>
          </cell>
          <cell r="D1789" t="str">
            <v>203</v>
          </cell>
          <cell r="E1789" t="str">
            <v>408</v>
          </cell>
          <cell r="F1789">
            <v>0</v>
          </cell>
          <cell r="G1789">
            <v>5</v>
          </cell>
          <cell r="H1789" t="str">
            <v>2006-05-31</v>
          </cell>
        </row>
        <row r="1790">
          <cell r="A1790" t="str">
            <v>480001</v>
          </cell>
          <cell r="B1790" t="str">
            <v>1015</v>
          </cell>
          <cell r="C1790">
            <v>71533.679999999993</v>
          </cell>
          <cell r="D1790" t="str">
            <v>204</v>
          </cell>
          <cell r="E1790" t="str">
            <v>408</v>
          </cell>
          <cell r="F1790">
            <v>0</v>
          </cell>
          <cell r="G1790">
            <v>5</v>
          </cell>
          <cell r="H1790" t="str">
            <v>2006-05-31</v>
          </cell>
        </row>
        <row r="1791">
          <cell r="A1791" t="str">
            <v>480001</v>
          </cell>
          <cell r="B1791" t="str">
            <v>1015</v>
          </cell>
          <cell r="C1791">
            <v>-3552.96</v>
          </cell>
          <cell r="D1791" t="str">
            <v>205</v>
          </cell>
          <cell r="E1791" t="str">
            <v>408</v>
          </cell>
          <cell r="F1791">
            <v>0</v>
          </cell>
          <cell r="G1791">
            <v>5</v>
          </cell>
          <cell r="H1791" t="str">
            <v>2006-05-31</v>
          </cell>
        </row>
        <row r="1792">
          <cell r="A1792" t="str">
            <v>480001</v>
          </cell>
          <cell r="B1792" t="str">
            <v>1015</v>
          </cell>
          <cell r="C1792">
            <v>0</v>
          </cell>
          <cell r="D1792" t="str">
            <v>210</v>
          </cell>
          <cell r="E1792" t="str">
            <v>408</v>
          </cell>
          <cell r="F1792">
            <v>0</v>
          </cell>
          <cell r="G1792">
            <v>5</v>
          </cell>
          <cell r="H1792" t="str">
            <v>2006-05-31</v>
          </cell>
        </row>
        <row r="1793">
          <cell r="A1793" t="str">
            <v>481004</v>
          </cell>
          <cell r="B1793" t="str">
            <v>1015</v>
          </cell>
          <cell r="C1793">
            <v>-45670.46</v>
          </cell>
          <cell r="D1793" t="str">
            <v>202</v>
          </cell>
          <cell r="E1793" t="str">
            <v>408</v>
          </cell>
          <cell r="F1793">
            <v>-11523.4</v>
          </cell>
          <cell r="G1793">
            <v>5</v>
          </cell>
          <cell r="H1793" t="str">
            <v>2006-05-31</v>
          </cell>
        </row>
        <row r="1794">
          <cell r="A1794" t="str">
            <v>481004</v>
          </cell>
          <cell r="B1794" t="str">
            <v>1015</v>
          </cell>
          <cell r="C1794">
            <v>-5756.41</v>
          </cell>
          <cell r="D1794" t="str">
            <v>203</v>
          </cell>
          <cell r="E1794" t="str">
            <v>408</v>
          </cell>
          <cell r="F1794">
            <v>0</v>
          </cell>
          <cell r="G1794">
            <v>5</v>
          </cell>
          <cell r="H1794" t="str">
            <v>2006-05-31</v>
          </cell>
        </row>
        <row r="1795">
          <cell r="A1795" t="str">
            <v>481004</v>
          </cell>
          <cell r="B1795" t="str">
            <v>1015</v>
          </cell>
          <cell r="C1795">
            <v>-75362.960000000006</v>
          </cell>
          <cell r="D1795" t="str">
            <v>204</v>
          </cell>
          <cell r="E1795" t="str">
            <v>408</v>
          </cell>
          <cell r="F1795">
            <v>0</v>
          </cell>
          <cell r="G1795">
            <v>5</v>
          </cell>
          <cell r="H1795" t="str">
            <v>2006-05-31</v>
          </cell>
        </row>
        <row r="1796">
          <cell r="A1796" t="str">
            <v>481004</v>
          </cell>
          <cell r="B1796" t="str">
            <v>1015</v>
          </cell>
          <cell r="C1796">
            <v>-9129.11</v>
          </cell>
          <cell r="D1796" t="str">
            <v>205</v>
          </cell>
          <cell r="E1796" t="str">
            <v>408</v>
          </cell>
          <cell r="F1796">
            <v>0</v>
          </cell>
          <cell r="G1796">
            <v>5</v>
          </cell>
          <cell r="H1796" t="str">
            <v>2006-05-31</v>
          </cell>
        </row>
        <row r="1797">
          <cell r="A1797" t="str">
            <v>481002</v>
          </cell>
          <cell r="B1797" t="str">
            <v>1015</v>
          </cell>
          <cell r="C1797">
            <v>0</v>
          </cell>
          <cell r="D1797" t="str">
            <v>202</v>
          </cell>
          <cell r="E1797" t="str">
            <v>409</v>
          </cell>
          <cell r="F1797">
            <v>0</v>
          </cell>
          <cell r="G1797">
            <v>5</v>
          </cell>
          <cell r="H1797" t="str">
            <v>2006-05-31</v>
          </cell>
        </row>
        <row r="1798">
          <cell r="A1798" t="str">
            <v>481002</v>
          </cell>
          <cell r="B1798" t="str">
            <v>1015</v>
          </cell>
          <cell r="C1798">
            <v>0</v>
          </cell>
          <cell r="D1798" t="str">
            <v>203</v>
          </cell>
          <cell r="E1798" t="str">
            <v>409</v>
          </cell>
          <cell r="F1798">
            <v>0</v>
          </cell>
          <cell r="G1798">
            <v>5</v>
          </cell>
          <cell r="H1798" t="str">
            <v>2006-05-31</v>
          </cell>
        </row>
        <row r="1799">
          <cell r="A1799" t="str">
            <v>481002</v>
          </cell>
          <cell r="B1799" t="str">
            <v>1015</v>
          </cell>
          <cell r="C1799">
            <v>0</v>
          </cell>
          <cell r="D1799" t="str">
            <v>204</v>
          </cell>
          <cell r="E1799" t="str">
            <v>409</v>
          </cell>
          <cell r="F1799">
            <v>0</v>
          </cell>
          <cell r="G1799">
            <v>5</v>
          </cell>
          <cell r="H1799" t="str">
            <v>2006-05-31</v>
          </cell>
        </row>
        <row r="1800">
          <cell r="A1800" t="str">
            <v>481002</v>
          </cell>
          <cell r="B1800" t="str">
            <v>1015</v>
          </cell>
          <cell r="C1800">
            <v>0</v>
          </cell>
          <cell r="D1800" t="str">
            <v>210</v>
          </cell>
          <cell r="E1800" t="str">
            <v>409</v>
          </cell>
          <cell r="F1800">
            <v>0</v>
          </cell>
          <cell r="G1800">
            <v>5</v>
          </cell>
          <cell r="H1800" t="str">
            <v>2006-05-31</v>
          </cell>
        </row>
        <row r="1801">
          <cell r="A1801" t="str">
            <v>481002</v>
          </cell>
          <cell r="B1801" t="str">
            <v>1015</v>
          </cell>
          <cell r="C1801">
            <v>-8004.29</v>
          </cell>
          <cell r="D1801" t="str">
            <v>202</v>
          </cell>
          <cell r="E1801" t="str">
            <v>411</v>
          </cell>
          <cell r="F1801">
            <v>-44337</v>
          </cell>
          <cell r="G1801">
            <v>5</v>
          </cell>
          <cell r="H1801" t="str">
            <v>2006-05-31</v>
          </cell>
        </row>
        <row r="1802">
          <cell r="A1802" t="str">
            <v>481002</v>
          </cell>
          <cell r="B1802" t="str">
            <v>1015</v>
          </cell>
          <cell r="C1802">
            <v>-8107.92</v>
          </cell>
          <cell r="D1802" t="str">
            <v>203</v>
          </cell>
          <cell r="E1802" t="str">
            <v>411</v>
          </cell>
          <cell r="F1802">
            <v>0</v>
          </cell>
          <cell r="G1802">
            <v>5</v>
          </cell>
          <cell r="H1802" t="str">
            <v>2006-05-31</v>
          </cell>
        </row>
        <row r="1803">
          <cell r="A1803" t="str">
            <v>481002</v>
          </cell>
          <cell r="B1803" t="str">
            <v>1015</v>
          </cell>
          <cell r="C1803">
            <v>-253757.95</v>
          </cell>
          <cell r="D1803" t="str">
            <v>204</v>
          </cell>
          <cell r="E1803" t="str">
            <v>411</v>
          </cell>
          <cell r="F1803">
            <v>0</v>
          </cell>
          <cell r="G1803">
            <v>5</v>
          </cell>
          <cell r="H1803" t="str">
            <v>2006-05-31</v>
          </cell>
        </row>
        <row r="1804">
          <cell r="A1804" t="str">
            <v>481002</v>
          </cell>
          <cell r="B1804" t="str">
            <v>1015</v>
          </cell>
          <cell r="C1804">
            <v>0</v>
          </cell>
          <cell r="D1804" t="str">
            <v>210</v>
          </cell>
          <cell r="E1804" t="str">
            <v>411</v>
          </cell>
          <cell r="F1804">
            <v>0</v>
          </cell>
          <cell r="G1804">
            <v>5</v>
          </cell>
          <cell r="H1804" t="str">
            <v>2006-05-31</v>
          </cell>
        </row>
        <row r="1805">
          <cell r="A1805" t="str">
            <v>481005</v>
          </cell>
          <cell r="B1805" t="str">
            <v>1015</v>
          </cell>
          <cell r="C1805">
            <v>-29783.71</v>
          </cell>
          <cell r="D1805" t="str">
            <v>202</v>
          </cell>
          <cell r="E1805" t="str">
            <v>411</v>
          </cell>
          <cell r="F1805">
            <v>-93805</v>
          </cell>
          <cell r="G1805">
            <v>5</v>
          </cell>
          <cell r="H1805" t="str">
            <v>2006-05-31</v>
          </cell>
        </row>
        <row r="1806">
          <cell r="A1806" t="str">
            <v>481005</v>
          </cell>
          <cell r="B1806" t="str">
            <v>1015</v>
          </cell>
          <cell r="C1806">
            <v>-17153.990000000002</v>
          </cell>
          <cell r="D1806" t="str">
            <v>203</v>
          </cell>
          <cell r="E1806" t="str">
            <v>411</v>
          </cell>
          <cell r="F1806">
            <v>0</v>
          </cell>
          <cell r="G1806">
            <v>5</v>
          </cell>
          <cell r="H1806" t="str">
            <v>2006-05-31</v>
          </cell>
        </row>
        <row r="1807">
          <cell r="A1807" t="str">
            <v>481005</v>
          </cell>
          <cell r="B1807" t="str">
            <v>1015</v>
          </cell>
          <cell r="C1807">
            <v>-536882.93000000005</v>
          </cell>
          <cell r="D1807" t="str">
            <v>204</v>
          </cell>
          <cell r="E1807" t="str">
            <v>411</v>
          </cell>
          <cell r="F1807">
            <v>0</v>
          </cell>
          <cell r="G1807">
            <v>5</v>
          </cell>
          <cell r="H1807" t="str">
            <v>2006-05-31</v>
          </cell>
        </row>
        <row r="1808">
          <cell r="A1808" t="str">
            <v>481005</v>
          </cell>
          <cell r="B1808" t="str">
            <v>1015</v>
          </cell>
          <cell r="C1808">
            <v>0</v>
          </cell>
          <cell r="D1808" t="str">
            <v>210</v>
          </cell>
          <cell r="E1808" t="str">
            <v>411</v>
          </cell>
          <cell r="F1808">
            <v>0</v>
          </cell>
          <cell r="G1808">
            <v>5</v>
          </cell>
          <cell r="H1808" t="str">
            <v>2006-05-31</v>
          </cell>
        </row>
        <row r="1809">
          <cell r="A1809" t="str">
            <v>481002</v>
          </cell>
          <cell r="B1809" t="str">
            <v>1015</v>
          </cell>
          <cell r="C1809">
            <v>0</v>
          </cell>
          <cell r="D1809" t="str">
            <v>210</v>
          </cell>
          <cell r="E1809" t="str">
            <v>412</v>
          </cell>
          <cell r="F1809">
            <v>0</v>
          </cell>
          <cell r="G1809">
            <v>5</v>
          </cell>
          <cell r="H1809" t="str">
            <v>2006-05-31</v>
          </cell>
        </row>
        <row r="1810">
          <cell r="A1810" t="str">
            <v>481002</v>
          </cell>
          <cell r="B1810" t="str">
            <v>1015</v>
          </cell>
          <cell r="C1810">
            <v>-3814.84</v>
          </cell>
          <cell r="D1810" t="str">
            <v>202</v>
          </cell>
          <cell r="E1810" t="str">
            <v>414</v>
          </cell>
          <cell r="F1810">
            <v>-9302</v>
          </cell>
          <cell r="G1810">
            <v>5</v>
          </cell>
          <cell r="H1810" t="str">
            <v>2006-05-31</v>
          </cell>
        </row>
        <row r="1811">
          <cell r="A1811" t="str">
            <v>481002</v>
          </cell>
          <cell r="B1811" t="str">
            <v>1015</v>
          </cell>
          <cell r="C1811">
            <v>-1701.06</v>
          </cell>
          <cell r="D1811" t="str">
            <v>203</v>
          </cell>
          <cell r="E1811" t="str">
            <v>414</v>
          </cell>
          <cell r="F1811">
            <v>0</v>
          </cell>
          <cell r="G1811">
            <v>5</v>
          </cell>
          <cell r="H1811" t="str">
            <v>2006-05-31</v>
          </cell>
        </row>
        <row r="1812">
          <cell r="A1812" t="str">
            <v>481002</v>
          </cell>
          <cell r="B1812" t="str">
            <v>1015</v>
          </cell>
          <cell r="C1812">
            <v>-53238.97</v>
          </cell>
          <cell r="D1812" t="str">
            <v>204</v>
          </cell>
          <cell r="E1812" t="str">
            <v>414</v>
          </cell>
          <cell r="F1812">
            <v>0</v>
          </cell>
          <cell r="G1812">
            <v>5</v>
          </cell>
          <cell r="H1812" t="str">
            <v>2006-05-31</v>
          </cell>
        </row>
        <row r="1813">
          <cell r="A1813" t="str">
            <v>481002</v>
          </cell>
          <cell r="B1813" t="str">
            <v>1015</v>
          </cell>
          <cell r="C1813">
            <v>0</v>
          </cell>
          <cell r="D1813" t="str">
            <v>210</v>
          </cell>
          <cell r="E1813" t="str">
            <v>414</v>
          </cell>
          <cell r="F1813">
            <v>0</v>
          </cell>
          <cell r="G1813">
            <v>5</v>
          </cell>
          <cell r="H1813" t="str">
            <v>2006-05-31</v>
          </cell>
        </row>
        <row r="1814">
          <cell r="A1814" t="str">
            <v>481005</v>
          </cell>
          <cell r="B1814" t="str">
            <v>1015</v>
          </cell>
          <cell r="C1814">
            <v>-14431.91</v>
          </cell>
          <cell r="D1814" t="str">
            <v>202</v>
          </cell>
          <cell r="E1814" t="str">
            <v>414</v>
          </cell>
          <cell r="F1814">
            <v>-17082</v>
          </cell>
          <cell r="G1814">
            <v>5</v>
          </cell>
          <cell r="H1814" t="str">
            <v>2006-05-31</v>
          </cell>
        </row>
        <row r="1815">
          <cell r="A1815" t="str">
            <v>481005</v>
          </cell>
          <cell r="B1815" t="str">
            <v>1015</v>
          </cell>
          <cell r="C1815">
            <v>-3123.84</v>
          </cell>
          <cell r="D1815" t="str">
            <v>203</v>
          </cell>
          <cell r="E1815" t="str">
            <v>414</v>
          </cell>
          <cell r="F1815">
            <v>0</v>
          </cell>
          <cell r="G1815">
            <v>5</v>
          </cell>
          <cell r="H1815" t="str">
            <v>2006-05-31</v>
          </cell>
        </row>
        <row r="1816">
          <cell r="A1816" t="str">
            <v>481005</v>
          </cell>
          <cell r="B1816" t="str">
            <v>1015</v>
          </cell>
          <cell r="C1816">
            <v>-97767.42</v>
          </cell>
          <cell r="D1816" t="str">
            <v>204</v>
          </cell>
          <cell r="E1816" t="str">
            <v>414</v>
          </cell>
          <cell r="F1816">
            <v>0</v>
          </cell>
          <cell r="G1816">
            <v>5</v>
          </cell>
          <cell r="H1816" t="str">
            <v>2006-05-31</v>
          </cell>
        </row>
        <row r="1817">
          <cell r="A1817" t="str">
            <v>481005</v>
          </cell>
          <cell r="B1817" t="str">
            <v>1015</v>
          </cell>
          <cell r="C1817">
            <v>0</v>
          </cell>
          <cell r="D1817" t="str">
            <v>210</v>
          </cell>
          <cell r="E1817" t="str">
            <v>414</v>
          </cell>
          <cell r="F1817">
            <v>0</v>
          </cell>
          <cell r="G1817">
            <v>5</v>
          </cell>
          <cell r="H1817" t="str">
            <v>2006-05-31</v>
          </cell>
        </row>
        <row r="1818">
          <cell r="A1818" t="str">
            <v>489300</v>
          </cell>
          <cell r="B1818" t="str">
            <v>1015</v>
          </cell>
          <cell r="C1818">
            <v>-198674.16</v>
          </cell>
          <cell r="D1818" t="str">
            <v>250</v>
          </cell>
          <cell r="E1818" t="str">
            <v>415</v>
          </cell>
          <cell r="F1818">
            <v>-1257505</v>
          </cell>
          <cell r="G1818">
            <v>5</v>
          </cell>
          <cell r="H1818" t="str">
            <v>2006-05-31</v>
          </cell>
        </row>
        <row r="1819">
          <cell r="A1819" t="str">
            <v>489304</v>
          </cell>
          <cell r="B1819" t="str">
            <v>1015</v>
          </cell>
          <cell r="C1819">
            <v>-59691.93</v>
          </cell>
          <cell r="D1819" t="str">
            <v>250</v>
          </cell>
          <cell r="E1819" t="str">
            <v>415</v>
          </cell>
          <cell r="F1819">
            <v>-254416</v>
          </cell>
          <cell r="G1819">
            <v>5</v>
          </cell>
          <cell r="H1819" t="str">
            <v>2006-05-31</v>
          </cell>
        </row>
        <row r="1820">
          <cell r="A1820" t="str">
            <v>489300</v>
          </cell>
          <cell r="B1820" t="str">
            <v>1015</v>
          </cell>
          <cell r="C1820">
            <v>0</v>
          </cell>
          <cell r="D1820" t="str">
            <v>250</v>
          </cell>
          <cell r="E1820" t="str">
            <v>416</v>
          </cell>
          <cell r="F1820">
            <v>0</v>
          </cell>
          <cell r="G1820">
            <v>5</v>
          </cell>
          <cell r="H1820" t="str">
            <v>2006-05-31</v>
          </cell>
        </row>
        <row r="1821">
          <cell r="A1821" t="str">
            <v>489304</v>
          </cell>
          <cell r="B1821" t="str">
            <v>1015</v>
          </cell>
          <cell r="C1821">
            <v>-865.95</v>
          </cell>
          <cell r="D1821" t="str">
            <v>250</v>
          </cell>
          <cell r="E1821" t="str">
            <v>416</v>
          </cell>
          <cell r="F1821">
            <v>-950</v>
          </cell>
          <cell r="G1821">
            <v>5</v>
          </cell>
          <cell r="H1821" t="str">
            <v>2006-05-31</v>
          </cell>
        </row>
        <row r="1822">
          <cell r="A1822" t="str">
            <v>481000</v>
          </cell>
          <cell r="B1822" t="str">
            <v>1015</v>
          </cell>
          <cell r="C1822">
            <v>0</v>
          </cell>
          <cell r="D1822" t="str">
            <v>202</v>
          </cell>
          <cell r="E1822" t="str">
            <v>451</v>
          </cell>
          <cell r="F1822">
            <v>0</v>
          </cell>
          <cell r="G1822">
            <v>5</v>
          </cell>
          <cell r="H1822" t="str">
            <v>2006-05-31</v>
          </cell>
        </row>
        <row r="1823">
          <cell r="A1823" t="str">
            <v>481000</v>
          </cell>
          <cell r="B1823" t="str">
            <v>1015</v>
          </cell>
          <cell r="C1823">
            <v>0</v>
          </cell>
          <cell r="D1823" t="str">
            <v>203</v>
          </cell>
          <cell r="E1823" t="str">
            <v>451</v>
          </cell>
          <cell r="F1823">
            <v>0</v>
          </cell>
          <cell r="G1823">
            <v>5</v>
          </cell>
          <cell r="H1823" t="str">
            <v>2006-05-31</v>
          </cell>
        </row>
        <row r="1824">
          <cell r="A1824" t="str">
            <v>481000</v>
          </cell>
          <cell r="B1824" t="str">
            <v>1015</v>
          </cell>
          <cell r="C1824">
            <v>0</v>
          </cell>
          <cell r="D1824" t="str">
            <v>204</v>
          </cell>
          <cell r="E1824" t="str">
            <v>451</v>
          </cell>
          <cell r="F1824">
            <v>0</v>
          </cell>
          <cell r="G1824">
            <v>5</v>
          </cell>
          <cell r="H1824" t="str">
            <v>2006-05-31</v>
          </cell>
        </row>
        <row r="1825">
          <cell r="A1825" t="str">
            <v>481000</v>
          </cell>
          <cell r="B1825" t="str">
            <v>1015</v>
          </cell>
          <cell r="C1825">
            <v>0</v>
          </cell>
          <cell r="D1825" t="str">
            <v>210</v>
          </cell>
          <cell r="E1825" t="str">
            <v>451</v>
          </cell>
          <cell r="F1825">
            <v>0</v>
          </cell>
          <cell r="G1825">
            <v>5</v>
          </cell>
          <cell r="H1825" t="str">
            <v>2006-05-31</v>
          </cell>
        </row>
        <row r="1826">
          <cell r="A1826" t="str">
            <v>481004</v>
          </cell>
          <cell r="B1826" t="str">
            <v>1015</v>
          </cell>
          <cell r="C1826">
            <v>-17928</v>
          </cell>
          <cell r="D1826" t="str">
            <v>202</v>
          </cell>
          <cell r="E1826" t="str">
            <v>451</v>
          </cell>
          <cell r="F1826">
            <v>-17704</v>
          </cell>
          <cell r="G1826">
            <v>5</v>
          </cell>
          <cell r="H1826" t="str">
            <v>2006-05-31</v>
          </cell>
        </row>
        <row r="1827">
          <cell r="A1827" t="str">
            <v>481004</v>
          </cell>
          <cell r="B1827" t="str">
            <v>1015</v>
          </cell>
          <cell r="C1827">
            <v>0</v>
          </cell>
          <cell r="D1827" t="str">
            <v>203</v>
          </cell>
          <cell r="E1827" t="str">
            <v>451</v>
          </cell>
          <cell r="F1827">
            <v>0</v>
          </cell>
          <cell r="G1827">
            <v>5</v>
          </cell>
          <cell r="H1827" t="str">
            <v>2006-05-31</v>
          </cell>
        </row>
        <row r="1828">
          <cell r="A1828" t="str">
            <v>481004</v>
          </cell>
          <cell r="B1828" t="str">
            <v>1015</v>
          </cell>
          <cell r="C1828">
            <v>-136495</v>
          </cell>
          <cell r="D1828" t="str">
            <v>204</v>
          </cell>
          <cell r="E1828" t="str">
            <v>451</v>
          </cell>
          <cell r="F1828">
            <v>0</v>
          </cell>
          <cell r="G1828">
            <v>5</v>
          </cell>
          <cell r="H1828" t="str">
            <v>2006-05-31</v>
          </cell>
        </row>
        <row r="1829">
          <cell r="A1829" t="str">
            <v>481004</v>
          </cell>
          <cell r="B1829" t="str">
            <v>1015</v>
          </cell>
          <cell r="C1829">
            <v>0</v>
          </cell>
          <cell r="D1829" t="str">
            <v>210</v>
          </cell>
          <cell r="E1829" t="str">
            <v>451</v>
          </cell>
          <cell r="F1829">
            <v>0</v>
          </cell>
          <cell r="G1829">
            <v>5</v>
          </cell>
          <cell r="H1829" t="str">
            <v>2006-05-31</v>
          </cell>
        </row>
        <row r="1830">
          <cell r="A1830" t="str">
            <v>480000</v>
          </cell>
          <cell r="B1830" t="str">
            <v>1015</v>
          </cell>
          <cell r="C1830">
            <v>-427444.22</v>
          </cell>
          <cell r="D1830" t="str">
            <v>202</v>
          </cell>
          <cell r="E1830" t="str">
            <v>453</v>
          </cell>
          <cell r="F1830">
            <v>-122626</v>
          </cell>
          <cell r="G1830">
            <v>5</v>
          </cell>
          <cell r="H1830" t="str">
            <v>2006-05-31</v>
          </cell>
        </row>
        <row r="1831">
          <cell r="A1831" t="str">
            <v>480000</v>
          </cell>
          <cell r="B1831" t="str">
            <v>1015</v>
          </cell>
          <cell r="C1831">
            <v>-946261.15</v>
          </cell>
          <cell r="D1831" t="str">
            <v>204</v>
          </cell>
          <cell r="E1831" t="str">
            <v>453</v>
          </cell>
          <cell r="F1831">
            <v>0</v>
          </cell>
          <cell r="G1831">
            <v>5</v>
          </cell>
          <cell r="H1831" t="str">
            <v>2006-05-31</v>
          </cell>
        </row>
        <row r="1832">
          <cell r="A1832" t="str">
            <v>480000</v>
          </cell>
          <cell r="B1832" t="str">
            <v>1015</v>
          </cell>
          <cell r="C1832">
            <v>-20378.509999999998</v>
          </cell>
          <cell r="D1832" t="str">
            <v>205</v>
          </cell>
          <cell r="E1832" t="str">
            <v>453</v>
          </cell>
          <cell r="F1832">
            <v>0</v>
          </cell>
          <cell r="G1832">
            <v>5</v>
          </cell>
          <cell r="H1832" t="str">
            <v>2006-05-31</v>
          </cell>
        </row>
        <row r="1833">
          <cell r="A1833" t="str">
            <v>480001</v>
          </cell>
          <cell r="B1833" t="str">
            <v>1015</v>
          </cell>
          <cell r="C1833">
            <v>95353.61</v>
          </cell>
          <cell r="D1833" t="str">
            <v>202</v>
          </cell>
          <cell r="E1833" t="str">
            <v>453</v>
          </cell>
          <cell r="F1833">
            <v>55637.18</v>
          </cell>
          <cell r="G1833">
            <v>5</v>
          </cell>
          <cell r="H1833" t="str">
            <v>2006-05-31</v>
          </cell>
        </row>
        <row r="1834">
          <cell r="A1834" t="str">
            <v>480001</v>
          </cell>
          <cell r="B1834" t="str">
            <v>1015</v>
          </cell>
          <cell r="C1834">
            <v>0</v>
          </cell>
          <cell r="D1834" t="str">
            <v>203</v>
          </cell>
          <cell r="E1834" t="str">
            <v>453</v>
          </cell>
          <cell r="F1834">
            <v>0</v>
          </cell>
          <cell r="G1834">
            <v>5</v>
          </cell>
          <cell r="H1834" t="str">
            <v>2006-05-31</v>
          </cell>
        </row>
        <row r="1835">
          <cell r="A1835" t="str">
            <v>480001</v>
          </cell>
          <cell r="B1835" t="str">
            <v>1015</v>
          </cell>
          <cell r="C1835">
            <v>429882.88</v>
          </cell>
          <cell r="D1835" t="str">
            <v>204</v>
          </cell>
          <cell r="E1835" t="str">
            <v>453</v>
          </cell>
          <cell r="F1835">
            <v>0</v>
          </cell>
          <cell r="G1835">
            <v>5</v>
          </cell>
          <cell r="H1835" t="str">
            <v>2006-05-31</v>
          </cell>
        </row>
        <row r="1836">
          <cell r="A1836" t="str">
            <v>480001</v>
          </cell>
          <cell r="B1836" t="str">
            <v>1015</v>
          </cell>
          <cell r="C1836">
            <v>-272.33999999999997</v>
          </cell>
          <cell r="D1836" t="str">
            <v>205</v>
          </cell>
          <cell r="E1836" t="str">
            <v>453</v>
          </cell>
          <cell r="F1836">
            <v>0</v>
          </cell>
          <cell r="G1836">
            <v>5</v>
          </cell>
          <cell r="H1836" t="str">
            <v>2006-05-31</v>
          </cell>
        </row>
        <row r="1837">
          <cell r="A1837" t="str">
            <v>480001</v>
          </cell>
          <cell r="B1837" t="str">
            <v>1015</v>
          </cell>
          <cell r="C1837">
            <v>0</v>
          </cell>
          <cell r="D1837" t="str">
            <v>210</v>
          </cell>
          <cell r="E1837" t="str">
            <v>453</v>
          </cell>
          <cell r="F1837">
            <v>0</v>
          </cell>
          <cell r="G1837">
            <v>5</v>
          </cell>
          <cell r="H1837" t="str">
            <v>2006-05-31</v>
          </cell>
        </row>
        <row r="1838">
          <cell r="A1838" t="str">
            <v>481004</v>
          </cell>
          <cell r="B1838" t="str">
            <v>1015</v>
          </cell>
          <cell r="C1838">
            <v>-151337.39000000001</v>
          </cell>
          <cell r="D1838" t="str">
            <v>202</v>
          </cell>
          <cell r="E1838" t="str">
            <v>453</v>
          </cell>
          <cell r="F1838">
            <v>-77604.179999999993</v>
          </cell>
          <cell r="G1838">
            <v>5</v>
          </cell>
          <cell r="H1838" t="str">
            <v>2006-05-31</v>
          </cell>
        </row>
        <row r="1839">
          <cell r="A1839" t="str">
            <v>481004</v>
          </cell>
          <cell r="B1839" t="str">
            <v>1015</v>
          </cell>
          <cell r="C1839">
            <v>-598408.73</v>
          </cell>
          <cell r="D1839" t="str">
            <v>204</v>
          </cell>
          <cell r="E1839" t="str">
            <v>453</v>
          </cell>
          <cell r="F1839">
            <v>0</v>
          </cell>
          <cell r="G1839">
            <v>5</v>
          </cell>
          <cell r="H1839" t="str">
            <v>2006-05-31</v>
          </cell>
        </row>
        <row r="1840">
          <cell r="A1840" t="str">
            <v>481004</v>
          </cell>
          <cell r="B1840" t="str">
            <v>1015</v>
          </cell>
          <cell r="C1840">
            <v>-8819.15</v>
          </cell>
          <cell r="D1840" t="str">
            <v>205</v>
          </cell>
          <cell r="E1840" t="str">
            <v>453</v>
          </cell>
          <cell r="F1840">
            <v>0</v>
          </cell>
          <cell r="G1840">
            <v>5</v>
          </cell>
          <cell r="H1840" t="str">
            <v>2006-05-31</v>
          </cell>
        </row>
        <row r="1841">
          <cell r="A1841" t="str">
            <v>480000</v>
          </cell>
          <cell r="B1841" t="str">
            <v>1015</v>
          </cell>
          <cell r="C1841">
            <v>-19947.86</v>
          </cell>
          <cell r="D1841" t="str">
            <v>202</v>
          </cell>
          <cell r="E1841" t="str">
            <v>455</v>
          </cell>
          <cell r="F1841">
            <v>-5999.76</v>
          </cell>
          <cell r="G1841">
            <v>5</v>
          </cell>
          <cell r="H1841" t="str">
            <v>2006-05-31</v>
          </cell>
        </row>
        <row r="1842">
          <cell r="A1842" t="str">
            <v>480000</v>
          </cell>
          <cell r="B1842" t="str">
            <v>1015</v>
          </cell>
          <cell r="C1842">
            <v>-46257</v>
          </cell>
          <cell r="D1842" t="str">
            <v>204</v>
          </cell>
          <cell r="E1842" t="str">
            <v>455</v>
          </cell>
          <cell r="F1842">
            <v>0</v>
          </cell>
          <cell r="G1842">
            <v>5</v>
          </cell>
          <cell r="H1842" t="str">
            <v>2006-05-31</v>
          </cell>
        </row>
        <row r="1843">
          <cell r="A1843" t="str">
            <v>480000</v>
          </cell>
          <cell r="B1843" t="str">
            <v>1015</v>
          </cell>
          <cell r="C1843">
            <v>-239.93</v>
          </cell>
          <cell r="D1843" t="str">
            <v>205</v>
          </cell>
          <cell r="E1843" t="str">
            <v>455</v>
          </cell>
          <cell r="F1843">
            <v>0</v>
          </cell>
          <cell r="G1843">
            <v>5</v>
          </cell>
          <cell r="H1843" t="str">
            <v>2006-05-31</v>
          </cell>
        </row>
        <row r="1844">
          <cell r="A1844" t="str">
            <v>480001</v>
          </cell>
          <cell r="B1844" t="str">
            <v>1015</v>
          </cell>
          <cell r="C1844">
            <v>7150.16</v>
          </cell>
          <cell r="D1844" t="str">
            <v>202</v>
          </cell>
          <cell r="E1844" t="str">
            <v>455</v>
          </cell>
          <cell r="F1844">
            <v>2929.08</v>
          </cell>
          <cell r="G1844">
            <v>5</v>
          </cell>
          <cell r="H1844" t="str">
            <v>2006-05-31</v>
          </cell>
        </row>
        <row r="1845">
          <cell r="A1845" t="str">
            <v>480001</v>
          </cell>
          <cell r="B1845" t="str">
            <v>1015</v>
          </cell>
          <cell r="C1845">
            <v>0</v>
          </cell>
          <cell r="D1845" t="str">
            <v>203</v>
          </cell>
          <cell r="E1845" t="str">
            <v>455</v>
          </cell>
          <cell r="F1845">
            <v>0</v>
          </cell>
          <cell r="G1845">
            <v>5</v>
          </cell>
          <cell r="H1845" t="str">
            <v>2006-05-31</v>
          </cell>
        </row>
        <row r="1846">
          <cell r="A1846" t="str">
            <v>480001</v>
          </cell>
          <cell r="B1846" t="str">
            <v>1015</v>
          </cell>
          <cell r="C1846">
            <v>22589.17</v>
          </cell>
          <cell r="D1846" t="str">
            <v>204</v>
          </cell>
          <cell r="E1846" t="str">
            <v>455</v>
          </cell>
          <cell r="F1846">
            <v>0</v>
          </cell>
          <cell r="G1846">
            <v>5</v>
          </cell>
          <cell r="H1846" t="str">
            <v>2006-05-31</v>
          </cell>
        </row>
        <row r="1847">
          <cell r="A1847" t="str">
            <v>480001</v>
          </cell>
          <cell r="B1847" t="str">
            <v>1015</v>
          </cell>
          <cell r="C1847">
            <v>271.8</v>
          </cell>
          <cell r="D1847" t="str">
            <v>205</v>
          </cell>
          <cell r="E1847" t="str">
            <v>455</v>
          </cell>
          <cell r="F1847">
            <v>0</v>
          </cell>
          <cell r="G1847">
            <v>5</v>
          </cell>
          <cell r="H1847" t="str">
            <v>2006-05-31</v>
          </cell>
        </row>
        <row r="1848">
          <cell r="A1848" t="str">
            <v>480001</v>
          </cell>
          <cell r="B1848" t="str">
            <v>1015</v>
          </cell>
          <cell r="C1848">
            <v>0</v>
          </cell>
          <cell r="D1848" t="str">
            <v>210</v>
          </cell>
          <cell r="E1848" t="str">
            <v>455</v>
          </cell>
          <cell r="F1848">
            <v>0</v>
          </cell>
          <cell r="G1848">
            <v>5</v>
          </cell>
          <cell r="H1848" t="str">
            <v>2006-05-31</v>
          </cell>
        </row>
        <row r="1849">
          <cell r="A1849" t="str">
            <v>481004</v>
          </cell>
          <cell r="B1849" t="str">
            <v>1015</v>
          </cell>
          <cell r="C1849">
            <v>-13159.3</v>
          </cell>
          <cell r="D1849" t="str">
            <v>202</v>
          </cell>
          <cell r="E1849" t="str">
            <v>455</v>
          </cell>
          <cell r="F1849">
            <v>-5152.32</v>
          </cell>
          <cell r="G1849">
            <v>5</v>
          </cell>
          <cell r="H1849" t="str">
            <v>2006-05-31</v>
          </cell>
        </row>
        <row r="1850">
          <cell r="A1850" t="str">
            <v>481004</v>
          </cell>
          <cell r="B1850" t="str">
            <v>1015</v>
          </cell>
          <cell r="C1850">
            <v>-39730.17</v>
          </cell>
          <cell r="D1850" t="str">
            <v>204</v>
          </cell>
          <cell r="E1850" t="str">
            <v>455</v>
          </cell>
          <cell r="F1850">
            <v>0</v>
          </cell>
          <cell r="G1850">
            <v>5</v>
          </cell>
          <cell r="H1850" t="str">
            <v>2006-05-31</v>
          </cell>
        </row>
        <row r="1851">
          <cell r="A1851" t="str">
            <v>481004</v>
          </cell>
          <cell r="B1851" t="str">
            <v>1015</v>
          </cell>
          <cell r="C1851">
            <v>-31.87</v>
          </cell>
          <cell r="D1851" t="str">
            <v>205</v>
          </cell>
          <cell r="E1851" t="str">
            <v>455</v>
          </cell>
          <cell r="F1851">
            <v>0</v>
          </cell>
          <cell r="G1851">
            <v>5</v>
          </cell>
          <cell r="H1851" t="str">
            <v>2006-05-31</v>
          </cell>
        </row>
        <row r="1852">
          <cell r="A1852" t="str">
            <v>481002</v>
          </cell>
          <cell r="B1852" t="str">
            <v>1015</v>
          </cell>
          <cell r="C1852">
            <v>0</v>
          </cell>
          <cell r="D1852" t="str">
            <v>202</v>
          </cell>
          <cell r="E1852" t="str">
            <v>456</v>
          </cell>
          <cell r="F1852">
            <v>0</v>
          </cell>
          <cell r="G1852">
            <v>5</v>
          </cell>
          <cell r="H1852" t="str">
            <v>2006-05-31</v>
          </cell>
        </row>
        <row r="1853">
          <cell r="A1853" t="str">
            <v>481002</v>
          </cell>
          <cell r="B1853" t="str">
            <v>1015</v>
          </cell>
          <cell r="C1853">
            <v>0</v>
          </cell>
          <cell r="D1853" t="str">
            <v>203</v>
          </cell>
          <cell r="E1853" t="str">
            <v>456</v>
          </cell>
          <cell r="F1853">
            <v>0</v>
          </cell>
          <cell r="G1853">
            <v>5</v>
          </cell>
          <cell r="H1853" t="str">
            <v>2006-05-31</v>
          </cell>
        </row>
        <row r="1854">
          <cell r="A1854" t="str">
            <v>481002</v>
          </cell>
          <cell r="B1854" t="str">
            <v>1015</v>
          </cell>
          <cell r="C1854">
            <v>0</v>
          </cell>
          <cell r="D1854" t="str">
            <v>204</v>
          </cell>
          <cell r="E1854" t="str">
            <v>456</v>
          </cell>
          <cell r="F1854">
            <v>0</v>
          </cell>
          <cell r="G1854">
            <v>5</v>
          </cell>
          <cell r="H1854" t="str">
            <v>2006-05-31</v>
          </cell>
        </row>
        <row r="1855">
          <cell r="A1855" t="str">
            <v>481002</v>
          </cell>
          <cell r="B1855" t="str">
            <v>1015</v>
          </cell>
          <cell r="C1855">
            <v>0</v>
          </cell>
          <cell r="D1855" t="str">
            <v>210</v>
          </cell>
          <cell r="E1855" t="str">
            <v>456</v>
          </cell>
          <cell r="F1855">
            <v>0</v>
          </cell>
          <cell r="G1855">
            <v>5</v>
          </cell>
          <cell r="H1855" t="str">
            <v>2006-05-31</v>
          </cell>
        </row>
        <row r="1856">
          <cell r="A1856" t="str">
            <v>481002</v>
          </cell>
          <cell r="B1856" t="str">
            <v>1015</v>
          </cell>
          <cell r="C1856">
            <v>-373.59</v>
          </cell>
          <cell r="D1856" t="str">
            <v>202</v>
          </cell>
          <cell r="E1856" t="str">
            <v>457</v>
          </cell>
          <cell r="F1856">
            <v>-2240</v>
          </cell>
          <cell r="G1856">
            <v>5</v>
          </cell>
          <cell r="H1856" t="str">
            <v>2006-05-31</v>
          </cell>
        </row>
        <row r="1857">
          <cell r="A1857" t="str">
            <v>481002</v>
          </cell>
          <cell r="B1857" t="str">
            <v>1015</v>
          </cell>
          <cell r="C1857">
            <v>-409.63</v>
          </cell>
          <cell r="D1857" t="str">
            <v>203</v>
          </cell>
          <cell r="E1857" t="str">
            <v>457</v>
          </cell>
          <cell r="F1857">
            <v>0</v>
          </cell>
          <cell r="G1857">
            <v>5</v>
          </cell>
          <cell r="H1857" t="str">
            <v>2006-05-31</v>
          </cell>
        </row>
        <row r="1858">
          <cell r="A1858" t="str">
            <v>481002</v>
          </cell>
          <cell r="B1858" t="str">
            <v>1015</v>
          </cell>
          <cell r="C1858">
            <v>-12794.72</v>
          </cell>
          <cell r="D1858" t="str">
            <v>204</v>
          </cell>
          <cell r="E1858" t="str">
            <v>457</v>
          </cell>
          <cell r="F1858">
            <v>0</v>
          </cell>
          <cell r="G1858">
            <v>5</v>
          </cell>
          <cell r="H1858" t="str">
            <v>2006-05-31</v>
          </cell>
        </row>
        <row r="1859">
          <cell r="A1859" t="str">
            <v>481002</v>
          </cell>
          <cell r="B1859" t="str">
            <v>1015</v>
          </cell>
          <cell r="C1859">
            <v>0</v>
          </cell>
          <cell r="D1859" t="str">
            <v>210</v>
          </cell>
          <cell r="E1859" t="str">
            <v>457</v>
          </cell>
          <cell r="F1859">
            <v>0</v>
          </cell>
          <cell r="G1859">
            <v>5</v>
          </cell>
          <cell r="H1859" t="str">
            <v>2006-05-31</v>
          </cell>
        </row>
        <row r="1860">
          <cell r="A1860" t="str">
            <v>481005</v>
          </cell>
          <cell r="B1860" t="str">
            <v>1015</v>
          </cell>
          <cell r="C1860">
            <v>-2029</v>
          </cell>
          <cell r="D1860" t="str">
            <v>202</v>
          </cell>
          <cell r="E1860" t="str">
            <v>457</v>
          </cell>
          <cell r="F1860">
            <v>-9861</v>
          </cell>
          <cell r="G1860">
            <v>5</v>
          </cell>
          <cell r="H1860" t="str">
            <v>2006-05-31</v>
          </cell>
        </row>
        <row r="1861">
          <cell r="A1861" t="str">
            <v>481005</v>
          </cell>
          <cell r="B1861" t="str">
            <v>1015</v>
          </cell>
          <cell r="C1861">
            <v>-1803</v>
          </cell>
          <cell r="D1861" t="str">
            <v>203</v>
          </cell>
          <cell r="E1861" t="str">
            <v>457</v>
          </cell>
          <cell r="F1861">
            <v>0</v>
          </cell>
          <cell r="G1861">
            <v>5</v>
          </cell>
          <cell r="H1861" t="str">
            <v>2006-05-31</v>
          </cell>
        </row>
        <row r="1862">
          <cell r="A1862" t="str">
            <v>481005</v>
          </cell>
          <cell r="B1862" t="str">
            <v>1015</v>
          </cell>
          <cell r="C1862">
            <v>-56325</v>
          </cell>
          <cell r="D1862" t="str">
            <v>204</v>
          </cell>
          <cell r="E1862" t="str">
            <v>457</v>
          </cell>
          <cell r="F1862">
            <v>0</v>
          </cell>
          <cell r="G1862">
            <v>5</v>
          </cell>
          <cell r="H1862" t="str">
            <v>2006-05-31</v>
          </cell>
        </row>
        <row r="1863">
          <cell r="A1863" t="str">
            <v>481005</v>
          </cell>
          <cell r="B1863" t="str">
            <v>1015</v>
          </cell>
          <cell r="C1863">
            <v>0</v>
          </cell>
          <cell r="D1863" t="str">
            <v>210</v>
          </cell>
          <cell r="E1863" t="str">
            <v>457</v>
          </cell>
          <cell r="F1863">
            <v>0</v>
          </cell>
          <cell r="G1863">
            <v>5</v>
          </cell>
          <cell r="H1863" t="str">
            <v>2006-05-31</v>
          </cell>
        </row>
        <row r="1864">
          <cell r="A1864" t="str">
            <v>489300</v>
          </cell>
          <cell r="B1864" t="str">
            <v>1015</v>
          </cell>
          <cell r="C1864">
            <v>-3689.51</v>
          </cell>
          <cell r="D1864" t="str">
            <v>250</v>
          </cell>
          <cell r="E1864" t="str">
            <v>458</v>
          </cell>
          <cell r="F1864">
            <v>-31397</v>
          </cell>
          <cell r="G1864">
            <v>5</v>
          </cell>
          <cell r="H1864" t="str">
            <v>2006-05-31</v>
          </cell>
        </row>
        <row r="1865">
          <cell r="A1865" t="str">
            <v>489304</v>
          </cell>
          <cell r="B1865" t="str">
            <v>1015</v>
          </cell>
          <cell r="C1865">
            <v>-651.20000000000005</v>
          </cell>
          <cell r="D1865" t="str">
            <v>250</v>
          </cell>
          <cell r="E1865" t="str">
            <v>458</v>
          </cell>
          <cell r="F1865">
            <v>-1834</v>
          </cell>
          <cell r="G1865">
            <v>5</v>
          </cell>
          <cell r="H1865" t="str">
            <v>2006-05-31</v>
          </cell>
        </row>
        <row r="1866">
          <cell r="A1866" t="str">
            <v>489300</v>
          </cell>
          <cell r="B1866" t="str">
            <v>1015</v>
          </cell>
          <cell r="C1866">
            <v>-1540.65</v>
          </cell>
          <cell r="D1866" t="str">
            <v>250</v>
          </cell>
          <cell r="E1866" t="str">
            <v>459</v>
          </cell>
          <cell r="F1866">
            <v>-3422</v>
          </cell>
          <cell r="G1866">
            <v>5</v>
          </cell>
          <cell r="H1866" t="str">
            <v>2006-05-31</v>
          </cell>
        </row>
        <row r="1867">
          <cell r="A1867" t="str">
            <v>489304</v>
          </cell>
          <cell r="B1867" t="str">
            <v>1015</v>
          </cell>
          <cell r="C1867">
            <v>0</v>
          </cell>
          <cell r="D1867" t="str">
            <v>250</v>
          </cell>
          <cell r="E1867" t="str">
            <v>459</v>
          </cell>
          <cell r="F1867">
            <v>0</v>
          </cell>
          <cell r="G1867">
            <v>5</v>
          </cell>
          <cell r="H1867" t="str">
            <v>2006-05-31</v>
          </cell>
        </row>
        <row r="1868">
          <cell r="A1868" t="str">
            <v>481003</v>
          </cell>
          <cell r="B1868" t="str">
            <v>1015</v>
          </cell>
          <cell r="C1868">
            <v>-109863.19</v>
          </cell>
          <cell r="D1868" t="str">
            <v>200</v>
          </cell>
          <cell r="F1868">
            <v>-11017.59</v>
          </cell>
          <cell r="G1868">
            <v>5</v>
          </cell>
          <cell r="H1868" t="str">
            <v>2006-05-31</v>
          </cell>
        </row>
        <row r="1869">
          <cell r="A1869" t="str">
            <v>481000</v>
          </cell>
          <cell r="B1869" t="str">
            <v>1015</v>
          </cell>
          <cell r="C1869">
            <v>-16390.96</v>
          </cell>
          <cell r="D1869" t="str">
            <v>202</v>
          </cell>
          <cell r="E1869" t="str">
            <v>402</v>
          </cell>
          <cell r="F1869">
            <v>-39583</v>
          </cell>
          <cell r="G1869">
            <v>6</v>
          </cell>
          <cell r="H1869" t="str">
            <v>2006-06-30</v>
          </cell>
        </row>
        <row r="1870">
          <cell r="A1870" t="str">
            <v>481000</v>
          </cell>
          <cell r="B1870" t="str">
            <v>1015</v>
          </cell>
          <cell r="C1870">
            <v>-19695.32</v>
          </cell>
          <cell r="D1870" t="str">
            <v>203</v>
          </cell>
          <cell r="E1870" t="str">
            <v>402</v>
          </cell>
          <cell r="F1870">
            <v>0</v>
          </cell>
          <cell r="G1870">
            <v>6</v>
          </cell>
          <cell r="H1870" t="str">
            <v>2006-06-30</v>
          </cell>
        </row>
        <row r="1871">
          <cell r="A1871" t="str">
            <v>481000</v>
          </cell>
          <cell r="B1871" t="str">
            <v>1015</v>
          </cell>
          <cell r="C1871">
            <v>-257065.07</v>
          </cell>
          <cell r="D1871" t="str">
            <v>204</v>
          </cell>
          <cell r="E1871" t="str">
            <v>402</v>
          </cell>
          <cell r="F1871">
            <v>0</v>
          </cell>
          <cell r="G1871">
            <v>6</v>
          </cell>
          <cell r="H1871" t="str">
            <v>2006-06-30</v>
          </cell>
        </row>
        <row r="1872">
          <cell r="A1872" t="str">
            <v>481000</v>
          </cell>
          <cell r="B1872" t="str">
            <v>1015</v>
          </cell>
          <cell r="C1872">
            <v>0</v>
          </cell>
          <cell r="D1872" t="str">
            <v>210</v>
          </cell>
          <cell r="E1872" t="str">
            <v>402</v>
          </cell>
          <cell r="F1872">
            <v>0</v>
          </cell>
          <cell r="G1872">
            <v>6</v>
          </cell>
          <cell r="H1872" t="str">
            <v>2006-06-30</v>
          </cell>
        </row>
        <row r="1873">
          <cell r="A1873" t="str">
            <v>481004</v>
          </cell>
          <cell r="B1873" t="str">
            <v>1015</v>
          </cell>
          <cell r="C1873">
            <v>-224861.16</v>
          </cell>
          <cell r="D1873" t="str">
            <v>202</v>
          </cell>
          <cell r="E1873" t="str">
            <v>402</v>
          </cell>
          <cell r="F1873">
            <v>-452634</v>
          </cell>
          <cell r="G1873">
            <v>6</v>
          </cell>
          <cell r="H1873" t="str">
            <v>2006-06-30</v>
          </cell>
        </row>
        <row r="1874">
          <cell r="A1874" t="str">
            <v>481004</v>
          </cell>
          <cell r="B1874" t="str">
            <v>1015</v>
          </cell>
          <cell r="C1874">
            <v>-225217.46</v>
          </cell>
          <cell r="D1874" t="str">
            <v>203</v>
          </cell>
          <cell r="E1874" t="str">
            <v>402</v>
          </cell>
          <cell r="F1874">
            <v>0</v>
          </cell>
          <cell r="G1874">
            <v>6</v>
          </cell>
          <cell r="H1874" t="str">
            <v>2006-06-30</v>
          </cell>
        </row>
        <row r="1875">
          <cell r="A1875" t="str">
            <v>481004</v>
          </cell>
          <cell r="B1875" t="str">
            <v>1015</v>
          </cell>
          <cell r="C1875">
            <v>-2939554.74</v>
          </cell>
          <cell r="D1875" t="str">
            <v>204</v>
          </cell>
          <cell r="E1875" t="str">
            <v>402</v>
          </cell>
          <cell r="F1875">
            <v>0</v>
          </cell>
          <cell r="G1875">
            <v>6</v>
          </cell>
          <cell r="H1875" t="str">
            <v>2006-06-30</v>
          </cell>
        </row>
        <row r="1876">
          <cell r="A1876" t="str">
            <v>481004</v>
          </cell>
          <cell r="B1876" t="str">
            <v>1015</v>
          </cell>
          <cell r="C1876">
            <v>0</v>
          </cell>
          <cell r="D1876" t="str">
            <v>210</v>
          </cell>
          <cell r="E1876" t="str">
            <v>402</v>
          </cell>
          <cell r="F1876">
            <v>0</v>
          </cell>
          <cell r="G1876">
            <v>6</v>
          </cell>
          <cell r="H1876" t="str">
            <v>2006-06-30</v>
          </cell>
        </row>
        <row r="1877">
          <cell r="A1877" t="str">
            <v>481000</v>
          </cell>
          <cell r="B1877" t="str">
            <v>1015</v>
          </cell>
          <cell r="C1877">
            <v>-7264.98</v>
          </cell>
          <cell r="D1877" t="str">
            <v>202</v>
          </cell>
          <cell r="E1877" t="str">
            <v>403</v>
          </cell>
          <cell r="F1877">
            <v>0</v>
          </cell>
          <cell r="G1877">
            <v>6</v>
          </cell>
          <cell r="H1877" t="str">
            <v>2006-06-30</v>
          </cell>
        </row>
        <row r="1878">
          <cell r="A1878" t="str">
            <v>481000</v>
          </cell>
          <cell r="B1878" t="str">
            <v>1015</v>
          </cell>
          <cell r="C1878">
            <v>-1619.75</v>
          </cell>
          <cell r="D1878" t="str">
            <v>203</v>
          </cell>
          <cell r="E1878" t="str">
            <v>403</v>
          </cell>
          <cell r="F1878">
            <v>0</v>
          </cell>
          <cell r="G1878">
            <v>6</v>
          </cell>
          <cell r="H1878" t="str">
            <v>2006-06-30</v>
          </cell>
        </row>
        <row r="1879">
          <cell r="A1879" t="str">
            <v>481000</v>
          </cell>
          <cell r="B1879" t="str">
            <v>1015</v>
          </cell>
          <cell r="C1879">
            <v>-2944.28</v>
          </cell>
          <cell r="D1879" t="str">
            <v>204</v>
          </cell>
          <cell r="E1879" t="str">
            <v>403</v>
          </cell>
          <cell r="F1879">
            <v>0</v>
          </cell>
          <cell r="G1879">
            <v>6</v>
          </cell>
          <cell r="H1879" t="str">
            <v>2006-06-30</v>
          </cell>
        </row>
        <row r="1880">
          <cell r="A1880" t="str">
            <v>481000</v>
          </cell>
          <cell r="B1880" t="str">
            <v>1015</v>
          </cell>
          <cell r="C1880">
            <v>-84139.01</v>
          </cell>
          <cell r="D1880" t="str">
            <v>202</v>
          </cell>
          <cell r="E1880" t="str">
            <v>404</v>
          </cell>
          <cell r="F1880">
            <v>-269501</v>
          </cell>
          <cell r="G1880">
            <v>6</v>
          </cell>
          <cell r="H1880" t="str">
            <v>2006-06-30</v>
          </cell>
        </row>
        <row r="1881">
          <cell r="A1881" t="str">
            <v>481000</v>
          </cell>
          <cell r="B1881" t="str">
            <v>1015</v>
          </cell>
          <cell r="C1881">
            <v>-194598.59</v>
          </cell>
          <cell r="D1881" t="str">
            <v>203</v>
          </cell>
          <cell r="E1881" t="str">
            <v>404</v>
          </cell>
          <cell r="F1881">
            <v>0</v>
          </cell>
          <cell r="G1881">
            <v>6</v>
          </cell>
          <cell r="H1881" t="str">
            <v>2006-06-30</v>
          </cell>
        </row>
        <row r="1882">
          <cell r="A1882" t="str">
            <v>481000</v>
          </cell>
          <cell r="B1882" t="str">
            <v>1015</v>
          </cell>
          <cell r="C1882">
            <v>-1750228.43</v>
          </cell>
          <cell r="D1882" t="str">
            <v>204</v>
          </cell>
          <cell r="E1882" t="str">
            <v>404</v>
          </cell>
          <cell r="F1882">
            <v>0</v>
          </cell>
          <cell r="G1882">
            <v>6</v>
          </cell>
          <cell r="H1882" t="str">
            <v>2006-06-30</v>
          </cell>
        </row>
        <row r="1883">
          <cell r="A1883" t="str">
            <v>481004</v>
          </cell>
          <cell r="B1883" t="str">
            <v>1015</v>
          </cell>
          <cell r="C1883">
            <v>0</v>
          </cell>
          <cell r="D1883" t="str">
            <v>202</v>
          </cell>
          <cell r="E1883" t="str">
            <v>404</v>
          </cell>
          <cell r="F1883">
            <v>0</v>
          </cell>
          <cell r="G1883">
            <v>6</v>
          </cell>
          <cell r="H1883" t="str">
            <v>2006-06-30</v>
          </cell>
        </row>
        <row r="1884">
          <cell r="A1884" t="str">
            <v>481004</v>
          </cell>
          <cell r="B1884" t="str">
            <v>1015</v>
          </cell>
          <cell r="C1884">
            <v>0</v>
          </cell>
          <cell r="D1884" t="str">
            <v>203</v>
          </cell>
          <cell r="E1884" t="str">
            <v>404</v>
          </cell>
          <cell r="F1884">
            <v>0</v>
          </cell>
          <cell r="G1884">
            <v>6</v>
          </cell>
          <cell r="H1884" t="str">
            <v>2006-06-30</v>
          </cell>
        </row>
        <row r="1885">
          <cell r="A1885" t="str">
            <v>481004</v>
          </cell>
          <cell r="B1885" t="str">
            <v>1015</v>
          </cell>
          <cell r="C1885">
            <v>0</v>
          </cell>
          <cell r="D1885" t="str">
            <v>204</v>
          </cell>
          <cell r="E1885" t="str">
            <v>404</v>
          </cell>
          <cell r="F1885">
            <v>0</v>
          </cell>
          <cell r="G1885">
            <v>6</v>
          </cell>
          <cell r="H1885" t="str">
            <v>2006-06-30</v>
          </cell>
        </row>
        <row r="1886">
          <cell r="A1886" t="str">
            <v>481004</v>
          </cell>
          <cell r="B1886" t="str">
            <v>1015</v>
          </cell>
          <cell r="C1886">
            <v>0</v>
          </cell>
          <cell r="D1886" t="str">
            <v>210</v>
          </cell>
          <cell r="E1886" t="str">
            <v>404</v>
          </cell>
          <cell r="F1886">
            <v>0</v>
          </cell>
          <cell r="G1886">
            <v>6</v>
          </cell>
          <cell r="H1886" t="str">
            <v>2006-06-30</v>
          </cell>
        </row>
        <row r="1887">
          <cell r="A1887" t="str">
            <v>489300</v>
          </cell>
          <cell r="B1887" t="str">
            <v>1015</v>
          </cell>
          <cell r="C1887">
            <v>-49039.35</v>
          </cell>
          <cell r="D1887" t="str">
            <v>250</v>
          </cell>
          <cell r="E1887" t="str">
            <v>405</v>
          </cell>
          <cell r="F1887">
            <v>-243492</v>
          </cell>
          <cell r="G1887">
            <v>6</v>
          </cell>
          <cell r="H1887" t="str">
            <v>2006-06-30</v>
          </cell>
        </row>
        <row r="1888">
          <cell r="A1888" t="str">
            <v>489304</v>
          </cell>
          <cell r="B1888" t="str">
            <v>1015</v>
          </cell>
          <cell r="C1888">
            <v>-56264.51</v>
          </cell>
          <cell r="D1888" t="str">
            <v>250</v>
          </cell>
          <cell r="E1888" t="str">
            <v>405</v>
          </cell>
          <cell r="F1888">
            <v>-399030</v>
          </cell>
          <cell r="G1888">
            <v>6</v>
          </cell>
          <cell r="H1888" t="str">
            <v>2006-06-30</v>
          </cell>
        </row>
        <row r="1889">
          <cell r="A1889" t="str">
            <v>489300</v>
          </cell>
          <cell r="B1889" t="str">
            <v>1015</v>
          </cell>
          <cell r="C1889">
            <v>-76342.179999999993</v>
          </cell>
          <cell r="D1889" t="str">
            <v>250</v>
          </cell>
          <cell r="E1889" t="str">
            <v>406</v>
          </cell>
          <cell r="F1889">
            <v>-271358</v>
          </cell>
          <cell r="G1889">
            <v>6</v>
          </cell>
          <cell r="H1889" t="str">
            <v>2006-06-30</v>
          </cell>
        </row>
        <row r="1890">
          <cell r="A1890" t="str">
            <v>489304</v>
          </cell>
          <cell r="B1890" t="str">
            <v>1015</v>
          </cell>
          <cell r="C1890">
            <v>-37617.599999999999</v>
          </cell>
          <cell r="D1890" t="str">
            <v>250</v>
          </cell>
          <cell r="E1890" t="str">
            <v>406</v>
          </cell>
          <cell r="F1890">
            <v>-192886</v>
          </cell>
          <cell r="G1890">
            <v>6</v>
          </cell>
          <cell r="H1890" t="str">
            <v>2006-06-30</v>
          </cell>
        </row>
        <row r="1891">
          <cell r="A1891" t="str">
            <v>480000</v>
          </cell>
          <cell r="B1891" t="str">
            <v>1015</v>
          </cell>
          <cell r="C1891">
            <v>-7804307.5499999998</v>
          </cell>
          <cell r="D1891" t="str">
            <v>202</v>
          </cell>
          <cell r="E1891" t="str">
            <v>407</v>
          </cell>
          <cell r="F1891">
            <v>-2299289.17</v>
          </cell>
          <cell r="G1891">
            <v>6</v>
          </cell>
          <cell r="H1891" t="str">
            <v>2006-06-30</v>
          </cell>
        </row>
        <row r="1892">
          <cell r="A1892" t="str">
            <v>480000</v>
          </cell>
          <cell r="B1892" t="str">
            <v>1015</v>
          </cell>
          <cell r="C1892">
            <v>-1152109.3899999999</v>
          </cell>
          <cell r="D1892" t="str">
            <v>203</v>
          </cell>
          <cell r="E1892" t="str">
            <v>407</v>
          </cell>
          <cell r="F1892">
            <v>0</v>
          </cell>
          <cell r="G1892">
            <v>6</v>
          </cell>
          <cell r="H1892" t="str">
            <v>2006-06-30</v>
          </cell>
        </row>
        <row r="1893">
          <cell r="A1893" t="str">
            <v>480000</v>
          </cell>
          <cell r="B1893" t="str">
            <v>1015</v>
          </cell>
          <cell r="C1893">
            <v>-15043047.48</v>
          </cell>
          <cell r="D1893" t="str">
            <v>204</v>
          </cell>
          <cell r="E1893" t="str">
            <v>407</v>
          </cell>
          <cell r="F1893">
            <v>0</v>
          </cell>
          <cell r="G1893">
            <v>6</v>
          </cell>
          <cell r="H1893" t="str">
            <v>2006-06-30</v>
          </cell>
        </row>
        <row r="1894">
          <cell r="A1894" t="str">
            <v>480000</v>
          </cell>
          <cell r="B1894" t="str">
            <v>1015</v>
          </cell>
          <cell r="C1894">
            <v>-657920.71</v>
          </cell>
          <cell r="D1894" t="str">
            <v>205</v>
          </cell>
          <cell r="E1894" t="str">
            <v>407</v>
          </cell>
          <cell r="F1894">
            <v>0</v>
          </cell>
          <cell r="G1894">
            <v>6</v>
          </cell>
          <cell r="H1894" t="str">
            <v>2006-06-30</v>
          </cell>
        </row>
        <row r="1895">
          <cell r="A1895" t="str">
            <v>480000</v>
          </cell>
          <cell r="B1895" t="str">
            <v>1015</v>
          </cell>
          <cell r="C1895">
            <v>92564.45</v>
          </cell>
          <cell r="D1895" t="str">
            <v>210</v>
          </cell>
          <cell r="E1895" t="str">
            <v>407</v>
          </cell>
          <cell r="F1895">
            <v>12648.6</v>
          </cell>
          <cell r="G1895">
            <v>6</v>
          </cell>
          <cell r="H1895" t="str">
            <v>2006-06-30</v>
          </cell>
        </row>
        <row r="1896">
          <cell r="A1896" t="str">
            <v>480001</v>
          </cell>
          <cell r="B1896" t="str">
            <v>1015</v>
          </cell>
          <cell r="C1896">
            <v>-2540540.92</v>
          </cell>
          <cell r="D1896" t="str">
            <v>202</v>
          </cell>
          <cell r="E1896" t="str">
            <v>407</v>
          </cell>
          <cell r="F1896">
            <v>-1954104.95</v>
          </cell>
          <cell r="G1896">
            <v>6</v>
          </cell>
          <cell r="H1896" t="str">
            <v>2006-06-30</v>
          </cell>
        </row>
        <row r="1897">
          <cell r="A1897" t="str">
            <v>480001</v>
          </cell>
          <cell r="B1897" t="str">
            <v>1015</v>
          </cell>
          <cell r="C1897">
            <v>-2389637.33</v>
          </cell>
          <cell r="D1897" t="str">
            <v>203</v>
          </cell>
          <cell r="E1897" t="str">
            <v>407</v>
          </cell>
          <cell r="F1897">
            <v>0</v>
          </cell>
          <cell r="G1897">
            <v>6</v>
          </cell>
          <cell r="H1897" t="str">
            <v>2006-06-30</v>
          </cell>
        </row>
        <row r="1898">
          <cell r="A1898" t="str">
            <v>480001</v>
          </cell>
          <cell r="B1898" t="str">
            <v>1015</v>
          </cell>
          <cell r="C1898">
            <v>-14821690.380000001</v>
          </cell>
          <cell r="D1898" t="str">
            <v>204</v>
          </cell>
          <cell r="E1898" t="str">
            <v>407</v>
          </cell>
          <cell r="F1898">
            <v>0</v>
          </cell>
          <cell r="G1898">
            <v>6</v>
          </cell>
          <cell r="H1898" t="str">
            <v>2006-06-30</v>
          </cell>
        </row>
        <row r="1899">
          <cell r="A1899" t="str">
            <v>480001</v>
          </cell>
          <cell r="B1899" t="str">
            <v>1015</v>
          </cell>
          <cell r="C1899">
            <v>158105.29999999999</v>
          </cell>
          <cell r="D1899" t="str">
            <v>205</v>
          </cell>
          <cell r="E1899" t="str">
            <v>407</v>
          </cell>
          <cell r="F1899">
            <v>0</v>
          </cell>
          <cell r="G1899">
            <v>6</v>
          </cell>
          <cell r="H1899" t="str">
            <v>2006-06-30</v>
          </cell>
        </row>
        <row r="1900">
          <cell r="A1900" t="str">
            <v>480001</v>
          </cell>
          <cell r="B1900" t="str">
            <v>1015</v>
          </cell>
          <cell r="C1900">
            <v>-106975.82</v>
          </cell>
          <cell r="D1900" t="str">
            <v>210</v>
          </cell>
          <cell r="E1900" t="str">
            <v>407</v>
          </cell>
          <cell r="F1900">
            <v>-15020.9</v>
          </cell>
          <cell r="G1900">
            <v>6</v>
          </cell>
          <cell r="H1900" t="str">
            <v>2006-06-30</v>
          </cell>
        </row>
        <row r="1901">
          <cell r="A1901" t="str">
            <v>481000</v>
          </cell>
          <cell r="B1901" t="str">
            <v>1015</v>
          </cell>
          <cell r="C1901">
            <v>-1486.52</v>
          </cell>
          <cell r="D1901" t="str">
            <v>202</v>
          </cell>
          <cell r="E1901" t="str">
            <v>407</v>
          </cell>
          <cell r="F1901">
            <v>-1547.8</v>
          </cell>
          <cell r="G1901">
            <v>6</v>
          </cell>
          <cell r="H1901" t="str">
            <v>2006-06-30</v>
          </cell>
        </row>
        <row r="1902">
          <cell r="A1902" t="str">
            <v>481000</v>
          </cell>
          <cell r="B1902" t="str">
            <v>1015</v>
          </cell>
          <cell r="C1902">
            <v>-770.21</v>
          </cell>
          <cell r="D1902" t="str">
            <v>203</v>
          </cell>
          <cell r="E1902" t="str">
            <v>407</v>
          </cell>
          <cell r="F1902">
            <v>0</v>
          </cell>
          <cell r="G1902">
            <v>6</v>
          </cell>
          <cell r="H1902" t="str">
            <v>2006-06-30</v>
          </cell>
        </row>
        <row r="1903">
          <cell r="A1903" t="str">
            <v>481000</v>
          </cell>
          <cell r="B1903" t="str">
            <v>1015</v>
          </cell>
          <cell r="C1903">
            <v>-10117.58</v>
          </cell>
          <cell r="D1903" t="str">
            <v>204</v>
          </cell>
          <cell r="E1903" t="str">
            <v>407</v>
          </cell>
          <cell r="F1903">
            <v>0</v>
          </cell>
          <cell r="G1903">
            <v>6</v>
          </cell>
          <cell r="H1903" t="str">
            <v>2006-06-30</v>
          </cell>
        </row>
        <row r="1904">
          <cell r="A1904" t="str">
            <v>481000</v>
          </cell>
          <cell r="B1904" t="str">
            <v>1015</v>
          </cell>
          <cell r="C1904">
            <v>-142.46</v>
          </cell>
          <cell r="D1904" t="str">
            <v>205</v>
          </cell>
          <cell r="E1904" t="str">
            <v>407</v>
          </cell>
          <cell r="F1904">
            <v>0</v>
          </cell>
          <cell r="G1904">
            <v>6</v>
          </cell>
          <cell r="H1904" t="str">
            <v>2006-06-30</v>
          </cell>
        </row>
        <row r="1905">
          <cell r="A1905" t="str">
            <v>481004</v>
          </cell>
          <cell r="B1905" t="str">
            <v>1015</v>
          </cell>
          <cell r="C1905">
            <v>-1659710.01</v>
          </cell>
          <cell r="D1905" t="str">
            <v>202</v>
          </cell>
          <cell r="E1905" t="str">
            <v>407</v>
          </cell>
          <cell r="F1905">
            <v>-800587.08</v>
          </cell>
          <cell r="G1905">
            <v>6</v>
          </cell>
          <cell r="H1905" t="str">
            <v>2006-06-30</v>
          </cell>
        </row>
        <row r="1906">
          <cell r="A1906" t="str">
            <v>481004</v>
          </cell>
          <cell r="B1906" t="str">
            <v>1015</v>
          </cell>
          <cell r="C1906">
            <v>-400377.07</v>
          </cell>
          <cell r="D1906" t="str">
            <v>203</v>
          </cell>
          <cell r="E1906" t="str">
            <v>407</v>
          </cell>
          <cell r="F1906">
            <v>0</v>
          </cell>
          <cell r="G1906">
            <v>6</v>
          </cell>
          <cell r="H1906" t="str">
            <v>2006-06-30</v>
          </cell>
        </row>
        <row r="1907">
          <cell r="A1907" t="str">
            <v>481004</v>
          </cell>
          <cell r="B1907" t="str">
            <v>1015</v>
          </cell>
          <cell r="C1907">
            <v>-5231772.5599999996</v>
          </cell>
          <cell r="D1907" t="str">
            <v>204</v>
          </cell>
          <cell r="E1907" t="str">
            <v>407</v>
          </cell>
          <cell r="F1907">
            <v>0</v>
          </cell>
          <cell r="G1907">
            <v>6</v>
          </cell>
          <cell r="H1907" t="str">
            <v>2006-06-30</v>
          </cell>
        </row>
        <row r="1908">
          <cell r="A1908" t="str">
            <v>481004</v>
          </cell>
          <cell r="B1908" t="str">
            <v>1015</v>
          </cell>
          <cell r="C1908">
            <v>-125245.13</v>
          </cell>
          <cell r="D1908" t="str">
            <v>205</v>
          </cell>
          <cell r="E1908" t="str">
            <v>407</v>
          </cell>
          <cell r="F1908">
            <v>0</v>
          </cell>
          <cell r="G1908">
            <v>6</v>
          </cell>
          <cell r="H1908" t="str">
            <v>2006-06-30</v>
          </cell>
        </row>
        <row r="1909">
          <cell r="A1909" t="str">
            <v>481004</v>
          </cell>
          <cell r="B1909" t="str">
            <v>1015</v>
          </cell>
          <cell r="C1909">
            <v>14411.37</v>
          </cell>
          <cell r="D1909" t="str">
            <v>210</v>
          </cell>
          <cell r="E1909" t="str">
            <v>407</v>
          </cell>
          <cell r="F1909">
            <v>2372.3000000000002</v>
          </cell>
          <cell r="G1909">
            <v>6</v>
          </cell>
          <cell r="H1909" t="str">
            <v>2006-06-30</v>
          </cell>
        </row>
        <row r="1910">
          <cell r="A1910" t="str">
            <v>480000</v>
          </cell>
          <cell r="B1910" t="str">
            <v>1015</v>
          </cell>
          <cell r="C1910">
            <v>-53067.25</v>
          </cell>
          <cell r="D1910" t="str">
            <v>202</v>
          </cell>
          <cell r="E1910" t="str">
            <v>408</v>
          </cell>
          <cell r="F1910">
            <v>-12428.48</v>
          </cell>
          <cell r="G1910">
            <v>6</v>
          </cell>
          <cell r="H1910" t="str">
            <v>2006-06-30</v>
          </cell>
        </row>
        <row r="1911">
          <cell r="A1911" t="str">
            <v>480000</v>
          </cell>
          <cell r="B1911" t="str">
            <v>1015</v>
          </cell>
          <cell r="C1911">
            <v>-6214.05</v>
          </cell>
          <cell r="D1911" t="str">
            <v>203</v>
          </cell>
          <cell r="E1911" t="str">
            <v>408</v>
          </cell>
          <cell r="F1911">
            <v>0</v>
          </cell>
          <cell r="G1911">
            <v>6</v>
          </cell>
          <cell r="H1911" t="str">
            <v>2006-06-30</v>
          </cell>
        </row>
        <row r="1912">
          <cell r="A1912" t="str">
            <v>480000</v>
          </cell>
          <cell r="B1912" t="str">
            <v>1015</v>
          </cell>
          <cell r="C1912">
            <v>-81632.66</v>
          </cell>
          <cell r="D1912" t="str">
            <v>204</v>
          </cell>
          <cell r="E1912" t="str">
            <v>408</v>
          </cell>
          <cell r="F1912">
            <v>0</v>
          </cell>
          <cell r="G1912">
            <v>6</v>
          </cell>
          <cell r="H1912" t="str">
            <v>2006-06-30</v>
          </cell>
        </row>
        <row r="1913">
          <cell r="A1913" t="str">
            <v>480000</v>
          </cell>
          <cell r="B1913" t="str">
            <v>1015</v>
          </cell>
          <cell r="C1913">
            <v>-12439.82</v>
          </cell>
          <cell r="D1913" t="str">
            <v>205</v>
          </cell>
          <cell r="E1913" t="str">
            <v>408</v>
          </cell>
          <cell r="F1913">
            <v>0</v>
          </cell>
          <cell r="G1913">
            <v>6</v>
          </cell>
          <cell r="H1913" t="str">
            <v>2006-06-30</v>
          </cell>
        </row>
        <row r="1914">
          <cell r="A1914" t="str">
            <v>480001</v>
          </cell>
          <cell r="B1914" t="str">
            <v>1015</v>
          </cell>
          <cell r="C1914">
            <v>-26605.03</v>
          </cell>
          <cell r="D1914" t="str">
            <v>202</v>
          </cell>
          <cell r="E1914" t="str">
            <v>408</v>
          </cell>
          <cell r="F1914">
            <v>-5014.24</v>
          </cell>
          <cell r="G1914">
            <v>6</v>
          </cell>
          <cell r="H1914" t="str">
            <v>2006-06-30</v>
          </cell>
        </row>
        <row r="1915">
          <cell r="A1915" t="str">
            <v>480001</v>
          </cell>
          <cell r="B1915" t="str">
            <v>1015</v>
          </cell>
          <cell r="C1915">
            <v>-10376.129999999999</v>
          </cell>
          <cell r="D1915" t="str">
            <v>203</v>
          </cell>
          <cell r="E1915" t="str">
            <v>408</v>
          </cell>
          <cell r="F1915">
            <v>0</v>
          </cell>
          <cell r="G1915">
            <v>6</v>
          </cell>
          <cell r="H1915" t="str">
            <v>2006-06-30</v>
          </cell>
        </row>
        <row r="1916">
          <cell r="A1916" t="str">
            <v>480001</v>
          </cell>
          <cell r="B1916" t="str">
            <v>1015</v>
          </cell>
          <cell r="C1916">
            <v>-52355.11</v>
          </cell>
          <cell r="D1916" t="str">
            <v>204</v>
          </cell>
          <cell r="E1916" t="str">
            <v>408</v>
          </cell>
          <cell r="F1916">
            <v>0</v>
          </cell>
          <cell r="G1916">
            <v>6</v>
          </cell>
          <cell r="H1916" t="str">
            <v>2006-06-30</v>
          </cell>
        </row>
        <row r="1917">
          <cell r="A1917" t="str">
            <v>480001</v>
          </cell>
          <cell r="B1917" t="str">
            <v>1015</v>
          </cell>
          <cell r="C1917">
            <v>6714.49</v>
          </cell>
          <cell r="D1917" t="str">
            <v>205</v>
          </cell>
          <cell r="E1917" t="str">
            <v>408</v>
          </cell>
          <cell r="F1917">
            <v>0</v>
          </cell>
          <cell r="G1917">
            <v>6</v>
          </cell>
          <cell r="H1917" t="str">
            <v>2006-06-30</v>
          </cell>
        </row>
        <row r="1918">
          <cell r="A1918" t="str">
            <v>480001</v>
          </cell>
          <cell r="B1918" t="str">
            <v>1015</v>
          </cell>
          <cell r="C1918">
            <v>0</v>
          </cell>
          <cell r="D1918" t="str">
            <v>210</v>
          </cell>
          <cell r="E1918" t="str">
            <v>408</v>
          </cell>
          <cell r="F1918">
            <v>0</v>
          </cell>
          <cell r="G1918">
            <v>6</v>
          </cell>
          <cell r="H1918" t="str">
            <v>2006-06-30</v>
          </cell>
        </row>
        <row r="1919">
          <cell r="A1919" t="str">
            <v>481004</v>
          </cell>
          <cell r="B1919" t="str">
            <v>1015</v>
          </cell>
          <cell r="C1919">
            <v>-30938.720000000001</v>
          </cell>
          <cell r="D1919" t="str">
            <v>202</v>
          </cell>
          <cell r="E1919" t="str">
            <v>408</v>
          </cell>
          <cell r="F1919">
            <v>-7655.28</v>
          </cell>
          <cell r="G1919">
            <v>6</v>
          </cell>
          <cell r="H1919" t="str">
            <v>2006-06-30</v>
          </cell>
        </row>
        <row r="1920">
          <cell r="A1920" t="str">
            <v>481004</v>
          </cell>
          <cell r="B1920" t="str">
            <v>1015</v>
          </cell>
          <cell r="C1920">
            <v>-3811.82</v>
          </cell>
          <cell r="D1920" t="str">
            <v>203</v>
          </cell>
          <cell r="E1920" t="str">
            <v>408</v>
          </cell>
          <cell r="F1920">
            <v>0</v>
          </cell>
          <cell r="G1920">
            <v>6</v>
          </cell>
          <cell r="H1920" t="str">
            <v>2006-06-30</v>
          </cell>
        </row>
        <row r="1921">
          <cell r="A1921" t="str">
            <v>481004</v>
          </cell>
          <cell r="B1921" t="str">
            <v>1015</v>
          </cell>
          <cell r="C1921">
            <v>-50073.23</v>
          </cell>
          <cell r="D1921" t="str">
            <v>204</v>
          </cell>
          <cell r="E1921" t="str">
            <v>408</v>
          </cell>
          <cell r="F1921">
            <v>0</v>
          </cell>
          <cell r="G1921">
            <v>6</v>
          </cell>
          <cell r="H1921" t="str">
            <v>2006-06-30</v>
          </cell>
        </row>
        <row r="1922">
          <cell r="A1922" t="str">
            <v>481004</v>
          </cell>
          <cell r="B1922" t="str">
            <v>1015</v>
          </cell>
          <cell r="C1922">
            <v>-5222.67</v>
          </cell>
          <cell r="D1922" t="str">
            <v>205</v>
          </cell>
          <cell r="E1922" t="str">
            <v>408</v>
          </cell>
          <cell r="F1922">
            <v>0</v>
          </cell>
          <cell r="G1922">
            <v>6</v>
          </cell>
          <cell r="H1922" t="str">
            <v>2006-06-30</v>
          </cell>
        </row>
        <row r="1923">
          <cell r="A1923" t="str">
            <v>481002</v>
          </cell>
          <cell r="B1923" t="str">
            <v>1015</v>
          </cell>
          <cell r="C1923">
            <v>-6551.18</v>
          </cell>
          <cell r="D1923" t="str">
            <v>202</v>
          </cell>
          <cell r="E1923" t="str">
            <v>411</v>
          </cell>
          <cell r="F1923">
            <v>-36560</v>
          </cell>
          <cell r="G1923">
            <v>6</v>
          </cell>
          <cell r="H1923" t="str">
            <v>2006-06-30</v>
          </cell>
        </row>
        <row r="1924">
          <cell r="A1924" t="str">
            <v>481002</v>
          </cell>
          <cell r="B1924" t="str">
            <v>1015</v>
          </cell>
          <cell r="C1924">
            <v>-6685.72</v>
          </cell>
          <cell r="D1924" t="str">
            <v>203</v>
          </cell>
          <cell r="E1924" t="str">
            <v>411</v>
          </cell>
          <cell r="F1924">
            <v>0</v>
          </cell>
          <cell r="G1924">
            <v>6</v>
          </cell>
          <cell r="H1924" t="str">
            <v>2006-06-30</v>
          </cell>
        </row>
        <row r="1925">
          <cell r="A1925" t="str">
            <v>481002</v>
          </cell>
          <cell r="B1925" t="str">
            <v>1015</v>
          </cell>
          <cell r="C1925">
            <v>-175964.37</v>
          </cell>
          <cell r="D1925" t="str">
            <v>204</v>
          </cell>
          <cell r="E1925" t="str">
            <v>411</v>
          </cell>
          <cell r="F1925">
            <v>0</v>
          </cell>
          <cell r="G1925">
            <v>6</v>
          </cell>
          <cell r="H1925" t="str">
            <v>2006-06-30</v>
          </cell>
        </row>
        <row r="1926">
          <cell r="A1926" t="str">
            <v>481005</v>
          </cell>
          <cell r="B1926" t="str">
            <v>1015</v>
          </cell>
          <cell r="C1926">
            <v>-22104.79</v>
          </cell>
          <cell r="D1926" t="str">
            <v>202</v>
          </cell>
          <cell r="E1926" t="str">
            <v>411</v>
          </cell>
          <cell r="F1926">
            <v>-88687</v>
          </cell>
          <cell r="G1926">
            <v>6</v>
          </cell>
          <cell r="H1926" t="str">
            <v>2006-06-30</v>
          </cell>
        </row>
        <row r="1927">
          <cell r="A1927" t="str">
            <v>481005</v>
          </cell>
          <cell r="B1927" t="str">
            <v>1015</v>
          </cell>
          <cell r="C1927">
            <v>-16218.3</v>
          </cell>
          <cell r="D1927" t="str">
            <v>203</v>
          </cell>
          <cell r="E1927" t="str">
            <v>411</v>
          </cell>
          <cell r="F1927">
            <v>0</v>
          </cell>
          <cell r="G1927">
            <v>6</v>
          </cell>
          <cell r="H1927" t="str">
            <v>2006-06-30</v>
          </cell>
        </row>
        <row r="1928">
          <cell r="A1928" t="str">
            <v>481005</v>
          </cell>
          <cell r="B1928" t="str">
            <v>1015</v>
          </cell>
          <cell r="C1928">
            <v>-426853.01</v>
          </cell>
          <cell r="D1928" t="str">
            <v>204</v>
          </cell>
          <cell r="E1928" t="str">
            <v>411</v>
          </cell>
          <cell r="F1928">
            <v>0</v>
          </cell>
          <cell r="G1928">
            <v>6</v>
          </cell>
          <cell r="H1928" t="str">
            <v>2006-06-30</v>
          </cell>
        </row>
        <row r="1929">
          <cell r="A1929" t="str">
            <v>481002</v>
          </cell>
          <cell r="B1929" t="str">
            <v>1015</v>
          </cell>
          <cell r="C1929">
            <v>0</v>
          </cell>
          <cell r="D1929" t="str">
            <v>210</v>
          </cell>
          <cell r="E1929" t="str">
            <v>412</v>
          </cell>
          <cell r="F1929">
            <v>0</v>
          </cell>
          <cell r="G1929">
            <v>6</v>
          </cell>
          <cell r="H1929" t="str">
            <v>2006-06-30</v>
          </cell>
        </row>
        <row r="1930">
          <cell r="A1930" t="str">
            <v>481002</v>
          </cell>
          <cell r="B1930" t="str">
            <v>1015</v>
          </cell>
          <cell r="C1930">
            <v>-2017.49</v>
          </cell>
          <cell r="D1930" t="str">
            <v>202</v>
          </cell>
          <cell r="E1930" t="str">
            <v>414</v>
          </cell>
          <cell r="F1930">
            <v>-706</v>
          </cell>
          <cell r="G1930">
            <v>6</v>
          </cell>
          <cell r="H1930" t="str">
            <v>2006-06-30</v>
          </cell>
        </row>
        <row r="1931">
          <cell r="A1931" t="str">
            <v>481002</v>
          </cell>
          <cell r="B1931" t="str">
            <v>1015</v>
          </cell>
          <cell r="C1931">
            <v>-129.11000000000001</v>
          </cell>
          <cell r="D1931" t="str">
            <v>203</v>
          </cell>
          <cell r="E1931" t="str">
            <v>414</v>
          </cell>
          <cell r="F1931">
            <v>0</v>
          </cell>
          <cell r="G1931">
            <v>6</v>
          </cell>
          <cell r="H1931" t="str">
            <v>2006-06-30</v>
          </cell>
        </row>
        <row r="1932">
          <cell r="A1932" t="str">
            <v>481002</v>
          </cell>
          <cell r="B1932" t="str">
            <v>1015</v>
          </cell>
          <cell r="C1932">
            <v>-3398</v>
          </cell>
          <cell r="D1932" t="str">
            <v>204</v>
          </cell>
          <cell r="E1932" t="str">
            <v>414</v>
          </cell>
          <cell r="F1932">
            <v>0</v>
          </cell>
          <cell r="G1932">
            <v>6</v>
          </cell>
          <cell r="H1932" t="str">
            <v>2006-06-30</v>
          </cell>
        </row>
        <row r="1933">
          <cell r="A1933" t="str">
            <v>481005</v>
          </cell>
          <cell r="B1933" t="str">
            <v>1015</v>
          </cell>
          <cell r="C1933">
            <v>-13372.59</v>
          </cell>
          <cell r="D1933" t="str">
            <v>202</v>
          </cell>
          <cell r="E1933" t="str">
            <v>414</v>
          </cell>
          <cell r="F1933">
            <v>-14778</v>
          </cell>
          <cell r="G1933">
            <v>6</v>
          </cell>
          <cell r="H1933" t="str">
            <v>2006-06-30</v>
          </cell>
        </row>
        <row r="1934">
          <cell r="A1934" t="str">
            <v>481005</v>
          </cell>
          <cell r="B1934" t="str">
            <v>1015</v>
          </cell>
          <cell r="C1934">
            <v>-2702.66</v>
          </cell>
          <cell r="D1934" t="str">
            <v>203</v>
          </cell>
          <cell r="E1934" t="str">
            <v>414</v>
          </cell>
          <cell r="F1934">
            <v>0</v>
          </cell>
          <cell r="G1934">
            <v>6</v>
          </cell>
          <cell r="H1934" t="str">
            <v>2006-06-30</v>
          </cell>
        </row>
        <row r="1935">
          <cell r="A1935" t="str">
            <v>481005</v>
          </cell>
          <cell r="B1935" t="str">
            <v>1015</v>
          </cell>
          <cell r="C1935">
            <v>-71126.929999999993</v>
          </cell>
          <cell r="D1935" t="str">
            <v>204</v>
          </cell>
          <cell r="E1935" t="str">
            <v>414</v>
          </cell>
          <cell r="F1935">
            <v>0</v>
          </cell>
          <cell r="G1935">
            <v>6</v>
          </cell>
          <cell r="H1935" t="str">
            <v>2006-06-30</v>
          </cell>
        </row>
        <row r="1936">
          <cell r="A1936" t="str">
            <v>489300</v>
          </cell>
          <cell r="B1936" t="str">
            <v>1015</v>
          </cell>
          <cell r="C1936">
            <v>-168686.38</v>
          </cell>
          <cell r="D1936" t="str">
            <v>250</v>
          </cell>
          <cell r="E1936" t="str">
            <v>415</v>
          </cell>
          <cell r="F1936">
            <v>-1117429</v>
          </cell>
          <cell r="G1936">
            <v>6</v>
          </cell>
          <cell r="H1936" t="str">
            <v>2006-06-30</v>
          </cell>
        </row>
        <row r="1937">
          <cell r="A1937" t="str">
            <v>489304</v>
          </cell>
          <cell r="B1937" t="str">
            <v>1015</v>
          </cell>
          <cell r="C1937">
            <v>-62851.11</v>
          </cell>
          <cell r="D1937" t="str">
            <v>250</v>
          </cell>
          <cell r="E1937" t="str">
            <v>415</v>
          </cell>
          <cell r="F1937">
            <v>-253455</v>
          </cell>
          <cell r="G1937">
            <v>6</v>
          </cell>
          <cell r="H1937" t="str">
            <v>2006-06-30</v>
          </cell>
        </row>
        <row r="1938">
          <cell r="A1938" t="str">
            <v>489304</v>
          </cell>
          <cell r="B1938" t="str">
            <v>1015</v>
          </cell>
          <cell r="C1938">
            <v>-775.92</v>
          </cell>
          <cell r="D1938" t="str">
            <v>250</v>
          </cell>
          <cell r="E1938" t="str">
            <v>416</v>
          </cell>
          <cell r="F1938">
            <v>-788</v>
          </cell>
          <cell r="G1938">
            <v>6</v>
          </cell>
          <cell r="H1938" t="str">
            <v>2006-06-30</v>
          </cell>
        </row>
        <row r="1939">
          <cell r="A1939" t="str">
            <v>481000</v>
          </cell>
          <cell r="B1939" t="str">
            <v>1015</v>
          </cell>
          <cell r="C1939">
            <v>0</v>
          </cell>
          <cell r="D1939" t="str">
            <v>202</v>
          </cell>
          <cell r="E1939" t="str">
            <v>451</v>
          </cell>
          <cell r="F1939">
            <v>0</v>
          </cell>
          <cell r="G1939">
            <v>6</v>
          </cell>
          <cell r="H1939" t="str">
            <v>2006-06-30</v>
          </cell>
        </row>
        <row r="1940">
          <cell r="A1940" t="str">
            <v>481000</v>
          </cell>
          <cell r="B1940" t="str">
            <v>1015</v>
          </cell>
          <cell r="C1940">
            <v>0</v>
          </cell>
          <cell r="D1940" t="str">
            <v>204</v>
          </cell>
          <cell r="E1940" t="str">
            <v>451</v>
          </cell>
          <cell r="F1940">
            <v>0</v>
          </cell>
          <cell r="G1940">
            <v>6</v>
          </cell>
          <cell r="H1940" t="str">
            <v>2006-06-30</v>
          </cell>
        </row>
        <row r="1941">
          <cell r="A1941" t="str">
            <v>481000</v>
          </cell>
          <cell r="B1941" t="str">
            <v>1015</v>
          </cell>
          <cell r="C1941">
            <v>0</v>
          </cell>
          <cell r="D1941" t="str">
            <v>210</v>
          </cell>
          <cell r="E1941" t="str">
            <v>451</v>
          </cell>
          <cell r="F1941">
            <v>0</v>
          </cell>
          <cell r="G1941">
            <v>6</v>
          </cell>
          <cell r="H1941" t="str">
            <v>2006-06-30</v>
          </cell>
        </row>
        <row r="1942">
          <cell r="A1942" t="str">
            <v>481004</v>
          </cell>
          <cell r="B1942" t="str">
            <v>1015</v>
          </cell>
          <cell r="C1942">
            <v>-16478</v>
          </cell>
          <cell r="D1942" t="str">
            <v>202</v>
          </cell>
          <cell r="E1942" t="str">
            <v>451</v>
          </cell>
          <cell r="F1942">
            <v>-15788</v>
          </cell>
          <cell r="G1942">
            <v>6</v>
          </cell>
          <cell r="H1942" t="str">
            <v>2006-06-30</v>
          </cell>
        </row>
        <row r="1943">
          <cell r="A1943" t="str">
            <v>481004</v>
          </cell>
          <cell r="B1943" t="str">
            <v>1015</v>
          </cell>
          <cell r="C1943">
            <v>-121723</v>
          </cell>
          <cell r="D1943" t="str">
            <v>204</v>
          </cell>
          <cell r="E1943" t="str">
            <v>451</v>
          </cell>
          <cell r="F1943">
            <v>0</v>
          </cell>
          <cell r="G1943">
            <v>6</v>
          </cell>
          <cell r="H1943" t="str">
            <v>2006-06-30</v>
          </cell>
        </row>
        <row r="1944">
          <cell r="A1944" t="str">
            <v>481004</v>
          </cell>
          <cell r="B1944" t="str">
            <v>1015</v>
          </cell>
          <cell r="C1944">
            <v>0</v>
          </cell>
          <cell r="D1944" t="str">
            <v>210</v>
          </cell>
          <cell r="E1944" t="str">
            <v>451</v>
          </cell>
          <cell r="F1944">
            <v>0</v>
          </cell>
          <cell r="G1944">
            <v>6</v>
          </cell>
          <cell r="H1944" t="str">
            <v>2006-06-30</v>
          </cell>
        </row>
        <row r="1945">
          <cell r="A1945" t="str">
            <v>480000</v>
          </cell>
          <cell r="B1945" t="str">
            <v>1015</v>
          </cell>
          <cell r="C1945">
            <v>-320088.11</v>
          </cell>
          <cell r="D1945" t="str">
            <v>202</v>
          </cell>
          <cell r="E1945" t="str">
            <v>453</v>
          </cell>
          <cell r="F1945">
            <v>-69460.929999999993</v>
          </cell>
          <cell r="G1945">
            <v>6</v>
          </cell>
          <cell r="H1945" t="str">
            <v>2006-06-30</v>
          </cell>
        </row>
        <row r="1946">
          <cell r="A1946" t="str">
            <v>480000</v>
          </cell>
          <cell r="B1946" t="str">
            <v>1015</v>
          </cell>
          <cell r="C1946">
            <v>-523651.98</v>
          </cell>
          <cell r="D1946" t="str">
            <v>204</v>
          </cell>
          <cell r="E1946" t="str">
            <v>453</v>
          </cell>
          <cell r="F1946">
            <v>0</v>
          </cell>
          <cell r="G1946">
            <v>6</v>
          </cell>
          <cell r="H1946" t="str">
            <v>2006-06-30</v>
          </cell>
        </row>
        <row r="1947">
          <cell r="A1947" t="str">
            <v>480000</v>
          </cell>
          <cell r="B1947" t="str">
            <v>1015</v>
          </cell>
          <cell r="C1947">
            <v>-35604.19</v>
          </cell>
          <cell r="D1947" t="str">
            <v>205</v>
          </cell>
          <cell r="E1947" t="str">
            <v>453</v>
          </cell>
          <cell r="F1947">
            <v>0</v>
          </cell>
          <cell r="G1947">
            <v>6</v>
          </cell>
          <cell r="H1947" t="str">
            <v>2006-06-30</v>
          </cell>
        </row>
        <row r="1948">
          <cell r="A1948" t="str">
            <v>480000</v>
          </cell>
          <cell r="B1948" t="str">
            <v>1015</v>
          </cell>
          <cell r="C1948">
            <v>14.75</v>
          </cell>
          <cell r="D1948" t="str">
            <v>210</v>
          </cell>
          <cell r="E1948" t="str">
            <v>453</v>
          </cell>
          <cell r="F1948">
            <v>0.9</v>
          </cell>
          <cell r="G1948">
            <v>6</v>
          </cell>
          <cell r="H1948" t="str">
            <v>2006-06-30</v>
          </cell>
        </row>
        <row r="1949">
          <cell r="A1949" t="str">
            <v>480001</v>
          </cell>
          <cell r="B1949" t="str">
            <v>1015</v>
          </cell>
          <cell r="C1949">
            <v>211758.67</v>
          </cell>
          <cell r="D1949" t="str">
            <v>202</v>
          </cell>
          <cell r="E1949" t="str">
            <v>453</v>
          </cell>
          <cell r="F1949">
            <v>2999.35</v>
          </cell>
          <cell r="G1949">
            <v>6</v>
          </cell>
          <cell r="H1949" t="str">
            <v>2006-06-30</v>
          </cell>
        </row>
        <row r="1950">
          <cell r="A1950" t="str">
            <v>480001</v>
          </cell>
          <cell r="B1950" t="str">
            <v>1015</v>
          </cell>
          <cell r="C1950">
            <v>0</v>
          </cell>
          <cell r="D1950" t="str">
            <v>203</v>
          </cell>
          <cell r="E1950" t="str">
            <v>453</v>
          </cell>
          <cell r="F1950">
            <v>0</v>
          </cell>
          <cell r="G1950">
            <v>6</v>
          </cell>
          <cell r="H1950" t="str">
            <v>2006-06-30</v>
          </cell>
        </row>
        <row r="1951">
          <cell r="A1951" t="str">
            <v>480001</v>
          </cell>
          <cell r="B1951" t="str">
            <v>1015</v>
          </cell>
          <cell r="C1951">
            <v>-27380.799999999999</v>
          </cell>
          <cell r="D1951" t="str">
            <v>204</v>
          </cell>
          <cell r="E1951" t="str">
            <v>453</v>
          </cell>
          <cell r="F1951">
            <v>0</v>
          </cell>
          <cell r="G1951">
            <v>6</v>
          </cell>
          <cell r="H1951" t="str">
            <v>2006-06-30</v>
          </cell>
        </row>
        <row r="1952">
          <cell r="A1952" t="str">
            <v>480001</v>
          </cell>
          <cell r="B1952" t="str">
            <v>1015</v>
          </cell>
          <cell r="C1952">
            <v>-6408.45</v>
          </cell>
          <cell r="D1952" t="str">
            <v>205</v>
          </cell>
          <cell r="E1952" t="str">
            <v>453</v>
          </cell>
          <cell r="F1952">
            <v>0</v>
          </cell>
          <cell r="G1952">
            <v>6</v>
          </cell>
          <cell r="H1952" t="str">
            <v>2006-06-30</v>
          </cell>
        </row>
        <row r="1953">
          <cell r="A1953" t="str">
            <v>480001</v>
          </cell>
          <cell r="B1953" t="str">
            <v>1015</v>
          </cell>
          <cell r="C1953">
            <v>-14.75</v>
          </cell>
          <cell r="D1953" t="str">
            <v>210</v>
          </cell>
          <cell r="E1953" t="str">
            <v>453</v>
          </cell>
          <cell r="F1953">
            <v>-0.9</v>
          </cell>
          <cell r="G1953">
            <v>6</v>
          </cell>
          <cell r="H1953" t="str">
            <v>2006-06-30</v>
          </cell>
        </row>
        <row r="1954">
          <cell r="A1954" t="str">
            <v>481004</v>
          </cell>
          <cell r="B1954" t="str">
            <v>1015</v>
          </cell>
          <cell r="C1954">
            <v>-74930.559999999998</v>
          </cell>
          <cell r="D1954" t="str">
            <v>202</v>
          </cell>
          <cell r="E1954" t="str">
            <v>453</v>
          </cell>
          <cell r="F1954">
            <v>-28983.42</v>
          </cell>
          <cell r="G1954">
            <v>6</v>
          </cell>
          <cell r="H1954" t="str">
            <v>2006-06-30</v>
          </cell>
        </row>
        <row r="1955">
          <cell r="A1955" t="str">
            <v>481004</v>
          </cell>
          <cell r="B1955" t="str">
            <v>1015</v>
          </cell>
          <cell r="C1955">
            <v>-217691.22</v>
          </cell>
          <cell r="D1955" t="str">
            <v>204</v>
          </cell>
          <cell r="E1955" t="str">
            <v>453</v>
          </cell>
          <cell r="F1955">
            <v>0</v>
          </cell>
          <cell r="G1955">
            <v>6</v>
          </cell>
          <cell r="H1955" t="str">
            <v>2006-06-30</v>
          </cell>
        </row>
        <row r="1956">
          <cell r="A1956" t="str">
            <v>481004</v>
          </cell>
          <cell r="B1956" t="str">
            <v>1015</v>
          </cell>
          <cell r="C1956">
            <v>-16419.36</v>
          </cell>
          <cell r="D1956" t="str">
            <v>205</v>
          </cell>
          <cell r="E1956" t="str">
            <v>453</v>
          </cell>
          <cell r="F1956">
            <v>0</v>
          </cell>
          <cell r="G1956">
            <v>6</v>
          </cell>
          <cell r="H1956" t="str">
            <v>2006-06-30</v>
          </cell>
        </row>
        <row r="1957">
          <cell r="A1957" t="str">
            <v>480000</v>
          </cell>
          <cell r="B1957" t="str">
            <v>1015</v>
          </cell>
          <cell r="C1957">
            <v>-12116.92</v>
          </cell>
          <cell r="D1957" t="str">
            <v>202</v>
          </cell>
          <cell r="E1957" t="str">
            <v>455</v>
          </cell>
          <cell r="F1957">
            <v>-2777.36</v>
          </cell>
          <cell r="G1957">
            <v>6</v>
          </cell>
          <cell r="H1957" t="str">
            <v>2006-06-30</v>
          </cell>
        </row>
        <row r="1958">
          <cell r="A1958" t="str">
            <v>480000</v>
          </cell>
          <cell r="B1958" t="str">
            <v>1015</v>
          </cell>
          <cell r="C1958">
            <v>-20933.04</v>
          </cell>
          <cell r="D1958" t="str">
            <v>204</v>
          </cell>
          <cell r="E1958" t="str">
            <v>455</v>
          </cell>
          <cell r="F1958">
            <v>0</v>
          </cell>
          <cell r="G1958">
            <v>6</v>
          </cell>
          <cell r="H1958" t="str">
            <v>2006-06-30</v>
          </cell>
        </row>
        <row r="1959">
          <cell r="A1959" t="str">
            <v>480000</v>
          </cell>
          <cell r="B1959" t="str">
            <v>1015</v>
          </cell>
          <cell r="C1959">
            <v>-3444.65</v>
          </cell>
          <cell r="D1959" t="str">
            <v>205</v>
          </cell>
          <cell r="E1959" t="str">
            <v>455</v>
          </cell>
          <cell r="F1959">
            <v>0</v>
          </cell>
          <cell r="G1959">
            <v>6</v>
          </cell>
          <cell r="H1959" t="str">
            <v>2006-06-30</v>
          </cell>
        </row>
        <row r="1960">
          <cell r="A1960" t="str">
            <v>480001</v>
          </cell>
          <cell r="B1960" t="str">
            <v>1015</v>
          </cell>
          <cell r="C1960">
            <v>5726.46</v>
          </cell>
          <cell r="D1960" t="str">
            <v>202</v>
          </cell>
          <cell r="E1960" t="str">
            <v>455</v>
          </cell>
          <cell r="F1960">
            <v>2021.03</v>
          </cell>
          <cell r="G1960">
            <v>6</v>
          </cell>
          <cell r="H1960" t="str">
            <v>2006-06-30</v>
          </cell>
        </row>
        <row r="1961">
          <cell r="A1961" t="str">
            <v>480001</v>
          </cell>
          <cell r="B1961" t="str">
            <v>1015</v>
          </cell>
          <cell r="C1961">
            <v>0</v>
          </cell>
          <cell r="D1961" t="str">
            <v>203</v>
          </cell>
          <cell r="E1961" t="str">
            <v>455</v>
          </cell>
          <cell r="F1961">
            <v>0</v>
          </cell>
          <cell r="G1961">
            <v>6</v>
          </cell>
          <cell r="H1961" t="str">
            <v>2006-06-30</v>
          </cell>
        </row>
        <row r="1962">
          <cell r="A1962" t="str">
            <v>480001</v>
          </cell>
          <cell r="B1962" t="str">
            <v>1015</v>
          </cell>
          <cell r="C1962">
            <v>14720.28</v>
          </cell>
          <cell r="D1962" t="str">
            <v>204</v>
          </cell>
          <cell r="E1962" t="str">
            <v>455</v>
          </cell>
          <cell r="F1962">
            <v>0</v>
          </cell>
          <cell r="G1962">
            <v>6</v>
          </cell>
          <cell r="H1962" t="str">
            <v>2006-06-30</v>
          </cell>
        </row>
        <row r="1963">
          <cell r="A1963" t="str">
            <v>480001</v>
          </cell>
          <cell r="B1963" t="str">
            <v>1015</v>
          </cell>
          <cell r="C1963">
            <v>5526.99</v>
          </cell>
          <cell r="D1963" t="str">
            <v>205</v>
          </cell>
          <cell r="E1963" t="str">
            <v>455</v>
          </cell>
          <cell r="F1963">
            <v>0</v>
          </cell>
          <cell r="G1963">
            <v>6</v>
          </cell>
          <cell r="H1963" t="str">
            <v>2006-06-30</v>
          </cell>
        </row>
        <row r="1964">
          <cell r="A1964" t="str">
            <v>480001</v>
          </cell>
          <cell r="B1964" t="str">
            <v>1015</v>
          </cell>
          <cell r="C1964">
            <v>0</v>
          </cell>
          <cell r="D1964" t="str">
            <v>210</v>
          </cell>
          <cell r="E1964" t="str">
            <v>455</v>
          </cell>
          <cell r="F1964">
            <v>0</v>
          </cell>
          <cell r="G1964">
            <v>6</v>
          </cell>
          <cell r="H1964" t="str">
            <v>2006-06-30</v>
          </cell>
        </row>
        <row r="1965">
          <cell r="A1965" t="str">
            <v>481004</v>
          </cell>
          <cell r="B1965" t="str">
            <v>1015</v>
          </cell>
          <cell r="C1965">
            <v>-4611.54</v>
          </cell>
          <cell r="D1965" t="str">
            <v>202</v>
          </cell>
          <cell r="E1965" t="str">
            <v>455</v>
          </cell>
          <cell r="F1965">
            <v>-1479.67</v>
          </cell>
          <cell r="G1965">
            <v>6</v>
          </cell>
          <cell r="H1965" t="str">
            <v>2006-06-30</v>
          </cell>
        </row>
        <row r="1966">
          <cell r="A1966" t="str">
            <v>481004</v>
          </cell>
          <cell r="B1966" t="str">
            <v>1015</v>
          </cell>
          <cell r="C1966">
            <v>-11026.24</v>
          </cell>
          <cell r="D1966" t="str">
            <v>204</v>
          </cell>
          <cell r="E1966" t="str">
            <v>455</v>
          </cell>
          <cell r="F1966">
            <v>0</v>
          </cell>
          <cell r="G1966">
            <v>6</v>
          </cell>
          <cell r="H1966" t="str">
            <v>2006-06-30</v>
          </cell>
        </row>
        <row r="1967">
          <cell r="A1967" t="str">
            <v>481004</v>
          </cell>
          <cell r="B1967" t="str">
            <v>1015</v>
          </cell>
          <cell r="C1967">
            <v>-2082.34</v>
          </cell>
          <cell r="D1967" t="str">
            <v>205</v>
          </cell>
          <cell r="E1967" t="str">
            <v>455</v>
          </cell>
          <cell r="F1967">
            <v>0</v>
          </cell>
          <cell r="G1967">
            <v>6</v>
          </cell>
          <cell r="H1967" t="str">
            <v>2006-06-30</v>
          </cell>
        </row>
        <row r="1968">
          <cell r="A1968" t="str">
            <v>481002</v>
          </cell>
          <cell r="B1968" t="str">
            <v>1015</v>
          </cell>
          <cell r="C1968">
            <v>0</v>
          </cell>
          <cell r="D1968" t="str">
            <v>202</v>
          </cell>
          <cell r="E1968" t="str">
            <v>456</v>
          </cell>
          <cell r="F1968">
            <v>0</v>
          </cell>
          <cell r="G1968">
            <v>6</v>
          </cell>
          <cell r="H1968" t="str">
            <v>2006-06-30</v>
          </cell>
        </row>
        <row r="1969">
          <cell r="A1969" t="str">
            <v>481002</v>
          </cell>
          <cell r="B1969" t="str">
            <v>1015</v>
          </cell>
          <cell r="C1969">
            <v>0</v>
          </cell>
          <cell r="D1969" t="str">
            <v>203</v>
          </cell>
          <cell r="E1969" t="str">
            <v>456</v>
          </cell>
          <cell r="F1969">
            <v>0</v>
          </cell>
          <cell r="G1969">
            <v>6</v>
          </cell>
          <cell r="H1969" t="str">
            <v>2006-06-30</v>
          </cell>
        </row>
        <row r="1970">
          <cell r="A1970" t="str">
            <v>481002</v>
          </cell>
          <cell r="B1970" t="str">
            <v>1015</v>
          </cell>
          <cell r="C1970">
            <v>0</v>
          </cell>
          <cell r="D1970" t="str">
            <v>204</v>
          </cell>
          <cell r="E1970" t="str">
            <v>456</v>
          </cell>
          <cell r="F1970">
            <v>0</v>
          </cell>
          <cell r="G1970">
            <v>6</v>
          </cell>
          <cell r="H1970" t="str">
            <v>2006-06-30</v>
          </cell>
        </row>
        <row r="1971">
          <cell r="A1971" t="str">
            <v>481002</v>
          </cell>
          <cell r="B1971" t="str">
            <v>1015</v>
          </cell>
          <cell r="C1971">
            <v>0</v>
          </cell>
          <cell r="D1971" t="str">
            <v>210</v>
          </cell>
          <cell r="E1971" t="str">
            <v>456</v>
          </cell>
          <cell r="F1971">
            <v>0</v>
          </cell>
          <cell r="G1971">
            <v>6</v>
          </cell>
          <cell r="H1971" t="str">
            <v>2006-06-30</v>
          </cell>
        </row>
        <row r="1972">
          <cell r="A1972" t="str">
            <v>481002</v>
          </cell>
          <cell r="B1972" t="str">
            <v>1015</v>
          </cell>
          <cell r="C1972">
            <v>-357.71</v>
          </cell>
          <cell r="D1972" t="str">
            <v>202</v>
          </cell>
          <cell r="E1972" t="str">
            <v>457</v>
          </cell>
          <cell r="F1972">
            <v>-2124</v>
          </cell>
          <cell r="G1972">
            <v>6</v>
          </cell>
          <cell r="H1972" t="str">
            <v>2006-06-30</v>
          </cell>
        </row>
        <row r="1973">
          <cell r="A1973" t="str">
            <v>481002</v>
          </cell>
          <cell r="B1973" t="str">
            <v>1015</v>
          </cell>
          <cell r="C1973">
            <v>-388.42</v>
          </cell>
          <cell r="D1973" t="str">
            <v>203</v>
          </cell>
          <cell r="E1973" t="str">
            <v>457</v>
          </cell>
          <cell r="F1973">
            <v>0</v>
          </cell>
          <cell r="G1973">
            <v>6</v>
          </cell>
          <cell r="H1973" t="str">
            <v>2006-06-30</v>
          </cell>
        </row>
        <row r="1974">
          <cell r="A1974" t="str">
            <v>481002</v>
          </cell>
          <cell r="B1974" t="str">
            <v>1015</v>
          </cell>
          <cell r="C1974">
            <v>-10198.56</v>
          </cell>
          <cell r="D1974" t="str">
            <v>204</v>
          </cell>
          <cell r="E1974" t="str">
            <v>457</v>
          </cell>
          <cell r="F1974">
            <v>0</v>
          </cell>
          <cell r="G1974">
            <v>6</v>
          </cell>
          <cell r="H1974" t="str">
            <v>2006-06-30</v>
          </cell>
        </row>
        <row r="1975">
          <cell r="A1975" t="str">
            <v>481005</v>
          </cell>
          <cell r="B1975" t="str">
            <v>1015</v>
          </cell>
          <cell r="C1975">
            <v>-1105</v>
          </cell>
          <cell r="D1975" t="str">
            <v>202</v>
          </cell>
          <cell r="E1975" t="str">
            <v>457</v>
          </cell>
          <cell r="F1975">
            <v>-4812</v>
          </cell>
          <cell r="G1975">
            <v>6</v>
          </cell>
          <cell r="H1975" t="str">
            <v>2006-06-30</v>
          </cell>
        </row>
        <row r="1976">
          <cell r="A1976" t="str">
            <v>481005</v>
          </cell>
          <cell r="B1976" t="str">
            <v>1015</v>
          </cell>
          <cell r="C1976">
            <v>-880</v>
          </cell>
          <cell r="D1976" t="str">
            <v>203</v>
          </cell>
          <cell r="E1976" t="str">
            <v>457</v>
          </cell>
          <cell r="F1976">
            <v>0</v>
          </cell>
          <cell r="G1976">
            <v>6</v>
          </cell>
          <cell r="H1976" t="str">
            <v>2006-06-30</v>
          </cell>
        </row>
        <row r="1977">
          <cell r="A1977" t="str">
            <v>481005</v>
          </cell>
          <cell r="B1977" t="str">
            <v>1015</v>
          </cell>
          <cell r="C1977">
            <v>-23105</v>
          </cell>
          <cell r="D1977" t="str">
            <v>204</v>
          </cell>
          <cell r="E1977" t="str">
            <v>457</v>
          </cell>
          <cell r="F1977">
            <v>0</v>
          </cell>
          <cell r="G1977">
            <v>6</v>
          </cell>
          <cell r="H1977" t="str">
            <v>2006-06-30</v>
          </cell>
        </row>
        <row r="1978">
          <cell r="A1978" t="str">
            <v>489300</v>
          </cell>
          <cell r="B1978" t="str">
            <v>1015</v>
          </cell>
          <cell r="C1978">
            <v>-3169.91</v>
          </cell>
          <cell r="D1978" t="str">
            <v>250</v>
          </cell>
          <cell r="E1978" t="str">
            <v>458</v>
          </cell>
          <cell r="F1978">
            <v>-23894</v>
          </cell>
          <cell r="G1978">
            <v>6</v>
          </cell>
          <cell r="H1978" t="str">
            <v>2006-06-30</v>
          </cell>
        </row>
        <row r="1979">
          <cell r="A1979" t="str">
            <v>489304</v>
          </cell>
          <cell r="B1979" t="str">
            <v>1015</v>
          </cell>
          <cell r="C1979">
            <v>-496.4</v>
          </cell>
          <cell r="D1979" t="str">
            <v>250</v>
          </cell>
          <cell r="E1979" t="str">
            <v>458</v>
          </cell>
          <cell r="F1979">
            <v>-1318</v>
          </cell>
          <cell r="G1979">
            <v>6</v>
          </cell>
          <cell r="H1979" t="str">
            <v>2006-06-30</v>
          </cell>
        </row>
        <row r="1980">
          <cell r="A1980" t="str">
            <v>489300</v>
          </cell>
          <cell r="B1980" t="str">
            <v>1015</v>
          </cell>
          <cell r="C1980">
            <v>-1407.42</v>
          </cell>
          <cell r="D1980" t="str">
            <v>250</v>
          </cell>
          <cell r="E1980" t="str">
            <v>459</v>
          </cell>
          <cell r="F1980">
            <v>-2245</v>
          </cell>
          <cell r="G1980">
            <v>6</v>
          </cell>
          <cell r="H1980" t="str">
            <v>2006-06-30</v>
          </cell>
        </row>
        <row r="1981">
          <cell r="A1981" t="str">
            <v>481003</v>
          </cell>
          <cell r="B1981" t="str">
            <v>1015</v>
          </cell>
          <cell r="C1981">
            <v>-126114.45</v>
          </cell>
          <cell r="D1981" t="str">
            <v>200</v>
          </cell>
          <cell r="F1981">
            <v>-12670.03</v>
          </cell>
          <cell r="G1981">
            <v>6</v>
          </cell>
          <cell r="H1981" t="str">
            <v>2006-06-30</v>
          </cell>
        </row>
        <row r="1982">
          <cell r="A1982" t="str">
            <v>481000</v>
          </cell>
          <cell r="B1982" t="str">
            <v>1015</v>
          </cell>
          <cell r="C1982">
            <v>-14533.59</v>
          </cell>
          <cell r="D1982" t="str">
            <v>202</v>
          </cell>
          <cell r="E1982" t="str">
            <v>402</v>
          </cell>
          <cell r="F1982">
            <v>-34526</v>
          </cell>
          <cell r="G1982">
            <v>7</v>
          </cell>
          <cell r="H1982" t="str">
            <v>2006-07-31</v>
          </cell>
        </row>
        <row r="1983">
          <cell r="A1983" t="str">
            <v>481000</v>
          </cell>
          <cell r="B1983" t="str">
            <v>1015</v>
          </cell>
          <cell r="C1983">
            <v>-17179.11</v>
          </cell>
          <cell r="D1983" t="str">
            <v>203</v>
          </cell>
          <cell r="E1983" t="str">
            <v>402</v>
          </cell>
          <cell r="F1983">
            <v>0</v>
          </cell>
          <cell r="G1983">
            <v>7</v>
          </cell>
          <cell r="H1983" t="str">
            <v>2006-07-31</v>
          </cell>
        </row>
        <row r="1984">
          <cell r="A1984" t="str">
            <v>481000</v>
          </cell>
          <cell r="B1984" t="str">
            <v>1015</v>
          </cell>
          <cell r="C1984">
            <v>-224223.25</v>
          </cell>
          <cell r="D1984" t="str">
            <v>204</v>
          </cell>
          <cell r="E1984" t="str">
            <v>402</v>
          </cell>
          <cell r="F1984">
            <v>0</v>
          </cell>
          <cell r="G1984">
            <v>7</v>
          </cell>
          <cell r="H1984" t="str">
            <v>2006-07-31</v>
          </cell>
        </row>
        <row r="1985">
          <cell r="A1985" t="str">
            <v>481000</v>
          </cell>
          <cell r="B1985" t="str">
            <v>1015</v>
          </cell>
          <cell r="C1985">
            <v>0</v>
          </cell>
          <cell r="D1985" t="str">
            <v>210</v>
          </cell>
          <cell r="E1985" t="str">
            <v>402</v>
          </cell>
          <cell r="F1985">
            <v>0</v>
          </cell>
          <cell r="G1985">
            <v>7</v>
          </cell>
          <cell r="H1985" t="str">
            <v>2006-07-31</v>
          </cell>
        </row>
        <row r="1986">
          <cell r="A1986" t="str">
            <v>481004</v>
          </cell>
          <cell r="B1986" t="str">
            <v>1015</v>
          </cell>
          <cell r="C1986">
            <v>-221026.18</v>
          </cell>
          <cell r="D1986" t="str">
            <v>202</v>
          </cell>
          <cell r="E1986" t="str">
            <v>402</v>
          </cell>
          <cell r="F1986">
            <v>-402038</v>
          </cell>
          <cell r="G1986">
            <v>7</v>
          </cell>
          <cell r="H1986" t="str">
            <v>2006-07-31</v>
          </cell>
        </row>
        <row r="1987">
          <cell r="A1987" t="str">
            <v>481004</v>
          </cell>
          <cell r="B1987" t="str">
            <v>1015</v>
          </cell>
          <cell r="C1987">
            <v>-200041.86</v>
          </cell>
          <cell r="D1987" t="str">
            <v>203</v>
          </cell>
          <cell r="E1987" t="str">
            <v>402</v>
          </cell>
          <cell r="F1987">
            <v>0</v>
          </cell>
          <cell r="G1987">
            <v>7</v>
          </cell>
          <cell r="H1987" t="str">
            <v>2006-07-31</v>
          </cell>
        </row>
        <row r="1988">
          <cell r="A1988" t="str">
            <v>481004</v>
          </cell>
          <cell r="B1988" t="str">
            <v>1015</v>
          </cell>
          <cell r="C1988">
            <v>-2610969.4900000002</v>
          </cell>
          <cell r="D1988" t="str">
            <v>204</v>
          </cell>
          <cell r="E1988" t="str">
            <v>402</v>
          </cell>
          <cell r="F1988">
            <v>0</v>
          </cell>
          <cell r="G1988">
            <v>7</v>
          </cell>
          <cell r="H1988" t="str">
            <v>2006-07-31</v>
          </cell>
        </row>
        <row r="1989">
          <cell r="A1989" t="str">
            <v>481004</v>
          </cell>
          <cell r="B1989" t="str">
            <v>1015</v>
          </cell>
          <cell r="C1989">
            <v>0</v>
          </cell>
          <cell r="D1989" t="str">
            <v>210</v>
          </cell>
          <cell r="E1989" t="str">
            <v>402</v>
          </cell>
          <cell r="F1989">
            <v>0</v>
          </cell>
          <cell r="G1989">
            <v>7</v>
          </cell>
          <cell r="H1989" t="str">
            <v>2006-07-31</v>
          </cell>
        </row>
        <row r="1990">
          <cell r="A1990" t="str">
            <v>481000</v>
          </cell>
          <cell r="B1990" t="str">
            <v>1015</v>
          </cell>
          <cell r="C1990">
            <v>-7143.31</v>
          </cell>
          <cell r="D1990" t="str">
            <v>202</v>
          </cell>
          <cell r="E1990" t="str">
            <v>403</v>
          </cell>
          <cell r="F1990">
            <v>0</v>
          </cell>
          <cell r="G1990">
            <v>7</v>
          </cell>
          <cell r="H1990" t="str">
            <v>2006-07-31</v>
          </cell>
        </row>
        <row r="1991">
          <cell r="A1991" t="str">
            <v>481000</v>
          </cell>
          <cell r="B1991" t="str">
            <v>1015</v>
          </cell>
          <cell r="C1991">
            <v>-1653.21</v>
          </cell>
          <cell r="D1991" t="str">
            <v>203</v>
          </cell>
          <cell r="E1991" t="str">
            <v>403</v>
          </cell>
          <cell r="F1991">
            <v>0</v>
          </cell>
          <cell r="G1991">
            <v>7</v>
          </cell>
          <cell r="H1991" t="str">
            <v>2006-07-31</v>
          </cell>
        </row>
        <row r="1992">
          <cell r="A1992" t="str">
            <v>481000</v>
          </cell>
          <cell r="B1992" t="str">
            <v>1015</v>
          </cell>
          <cell r="C1992">
            <v>-3005.12</v>
          </cell>
          <cell r="D1992" t="str">
            <v>204</v>
          </cell>
          <cell r="E1992" t="str">
            <v>403</v>
          </cell>
          <cell r="F1992">
            <v>0</v>
          </cell>
          <cell r="G1992">
            <v>7</v>
          </cell>
          <cell r="H1992" t="str">
            <v>2006-07-31</v>
          </cell>
        </row>
        <row r="1993">
          <cell r="A1993" t="str">
            <v>481000</v>
          </cell>
          <cell r="B1993" t="str">
            <v>1015</v>
          </cell>
          <cell r="C1993">
            <v>-8730.3700000000008</v>
          </cell>
          <cell r="D1993" t="str">
            <v>202</v>
          </cell>
          <cell r="E1993" t="str">
            <v>404</v>
          </cell>
          <cell r="F1993">
            <v>-27740</v>
          </cell>
          <cell r="G1993">
            <v>7</v>
          </cell>
          <cell r="H1993" t="str">
            <v>2006-07-31</v>
          </cell>
        </row>
        <row r="1994">
          <cell r="A1994" t="str">
            <v>481000</v>
          </cell>
          <cell r="B1994" t="str">
            <v>1015</v>
          </cell>
          <cell r="C1994">
            <v>-20030.22</v>
          </cell>
          <cell r="D1994" t="str">
            <v>203</v>
          </cell>
          <cell r="E1994" t="str">
            <v>404</v>
          </cell>
          <cell r="F1994">
            <v>0</v>
          </cell>
          <cell r="G1994">
            <v>7</v>
          </cell>
          <cell r="H1994" t="str">
            <v>2006-07-31</v>
          </cell>
        </row>
        <row r="1995">
          <cell r="A1995" t="str">
            <v>481000</v>
          </cell>
          <cell r="B1995" t="str">
            <v>1015</v>
          </cell>
          <cell r="C1995">
            <v>-180152.71</v>
          </cell>
          <cell r="D1995" t="str">
            <v>204</v>
          </cell>
          <cell r="E1995" t="str">
            <v>404</v>
          </cell>
          <cell r="F1995">
            <v>0</v>
          </cell>
          <cell r="G1995">
            <v>7</v>
          </cell>
          <cell r="H1995" t="str">
            <v>2006-07-31</v>
          </cell>
        </row>
        <row r="1996">
          <cell r="A1996" t="str">
            <v>481004</v>
          </cell>
          <cell r="B1996" t="str">
            <v>1015</v>
          </cell>
          <cell r="C1996">
            <v>0</v>
          </cell>
          <cell r="D1996" t="str">
            <v>202</v>
          </cell>
          <cell r="E1996" t="str">
            <v>404</v>
          </cell>
          <cell r="F1996">
            <v>0</v>
          </cell>
          <cell r="G1996">
            <v>7</v>
          </cell>
          <cell r="H1996" t="str">
            <v>2006-07-31</v>
          </cell>
        </row>
        <row r="1997">
          <cell r="A1997" t="str">
            <v>481004</v>
          </cell>
          <cell r="B1997" t="str">
            <v>1015</v>
          </cell>
          <cell r="C1997">
            <v>0</v>
          </cell>
          <cell r="D1997" t="str">
            <v>203</v>
          </cell>
          <cell r="E1997" t="str">
            <v>404</v>
          </cell>
          <cell r="F1997">
            <v>0</v>
          </cell>
          <cell r="G1997">
            <v>7</v>
          </cell>
          <cell r="H1997" t="str">
            <v>2006-07-31</v>
          </cell>
        </row>
        <row r="1998">
          <cell r="A1998" t="str">
            <v>481004</v>
          </cell>
          <cell r="B1998" t="str">
            <v>1015</v>
          </cell>
          <cell r="C1998">
            <v>0</v>
          </cell>
          <cell r="D1998" t="str">
            <v>204</v>
          </cell>
          <cell r="E1998" t="str">
            <v>404</v>
          </cell>
          <cell r="F1998">
            <v>0</v>
          </cell>
          <cell r="G1998">
            <v>7</v>
          </cell>
          <cell r="H1998" t="str">
            <v>2006-07-31</v>
          </cell>
        </row>
        <row r="1999">
          <cell r="A1999" t="str">
            <v>481004</v>
          </cell>
          <cell r="B1999" t="str">
            <v>1015</v>
          </cell>
          <cell r="C1999">
            <v>0</v>
          </cell>
          <cell r="D1999" t="str">
            <v>210</v>
          </cell>
          <cell r="E1999" t="str">
            <v>404</v>
          </cell>
          <cell r="F1999">
            <v>0</v>
          </cell>
          <cell r="G1999">
            <v>7</v>
          </cell>
          <cell r="H1999" t="str">
            <v>2006-07-31</v>
          </cell>
        </row>
        <row r="2000">
          <cell r="A2000" t="str">
            <v>489300</v>
          </cell>
          <cell r="B2000" t="str">
            <v>1015</v>
          </cell>
          <cell r="C2000">
            <v>-52273.1</v>
          </cell>
          <cell r="D2000" t="str">
            <v>250</v>
          </cell>
          <cell r="E2000" t="str">
            <v>405</v>
          </cell>
          <cell r="F2000">
            <v>-300319</v>
          </cell>
          <cell r="G2000">
            <v>7</v>
          </cell>
          <cell r="H2000" t="str">
            <v>2006-07-31</v>
          </cell>
        </row>
        <row r="2001">
          <cell r="A2001" t="str">
            <v>489304</v>
          </cell>
          <cell r="B2001" t="str">
            <v>1015</v>
          </cell>
          <cell r="C2001">
            <v>-87536.09</v>
          </cell>
          <cell r="D2001" t="str">
            <v>250</v>
          </cell>
          <cell r="E2001" t="str">
            <v>405</v>
          </cell>
          <cell r="F2001">
            <v>-1021744</v>
          </cell>
          <cell r="G2001">
            <v>7</v>
          </cell>
          <cell r="H2001" t="str">
            <v>2006-07-31</v>
          </cell>
        </row>
        <row r="2002">
          <cell r="A2002" t="str">
            <v>489300</v>
          </cell>
          <cell r="B2002" t="str">
            <v>1015</v>
          </cell>
          <cell r="C2002">
            <v>-111461.91</v>
          </cell>
          <cell r="D2002" t="str">
            <v>250</v>
          </cell>
          <cell r="E2002" t="str">
            <v>406</v>
          </cell>
          <cell r="F2002">
            <v>-482235</v>
          </cell>
          <cell r="G2002">
            <v>7</v>
          </cell>
          <cell r="H2002" t="str">
            <v>2006-07-31</v>
          </cell>
        </row>
        <row r="2003">
          <cell r="A2003" t="str">
            <v>489304</v>
          </cell>
          <cell r="B2003" t="str">
            <v>1015</v>
          </cell>
          <cell r="C2003">
            <v>-34445.519999999997</v>
          </cell>
          <cell r="D2003" t="str">
            <v>250</v>
          </cell>
          <cell r="E2003" t="str">
            <v>406</v>
          </cell>
          <cell r="F2003">
            <v>-115922</v>
          </cell>
          <cell r="G2003">
            <v>7</v>
          </cell>
          <cell r="H2003" t="str">
            <v>2006-07-31</v>
          </cell>
        </row>
        <row r="2004">
          <cell r="A2004" t="str">
            <v>480000</v>
          </cell>
          <cell r="B2004" t="str">
            <v>1015</v>
          </cell>
          <cell r="C2004">
            <v>-6487784.4000000004</v>
          </cell>
          <cell r="D2004" t="str">
            <v>202</v>
          </cell>
          <cell r="E2004" t="str">
            <v>407</v>
          </cell>
          <cell r="F2004">
            <v>-1602724.74</v>
          </cell>
          <cell r="G2004">
            <v>7</v>
          </cell>
          <cell r="H2004" t="str">
            <v>2006-07-31</v>
          </cell>
        </row>
        <row r="2005">
          <cell r="A2005" t="str">
            <v>480000</v>
          </cell>
          <cell r="B2005" t="str">
            <v>1015</v>
          </cell>
          <cell r="C2005">
            <v>-799868.21</v>
          </cell>
          <cell r="D2005" t="str">
            <v>203</v>
          </cell>
          <cell r="E2005" t="str">
            <v>407</v>
          </cell>
          <cell r="F2005">
            <v>0</v>
          </cell>
          <cell r="G2005">
            <v>7</v>
          </cell>
          <cell r="H2005" t="str">
            <v>2006-07-31</v>
          </cell>
        </row>
        <row r="2006">
          <cell r="A2006" t="str">
            <v>480000</v>
          </cell>
          <cell r="B2006" t="str">
            <v>1015</v>
          </cell>
          <cell r="C2006">
            <v>-10500657.93</v>
          </cell>
          <cell r="D2006" t="str">
            <v>204</v>
          </cell>
          <cell r="E2006" t="str">
            <v>407</v>
          </cell>
          <cell r="F2006">
            <v>0</v>
          </cell>
          <cell r="G2006">
            <v>7</v>
          </cell>
          <cell r="H2006" t="str">
            <v>2006-07-31</v>
          </cell>
        </row>
        <row r="2007">
          <cell r="A2007" t="str">
            <v>480000</v>
          </cell>
          <cell r="B2007" t="str">
            <v>1015</v>
          </cell>
          <cell r="C2007">
            <v>-181004.41</v>
          </cell>
          <cell r="D2007" t="str">
            <v>205</v>
          </cell>
          <cell r="E2007" t="str">
            <v>407</v>
          </cell>
          <cell r="F2007">
            <v>0</v>
          </cell>
          <cell r="G2007">
            <v>7</v>
          </cell>
          <cell r="H2007" t="str">
            <v>2006-07-31</v>
          </cell>
        </row>
        <row r="2008">
          <cell r="A2008" t="str">
            <v>480000</v>
          </cell>
          <cell r="B2008" t="str">
            <v>1015</v>
          </cell>
          <cell r="C2008">
            <v>912.17</v>
          </cell>
          <cell r="D2008" t="str">
            <v>210</v>
          </cell>
          <cell r="E2008" t="str">
            <v>407</v>
          </cell>
          <cell r="F2008">
            <v>124</v>
          </cell>
          <cell r="G2008">
            <v>7</v>
          </cell>
          <cell r="H2008" t="str">
            <v>2006-07-31</v>
          </cell>
        </row>
        <row r="2009">
          <cell r="A2009" t="str">
            <v>480001</v>
          </cell>
          <cell r="B2009" t="str">
            <v>1015</v>
          </cell>
          <cell r="C2009">
            <v>241693.96</v>
          </cell>
          <cell r="D2009" t="str">
            <v>202</v>
          </cell>
          <cell r="E2009" t="str">
            <v>407</v>
          </cell>
          <cell r="F2009">
            <v>100947</v>
          </cell>
          <cell r="G2009">
            <v>7</v>
          </cell>
          <cell r="H2009" t="str">
            <v>2006-07-31</v>
          </cell>
        </row>
        <row r="2010">
          <cell r="A2010" t="str">
            <v>480001</v>
          </cell>
          <cell r="B2010" t="str">
            <v>1015</v>
          </cell>
          <cell r="C2010">
            <v>53997.2</v>
          </cell>
          <cell r="D2010" t="str">
            <v>203</v>
          </cell>
          <cell r="E2010" t="str">
            <v>407</v>
          </cell>
          <cell r="F2010">
            <v>0</v>
          </cell>
          <cell r="G2010">
            <v>7</v>
          </cell>
          <cell r="H2010" t="str">
            <v>2006-07-31</v>
          </cell>
        </row>
        <row r="2011">
          <cell r="A2011" t="str">
            <v>480001</v>
          </cell>
          <cell r="B2011" t="str">
            <v>1015</v>
          </cell>
          <cell r="C2011">
            <v>679328.93</v>
          </cell>
          <cell r="D2011" t="str">
            <v>204</v>
          </cell>
          <cell r="E2011" t="str">
            <v>407</v>
          </cell>
          <cell r="F2011">
            <v>0</v>
          </cell>
          <cell r="G2011">
            <v>7</v>
          </cell>
          <cell r="H2011" t="str">
            <v>2006-07-31</v>
          </cell>
        </row>
        <row r="2012">
          <cell r="A2012" t="str">
            <v>480001</v>
          </cell>
          <cell r="B2012" t="str">
            <v>1015</v>
          </cell>
          <cell r="C2012">
            <v>183081.87</v>
          </cell>
          <cell r="D2012" t="str">
            <v>205</v>
          </cell>
          <cell r="E2012" t="str">
            <v>407</v>
          </cell>
          <cell r="F2012">
            <v>0</v>
          </cell>
          <cell r="G2012">
            <v>7</v>
          </cell>
          <cell r="H2012" t="str">
            <v>2006-07-31</v>
          </cell>
        </row>
        <row r="2013">
          <cell r="A2013" t="str">
            <v>480001</v>
          </cell>
          <cell r="B2013" t="str">
            <v>1015</v>
          </cell>
          <cell r="C2013">
            <v>-15388.12</v>
          </cell>
          <cell r="D2013" t="str">
            <v>210</v>
          </cell>
          <cell r="E2013" t="str">
            <v>407</v>
          </cell>
          <cell r="F2013">
            <v>-2553.1999999999998</v>
          </cell>
          <cell r="G2013">
            <v>7</v>
          </cell>
          <cell r="H2013" t="str">
            <v>2006-07-31</v>
          </cell>
        </row>
        <row r="2014">
          <cell r="A2014" t="str">
            <v>481000</v>
          </cell>
          <cell r="B2014" t="str">
            <v>1015</v>
          </cell>
          <cell r="C2014">
            <v>-1748.12</v>
          </cell>
          <cell r="D2014" t="str">
            <v>202</v>
          </cell>
          <cell r="E2014" t="str">
            <v>407</v>
          </cell>
          <cell r="F2014">
            <v>-1555.96</v>
          </cell>
          <cell r="G2014">
            <v>7</v>
          </cell>
          <cell r="H2014" t="str">
            <v>2006-07-31</v>
          </cell>
        </row>
        <row r="2015">
          <cell r="A2015" t="str">
            <v>481000</v>
          </cell>
          <cell r="B2015" t="str">
            <v>1015</v>
          </cell>
          <cell r="C2015">
            <v>-774.25</v>
          </cell>
          <cell r="D2015" t="str">
            <v>203</v>
          </cell>
          <cell r="E2015" t="str">
            <v>407</v>
          </cell>
          <cell r="F2015">
            <v>0</v>
          </cell>
          <cell r="G2015">
            <v>7</v>
          </cell>
          <cell r="H2015" t="str">
            <v>2006-07-31</v>
          </cell>
        </row>
        <row r="2016">
          <cell r="A2016" t="str">
            <v>481000</v>
          </cell>
          <cell r="B2016" t="str">
            <v>1015</v>
          </cell>
          <cell r="C2016">
            <v>-10170.69</v>
          </cell>
          <cell r="D2016" t="str">
            <v>204</v>
          </cell>
          <cell r="E2016" t="str">
            <v>407</v>
          </cell>
          <cell r="F2016">
            <v>0</v>
          </cell>
          <cell r="G2016">
            <v>7</v>
          </cell>
          <cell r="H2016" t="str">
            <v>2006-07-31</v>
          </cell>
        </row>
        <row r="2017">
          <cell r="A2017" t="str">
            <v>481000</v>
          </cell>
          <cell r="B2017" t="str">
            <v>1015</v>
          </cell>
          <cell r="C2017">
            <v>-32.76</v>
          </cell>
          <cell r="D2017" t="str">
            <v>205</v>
          </cell>
          <cell r="E2017" t="str">
            <v>407</v>
          </cell>
          <cell r="F2017">
            <v>0</v>
          </cell>
          <cell r="G2017">
            <v>7</v>
          </cell>
          <cell r="H2017" t="str">
            <v>2006-07-31</v>
          </cell>
        </row>
        <row r="2018">
          <cell r="A2018" t="str">
            <v>481004</v>
          </cell>
          <cell r="B2018" t="str">
            <v>1015</v>
          </cell>
          <cell r="C2018">
            <v>-1349367.44</v>
          </cell>
          <cell r="D2018" t="str">
            <v>202</v>
          </cell>
          <cell r="E2018" t="str">
            <v>407</v>
          </cell>
          <cell r="F2018">
            <v>-523884.3</v>
          </cell>
          <cell r="G2018">
            <v>7</v>
          </cell>
          <cell r="H2018" t="str">
            <v>2006-07-31</v>
          </cell>
        </row>
        <row r="2019">
          <cell r="A2019" t="str">
            <v>481004</v>
          </cell>
          <cell r="B2019" t="str">
            <v>1015</v>
          </cell>
          <cell r="C2019">
            <v>-262077.74</v>
          </cell>
          <cell r="D2019" t="str">
            <v>203</v>
          </cell>
          <cell r="E2019" t="str">
            <v>407</v>
          </cell>
          <cell r="F2019">
            <v>0</v>
          </cell>
          <cell r="G2019">
            <v>7</v>
          </cell>
          <cell r="H2019" t="str">
            <v>2006-07-31</v>
          </cell>
        </row>
        <row r="2020">
          <cell r="A2020" t="str">
            <v>481004</v>
          </cell>
          <cell r="B2020" t="str">
            <v>1015</v>
          </cell>
          <cell r="C2020">
            <v>-3419431.31</v>
          </cell>
          <cell r="D2020" t="str">
            <v>204</v>
          </cell>
          <cell r="E2020" t="str">
            <v>407</v>
          </cell>
          <cell r="F2020">
            <v>0</v>
          </cell>
          <cell r="G2020">
            <v>7</v>
          </cell>
          <cell r="H2020" t="str">
            <v>2006-07-31</v>
          </cell>
        </row>
        <row r="2021">
          <cell r="A2021" t="str">
            <v>481004</v>
          </cell>
          <cell r="B2021" t="str">
            <v>1015</v>
          </cell>
          <cell r="C2021">
            <v>-32180.7</v>
          </cell>
          <cell r="D2021" t="str">
            <v>205</v>
          </cell>
          <cell r="E2021" t="str">
            <v>407</v>
          </cell>
          <cell r="F2021">
            <v>0</v>
          </cell>
          <cell r="G2021">
            <v>7</v>
          </cell>
          <cell r="H2021" t="str">
            <v>2006-07-31</v>
          </cell>
        </row>
        <row r="2022">
          <cell r="A2022" t="str">
            <v>481004</v>
          </cell>
          <cell r="B2022" t="str">
            <v>1015</v>
          </cell>
          <cell r="C2022">
            <v>14475.95</v>
          </cell>
          <cell r="D2022" t="str">
            <v>210</v>
          </cell>
          <cell r="E2022" t="str">
            <v>407</v>
          </cell>
          <cell r="F2022">
            <v>2429.1999999999998</v>
          </cell>
          <cell r="G2022">
            <v>7</v>
          </cell>
          <cell r="H2022" t="str">
            <v>2006-07-31</v>
          </cell>
        </row>
        <row r="2023">
          <cell r="A2023" t="str">
            <v>480000</v>
          </cell>
          <cell r="B2023" t="str">
            <v>1015</v>
          </cell>
          <cell r="C2023">
            <v>-42838.06</v>
          </cell>
          <cell r="D2023" t="str">
            <v>202</v>
          </cell>
          <cell r="E2023" t="str">
            <v>408</v>
          </cell>
          <cell r="F2023">
            <v>-9313.09</v>
          </cell>
          <cell r="G2023">
            <v>7</v>
          </cell>
          <cell r="H2023" t="str">
            <v>2006-07-31</v>
          </cell>
        </row>
        <row r="2024">
          <cell r="A2024" t="str">
            <v>480000</v>
          </cell>
          <cell r="B2024" t="str">
            <v>1015</v>
          </cell>
          <cell r="C2024">
            <v>-4647.37</v>
          </cell>
          <cell r="D2024" t="str">
            <v>203</v>
          </cell>
          <cell r="E2024" t="str">
            <v>408</v>
          </cell>
          <cell r="F2024">
            <v>0</v>
          </cell>
          <cell r="G2024">
            <v>7</v>
          </cell>
          <cell r="H2024" t="str">
            <v>2006-07-31</v>
          </cell>
        </row>
        <row r="2025">
          <cell r="A2025" t="str">
            <v>480000</v>
          </cell>
          <cell r="B2025" t="str">
            <v>1015</v>
          </cell>
          <cell r="C2025">
            <v>-61061.81</v>
          </cell>
          <cell r="D2025" t="str">
            <v>204</v>
          </cell>
          <cell r="E2025" t="str">
            <v>408</v>
          </cell>
          <cell r="F2025">
            <v>0</v>
          </cell>
          <cell r="G2025">
            <v>7</v>
          </cell>
          <cell r="H2025" t="str">
            <v>2006-07-31</v>
          </cell>
        </row>
        <row r="2026">
          <cell r="A2026" t="str">
            <v>480000</v>
          </cell>
          <cell r="B2026" t="str">
            <v>1015</v>
          </cell>
          <cell r="C2026">
            <v>-1508.3</v>
          </cell>
          <cell r="D2026" t="str">
            <v>205</v>
          </cell>
          <cell r="E2026" t="str">
            <v>408</v>
          </cell>
          <cell r="F2026">
            <v>0</v>
          </cell>
          <cell r="G2026">
            <v>7</v>
          </cell>
          <cell r="H2026" t="str">
            <v>2006-07-31</v>
          </cell>
        </row>
        <row r="2027">
          <cell r="A2027" t="str">
            <v>480001</v>
          </cell>
          <cell r="B2027" t="str">
            <v>1015</v>
          </cell>
          <cell r="C2027">
            <v>-2809.85</v>
          </cell>
          <cell r="D2027" t="str">
            <v>202</v>
          </cell>
          <cell r="E2027" t="str">
            <v>408</v>
          </cell>
          <cell r="F2027">
            <v>751.09</v>
          </cell>
          <cell r="G2027">
            <v>7</v>
          </cell>
          <cell r="H2027" t="str">
            <v>2006-07-31</v>
          </cell>
        </row>
        <row r="2028">
          <cell r="A2028" t="str">
            <v>480001</v>
          </cell>
          <cell r="B2028" t="str">
            <v>1015</v>
          </cell>
          <cell r="C2028">
            <v>387.86</v>
          </cell>
          <cell r="D2028" t="str">
            <v>203</v>
          </cell>
          <cell r="E2028" t="str">
            <v>408</v>
          </cell>
          <cell r="F2028">
            <v>0</v>
          </cell>
          <cell r="G2028">
            <v>7</v>
          </cell>
          <cell r="H2028" t="str">
            <v>2006-07-31</v>
          </cell>
        </row>
        <row r="2029">
          <cell r="A2029" t="str">
            <v>480001</v>
          </cell>
          <cell r="B2029" t="str">
            <v>1015</v>
          </cell>
          <cell r="C2029">
            <v>5111.72</v>
          </cell>
          <cell r="D2029" t="str">
            <v>204</v>
          </cell>
          <cell r="E2029" t="str">
            <v>408</v>
          </cell>
          <cell r="F2029">
            <v>0</v>
          </cell>
          <cell r="G2029">
            <v>7</v>
          </cell>
          <cell r="H2029" t="str">
            <v>2006-07-31</v>
          </cell>
        </row>
        <row r="2030">
          <cell r="A2030" t="str">
            <v>480001</v>
          </cell>
          <cell r="B2030" t="str">
            <v>1015</v>
          </cell>
          <cell r="C2030">
            <v>-9290.4599999999991</v>
          </cell>
          <cell r="D2030" t="str">
            <v>205</v>
          </cell>
          <cell r="E2030" t="str">
            <v>408</v>
          </cell>
          <cell r="F2030">
            <v>0</v>
          </cell>
          <cell r="G2030">
            <v>7</v>
          </cell>
          <cell r="H2030" t="str">
            <v>2006-07-31</v>
          </cell>
        </row>
        <row r="2031">
          <cell r="A2031" t="str">
            <v>480001</v>
          </cell>
          <cell r="B2031" t="str">
            <v>1015</v>
          </cell>
          <cell r="C2031">
            <v>0</v>
          </cell>
          <cell r="D2031" t="str">
            <v>210</v>
          </cell>
          <cell r="E2031" t="str">
            <v>408</v>
          </cell>
          <cell r="F2031">
            <v>0</v>
          </cell>
          <cell r="G2031">
            <v>7</v>
          </cell>
          <cell r="H2031" t="str">
            <v>2006-07-31</v>
          </cell>
        </row>
        <row r="2032">
          <cell r="A2032" t="str">
            <v>481004</v>
          </cell>
          <cell r="B2032" t="str">
            <v>1015</v>
          </cell>
          <cell r="C2032">
            <v>-20703.09</v>
          </cell>
          <cell r="D2032" t="str">
            <v>202</v>
          </cell>
          <cell r="E2032" t="str">
            <v>408</v>
          </cell>
          <cell r="F2032">
            <v>-5021</v>
          </cell>
          <cell r="G2032">
            <v>7</v>
          </cell>
          <cell r="H2032" t="str">
            <v>2006-07-31</v>
          </cell>
        </row>
        <row r="2033">
          <cell r="A2033" t="str">
            <v>481004</v>
          </cell>
          <cell r="B2033" t="str">
            <v>1015</v>
          </cell>
          <cell r="C2033">
            <v>-2499.4899999999998</v>
          </cell>
          <cell r="D2033" t="str">
            <v>203</v>
          </cell>
          <cell r="E2033" t="str">
            <v>408</v>
          </cell>
          <cell r="F2033">
            <v>0</v>
          </cell>
          <cell r="G2033">
            <v>7</v>
          </cell>
          <cell r="H2033" t="str">
            <v>2006-07-31</v>
          </cell>
        </row>
        <row r="2034">
          <cell r="A2034" t="str">
            <v>481004</v>
          </cell>
          <cell r="B2034" t="str">
            <v>1015</v>
          </cell>
          <cell r="C2034">
            <v>-32834.910000000003</v>
          </cell>
          <cell r="D2034" t="str">
            <v>204</v>
          </cell>
          <cell r="E2034" t="str">
            <v>408</v>
          </cell>
          <cell r="F2034">
            <v>0</v>
          </cell>
          <cell r="G2034">
            <v>7</v>
          </cell>
          <cell r="H2034" t="str">
            <v>2006-07-31</v>
          </cell>
        </row>
        <row r="2035">
          <cell r="A2035" t="str">
            <v>481004</v>
          </cell>
          <cell r="B2035" t="str">
            <v>1015</v>
          </cell>
          <cell r="C2035">
            <v>-707.24</v>
          </cell>
          <cell r="D2035" t="str">
            <v>205</v>
          </cell>
          <cell r="E2035" t="str">
            <v>408</v>
          </cell>
          <cell r="F2035">
            <v>0</v>
          </cell>
          <cell r="G2035">
            <v>7</v>
          </cell>
          <cell r="H2035" t="str">
            <v>2006-07-31</v>
          </cell>
        </row>
        <row r="2036">
          <cell r="A2036" t="str">
            <v>481002</v>
          </cell>
          <cell r="B2036" t="str">
            <v>1015</v>
          </cell>
          <cell r="C2036">
            <v>-6825.35</v>
          </cell>
          <cell r="D2036" t="str">
            <v>202</v>
          </cell>
          <cell r="E2036" t="str">
            <v>411</v>
          </cell>
          <cell r="F2036">
            <v>-38632</v>
          </cell>
          <cell r="G2036">
            <v>7</v>
          </cell>
          <cell r="H2036" t="str">
            <v>2006-07-31</v>
          </cell>
        </row>
        <row r="2037">
          <cell r="A2037" t="str">
            <v>481002</v>
          </cell>
          <cell r="B2037" t="str">
            <v>1015</v>
          </cell>
          <cell r="C2037">
            <v>-7064.64</v>
          </cell>
          <cell r="D2037" t="str">
            <v>203</v>
          </cell>
          <cell r="E2037" t="str">
            <v>411</v>
          </cell>
          <cell r="F2037">
            <v>0</v>
          </cell>
          <cell r="G2037">
            <v>7</v>
          </cell>
          <cell r="H2037" t="str">
            <v>2006-07-31</v>
          </cell>
        </row>
        <row r="2038">
          <cell r="A2038" t="str">
            <v>481002</v>
          </cell>
          <cell r="B2038" t="str">
            <v>1015</v>
          </cell>
          <cell r="C2038">
            <v>-197518.85</v>
          </cell>
          <cell r="D2038" t="str">
            <v>204</v>
          </cell>
          <cell r="E2038" t="str">
            <v>411</v>
          </cell>
          <cell r="F2038">
            <v>0</v>
          </cell>
          <cell r="G2038">
            <v>7</v>
          </cell>
          <cell r="H2038" t="str">
            <v>2006-07-31</v>
          </cell>
        </row>
        <row r="2039">
          <cell r="A2039" t="str">
            <v>481005</v>
          </cell>
          <cell r="B2039" t="str">
            <v>1015</v>
          </cell>
          <cell r="C2039">
            <v>-26406.18</v>
          </cell>
          <cell r="D2039" t="str">
            <v>202</v>
          </cell>
          <cell r="E2039" t="str">
            <v>411</v>
          </cell>
          <cell r="F2039">
            <v>-101852</v>
          </cell>
          <cell r="G2039">
            <v>7</v>
          </cell>
          <cell r="H2039" t="str">
            <v>2006-07-31</v>
          </cell>
        </row>
        <row r="2040">
          <cell r="A2040" t="str">
            <v>481005</v>
          </cell>
          <cell r="B2040" t="str">
            <v>1015</v>
          </cell>
          <cell r="C2040">
            <v>-18625.84</v>
          </cell>
          <cell r="D2040" t="str">
            <v>203</v>
          </cell>
          <cell r="E2040" t="str">
            <v>411</v>
          </cell>
          <cell r="F2040">
            <v>0</v>
          </cell>
          <cell r="G2040">
            <v>7</v>
          </cell>
          <cell r="H2040" t="str">
            <v>2006-07-31</v>
          </cell>
        </row>
        <row r="2041">
          <cell r="A2041" t="str">
            <v>481005</v>
          </cell>
          <cell r="B2041" t="str">
            <v>1015</v>
          </cell>
          <cell r="C2041">
            <v>-501623.95</v>
          </cell>
          <cell r="D2041" t="str">
            <v>204</v>
          </cell>
          <cell r="E2041" t="str">
            <v>411</v>
          </cell>
          <cell r="F2041">
            <v>0</v>
          </cell>
          <cell r="G2041">
            <v>7</v>
          </cell>
          <cell r="H2041" t="str">
            <v>2006-07-31</v>
          </cell>
        </row>
        <row r="2042">
          <cell r="A2042" t="str">
            <v>481002</v>
          </cell>
          <cell r="B2042" t="str">
            <v>1015</v>
          </cell>
          <cell r="C2042">
            <v>0</v>
          </cell>
          <cell r="D2042" t="str">
            <v>210</v>
          </cell>
          <cell r="E2042" t="str">
            <v>412</v>
          </cell>
          <cell r="F2042">
            <v>0</v>
          </cell>
          <cell r="G2042">
            <v>7</v>
          </cell>
          <cell r="H2042" t="str">
            <v>2006-07-31</v>
          </cell>
        </row>
        <row r="2043">
          <cell r="A2043" t="str">
            <v>481002</v>
          </cell>
          <cell r="B2043" t="str">
            <v>1015</v>
          </cell>
          <cell r="C2043">
            <v>-3129.79</v>
          </cell>
          <cell r="D2043" t="str">
            <v>202</v>
          </cell>
          <cell r="E2043" t="str">
            <v>414</v>
          </cell>
          <cell r="F2043">
            <v>-5543</v>
          </cell>
          <cell r="G2043">
            <v>7</v>
          </cell>
          <cell r="H2043" t="str">
            <v>2006-07-31</v>
          </cell>
        </row>
        <row r="2044">
          <cell r="A2044" t="str">
            <v>481002</v>
          </cell>
          <cell r="B2044" t="str">
            <v>1015</v>
          </cell>
          <cell r="C2044">
            <v>-1013.65</v>
          </cell>
          <cell r="D2044" t="str">
            <v>203</v>
          </cell>
          <cell r="E2044" t="str">
            <v>414</v>
          </cell>
          <cell r="F2044">
            <v>0</v>
          </cell>
          <cell r="G2044">
            <v>7</v>
          </cell>
          <cell r="H2044" t="str">
            <v>2006-07-31</v>
          </cell>
        </row>
        <row r="2045">
          <cell r="A2045" t="str">
            <v>481002</v>
          </cell>
          <cell r="B2045" t="str">
            <v>1015</v>
          </cell>
          <cell r="C2045">
            <v>-28340.42</v>
          </cell>
          <cell r="D2045" t="str">
            <v>204</v>
          </cell>
          <cell r="E2045" t="str">
            <v>414</v>
          </cell>
          <cell r="F2045">
            <v>0</v>
          </cell>
          <cell r="G2045">
            <v>7</v>
          </cell>
          <cell r="H2045" t="str">
            <v>2006-07-31</v>
          </cell>
        </row>
        <row r="2046">
          <cell r="A2046" t="str">
            <v>481005</v>
          </cell>
          <cell r="B2046" t="str">
            <v>1015</v>
          </cell>
          <cell r="C2046">
            <v>-13180.1</v>
          </cell>
          <cell r="D2046" t="str">
            <v>202</v>
          </cell>
          <cell r="E2046" t="str">
            <v>414</v>
          </cell>
          <cell r="F2046">
            <v>-13843</v>
          </cell>
          <cell r="G2046">
            <v>7</v>
          </cell>
          <cell r="H2046" t="str">
            <v>2006-07-31</v>
          </cell>
        </row>
        <row r="2047">
          <cell r="A2047" t="str">
            <v>481005</v>
          </cell>
          <cell r="B2047" t="str">
            <v>1015</v>
          </cell>
          <cell r="C2047">
            <v>-2531.69</v>
          </cell>
          <cell r="D2047" t="str">
            <v>203</v>
          </cell>
          <cell r="E2047" t="str">
            <v>414</v>
          </cell>
          <cell r="F2047">
            <v>0</v>
          </cell>
          <cell r="G2047">
            <v>7</v>
          </cell>
          <cell r="H2047" t="str">
            <v>2006-07-31</v>
          </cell>
        </row>
        <row r="2048">
          <cell r="A2048" t="str">
            <v>481005</v>
          </cell>
          <cell r="B2048" t="str">
            <v>1015</v>
          </cell>
          <cell r="C2048">
            <v>-67755.92</v>
          </cell>
          <cell r="D2048" t="str">
            <v>204</v>
          </cell>
          <cell r="E2048" t="str">
            <v>414</v>
          </cell>
          <cell r="F2048">
            <v>0</v>
          </cell>
          <cell r="G2048">
            <v>7</v>
          </cell>
          <cell r="H2048" t="str">
            <v>2006-07-31</v>
          </cell>
        </row>
        <row r="2049">
          <cell r="A2049" t="str">
            <v>489300</v>
          </cell>
          <cell r="B2049" t="str">
            <v>1015</v>
          </cell>
          <cell r="C2049">
            <v>-187386.77</v>
          </cell>
          <cell r="D2049" t="str">
            <v>250</v>
          </cell>
          <cell r="E2049" t="str">
            <v>415</v>
          </cell>
          <cell r="F2049">
            <v>-1077780</v>
          </cell>
          <cell r="G2049">
            <v>7</v>
          </cell>
          <cell r="H2049" t="str">
            <v>2006-07-31</v>
          </cell>
        </row>
        <row r="2050">
          <cell r="A2050" t="str">
            <v>489304</v>
          </cell>
          <cell r="B2050" t="str">
            <v>1015</v>
          </cell>
          <cell r="C2050">
            <v>-66575.350000000006</v>
          </cell>
          <cell r="D2050" t="str">
            <v>250</v>
          </cell>
          <cell r="E2050" t="str">
            <v>415</v>
          </cell>
          <cell r="F2050">
            <v>-327590</v>
          </cell>
          <cell r="G2050">
            <v>7</v>
          </cell>
          <cell r="H2050" t="str">
            <v>2006-07-31</v>
          </cell>
        </row>
        <row r="2051">
          <cell r="A2051" t="str">
            <v>489304</v>
          </cell>
          <cell r="B2051" t="str">
            <v>1015</v>
          </cell>
          <cell r="C2051">
            <v>-778.07</v>
          </cell>
          <cell r="D2051" t="str">
            <v>250</v>
          </cell>
          <cell r="E2051" t="str">
            <v>416</v>
          </cell>
          <cell r="F2051">
            <v>-794</v>
          </cell>
          <cell r="G2051">
            <v>7</v>
          </cell>
          <cell r="H2051" t="str">
            <v>2006-07-31</v>
          </cell>
        </row>
        <row r="2052">
          <cell r="A2052" t="str">
            <v>481000</v>
          </cell>
          <cell r="B2052" t="str">
            <v>1015</v>
          </cell>
          <cell r="C2052">
            <v>0</v>
          </cell>
          <cell r="D2052" t="str">
            <v>202</v>
          </cell>
          <cell r="E2052" t="str">
            <v>451</v>
          </cell>
          <cell r="F2052">
            <v>0</v>
          </cell>
          <cell r="G2052">
            <v>7</v>
          </cell>
          <cell r="H2052" t="str">
            <v>2006-07-31</v>
          </cell>
        </row>
        <row r="2053">
          <cell r="A2053" t="str">
            <v>481000</v>
          </cell>
          <cell r="B2053" t="str">
            <v>1015</v>
          </cell>
          <cell r="C2053">
            <v>0</v>
          </cell>
          <cell r="D2053" t="str">
            <v>204</v>
          </cell>
          <cell r="E2053" t="str">
            <v>451</v>
          </cell>
          <cell r="F2053">
            <v>0</v>
          </cell>
          <cell r="G2053">
            <v>7</v>
          </cell>
          <cell r="H2053" t="str">
            <v>2006-07-31</v>
          </cell>
        </row>
        <row r="2054">
          <cell r="A2054" t="str">
            <v>481000</v>
          </cell>
          <cell r="B2054" t="str">
            <v>1015</v>
          </cell>
          <cell r="C2054">
            <v>0</v>
          </cell>
          <cell r="D2054" t="str">
            <v>210</v>
          </cell>
          <cell r="E2054" t="str">
            <v>451</v>
          </cell>
          <cell r="F2054">
            <v>0</v>
          </cell>
          <cell r="G2054">
            <v>7</v>
          </cell>
          <cell r="H2054" t="str">
            <v>2006-07-31</v>
          </cell>
        </row>
        <row r="2055">
          <cell r="A2055" t="str">
            <v>481004</v>
          </cell>
          <cell r="B2055" t="str">
            <v>1015</v>
          </cell>
          <cell r="C2055">
            <v>-15651</v>
          </cell>
          <cell r="D2055" t="str">
            <v>202</v>
          </cell>
          <cell r="E2055" t="str">
            <v>451</v>
          </cell>
          <cell r="F2055">
            <v>-14228</v>
          </cell>
          <cell r="G2055">
            <v>7</v>
          </cell>
          <cell r="H2055" t="str">
            <v>2006-07-31</v>
          </cell>
        </row>
        <row r="2056">
          <cell r="A2056" t="str">
            <v>481004</v>
          </cell>
          <cell r="B2056" t="str">
            <v>1015</v>
          </cell>
          <cell r="C2056">
            <v>-109695</v>
          </cell>
          <cell r="D2056" t="str">
            <v>204</v>
          </cell>
          <cell r="E2056" t="str">
            <v>451</v>
          </cell>
          <cell r="F2056">
            <v>0</v>
          </cell>
          <cell r="G2056">
            <v>7</v>
          </cell>
          <cell r="H2056" t="str">
            <v>2006-07-31</v>
          </cell>
        </row>
        <row r="2057">
          <cell r="A2057" t="str">
            <v>481004</v>
          </cell>
          <cell r="B2057" t="str">
            <v>1015</v>
          </cell>
          <cell r="C2057">
            <v>0</v>
          </cell>
          <cell r="D2057" t="str">
            <v>210</v>
          </cell>
          <cell r="E2057" t="str">
            <v>451</v>
          </cell>
          <cell r="F2057">
            <v>0</v>
          </cell>
          <cell r="G2057">
            <v>7</v>
          </cell>
          <cell r="H2057" t="str">
            <v>2006-07-31</v>
          </cell>
        </row>
        <row r="2058">
          <cell r="A2058" t="str">
            <v>480000</v>
          </cell>
          <cell r="B2058" t="str">
            <v>1015</v>
          </cell>
          <cell r="C2058">
            <v>-268183.13</v>
          </cell>
          <cell r="D2058" t="str">
            <v>202</v>
          </cell>
          <cell r="E2058" t="str">
            <v>453</v>
          </cell>
          <cell r="F2058">
            <v>-43968.97</v>
          </cell>
          <cell r="G2058">
            <v>7</v>
          </cell>
          <cell r="H2058" t="str">
            <v>2006-07-31</v>
          </cell>
        </row>
        <row r="2059">
          <cell r="A2059" t="str">
            <v>480000</v>
          </cell>
          <cell r="B2059" t="str">
            <v>1015</v>
          </cell>
          <cell r="C2059">
            <v>-317109.73</v>
          </cell>
          <cell r="D2059" t="str">
            <v>204</v>
          </cell>
          <cell r="E2059" t="str">
            <v>453</v>
          </cell>
          <cell r="F2059">
            <v>0</v>
          </cell>
          <cell r="G2059">
            <v>7</v>
          </cell>
          <cell r="H2059" t="str">
            <v>2006-07-31</v>
          </cell>
        </row>
        <row r="2060">
          <cell r="A2060" t="str">
            <v>480000</v>
          </cell>
          <cell r="B2060" t="str">
            <v>1015</v>
          </cell>
          <cell r="C2060">
            <v>-20604.52</v>
          </cell>
          <cell r="D2060" t="str">
            <v>205</v>
          </cell>
          <cell r="E2060" t="str">
            <v>453</v>
          </cell>
          <cell r="F2060">
            <v>0</v>
          </cell>
          <cell r="G2060">
            <v>7</v>
          </cell>
          <cell r="H2060" t="str">
            <v>2006-07-31</v>
          </cell>
        </row>
        <row r="2061">
          <cell r="A2061" t="str">
            <v>480001</v>
          </cell>
          <cell r="B2061" t="str">
            <v>1015</v>
          </cell>
          <cell r="C2061">
            <v>16477.400000000001</v>
          </cell>
          <cell r="D2061" t="str">
            <v>202</v>
          </cell>
          <cell r="E2061" t="str">
            <v>453</v>
          </cell>
          <cell r="F2061">
            <v>11996.13</v>
          </cell>
          <cell r="G2061">
            <v>7</v>
          </cell>
          <cell r="H2061" t="str">
            <v>2006-07-31</v>
          </cell>
        </row>
        <row r="2062">
          <cell r="A2062" t="str">
            <v>480001</v>
          </cell>
          <cell r="B2062" t="str">
            <v>1015</v>
          </cell>
          <cell r="C2062">
            <v>86849.47</v>
          </cell>
          <cell r="D2062" t="str">
            <v>204</v>
          </cell>
          <cell r="E2062" t="str">
            <v>453</v>
          </cell>
          <cell r="F2062">
            <v>0</v>
          </cell>
          <cell r="G2062">
            <v>7</v>
          </cell>
          <cell r="H2062" t="str">
            <v>2006-07-31</v>
          </cell>
        </row>
        <row r="2063">
          <cell r="A2063" t="str">
            <v>480001</v>
          </cell>
          <cell r="B2063" t="str">
            <v>1015</v>
          </cell>
          <cell r="C2063">
            <v>11176.49</v>
          </cell>
          <cell r="D2063" t="str">
            <v>205</v>
          </cell>
          <cell r="E2063" t="str">
            <v>453</v>
          </cell>
          <cell r="F2063">
            <v>0</v>
          </cell>
          <cell r="G2063">
            <v>7</v>
          </cell>
          <cell r="H2063" t="str">
            <v>2006-07-31</v>
          </cell>
        </row>
        <row r="2064">
          <cell r="A2064" t="str">
            <v>480001</v>
          </cell>
          <cell r="B2064" t="str">
            <v>1015</v>
          </cell>
          <cell r="C2064">
            <v>0</v>
          </cell>
          <cell r="D2064" t="str">
            <v>210</v>
          </cell>
          <cell r="E2064" t="str">
            <v>453</v>
          </cell>
          <cell r="F2064">
            <v>0</v>
          </cell>
          <cell r="G2064">
            <v>7</v>
          </cell>
          <cell r="H2064" t="str">
            <v>2006-07-31</v>
          </cell>
        </row>
        <row r="2065">
          <cell r="A2065" t="str">
            <v>481004</v>
          </cell>
          <cell r="B2065" t="str">
            <v>1015</v>
          </cell>
          <cell r="C2065">
            <v>-56254.27</v>
          </cell>
          <cell r="D2065" t="str">
            <v>202</v>
          </cell>
          <cell r="E2065" t="str">
            <v>453</v>
          </cell>
          <cell r="F2065">
            <v>-19322.16</v>
          </cell>
          <cell r="G2065">
            <v>7</v>
          </cell>
          <cell r="H2065" t="str">
            <v>2006-07-31</v>
          </cell>
        </row>
        <row r="2066">
          <cell r="A2066" t="str">
            <v>481004</v>
          </cell>
          <cell r="B2066" t="str">
            <v>1015</v>
          </cell>
          <cell r="C2066">
            <v>-139278.74</v>
          </cell>
          <cell r="D2066" t="str">
            <v>204</v>
          </cell>
          <cell r="E2066" t="str">
            <v>453</v>
          </cell>
          <cell r="F2066">
            <v>0</v>
          </cell>
          <cell r="G2066">
            <v>7</v>
          </cell>
          <cell r="H2066" t="str">
            <v>2006-07-31</v>
          </cell>
        </row>
        <row r="2067">
          <cell r="A2067" t="str">
            <v>481004</v>
          </cell>
          <cell r="B2067" t="str">
            <v>1015</v>
          </cell>
          <cell r="C2067">
            <v>-5955.97</v>
          </cell>
          <cell r="D2067" t="str">
            <v>205</v>
          </cell>
          <cell r="E2067" t="str">
            <v>453</v>
          </cell>
          <cell r="F2067">
            <v>0</v>
          </cell>
          <cell r="G2067">
            <v>7</v>
          </cell>
          <cell r="H2067" t="str">
            <v>2006-07-31</v>
          </cell>
        </row>
        <row r="2068">
          <cell r="A2068" t="str">
            <v>480000</v>
          </cell>
          <cell r="B2068" t="str">
            <v>1015</v>
          </cell>
          <cell r="C2068">
            <v>-8894.7800000000007</v>
          </cell>
          <cell r="D2068" t="str">
            <v>202</v>
          </cell>
          <cell r="E2068" t="str">
            <v>455</v>
          </cell>
          <cell r="F2068">
            <v>-1507.22</v>
          </cell>
          <cell r="G2068">
            <v>7</v>
          </cell>
          <cell r="H2068" t="str">
            <v>2006-07-31</v>
          </cell>
        </row>
        <row r="2069">
          <cell r="A2069" t="str">
            <v>480000</v>
          </cell>
          <cell r="B2069" t="str">
            <v>1015</v>
          </cell>
          <cell r="C2069">
            <v>-10888.61</v>
          </cell>
          <cell r="D2069" t="str">
            <v>204</v>
          </cell>
          <cell r="E2069" t="str">
            <v>455</v>
          </cell>
          <cell r="F2069">
            <v>0</v>
          </cell>
          <cell r="G2069">
            <v>7</v>
          </cell>
          <cell r="H2069" t="str">
            <v>2006-07-31</v>
          </cell>
        </row>
        <row r="2070">
          <cell r="A2070" t="str">
            <v>480000</v>
          </cell>
          <cell r="B2070" t="str">
            <v>1015</v>
          </cell>
          <cell r="C2070">
            <v>-1112.42</v>
          </cell>
          <cell r="D2070" t="str">
            <v>205</v>
          </cell>
          <cell r="E2070" t="str">
            <v>455</v>
          </cell>
          <cell r="F2070">
            <v>0</v>
          </cell>
          <cell r="G2070">
            <v>7</v>
          </cell>
          <cell r="H2070" t="str">
            <v>2006-07-31</v>
          </cell>
        </row>
        <row r="2071">
          <cell r="A2071" t="str">
            <v>480001</v>
          </cell>
          <cell r="B2071" t="str">
            <v>1015</v>
          </cell>
          <cell r="C2071">
            <v>1907.85</v>
          </cell>
          <cell r="D2071" t="str">
            <v>202</v>
          </cell>
          <cell r="E2071" t="str">
            <v>455</v>
          </cell>
          <cell r="F2071">
            <v>574.08000000000004</v>
          </cell>
          <cell r="G2071">
            <v>7</v>
          </cell>
          <cell r="H2071" t="str">
            <v>2006-07-31</v>
          </cell>
        </row>
        <row r="2072">
          <cell r="A2072" t="str">
            <v>480001</v>
          </cell>
          <cell r="B2072" t="str">
            <v>1015</v>
          </cell>
          <cell r="C2072">
            <v>4170.83</v>
          </cell>
          <cell r="D2072" t="str">
            <v>204</v>
          </cell>
          <cell r="E2072" t="str">
            <v>455</v>
          </cell>
          <cell r="F2072">
            <v>0</v>
          </cell>
          <cell r="G2072">
            <v>7</v>
          </cell>
          <cell r="H2072" t="str">
            <v>2006-07-31</v>
          </cell>
        </row>
        <row r="2073">
          <cell r="A2073" t="str">
            <v>480001</v>
          </cell>
          <cell r="B2073" t="str">
            <v>1015</v>
          </cell>
          <cell r="C2073">
            <v>1507.65</v>
          </cell>
          <cell r="D2073" t="str">
            <v>205</v>
          </cell>
          <cell r="E2073" t="str">
            <v>455</v>
          </cell>
          <cell r="F2073">
            <v>0</v>
          </cell>
          <cell r="G2073">
            <v>7</v>
          </cell>
          <cell r="H2073" t="str">
            <v>2006-07-31</v>
          </cell>
        </row>
        <row r="2074">
          <cell r="A2074" t="str">
            <v>480001</v>
          </cell>
          <cell r="B2074" t="str">
            <v>1015</v>
          </cell>
          <cell r="C2074">
            <v>0</v>
          </cell>
          <cell r="D2074" t="str">
            <v>210</v>
          </cell>
          <cell r="E2074" t="str">
            <v>455</v>
          </cell>
          <cell r="F2074">
            <v>0</v>
          </cell>
          <cell r="G2074">
            <v>7</v>
          </cell>
          <cell r="H2074" t="str">
            <v>2006-07-31</v>
          </cell>
        </row>
        <row r="2075">
          <cell r="A2075" t="str">
            <v>481004</v>
          </cell>
          <cell r="B2075" t="str">
            <v>1015</v>
          </cell>
          <cell r="C2075">
            <v>-3543.07</v>
          </cell>
          <cell r="D2075" t="str">
            <v>202</v>
          </cell>
          <cell r="E2075" t="str">
            <v>455</v>
          </cell>
          <cell r="F2075">
            <v>-1094.8599999999999</v>
          </cell>
          <cell r="G2075">
            <v>7</v>
          </cell>
          <cell r="H2075" t="str">
            <v>2006-07-31</v>
          </cell>
        </row>
        <row r="2076">
          <cell r="A2076" t="str">
            <v>481004</v>
          </cell>
          <cell r="B2076" t="str">
            <v>1015</v>
          </cell>
          <cell r="C2076">
            <v>-7892.22</v>
          </cell>
          <cell r="D2076" t="str">
            <v>204</v>
          </cell>
          <cell r="E2076" t="str">
            <v>455</v>
          </cell>
          <cell r="F2076">
            <v>0</v>
          </cell>
          <cell r="G2076">
            <v>7</v>
          </cell>
          <cell r="H2076" t="str">
            <v>2006-07-31</v>
          </cell>
        </row>
        <row r="2077">
          <cell r="A2077" t="str">
            <v>481004</v>
          </cell>
          <cell r="B2077" t="str">
            <v>1015</v>
          </cell>
          <cell r="C2077">
            <v>-395.23</v>
          </cell>
          <cell r="D2077" t="str">
            <v>205</v>
          </cell>
          <cell r="E2077" t="str">
            <v>455</v>
          </cell>
          <cell r="F2077">
            <v>0</v>
          </cell>
          <cell r="G2077">
            <v>7</v>
          </cell>
          <cell r="H2077" t="str">
            <v>2006-07-31</v>
          </cell>
        </row>
        <row r="2078">
          <cell r="A2078" t="str">
            <v>481002</v>
          </cell>
          <cell r="B2078" t="str">
            <v>1015</v>
          </cell>
          <cell r="C2078">
            <v>0</v>
          </cell>
          <cell r="D2078" t="str">
            <v>202</v>
          </cell>
          <cell r="E2078" t="str">
            <v>456</v>
          </cell>
          <cell r="F2078">
            <v>0</v>
          </cell>
          <cell r="G2078">
            <v>7</v>
          </cell>
          <cell r="H2078" t="str">
            <v>2006-07-31</v>
          </cell>
        </row>
        <row r="2079">
          <cell r="A2079" t="str">
            <v>481002</v>
          </cell>
          <cell r="B2079" t="str">
            <v>1015</v>
          </cell>
          <cell r="C2079">
            <v>0</v>
          </cell>
          <cell r="D2079" t="str">
            <v>203</v>
          </cell>
          <cell r="E2079" t="str">
            <v>456</v>
          </cell>
          <cell r="F2079">
            <v>0</v>
          </cell>
          <cell r="G2079">
            <v>7</v>
          </cell>
          <cell r="H2079" t="str">
            <v>2006-07-31</v>
          </cell>
        </row>
        <row r="2080">
          <cell r="A2080" t="str">
            <v>481002</v>
          </cell>
          <cell r="B2080" t="str">
            <v>1015</v>
          </cell>
          <cell r="C2080">
            <v>0</v>
          </cell>
          <cell r="D2080" t="str">
            <v>204</v>
          </cell>
          <cell r="E2080" t="str">
            <v>456</v>
          </cell>
          <cell r="F2080">
            <v>0</v>
          </cell>
          <cell r="G2080">
            <v>7</v>
          </cell>
          <cell r="H2080" t="str">
            <v>2006-07-31</v>
          </cell>
        </row>
        <row r="2081">
          <cell r="A2081" t="str">
            <v>481002</v>
          </cell>
          <cell r="B2081" t="str">
            <v>1015</v>
          </cell>
          <cell r="C2081">
            <v>0</v>
          </cell>
          <cell r="D2081" t="str">
            <v>210</v>
          </cell>
          <cell r="E2081" t="str">
            <v>456</v>
          </cell>
          <cell r="F2081">
            <v>0</v>
          </cell>
          <cell r="G2081">
            <v>7</v>
          </cell>
          <cell r="H2081" t="str">
            <v>2006-07-31</v>
          </cell>
        </row>
        <row r="2082">
          <cell r="A2082" t="str">
            <v>481002</v>
          </cell>
          <cell r="B2082" t="str">
            <v>1015</v>
          </cell>
          <cell r="C2082">
            <v>-356.75</v>
          </cell>
          <cell r="D2082" t="str">
            <v>202</v>
          </cell>
          <cell r="E2082" t="str">
            <v>457</v>
          </cell>
          <cell r="F2082">
            <v>-2117</v>
          </cell>
          <cell r="G2082">
            <v>7</v>
          </cell>
          <cell r="H2082" t="str">
            <v>2006-07-31</v>
          </cell>
        </row>
        <row r="2083">
          <cell r="A2083" t="str">
            <v>481002</v>
          </cell>
          <cell r="B2083" t="str">
            <v>1015</v>
          </cell>
          <cell r="C2083">
            <v>-387.14</v>
          </cell>
          <cell r="D2083" t="str">
            <v>203</v>
          </cell>
          <cell r="E2083" t="str">
            <v>457</v>
          </cell>
          <cell r="F2083">
            <v>0</v>
          </cell>
          <cell r="G2083">
            <v>7</v>
          </cell>
          <cell r="H2083" t="str">
            <v>2006-07-31</v>
          </cell>
        </row>
        <row r="2084">
          <cell r="A2084" t="str">
            <v>481002</v>
          </cell>
          <cell r="B2084" t="str">
            <v>1015</v>
          </cell>
          <cell r="C2084">
            <v>-10799.6</v>
          </cell>
          <cell r="D2084" t="str">
            <v>204</v>
          </cell>
          <cell r="E2084" t="str">
            <v>457</v>
          </cell>
          <cell r="F2084">
            <v>0</v>
          </cell>
          <cell r="G2084">
            <v>7</v>
          </cell>
          <cell r="H2084" t="str">
            <v>2006-07-31</v>
          </cell>
        </row>
        <row r="2085">
          <cell r="A2085" t="str">
            <v>481005</v>
          </cell>
          <cell r="B2085" t="str">
            <v>1015</v>
          </cell>
          <cell r="C2085">
            <v>-1240</v>
          </cell>
          <cell r="D2085" t="str">
            <v>202</v>
          </cell>
          <cell r="E2085" t="str">
            <v>457</v>
          </cell>
          <cell r="F2085">
            <v>-5821</v>
          </cell>
          <cell r="G2085">
            <v>7</v>
          </cell>
          <cell r="H2085" t="str">
            <v>2006-07-31</v>
          </cell>
        </row>
        <row r="2086">
          <cell r="A2086" t="str">
            <v>481005</v>
          </cell>
          <cell r="B2086" t="str">
            <v>1015</v>
          </cell>
          <cell r="C2086">
            <v>-1064</v>
          </cell>
          <cell r="D2086" t="str">
            <v>203</v>
          </cell>
          <cell r="E2086" t="str">
            <v>457</v>
          </cell>
          <cell r="F2086">
            <v>0</v>
          </cell>
          <cell r="G2086">
            <v>7</v>
          </cell>
          <cell r="H2086" t="str">
            <v>2006-07-31</v>
          </cell>
        </row>
        <row r="2087">
          <cell r="A2087" t="str">
            <v>481005</v>
          </cell>
          <cell r="B2087" t="str">
            <v>1015</v>
          </cell>
          <cell r="C2087">
            <v>-27950</v>
          </cell>
          <cell r="D2087" t="str">
            <v>204</v>
          </cell>
          <cell r="E2087" t="str">
            <v>457</v>
          </cell>
          <cell r="F2087">
            <v>0</v>
          </cell>
          <cell r="G2087">
            <v>7</v>
          </cell>
          <cell r="H2087" t="str">
            <v>2006-07-31</v>
          </cell>
        </row>
        <row r="2088">
          <cell r="A2088" t="str">
            <v>489300</v>
          </cell>
          <cell r="B2088" t="str">
            <v>1015</v>
          </cell>
          <cell r="C2088">
            <v>-2461.04</v>
          </cell>
          <cell r="D2088" t="str">
            <v>250</v>
          </cell>
          <cell r="E2088" t="str">
            <v>458</v>
          </cell>
          <cell r="F2088">
            <v>-15287</v>
          </cell>
          <cell r="G2088">
            <v>7</v>
          </cell>
          <cell r="H2088" t="str">
            <v>2006-07-31</v>
          </cell>
        </row>
        <row r="2089">
          <cell r="A2089" t="str">
            <v>489304</v>
          </cell>
          <cell r="B2089" t="str">
            <v>1015</v>
          </cell>
          <cell r="C2089">
            <v>-438.5</v>
          </cell>
          <cell r="D2089" t="str">
            <v>250</v>
          </cell>
          <cell r="E2089" t="str">
            <v>458</v>
          </cell>
          <cell r="F2089">
            <v>-1125</v>
          </cell>
          <cell r="G2089">
            <v>7</v>
          </cell>
          <cell r="H2089" t="str">
            <v>2006-07-31</v>
          </cell>
        </row>
        <row r="2090">
          <cell r="A2090" t="str">
            <v>489300</v>
          </cell>
          <cell r="B2090" t="str">
            <v>1015</v>
          </cell>
          <cell r="C2090">
            <v>-1393.95</v>
          </cell>
          <cell r="D2090" t="str">
            <v>250</v>
          </cell>
          <cell r="E2090" t="str">
            <v>459</v>
          </cell>
          <cell r="F2090">
            <v>-2126</v>
          </cell>
          <cell r="G2090">
            <v>7</v>
          </cell>
          <cell r="H2090" t="str">
            <v>2006-07-31</v>
          </cell>
        </row>
        <row r="2091">
          <cell r="A2091" t="str">
            <v>481003</v>
          </cell>
          <cell r="B2091" t="str">
            <v>1015</v>
          </cell>
          <cell r="C2091">
            <v>-116916.72</v>
          </cell>
          <cell r="D2091" t="str">
            <v>200</v>
          </cell>
          <cell r="F2091">
            <v>-11884.44</v>
          </cell>
          <cell r="G2091">
            <v>7</v>
          </cell>
          <cell r="H2091" t="str">
            <v>2006-07-31</v>
          </cell>
        </row>
        <row r="2092">
          <cell r="A2092" t="str">
            <v>481000</v>
          </cell>
          <cell r="B2092" t="str">
            <v>1015</v>
          </cell>
          <cell r="C2092">
            <v>-15464.44</v>
          </cell>
          <cell r="D2092" t="str">
            <v>202</v>
          </cell>
          <cell r="E2092" t="str">
            <v>402</v>
          </cell>
          <cell r="F2092">
            <v>-37009</v>
          </cell>
          <cell r="G2092">
            <v>8</v>
          </cell>
          <cell r="H2092" t="str">
            <v>2006-08-31</v>
          </cell>
        </row>
        <row r="2093">
          <cell r="A2093" t="str">
            <v>481000</v>
          </cell>
          <cell r="B2093" t="str">
            <v>1015</v>
          </cell>
          <cell r="C2093">
            <v>-18414.560000000001</v>
          </cell>
          <cell r="D2093" t="str">
            <v>203</v>
          </cell>
          <cell r="E2093" t="str">
            <v>402</v>
          </cell>
          <cell r="F2093">
            <v>0</v>
          </cell>
          <cell r="G2093">
            <v>8</v>
          </cell>
          <cell r="H2093" t="str">
            <v>2006-08-31</v>
          </cell>
        </row>
        <row r="2094">
          <cell r="A2094" t="str">
            <v>481000</v>
          </cell>
          <cell r="B2094" t="str">
            <v>1015</v>
          </cell>
          <cell r="C2094">
            <v>-240348.66</v>
          </cell>
          <cell r="D2094" t="str">
            <v>204</v>
          </cell>
          <cell r="E2094" t="str">
            <v>402</v>
          </cell>
          <cell r="F2094">
            <v>0</v>
          </cell>
          <cell r="G2094">
            <v>8</v>
          </cell>
          <cell r="H2094" t="str">
            <v>2006-08-31</v>
          </cell>
        </row>
        <row r="2095">
          <cell r="A2095" t="str">
            <v>481000</v>
          </cell>
          <cell r="B2095" t="str">
            <v>1015</v>
          </cell>
          <cell r="C2095">
            <v>0</v>
          </cell>
          <cell r="D2095" t="str">
            <v>210</v>
          </cell>
          <cell r="E2095" t="str">
            <v>402</v>
          </cell>
          <cell r="F2095">
            <v>0</v>
          </cell>
          <cell r="G2095">
            <v>8</v>
          </cell>
          <cell r="H2095" t="str">
            <v>2006-08-31</v>
          </cell>
        </row>
        <row r="2096">
          <cell r="A2096" t="str">
            <v>481004</v>
          </cell>
          <cell r="B2096" t="str">
            <v>1015</v>
          </cell>
          <cell r="C2096">
            <v>-221462.01</v>
          </cell>
          <cell r="D2096" t="str">
            <v>202</v>
          </cell>
          <cell r="E2096" t="str">
            <v>402</v>
          </cell>
          <cell r="F2096">
            <v>-401695</v>
          </cell>
          <cell r="G2096">
            <v>8</v>
          </cell>
          <cell r="H2096" t="str">
            <v>2006-08-31</v>
          </cell>
        </row>
        <row r="2097">
          <cell r="A2097" t="str">
            <v>481004</v>
          </cell>
          <cell r="B2097" t="str">
            <v>1015</v>
          </cell>
          <cell r="C2097">
            <v>-199871.97</v>
          </cell>
          <cell r="D2097" t="str">
            <v>203</v>
          </cell>
          <cell r="E2097" t="str">
            <v>402</v>
          </cell>
          <cell r="F2097">
            <v>0</v>
          </cell>
          <cell r="G2097">
            <v>8</v>
          </cell>
          <cell r="H2097" t="str">
            <v>2006-08-31</v>
          </cell>
        </row>
        <row r="2098">
          <cell r="A2098" t="str">
            <v>481004</v>
          </cell>
          <cell r="B2098" t="str">
            <v>1015</v>
          </cell>
          <cell r="C2098">
            <v>-2608742.59</v>
          </cell>
          <cell r="D2098" t="str">
            <v>204</v>
          </cell>
          <cell r="E2098" t="str">
            <v>402</v>
          </cell>
          <cell r="F2098">
            <v>0</v>
          </cell>
          <cell r="G2098">
            <v>8</v>
          </cell>
          <cell r="H2098" t="str">
            <v>2006-08-31</v>
          </cell>
        </row>
        <row r="2099">
          <cell r="A2099" t="str">
            <v>481004</v>
          </cell>
          <cell r="B2099" t="str">
            <v>1015</v>
          </cell>
          <cell r="C2099">
            <v>0</v>
          </cell>
          <cell r="D2099" t="str">
            <v>210</v>
          </cell>
          <cell r="E2099" t="str">
            <v>402</v>
          </cell>
          <cell r="F2099">
            <v>0</v>
          </cell>
          <cell r="G2099">
            <v>8</v>
          </cell>
          <cell r="H2099" t="str">
            <v>2006-08-31</v>
          </cell>
        </row>
        <row r="2100">
          <cell r="A2100" t="str">
            <v>481000</v>
          </cell>
          <cell r="B2100" t="str">
            <v>1015</v>
          </cell>
          <cell r="C2100">
            <v>-7071.01</v>
          </cell>
          <cell r="D2100" t="str">
            <v>202</v>
          </cell>
          <cell r="E2100" t="str">
            <v>403</v>
          </cell>
          <cell r="F2100">
            <v>0</v>
          </cell>
          <cell r="G2100">
            <v>8</v>
          </cell>
          <cell r="H2100" t="str">
            <v>2006-08-31</v>
          </cell>
        </row>
        <row r="2101">
          <cell r="A2101" t="str">
            <v>481000</v>
          </cell>
          <cell r="B2101" t="str">
            <v>1015</v>
          </cell>
          <cell r="C2101">
            <v>-1636.48</v>
          </cell>
          <cell r="D2101" t="str">
            <v>203</v>
          </cell>
          <cell r="E2101" t="str">
            <v>403</v>
          </cell>
          <cell r="F2101">
            <v>0</v>
          </cell>
          <cell r="G2101">
            <v>8</v>
          </cell>
          <cell r="H2101" t="str">
            <v>2006-08-31</v>
          </cell>
        </row>
        <row r="2102">
          <cell r="A2102" t="str">
            <v>481000</v>
          </cell>
          <cell r="B2102" t="str">
            <v>1015</v>
          </cell>
          <cell r="C2102">
            <v>-2974.7</v>
          </cell>
          <cell r="D2102" t="str">
            <v>204</v>
          </cell>
          <cell r="E2102" t="str">
            <v>403</v>
          </cell>
          <cell r="F2102">
            <v>0</v>
          </cell>
          <cell r="G2102">
            <v>8</v>
          </cell>
          <cell r="H2102" t="str">
            <v>2006-08-31</v>
          </cell>
        </row>
        <row r="2103">
          <cell r="A2103" t="str">
            <v>481000</v>
          </cell>
          <cell r="B2103" t="str">
            <v>1015</v>
          </cell>
          <cell r="C2103">
            <v>-9742.31</v>
          </cell>
          <cell r="D2103" t="str">
            <v>202</v>
          </cell>
          <cell r="E2103" t="str">
            <v>404</v>
          </cell>
          <cell r="F2103">
            <v>-31000</v>
          </cell>
          <cell r="G2103">
            <v>8</v>
          </cell>
          <cell r="H2103" t="str">
            <v>2006-08-31</v>
          </cell>
        </row>
        <row r="2104">
          <cell r="A2104" t="str">
            <v>481000</v>
          </cell>
          <cell r="B2104" t="str">
            <v>1015</v>
          </cell>
          <cell r="C2104">
            <v>-22384.17</v>
          </cell>
          <cell r="D2104" t="str">
            <v>203</v>
          </cell>
          <cell r="E2104" t="str">
            <v>404</v>
          </cell>
          <cell r="F2104">
            <v>0</v>
          </cell>
          <cell r="G2104">
            <v>8</v>
          </cell>
          <cell r="H2104" t="str">
            <v>2006-08-31</v>
          </cell>
        </row>
        <row r="2105">
          <cell r="A2105" t="str">
            <v>481000</v>
          </cell>
          <cell r="B2105" t="str">
            <v>1015</v>
          </cell>
          <cell r="C2105">
            <v>-201324.23</v>
          </cell>
          <cell r="D2105" t="str">
            <v>204</v>
          </cell>
          <cell r="E2105" t="str">
            <v>404</v>
          </cell>
          <cell r="F2105">
            <v>0</v>
          </cell>
          <cell r="G2105">
            <v>8</v>
          </cell>
          <cell r="H2105" t="str">
            <v>2006-08-31</v>
          </cell>
        </row>
        <row r="2106">
          <cell r="A2106" t="str">
            <v>481004</v>
          </cell>
          <cell r="B2106" t="str">
            <v>1015</v>
          </cell>
          <cell r="C2106">
            <v>0</v>
          </cell>
          <cell r="D2106" t="str">
            <v>202</v>
          </cell>
          <cell r="E2106" t="str">
            <v>404</v>
          </cell>
          <cell r="F2106">
            <v>0</v>
          </cell>
          <cell r="G2106">
            <v>8</v>
          </cell>
          <cell r="H2106" t="str">
            <v>2006-08-31</v>
          </cell>
        </row>
        <row r="2107">
          <cell r="A2107" t="str">
            <v>481004</v>
          </cell>
          <cell r="B2107" t="str">
            <v>1015</v>
          </cell>
          <cell r="C2107">
            <v>0</v>
          </cell>
          <cell r="D2107" t="str">
            <v>203</v>
          </cell>
          <cell r="E2107" t="str">
            <v>404</v>
          </cell>
          <cell r="F2107">
            <v>0</v>
          </cell>
          <cell r="G2107">
            <v>8</v>
          </cell>
          <cell r="H2107" t="str">
            <v>2006-08-31</v>
          </cell>
        </row>
        <row r="2108">
          <cell r="A2108" t="str">
            <v>481004</v>
          </cell>
          <cell r="B2108" t="str">
            <v>1015</v>
          </cell>
          <cell r="C2108">
            <v>0</v>
          </cell>
          <cell r="D2108" t="str">
            <v>204</v>
          </cell>
          <cell r="E2108" t="str">
            <v>404</v>
          </cell>
          <cell r="F2108">
            <v>0</v>
          </cell>
          <cell r="G2108">
            <v>8</v>
          </cell>
          <cell r="H2108" t="str">
            <v>2006-08-31</v>
          </cell>
        </row>
        <row r="2109">
          <cell r="A2109" t="str">
            <v>481004</v>
          </cell>
          <cell r="B2109" t="str">
            <v>1015</v>
          </cell>
          <cell r="C2109">
            <v>0</v>
          </cell>
          <cell r="D2109" t="str">
            <v>210</v>
          </cell>
          <cell r="E2109" t="str">
            <v>404</v>
          </cell>
          <cell r="F2109">
            <v>0</v>
          </cell>
          <cell r="G2109">
            <v>8</v>
          </cell>
          <cell r="H2109" t="str">
            <v>2006-08-31</v>
          </cell>
        </row>
        <row r="2110">
          <cell r="A2110" t="str">
            <v>489300</v>
          </cell>
          <cell r="B2110" t="str">
            <v>1015</v>
          </cell>
          <cell r="C2110">
            <v>-58054.46</v>
          </cell>
          <cell r="D2110" t="str">
            <v>250</v>
          </cell>
          <cell r="E2110" t="str">
            <v>405</v>
          </cell>
          <cell r="F2110">
            <v>-314539</v>
          </cell>
          <cell r="G2110">
            <v>8</v>
          </cell>
          <cell r="H2110" t="str">
            <v>2006-08-31</v>
          </cell>
        </row>
        <row r="2111">
          <cell r="A2111" t="str">
            <v>489304</v>
          </cell>
          <cell r="B2111" t="str">
            <v>1015</v>
          </cell>
          <cell r="C2111">
            <v>-81797.13</v>
          </cell>
          <cell r="D2111" t="str">
            <v>250</v>
          </cell>
          <cell r="E2111" t="str">
            <v>405</v>
          </cell>
          <cell r="F2111">
            <v>-771063</v>
          </cell>
          <cell r="G2111">
            <v>8</v>
          </cell>
          <cell r="H2111" t="str">
            <v>2006-08-31</v>
          </cell>
        </row>
        <row r="2112">
          <cell r="A2112" t="str">
            <v>489300</v>
          </cell>
          <cell r="B2112" t="str">
            <v>1015</v>
          </cell>
          <cell r="C2112">
            <v>-108100.07</v>
          </cell>
          <cell r="D2112" t="str">
            <v>250</v>
          </cell>
          <cell r="E2112" t="str">
            <v>406</v>
          </cell>
          <cell r="F2112">
            <v>-510251</v>
          </cell>
          <cell r="G2112">
            <v>8</v>
          </cell>
          <cell r="H2112" t="str">
            <v>2006-08-31</v>
          </cell>
        </row>
        <row r="2113">
          <cell r="A2113" t="str">
            <v>489304</v>
          </cell>
          <cell r="B2113" t="str">
            <v>1015</v>
          </cell>
          <cell r="C2113">
            <v>-26667.62</v>
          </cell>
          <cell r="D2113" t="str">
            <v>250</v>
          </cell>
          <cell r="E2113" t="str">
            <v>406</v>
          </cell>
          <cell r="F2113">
            <v>-134868</v>
          </cell>
          <cell r="G2113">
            <v>8</v>
          </cell>
          <cell r="H2113" t="str">
            <v>2006-08-31</v>
          </cell>
        </row>
        <row r="2114">
          <cell r="A2114" t="str">
            <v>480000</v>
          </cell>
          <cell r="B2114" t="str">
            <v>1015</v>
          </cell>
          <cell r="C2114">
            <v>-6368898.2300000004</v>
          </cell>
          <cell r="D2114" t="str">
            <v>202</v>
          </cell>
          <cell r="E2114" t="str">
            <v>407</v>
          </cell>
          <cell r="F2114">
            <v>-1498832.36</v>
          </cell>
          <cell r="G2114">
            <v>8</v>
          </cell>
          <cell r="H2114" t="str">
            <v>2006-08-31</v>
          </cell>
        </row>
        <row r="2115">
          <cell r="A2115" t="str">
            <v>480000</v>
          </cell>
          <cell r="B2115" t="str">
            <v>1015</v>
          </cell>
          <cell r="C2115">
            <v>-749335.28</v>
          </cell>
          <cell r="D2115" t="str">
            <v>203</v>
          </cell>
          <cell r="E2115" t="str">
            <v>407</v>
          </cell>
          <cell r="F2115">
            <v>0</v>
          </cell>
          <cell r="G2115">
            <v>8</v>
          </cell>
          <cell r="H2115" t="str">
            <v>2006-08-31</v>
          </cell>
        </row>
        <row r="2116">
          <cell r="A2116" t="str">
            <v>480000</v>
          </cell>
          <cell r="B2116" t="str">
            <v>1015</v>
          </cell>
          <cell r="C2116">
            <v>-9807754.8000000007</v>
          </cell>
          <cell r="D2116" t="str">
            <v>204</v>
          </cell>
          <cell r="E2116" t="str">
            <v>407</v>
          </cell>
          <cell r="F2116">
            <v>0</v>
          </cell>
          <cell r="G2116">
            <v>8</v>
          </cell>
          <cell r="H2116" t="str">
            <v>2006-08-31</v>
          </cell>
        </row>
        <row r="2117">
          <cell r="A2117" t="str">
            <v>480000</v>
          </cell>
          <cell r="B2117" t="str">
            <v>1015</v>
          </cell>
          <cell r="C2117">
            <v>-7919.42</v>
          </cell>
          <cell r="D2117" t="str">
            <v>205</v>
          </cell>
          <cell r="E2117" t="str">
            <v>407</v>
          </cell>
          <cell r="F2117">
            <v>0</v>
          </cell>
          <cell r="G2117">
            <v>8</v>
          </cell>
          <cell r="H2117" t="str">
            <v>2006-08-31</v>
          </cell>
        </row>
        <row r="2118">
          <cell r="A2118" t="str">
            <v>480000</v>
          </cell>
          <cell r="B2118" t="str">
            <v>1015</v>
          </cell>
          <cell r="C2118">
            <v>34494.230000000003</v>
          </cell>
          <cell r="D2118" t="str">
            <v>210</v>
          </cell>
          <cell r="E2118" t="str">
            <v>407</v>
          </cell>
          <cell r="F2118">
            <v>4790.6000000000004</v>
          </cell>
          <cell r="G2118">
            <v>8</v>
          </cell>
          <cell r="H2118" t="str">
            <v>2006-08-31</v>
          </cell>
        </row>
        <row r="2119">
          <cell r="A2119" t="str">
            <v>480001</v>
          </cell>
          <cell r="B2119" t="str">
            <v>1015</v>
          </cell>
          <cell r="C2119">
            <v>240727.86</v>
          </cell>
          <cell r="D2119" t="str">
            <v>202</v>
          </cell>
          <cell r="E2119" t="str">
            <v>407</v>
          </cell>
          <cell r="F2119">
            <v>62956.5</v>
          </cell>
          <cell r="G2119">
            <v>8</v>
          </cell>
          <cell r="H2119" t="str">
            <v>2006-08-31</v>
          </cell>
        </row>
        <row r="2120">
          <cell r="A2120" t="str">
            <v>480001</v>
          </cell>
          <cell r="B2120" t="str">
            <v>1015</v>
          </cell>
          <cell r="C2120">
            <v>35442.81</v>
          </cell>
          <cell r="D2120" t="str">
            <v>203</v>
          </cell>
          <cell r="E2120" t="str">
            <v>407</v>
          </cell>
          <cell r="F2120">
            <v>0</v>
          </cell>
          <cell r="G2120">
            <v>8</v>
          </cell>
          <cell r="H2120" t="str">
            <v>2006-08-31</v>
          </cell>
        </row>
        <row r="2121">
          <cell r="A2121" t="str">
            <v>480001</v>
          </cell>
          <cell r="B2121" t="str">
            <v>1015</v>
          </cell>
          <cell r="C2121">
            <v>421950.94</v>
          </cell>
          <cell r="D2121" t="str">
            <v>204</v>
          </cell>
          <cell r="E2121" t="str">
            <v>407</v>
          </cell>
          <cell r="F2121">
            <v>0</v>
          </cell>
          <cell r="G2121">
            <v>8</v>
          </cell>
          <cell r="H2121" t="str">
            <v>2006-08-31</v>
          </cell>
        </row>
        <row r="2122">
          <cell r="A2122" t="str">
            <v>480001</v>
          </cell>
          <cell r="B2122" t="str">
            <v>1015</v>
          </cell>
          <cell r="C2122">
            <v>8798.7900000000009</v>
          </cell>
          <cell r="D2122" t="str">
            <v>205</v>
          </cell>
          <cell r="E2122" t="str">
            <v>407</v>
          </cell>
          <cell r="F2122">
            <v>0</v>
          </cell>
          <cell r="G2122">
            <v>8</v>
          </cell>
          <cell r="H2122" t="str">
            <v>2006-08-31</v>
          </cell>
        </row>
        <row r="2123">
          <cell r="A2123" t="str">
            <v>480001</v>
          </cell>
          <cell r="B2123" t="str">
            <v>1015</v>
          </cell>
          <cell r="C2123">
            <v>-38376.620000000003</v>
          </cell>
          <cell r="D2123" t="str">
            <v>210</v>
          </cell>
          <cell r="E2123" t="str">
            <v>407</v>
          </cell>
          <cell r="F2123">
            <v>-5332.3</v>
          </cell>
          <cell r="G2123">
            <v>8</v>
          </cell>
          <cell r="H2123" t="str">
            <v>2006-08-31</v>
          </cell>
        </row>
        <row r="2124">
          <cell r="A2124" t="str">
            <v>481000</v>
          </cell>
          <cell r="B2124" t="str">
            <v>1015</v>
          </cell>
          <cell r="C2124">
            <v>-1663.58</v>
          </cell>
          <cell r="D2124" t="str">
            <v>202</v>
          </cell>
          <cell r="E2124" t="str">
            <v>407</v>
          </cell>
          <cell r="F2124">
            <v>-1328.26</v>
          </cell>
          <cell r="G2124">
            <v>8</v>
          </cell>
          <cell r="H2124" t="str">
            <v>2006-08-31</v>
          </cell>
        </row>
        <row r="2125">
          <cell r="A2125" t="str">
            <v>481000</v>
          </cell>
          <cell r="B2125" t="str">
            <v>1015</v>
          </cell>
          <cell r="C2125">
            <v>-660.95</v>
          </cell>
          <cell r="D2125" t="str">
            <v>203</v>
          </cell>
          <cell r="E2125" t="str">
            <v>407</v>
          </cell>
          <cell r="F2125">
            <v>0</v>
          </cell>
          <cell r="G2125">
            <v>8</v>
          </cell>
          <cell r="H2125" t="str">
            <v>2006-08-31</v>
          </cell>
        </row>
        <row r="2126">
          <cell r="A2126" t="str">
            <v>481000</v>
          </cell>
          <cell r="B2126" t="str">
            <v>1015</v>
          </cell>
          <cell r="C2126">
            <v>-8682.2900000000009</v>
          </cell>
          <cell r="D2126" t="str">
            <v>204</v>
          </cell>
          <cell r="E2126" t="str">
            <v>407</v>
          </cell>
          <cell r="F2126">
            <v>0</v>
          </cell>
          <cell r="G2126">
            <v>8</v>
          </cell>
          <cell r="H2126" t="str">
            <v>2006-08-31</v>
          </cell>
        </row>
        <row r="2127">
          <cell r="A2127" t="str">
            <v>481000</v>
          </cell>
          <cell r="B2127" t="str">
            <v>1015</v>
          </cell>
          <cell r="C2127">
            <v>-8.33</v>
          </cell>
          <cell r="D2127" t="str">
            <v>205</v>
          </cell>
          <cell r="E2127" t="str">
            <v>407</v>
          </cell>
          <cell r="F2127">
            <v>0</v>
          </cell>
          <cell r="G2127">
            <v>8</v>
          </cell>
          <cell r="H2127" t="str">
            <v>2006-08-31</v>
          </cell>
        </row>
        <row r="2128">
          <cell r="A2128" t="str">
            <v>481004</v>
          </cell>
          <cell r="B2128" t="str">
            <v>1015</v>
          </cell>
          <cell r="C2128">
            <v>-1312825.05</v>
          </cell>
          <cell r="D2128" t="str">
            <v>202</v>
          </cell>
          <cell r="E2128" t="str">
            <v>407</v>
          </cell>
          <cell r="F2128">
            <v>-488185.88</v>
          </cell>
          <cell r="G2128">
            <v>8</v>
          </cell>
          <cell r="H2128" t="str">
            <v>2006-08-31</v>
          </cell>
        </row>
        <row r="2129">
          <cell r="A2129" t="str">
            <v>481004</v>
          </cell>
          <cell r="B2129" t="str">
            <v>1015</v>
          </cell>
          <cell r="C2129">
            <v>-243501.58</v>
          </cell>
          <cell r="D2129" t="str">
            <v>203</v>
          </cell>
          <cell r="E2129" t="str">
            <v>407</v>
          </cell>
          <cell r="F2129">
            <v>0</v>
          </cell>
          <cell r="G2129">
            <v>8</v>
          </cell>
          <cell r="H2129" t="str">
            <v>2006-08-31</v>
          </cell>
        </row>
        <row r="2130">
          <cell r="A2130" t="str">
            <v>481004</v>
          </cell>
          <cell r="B2130" t="str">
            <v>1015</v>
          </cell>
          <cell r="C2130">
            <v>-3190844.85</v>
          </cell>
          <cell r="D2130" t="str">
            <v>204</v>
          </cell>
          <cell r="E2130" t="str">
            <v>407</v>
          </cell>
          <cell r="F2130">
            <v>0</v>
          </cell>
          <cell r="G2130">
            <v>8</v>
          </cell>
          <cell r="H2130" t="str">
            <v>2006-08-31</v>
          </cell>
        </row>
        <row r="2131">
          <cell r="A2131" t="str">
            <v>481004</v>
          </cell>
          <cell r="B2131" t="str">
            <v>1015</v>
          </cell>
          <cell r="C2131">
            <v>-1357.04</v>
          </cell>
          <cell r="D2131" t="str">
            <v>205</v>
          </cell>
          <cell r="E2131" t="str">
            <v>407</v>
          </cell>
          <cell r="F2131">
            <v>0</v>
          </cell>
          <cell r="G2131">
            <v>8</v>
          </cell>
          <cell r="H2131" t="str">
            <v>2006-08-31</v>
          </cell>
        </row>
        <row r="2132">
          <cell r="A2132" t="str">
            <v>481004</v>
          </cell>
          <cell r="B2132" t="str">
            <v>1015</v>
          </cell>
          <cell r="C2132">
            <v>3882.39</v>
          </cell>
          <cell r="D2132" t="str">
            <v>210</v>
          </cell>
          <cell r="E2132" t="str">
            <v>407</v>
          </cell>
          <cell r="F2132">
            <v>541.70000000000005</v>
          </cell>
          <cell r="G2132">
            <v>8</v>
          </cell>
          <cell r="H2132" t="str">
            <v>2006-08-31</v>
          </cell>
        </row>
        <row r="2133">
          <cell r="A2133" t="str">
            <v>480000</v>
          </cell>
          <cell r="B2133" t="str">
            <v>1015</v>
          </cell>
          <cell r="C2133">
            <v>-40308.629999999997</v>
          </cell>
          <cell r="D2133" t="str">
            <v>202</v>
          </cell>
          <cell r="E2133" t="str">
            <v>408</v>
          </cell>
          <cell r="F2133">
            <v>-8511.9500000000007</v>
          </cell>
          <cell r="G2133">
            <v>8</v>
          </cell>
          <cell r="H2133" t="str">
            <v>2006-08-31</v>
          </cell>
        </row>
        <row r="2134">
          <cell r="A2134" t="str">
            <v>480000</v>
          </cell>
          <cell r="B2134" t="str">
            <v>1015</v>
          </cell>
          <cell r="C2134">
            <v>-4249.04</v>
          </cell>
          <cell r="D2134" t="str">
            <v>203</v>
          </cell>
          <cell r="E2134" t="str">
            <v>408</v>
          </cell>
          <cell r="F2134">
            <v>0</v>
          </cell>
          <cell r="G2134">
            <v>8</v>
          </cell>
          <cell r="H2134" t="str">
            <v>2006-08-31</v>
          </cell>
        </row>
        <row r="2135">
          <cell r="A2135" t="str">
            <v>480000</v>
          </cell>
          <cell r="B2135" t="str">
            <v>1015</v>
          </cell>
          <cell r="C2135">
            <v>-55822.73</v>
          </cell>
          <cell r="D2135" t="str">
            <v>204</v>
          </cell>
          <cell r="E2135" t="str">
            <v>408</v>
          </cell>
          <cell r="F2135">
            <v>0</v>
          </cell>
          <cell r="G2135">
            <v>8</v>
          </cell>
          <cell r="H2135" t="str">
            <v>2006-08-31</v>
          </cell>
        </row>
        <row r="2136">
          <cell r="A2136" t="str">
            <v>480000</v>
          </cell>
          <cell r="B2136" t="str">
            <v>1015</v>
          </cell>
          <cell r="C2136">
            <v>-314.49</v>
          </cell>
          <cell r="D2136" t="str">
            <v>205</v>
          </cell>
          <cell r="E2136" t="str">
            <v>408</v>
          </cell>
          <cell r="F2136">
            <v>0</v>
          </cell>
          <cell r="G2136">
            <v>8</v>
          </cell>
          <cell r="H2136" t="str">
            <v>2006-08-31</v>
          </cell>
        </row>
        <row r="2137">
          <cell r="A2137" t="str">
            <v>480001</v>
          </cell>
          <cell r="B2137" t="str">
            <v>1015</v>
          </cell>
          <cell r="C2137">
            <v>-4012.32</v>
          </cell>
          <cell r="D2137" t="str">
            <v>202</v>
          </cell>
          <cell r="E2137" t="str">
            <v>408</v>
          </cell>
          <cell r="F2137">
            <v>85.6</v>
          </cell>
          <cell r="G2137">
            <v>8</v>
          </cell>
          <cell r="H2137" t="str">
            <v>2006-08-31</v>
          </cell>
        </row>
        <row r="2138">
          <cell r="A2138" t="str">
            <v>480001</v>
          </cell>
          <cell r="B2138" t="str">
            <v>1015</v>
          </cell>
          <cell r="C2138">
            <v>57.17</v>
          </cell>
          <cell r="D2138" t="str">
            <v>203</v>
          </cell>
          <cell r="E2138" t="str">
            <v>408</v>
          </cell>
          <cell r="F2138">
            <v>0</v>
          </cell>
          <cell r="G2138">
            <v>8</v>
          </cell>
          <cell r="H2138" t="str">
            <v>2006-08-31</v>
          </cell>
        </row>
        <row r="2139">
          <cell r="A2139" t="str">
            <v>480001</v>
          </cell>
          <cell r="B2139" t="str">
            <v>1015</v>
          </cell>
          <cell r="C2139">
            <v>758.81</v>
          </cell>
          <cell r="D2139" t="str">
            <v>204</v>
          </cell>
          <cell r="E2139" t="str">
            <v>408</v>
          </cell>
          <cell r="F2139">
            <v>0</v>
          </cell>
          <cell r="G2139">
            <v>8</v>
          </cell>
          <cell r="H2139" t="str">
            <v>2006-08-31</v>
          </cell>
        </row>
        <row r="2140">
          <cell r="A2140" t="str">
            <v>480001</v>
          </cell>
          <cell r="B2140" t="str">
            <v>1015</v>
          </cell>
          <cell r="C2140">
            <v>-991.95</v>
          </cell>
          <cell r="D2140" t="str">
            <v>205</v>
          </cell>
          <cell r="E2140" t="str">
            <v>408</v>
          </cell>
          <cell r="F2140">
            <v>0</v>
          </cell>
          <cell r="G2140">
            <v>8</v>
          </cell>
          <cell r="H2140" t="str">
            <v>2006-08-31</v>
          </cell>
        </row>
        <row r="2141">
          <cell r="A2141" t="str">
            <v>480001</v>
          </cell>
          <cell r="B2141" t="str">
            <v>1015</v>
          </cell>
          <cell r="C2141">
            <v>0</v>
          </cell>
          <cell r="D2141" t="str">
            <v>210</v>
          </cell>
          <cell r="E2141" t="str">
            <v>408</v>
          </cell>
          <cell r="F2141">
            <v>0</v>
          </cell>
          <cell r="G2141">
            <v>8</v>
          </cell>
          <cell r="H2141" t="str">
            <v>2006-08-31</v>
          </cell>
        </row>
        <row r="2142">
          <cell r="A2142" t="str">
            <v>481004</v>
          </cell>
          <cell r="B2142" t="str">
            <v>1015</v>
          </cell>
          <cell r="C2142">
            <v>-23289.05</v>
          </cell>
          <cell r="D2142" t="str">
            <v>202</v>
          </cell>
          <cell r="E2142" t="str">
            <v>408</v>
          </cell>
          <cell r="F2142">
            <v>-5689.65</v>
          </cell>
          <cell r="G2142">
            <v>8</v>
          </cell>
          <cell r="H2142" t="str">
            <v>2006-08-31</v>
          </cell>
        </row>
        <row r="2143">
          <cell r="A2143" t="str">
            <v>481004</v>
          </cell>
          <cell r="B2143" t="str">
            <v>1015</v>
          </cell>
          <cell r="C2143">
            <v>-2832.13</v>
          </cell>
          <cell r="D2143" t="str">
            <v>203</v>
          </cell>
          <cell r="E2143" t="str">
            <v>408</v>
          </cell>
          <cell r="F2143">
            <v>0</v>
          </cell>
          <cell r="G2143">
            <v>8</v>
          </cell>
          <cell r="H2143" t="str">
            <v>2006-08-31</v>
          </cell>
        </row>
        <row r="2144">
          <cell r="A2144" t="str">
            <v>481004</v>
          </cell>
          <cell r="B2144" t="str">
            <v>1015</v>
          </cell>
          <cell r="C2144">
            <v>-37205.08</v>
          </cell>
          <cell r="D2144" t="str">
            <v>204</v>
          </cell>
          <cell r="E2144" t="str">
            <v>408</v>
          </cell>
          <cell r="F2144">
            <v>0</v>
          </cell>
          <cell r="G2144">
            <v>8</v>
          </cell>
          <cell r="H2144" t="str">
            <v>2006-08-31</v>
          </cell>
        </row>
        <row r="2145">
          <cell r="A2145" t="str">
            <v>481004</v>
          </cell>
          <cell r="B2145" t="str">
            <v>1015</v>
          </cell>
          <cell r="C2145">
            <v>-181.56</v>
          </cell>
          <cell r="D2145" t="str">
            <v>205</v>
          </cell>
          <cell r="E2145" t="str">
            <v>408</v>
          </cell>
          <cell r="F2145">
            <v>0</v>
          </cell>
          <cell r="G2145">
            <v>8</v>
          </cell>
          <cell r="H2145" t="str">
            <v>2006-08-31</v>
          </cell>
        </row>
        <row r="2146">
          <cell r="A2146" t="str">
            <v>481002</v>
          </cell>
          <cell r="B2146" t="str">
            <v>1015</v>
          </cell>
          <cell r="C2146">
            <v>-3467.12</v>
          </cell>
          <cell r="D2146" t="str">
            <v>202</v>
          </cell>
          <cell r="E2146" t="str">
            <v>411</v>
          </cell>
          <cell r="F2146">
            <v>-13123</v>
          </cell>
          <cell r="G2146">
            <v>8</v>
          </cell>
          <cell r="H2146" t="str">
            <v>2006-08-31</v>
          </cell>
        </row>
        <row r="2147">
          <cell r="A2147" t="str">
            <v>481002</v>
          </cell>
          <cell r="B2147" t="str">
            <v>1015</v>
          </cell>
          <cell r="C2147">
            <v>-2399.81</v>
          </cell>
          <cell r="D2147" t="str">
            <v>203</v>
          </cell>
          <cell r="E2147" t="str">
            <v>411</v>
          </cell>
          <cell r="F2147">
            <v>0</v>
          </cell>
          <cell r="G2147">
            <v>8</v>
          </cell>
          <cell r="H2147" t="str">
            <v>2006-08-31</v>
          </cell>
        </row>
        <row r="2148">
          <cell r="A2148" t="str">
            <v>481002</v>
          </cell>
          <cell r="B2148" t="str">
            <v>1015</v>
          </cell>
          <cell r="C2148">
            <v>-79577.87</v>
          </cell>
          <cell r="D2148" t="str">
            <v>204</v>
          </cell>
          <cell r="E2148" t="str">
            <v>411</v>
          </cell>
          <cell r="F2148">
            <v>0</v>
          </cell>
          <cell r="G2148">
            <v>8</v>
          </cell>
          <cell r="H2148" t="str">
            <v>2006-08-31</v>
          </cell>
        </row>
        <row r="2149">
          <cell r="A2149" t="str">
            <v>481005</v>
          </cell>
          <cell r="B2149" t="str">
            <v>1015</v>
          </cell>
          <cell r="C2149">
            <v>-35129.72</v>
          </cell>
          <cell r="D2149" t="str">
            <v>202</v>
          </cell>
          <cell r="E2149" t="str">
            <v>411</v>
          </cell>
          <cell r="F2149">
            <v>-168314</v>
          </cell>
          <cell r="G2149">
            <v>8</v>
          </cell>
          <cell r="H2149" t="str">
            <v>2006-08-31</v>
          </cell>
        </row>
        <row r="2150">
          <cell r="A2150" t="str">
            <v>481005</v>
          </cell>
          <cell r="B2150" t="str">
            <v>1015</v>
          </cell>
          <cell r="C2150">
            <v>-30779.84</v>
          </cell>
          <cell r="D2150" t="str">
            <v>203</v>
          </cell>
          <cell r="E2150" t="str">
            <v>411</v>
          </cell>
          <cell r="F2150">
            <v>0</v>
          </cell>
          <cell r="G2150">
            <v>8</v>
          </cell>
          <cell r="H2150" t="str">
            <v>2006-08-31</v>
          </cell>
        </row>
        <row r="2151">
          <cell r="A2151" t="str">
            <v>481005</v>
          </cell>
          <cell r="B2151" t="str">
            <v>1015</v>
          </cell>
          <cell r="C2151">
            <v>-1020655.74</v>
          </cell>
          <cell r="D2151" t="str">
            <v>204</v>
          </cell>
          <cell r="E2151" t="str">
            <v>411</v>
          </cell>
          <cell r="F2151">
            <v>0</v>
          </cell>
          <cell r="G2151">
            <v>8</v>
          </cell>
          <cell r="H2151" t="str">
            <v>2006-08-31</v>
          </cell>
        </row>
        <row r="2152">
          <cell r="A2152" t="str">
            <v>481002</v>
          </cell>
          <cell r="B2152" t="str">
            <v>1015</v>
          </cell>
          <cell r="C2152">
            <v>0</v>
          </cell>
          <cell r="D2152" t="str">
            <v>210</v>
          </cell>
          <cell r="E2152" t="str">
            <v>412</v>
          </cell>
          <cell r="F2152">
            <v>0</v>
          </cell>
          <cell r="G2152">
            <v>8</v>
          </cell>
          <cell r="H2152" t="str">
            <v>2006-08-31</v>
          </cell>
        </row>
        <row r="2153">
          <cell r="A2153" t="str">
            <v>481002</v>
          </cell>
          <cell r="B2153" t="str">
            <v>1015</v>
          </cell>
          <cell r="C2153">
            <v>-5315.26</v>
          </cell>
          <cell r="D2153" t="str">
            <v>202</v>
          </cell>
          <cell r="E2153" t="str">
            <v>414</v>
          </cell>
          <cell r="F2153">
            <v>-21350</v>
          </cell>
          <cell r="G2153">
            <v>8</v>
          </cell>
          <cell r="H2153" t="str">
            <v>2006-08-31</v>
          </cell>
        </row>
        <row r="2154">
          <cell r="A2154" t="str">
            <v>481002</v>
          </cell>
          <cell r="B2154" t="str">
            <v>1015</v>
          </cell>
          <cell r="C2154">
            <v>-3904.27</v>
          </cell>
          <cell r="D2154" t="str">
            <v>203</v>
          </cell>
          <cell r="E2154" t="str">
            <v>414</v>
          </cell>
          <cell r="F2154">
            <v>0</v>
          </cell>
          <cell r="G2154">
            <v>8</v>
          </cell>
          <cell r="H2154" t="str">
            <v>2006-08-31</v>
          </cell>
        </row>
        <row r="2155">
          <cell r="A2155" t="str">
            <v>481002</v>
          </cell>
          <cell r="B2155" t="str">
            <v>1015</v>
          </cell>
          <cell r="C2155">
            <v>-129466.4</v>
          </cell>
          <cell r="D2155" t="str">
            <v>204</v>
          </cell>
          <cell r="E2155" t="str">
            <v>414</v>
          </cell>
          <cell r="F2155">
            <v>0</v>
          </cell>
          <cell r="G2155">
            <v>8</v>
          </cell>
          <cell r="H2155" t="str">
            <v>2006-08-31</v>
          </cell>
        </row>
        <row r="2156">
          <cell r="A2156" t="str">
            <v>481005</v>
          </cell>
          <cell r="B2156" t="str">
            <v>1015</v>
          </cell>
          <cell r="C2156">
            <v>-13115.27</v>
          </cell>
          <cell r="D2156" t="str">
            <v>202</v>
          </cell>
          <cell r="E2156" t="str">
            <v>414</v>
          </cell>
          <cell r="F2156">
            <v>-13530</v>
          </cell>
          <cell r="G2156">
            <v>8</v>
          </cell>
          <cell r="H2156" t="str">
            <v>2006-08-31</v>
          </cell>
        </row>
        <row r="2157">
          <cell r="A2157" t="str">
            <v>481005</v>
          </cell>
          <cell r="B2157" t="str">
            <v>1015</v>
          </cell>
          <cell r="C2157">
            <v>-2474.4</v>
          </cell>
          <cell r="D2157" t="str">
            <v>203</v>
          </cell>
          <cell r="E2157" t="str">
            <v>414</v>
          </cell>
          <cell r="F2157">
            <v>0</v>
          </cell>
          <cell r="G2157">
            <v>8</v>
          </cell>
          <cell r="H2157" t="str">
            <v>2006-08-31</v>
          </cell>
        </row>
        <row r="2158">
          <cell r="A2158" t="str">
            <v>481005</v>
          </cell>
          <cell r="B2158" t="str">
            <v>1015</v>
          </cell>
          <cell r="C2158">
            <v>-82045.62</v>
          </cell>
          <cell r="D2158" t="str">
            <v>204</v>
          </cell>
          <cell r="E2158" t="str">
            <v>414</v>
          </cell>
          <cell r="F2158">
            <v>0</v>
          </cell>
          <cell r="G2158">
            <v>8</v>
          </cell>
          <cell r="H2158" t="str">
            <v>2006-08-31</v>
          </cell>
        </row>
        <row r="2159">
          <cell r="A2159" t="str">
            <v>489300</v>
          </cell>
          <cell r="B2159" t="str">
            <v>1015</v>
          </cell>
          <cell r="C2159">
            <v>-187291.21</v>
          </cell>
          <cell r="D2159" t="str">
            <v>250</v>
          </cell>
          <cell r="E2159" t="str">
            <v>415</v>
          </cell>
          <cell r="F2159">
            <v>-1155623</v>
          </cell>
          <cell r="G2159">
            <v>8</v>
          </cell>
          <cell r="H2159" t="str">
            <v>2006-08-31</v>
          </cell>
        </row>
        <row r="2160">
          <cell r="A2160" t="str">
            <v>489304</v>
          </cell>
          <cell r="B2160" t="str">
            <v>1015</v>
          </cell>
          <cell r="C2160">
            <v>-56222.23</v>
          </cell>
          <cell r="D2160" t="str">
            <v>250</v>
          </cell>
          <cell r="E2160" t="str">
            <v>415</v>
          </cell>
          <cell r="F2160">
            <v>-253851</v>
          </cell>
          <cell r="G2160">
            <v>8</v>
          </cell>
          <cell r="H2160" t="str">
            <v>2006-08-31</v>
          </cell>
        </row>
        <row r="2161">
          <cell r="A2161" t="str">
            <v>489304</v>
          </cell>
          <cell r="B2161" t="str">
            <v>1015</v>
          </cell>
          <cell r="C2161">
            <v>-764.83</v>
          </cell>
          <cell r="D2161" t="str">
            <v>250</v>
          </cell>
          <cell r="E2161" t="str">
            <v>416</v>
          </cell>
          <cell r="F2161">
            <v>-757</v>
          </cell>
          <cell r="G2161">
            <v>8</v>
          </cell>
          <cell r="H2161" t="str">
            <v>2006-08-31</v>
          </cell>
        </row>
        <row r="2162">
          <cell r="A2162" t="str">
            <v>481000</v>
          </cell>
          <cell r="B2162" t="str">
            <v>1015</v>
          </cell>
          <cell r="C2162">
            <v>0</v>
          </cell>
          <cell r="D2162" t="str">
            <v>202</v>
          </cell>
          <cell r="E2162" t="str">
            <v>451</v>
          </cell>
          <cell r="F2162">
            <v>0</v>
          </cell>
          <cell r="G2162">
            <v>8</v>
          </cell>
          <cell r="H2162" t="str">
            <v>2006-08-31</v>
          </cell>
        </row>
        <row r="2163">
          <cell r="A2163" t="str">
            <v>481000</v>
          </cell>
          <cell r="B2163" t="str">
            <v>1015</v>
          </cell>
          <cell r="C2163">
            <v>0</v>
          </cell>
          <cell r="D2163" t="str">
            <v>204</v>
          </cell>
          <cell r="E2163" t="str">
            <v>451</v>
          </cell>
          <cell r="F2163">
            <v>0</v>
          </cell>
          <cell r="G2163">
            <v>8</v>
          </cell>
          <cell r="H2163" t="str">
            <v>2006-08-31</v>
          </cell>
        </row>
        <row r="2164">
          <cell r="A2164" t="str">
            <v>481000</v>
          </cell>
          <cell r="B2164" t="str">
            <v>1015</v>
          </cell>
          <cell r="C2164">
            <v>0</v>
          </cell>
          <cell r="D2164" t="str">
            <v>210</v>
          </cell>
          <cell r="E2164" t="str">
            <v>451</v>
          </cell>
          <cell r="F2164">
            <v>0</v>
          </cell>
          <cell r="G2164">
            <v>8</v>
          </cell>
          <cell r="H2164" t="str">
            <v>2006-08-31</v>
          </cell>
        </row>
        <row r="2165">
          <cell r="A2165" t="str">
            <v>481004</v>
          </cell>
          <cell r="B2165" t="str">
            <v>1015</v>
          </cell>
          <cell r="C2165">
            <v>-14176</v>
          </cell>
          <cell r="D2165" t="str">
            <v>202</v>
          </cell>
          <cell r="E2165" t="str">
            <v>451</v>
          </cell>
          <cell r="F2165">
            <v>-12501</v>
          </cell>
          <cell r="G2165">
            <v>8</v>
          </cell>
          <cell r="H2165" t="str">
            <v>2006-08-31</v>
          </cell>
        </row>
        <row r="2166">
          <cell r="A2166" t="str">
            <v>481004</v>
          </cell>
          <cell r="B2166" t="str">
            <v>1015</v>
          </cell>
          <cell r="C2166">
            <v>-96381</v>
          </cell>
          <cell r="D2166" t="str">
            <v>204</v>
          </cell>
          <cell r="E2166" t="str">
            <v>451</v>
          </cell>
          <cell r="F2166">
            <v>0</v>
          </cell>
          <cell r="G2166">
            <v>8</v>
          </cell>
          <cell r="H2166" t="str">
            <v>2006-08-31</v>
          </cell>
        </row>
        <row r="2167">
          <cell r="A2167" t="str">
            <v>481004</v>
          </cell>
          <cell r="B2167" t="str">
            <v>1015</v>
          </cell>
          <cell r="C2167">
            <v>0</v>
          </cell>
          <cell r="D2167" t="str">
            <v>210</v>
          </cell>
          <cell r="E2167" t="str">
            <v>451</v>
          </cell>
          <cell r="F2167">
            <v>0</v>
          </cell>
          <cell r="G2167">
            <v>8</v>
          </cell>
          <cell r="H2167" t="str">
            <v>2006-08-31</v>
          </cell>
        </row>
        <row r="2168">
          <cell r="A2168" t="str">
            <v>480000</v>
          </cell>
          <cell r="B2168" t="str">
            <v>1015</v>
          </cell>
          <cell r="C2168">
            <v>-254602.23</v>
          </cell>
          <cell r="D2168" t="str">
            <v>202</v>
          </cell>
          <cell r="E2168" t="str">
            <v>453</v>
          </cell>
          <cell r="F2168">
            <v>-37022.69</v>
          </cell>
          <cell r="G2168">
            <v>8</v>
          </cell>
          <cell r="H2168" t="str">
            <v>2006-08-31</v>
          </cell>
        </row>
        <row r="2169">
          <cell r="A2169" t="str">
            <v>480000</v>
          </cell>
          <cell r="B2169" t="str">
            <v>1015</v>
          </cell>
          <cell r="C2169">
            <v>-267549.63</v>
          </cell>
          <cell r="D2169" t="str">
            <v>204</v>
          </cell>
          <cell r="E2169" t="str">
            <v>453</v>
          </cell>
          <cell r="F2169">
            <v>0</v>
          </cell>
          <cell r="G2169">
            <v>8</v>
          </cell>
          <cell r="H2169" t="str">
            <v>2006-08-31</v>
          </cell>
        </row>
        <row r="2170">
          <cell r="A2170" t="str">
            <v>480000</v>
          </cell>
          <cell r="B2170" t="str">
            <v>1015</v>
          </cell>
          <cell r="C2170">
            <v>-5239.3599999999997</v>
          </cell>
          <cell r="D2170" t="str">
            <v>205</v>
          </cell>
          <cell r="E2170" t="str">
            <v>453</v>
          </cell>
          <cell r="F2170">
            <v>0</v>
          </cell>
          <cell r="G2170">
            <v>8</v>
          </cell>
          <cell r="H2170" t="str">
            <v>2006-08-31</v>
          </cell>
        </row>
        <row r="2171">
          <cell r="A2171" t="str">
            <v>480001</v>
          </cell>
          <cell r="B2171" t="str">
            <v>1015</v>
          </cell>
          <cell r="C2171">
            <v>-5078.72</v>
          </cell>
          <cell r="D2171" t="str">
            <v>202</v>
          </cell>
          <cell r="E2171" t="str">
            <v>453</v>
          </cell>
          <cell r="F2171">
            <v>550.14</v>
          </cell>
          <cell r="G2171">
            <v>8</v>
          </cell>
          <cell r="H2171" t="str">
            <v>2006-08-31</v>
          </cell>
        </row>
        <row r="2172">
          <cell r="A2172" t="str">
            <v>480001</v>
          </cell>
          <cell r="B2172" t="str">
            <v>1015</v>
          </cell>
          <cell r="C2172">
            <v>4876.26</v>
          </cell>
          <cell r="D2172" t="str">
            <v>204</v>
          </cell>
          <cell r="E2172" t="str">
            <v>453</v>
          </cell>
          <cell r="F2172">
            <v>0</v>
          </cell>
          <cell r="G2172">
            <v>8</v>
          </cell>
          <cell r="H2172" t="str">
            <v>2006-08-31</v>
          </cell>
        </row>
        <row r="2173">
          <cell r="A2173" t="str">
            <v>480001</v>
          </cell>
          <cell r="B2173" t="str">
            <v>1015</v>
          </cell>
          <cell r="C2173">
            <v>4603.24</v>
          </cell>
          <cell r="D2173" t="str">
            <v>205</v>
          </cell>
          <cell r="E2173" t="str">
            <v>453</v>
          </cell>
          <cell r="F2173">
            <v>0</v>
          </cell>
          <cell r="G2173">
            <v>8</v>
          </cell>
          <cell r="H2173" t="str">
            <v>2006-08-31</v>
          </cell>
        </row>
        <row r="2174">
          <cell r="A2174" t="str">
            <v>480001</v>
          </cell>
          <cell r="B2174" t="str">
            <v>1015</v>
          </cell>
          <cell r="C2174">
            <v>0</v>
          </cell>
          <cell r="D2174" t="str">
            <v>210</v>
          </cell>
          <cell r="E2174" t="str">
            <v>453</v>
          </cell>
          <cell r="F2174">
            <v>0</v>
          </cell>
          <cell r="G2174">
            <v>8</v>
          </cell>
          <cell r="H2174" t="str">
            <v>2006-08-31</v>
          </cell>
        </row>
        <row r="2175">
          <cell r="A2175" t="str">
            <v>481004</v>
          </cell>
          <cell r="B2175" t="str">
            <v>1015</v>
          </cell>
          <cell r="C2175">
            <v>-51359.05</v>
          </cell>
          <cell r="D2175" t="str">
            <v>202</v>
          </cell>
          <cell r="E2175" t="str">
            <v>453</v>
          </cell>
          <cell r="F2175">
            <v>-16393.45</v>
          </cell>
          <cell r="G2175">
            <v>8</v>
          </cell>
          <cell r="H2175" t="str">
            <v>2006-08-31</v>
          </cell>
        </row>
        <row r="2176">
          <cell r="A2176" t="str">
            <v>481004</v>
          </cell>
          <cell r="B2176" t="str">
            <v>1015</v>
          </cell>
          <cell r="C2176">
            <v>-118183.63</v>
          </cell>
          <cell r="D2176" t="str">
            <v>204</v>
          </cell>
          <cell r="E2176" t="str">
            <v>453</v>
          </cell>
          <cell r="F2176">
            <v>0</v>
          </cell>
          <cell r="G2176">
            <v>8</v>
          </cell>
          <cell r="H2176" t="str">
            <v>2006-08-31</v>
          </cell>
        </row>
        <row r="2177">
          <cell r="A2177" t="str">
            <v>481004</v>
          </cell>
          <cell r="B2177" t="str">
            <v>1015</v>
          </cell>
          <cell r="C2177">
            <v>-1847.88</v>
          </cell>
          <cell r="D2177" t="str">
            <v>205</v>
          </cell>
          <cell r="E2177" t="str">
            <v>453</v>
          </cell>
          <cell r="F2177">
            <v>0</v>
          </cell>
          <cell r="G2177">
            <v>8</v>
          </cell>
          <cell r="H2177" t="str">
            <v>2006-08-31</v>
          </cell>
        </row>
        <row r="2178">
          <cell r="A2178" t="str">
            <v>480000</v>
          </cell>
          <cell r="B2178" t="str">
            <v>1015</v>
          </cell>
          <cell r="C2178">
            <v>-7930.09</v>
          </cell>
          <cell r="D2178" t="str">
            <v>202</v>
          </cell>
          <cell r="E2178" t="str">
            <v>455</v>
          </cell>
          <cell r="F2178">
            <v>-1130.48</v>
          </cell>
          <cell r="G2178">
            <v>8</v>
          </cell>
          <cell r="H2178" t="str">
            <v>2006-08-31</v>
          </cell>
        </row>
        <row r="2179">
          <cell r="A2179" t="str">
            <v>480000</v>
          </cell>
          <cell r="B2179" t="str">
            <v>1015</v>
          </cell>
          <cell r="C2179">
            <v>-8163.19</v>
          </cell>
          <cell r="D2179" t="str">
            <v>204</v>
          </cell>
          <cell r="E2179" t="str">
            <v>455</v>
          </cell>
          <cell r="F2179">
            <v>0</v>
          </cell>
          <cell r="G2179">
            <v>8</v>
          </cell>
          <cell r="H2179" t="str">
            <v>2006-08-31</v>
          </cell>
        </row>
        <row r="2180">
          <cell r="A2180" t="str">
            <v>480000</v>
          </cell>
          <cell r="B2180" t="str">
            <v>1015</v>
          </cell>
          <cell r="C2180">
            <v>-207.59</v>
          </cell>
          <cell r="D2180" t="str">
            <v>205</v>
          </cell>
          <cell r="E2180" t="str">
            <v>455</v>
          </cell>
          <cell r="F2180">
            <v>0</v>
          </cell>
          <cell r="G2180">
            <v>8</v>
          </cell>
          <cell r="H2180" t="str">
            <v>2006-08-31</v>
          </cell>
        </row>
        <row r="2181">
          <cell r="A2181" t="str">
            <v>480001</v>
          </cell>
          <cell r="B2181" t="str">
            <v>1015</v>
          </cell>
          <cell r="C2181">
            <v>469.17</v>
          </cell>
          <cell r="D2181" t="str">
            <v>202</v>
          </cell>
          <cell r="E2181" t="str">
            <v>455</v>
          </cell>
          <cell r="F2181">
            <v>13.61</v>
          </cell>
          <cell r="G2181">
            <v>8</v>
          </cell>
          <cell r="H2181" t="str">
            <v>2006-08-31</v>
          </cell>
        </row>
        <row r="2182">
          <cell r="A2182" t="str">
            <v>480001</v>
          </cell>
          <cell r="B2182" t="str">
            <v>1015</v>
          </cell>
          <cell r="C2182">
            <v>120.61</v>
          </cell>
          <cell r="D2182" t="str">
            <v>204</v>
          </cell>
          <cell r="E2182" t="str">
            <v>455</v>
          </cell>
          <cell r="F2182">
            <v>0</v>
          </cell>
          <cell r="G2182">
            <v>8</v>
          </cell>
          <cell r="H2182" t="str">
            <v>2006-08-31</v>
          </cell>
        </row>
        <row r="2183">
          <cell r="A2183" t="str">
            <v>480001</v>
          </cell>
          <cell r="B2183" t="str">
            <v>1015</v>
          </cell>
          <cell r="C2183">
            <v>248.07</v>
          </cell>
          <cell r="D2183" t="str">
            <v>205</v>
          </cell>
          <cell r="E2183" t="str">
            <v>455</v>
          </cell>
          <cell r="F2183">
            <v>0</v>
          </cell>
          <cell r="G2183">
            <v>8</v>
          </cell>
          <cell r="H2183" t="str">
            <v>2006-08-31</v>
          </cell>
        </row>
        <row r="2184">
          <cell r="A2184" t="str">
            <v>480001</v>
          </cell>
          <cell r="B2184" t="str">
            <v>1015</v>
          </cell>
          <cell r="C2184">
            <v>0</v>
          </cell>
          <cell r="D2184" t="str">
            <v>210</v>
          </cell>
          <cell r="E2184" t="str">
            <v>455</v>
          </cell>
          <cell r="F2184">
            <v>0</v>
          </cell>
          <cell r="G2184">
            <v>8</v>
          </cell>
          <cell r="H2184" t="str">
            <v>2006-08-31</v>
          </cell>
        </row>
        <row r="2185">
          <cell r="A2185" t="str">
            <v>481004</v>
          </cell>
          <cell r="B2185" t="str">
            <v>1015</v>
          </cell>
          <cell r="C2185">
            <v>-2908.08</v>
          </cell>
          <cell r="D2185" t="str">
            <v>202</v>
          </cell>
          <cell r="E2185" t="str">
            <v>455</v>
          </cell>
          <cell r="F2185">
            <v>-833.13</v>
          </cell>
          <cell r="G2185">
            <v>8</v>
          </cell>
          <cell r="H2185" t="str">
            <v>2006-08-31</v>
          </cell>
        </row>
        <row r="2186">
          <cell r="A2186" t="str">
            <v>481004</v>
          </cell>
          <cell r="B2186" t="str">
            <v>1015</v>
          </cell>
          <cell r="C2186">
            <v>-6005.42</v>
          </cell>
          <cell r="D2186" t="str">
            <v>204</v>
          </cell>
          <cell r="E2186" t="str">
            <v>455</v>
          </cell>
          <cell r="F2186">
            <v>0</v>
          </cell>
          <cell r="G2186">
            <v>8</v>
          </cell>
          <cell r="H2186" t="str">
            <v>2006-08-31</v>
          </cell>
        </row>
        <row r="2187">
          <cell r="A2187" t="str">
            <v>481004</v>
          </cell>
          <cell r="B2187" t="str">
            <v>1015</v>
          </cell>
          <cell r="C2187">
            <v>-40.479999999999997</v>
          </cell>
          <cell r="D2187" t="str">
            <v>205</v>
          </cell>
          <cell r="E2187" t="str">
            <v>455</v>
          </cell>
          <cell r="F2187">
            <v>0</v>
          </cell>
          <cell r="G2187">
            <v>8</v>
          </cell>
          <cell r="H2187" t="str">
            <v>2006-08-31</v>
          </cell>
        </row>
        <row r="2188">
          <cell r="A2188" t="str">
            <v>481002</v>
          </cell>
          <cell r="B2188" t="str">
            <v>1015</v>
          </cell>
          <cell r="C2188">
            <v>0</v>
          </cell>
          <cell r="D2188" t="str">
            <v>202</v>
          </cell>
          <cell r="E2188" t="str">
            <v>456</v>
          </cell>
          <cell r="F2188">
            <v>0</v>
          </cell>
          <cell r="G2188">
            <v>8</v>
          </cell>
          <cell r="H2188" t="str">
            <v>2006-08-31</v>
          </cell>
        </row>
        <row r="2189">
          <cell r="A2189" t="str">
            <v>481002</v>
          </cell>
          <cell r="B2189" t="str">
            <v>1015</v>
          </cell>
          <cell r="C2189">
            <v>0</v>
          </cell>
          <cell r="D2189" t="str">
            <v>203</v>
          </cell>
          <cell r="E2189" t="str">
            <v>456</v>
          </cell>
          <cell r="F2189">
            <v>0</v>
          </cell>
          <cell r="G2189">
            <v>8</v>
          </cell>
          <cell r="H2189" t="str">
            <v>2006-08-31</v>
          </cell>
        </row>
        <row r="2190">
          <cell r="A2190" t="str">
            <v>481002</v>
          </cell>
          <cell r="B2190" t="str">
            <v>1015</v>
          </cell>
          <cell r="C2190">
            <v>0</v>
          </cell>
          <cell r="D2190" t="str">
            <v>204</v>
          </cell>
          <cell r="E2190" t="str">
            <v>456</v>
          </cell>
          <cell r="F2190">
            <v>0</v>
          </cell>
          <cell r="G2190">
            <v>8</v>
          </cell>
          <cell r="H2190" t="str">
            <v>2006-08-31</v>
          </cell>
        </row>
        <row r="2191">
          <cell r="A2191" t="str">
            <v>481002</v>
          </cell>
          <cell r="B2191" t="str">
            <v>1015</v>
          </cell>
          <cell r="C2191">
            <v>0</v>
          </cell>
          <cell r="D2191" t="str">
            <v>210</v>
          </cell>
          <cell r="E2191" t="str">
            <v>456</v>
          </cell>
          <cell r="F2191">
            <v>0</v>
          </cell>
          <cell r="G2191">
            <v>8</v>
          </cell>
          <cell r="H2191" t="str">
            <v>2006-08-31</v>
          </cell>
        </row>
        <row r="2192">
          <cell r="A2192" t="str">
            <v>481002</v>
          </cell>
          <cell r="B2192" t="str">
            <v>1015</v>
          </cell>
          <cell r="C2192">
            <v>-382.44</v>
          </cell>
          <cell r="D2192" t="str">
            <v>202</v>
          </cell>
          <cell r="E2192" t="str">
            <v>457</v>
          </cell>
          <cell r="F2192">
            <v>-4131.25</v>
          </cell>
          <cell r="G2192">
            <v>8</v>
          </cell>
          <cell r="H2192" t="str">
            <v>2006-08-31</v>
          </cell>
        </row>
        <row r="2193">
          <cell r="A2193" t="str">
            <v>481002</v>
          </cell>
          <cell r="B2193" t="str">
            <v>1015</v>
          </cell>
          <cell r="C2193">
            <v>-504.9</v>
          </cell>
          <cell r="D2193" t="str">
            <v>203</v>
          </cell>
          <cell r="E2193" t="str">
            <v>457</v>
          </cell>
          <cell r="F2193">
            <v>0</v>
          </cell>
          <cell r="G2193">
            <v>8</v>
          </cell>
          <cell r="H2193" t="str">
            <v>2006-08-31</v>
          </cell>
        </row>
        <row r="2194">
          <cell r="A2194" t="str">
            <v>481002</v>
          </cell>
          <cell r="B2194" t="str">
            <v>1015</v>
          </cell>
          <cell r="C2194">
            <v>-24005.05</v>
          </cell>
          <cell r="D2194" t="str">
            <v>204</v>
          </cell>
          <cell r="E2194" t="str">
            <v>457</v>
          </cell>
          <cell r="F2194">
            <v>0</v>
          </cell>
          <cell r="G2194">
            <v>8</v>
          </cell>
          <cell r="H2194" t="str">
            <v>2006-08-31</v>
          </cell>
        </row>
        <row r="2195">
          <cell r="A2195" t="str">
            <v>481005</v>
          </cell>
          <cell r="B2195" t="str">
            <v>1015</v>
          </cell>
          <cell r="C2195">
            <v>-1050.46</v>
          </cell>
          <cell r="D2195" t="str">
            <v>202</v>
          </cell>
          <cell r="E2195" t="str">
            <v>457</v>
          </cell>
          <cell r="F2195">
            <v>-2567.75</v>
          </cell>
          <cell r="G2195">
            <v>8</v>
          </cell>
          <cell r="H2195" t="str">
            <v>2006-08-31</v>
          </cell>
        </row>
        <row r="2196">
          <cell r="A2196" t="str">
            <v>481005</v>
          </cell>
          <cell r="B2196" t="str">
            <v>1015</v>
          </cell>
          <cell r="C2196">
            <v>-720</v>
          </cell>
          <cell r="D2196" t="str">
            <v>203</v>
          </cell>
          <cell r="E2196" t="str">
            <v>457</v>
          </cell>
          <cell r="F2196">
            <v>0</v>
          </cell>
          <cell r="G2196">
            <v>8</v>
          </cell>
          <cell r="H2196" t="str">
            <v>2006-08-31</v>
          </cell>
        </row>
        <row r="2197">
          <cell r="A2197" t="str">
            <v>481005</v>
          </cell>
          <cell r="B2197" t="str">
            <v>1015</v>
          </cell>
          <cell r="C2197">
            <v>-16541.07</v>
          </cell>
          <cell r="D2197" t="str">
            <v>204</v>
          </cell>
          <cell r="E2197" t="str">
            <v>457</v>
          </cell>
          <cell r="F2197">
            <v>0</v>
          </cell>
          <cell r="G2197">
            <v>8</v>
          </cell>
          <cell r="H2197" t="str">
            <v>2006-08-31</v>
          </cell>
        </row>
        <row r="2198">
          <cell r="A2198" t="str">
            <v>489300</v>
          </cell>
          <cell r="B2198" t="str">
            <v>1015</v>
          </cell>
          <cell r="C2198">
            <v>-2579.4299999999998</v>
          </cell>
          <cell r="D2198" t="str">
            <v>250</v>
          </cell>
          <cell r="E2198" t="str">
            <v>458</v>
          </cell>
          <cell r="F2198">
            <v>-17485</v>
          </cell>
          <cell r="G2198">
            <v>8</v>
          </cell>
          <cell r="H2198" t="str">
            <v>2006-08-31</v>
          </cell>
        </row>
        <row r="2199">
          <cell r="A2199" t="str">
            <v>489304</v>
          </cell>
          <cell r="B2199" t="str">
            <v>1015</v>
          </cell>
          <cell r="C2199">
            <v>-496.7</v>
          </cell>
          <cell r="D2199" t="str">
            <v>250</v>
          </cell>
          <cell r="E2199" t="str">
            <v>458</v>
          </cell>
          <cell r="F2199">
            <v>-1319</v>
          </cell>
          <cell r="G2199">
            <v>8</v>
          </cell>
          <cell r="H2199" t="str">
            <v>2006-08-31</v>
          </cell>
        </row>
        <row r="2200">
          <cell r="A2200" t="str">
            <v>489300</v>
          </cell>
          <cell r="B2200" t="str">
            <v>1015</v>
          </cell>
          <cell r="C2200">
            <v>-1441.94</v>
          </cell>
          <cell r="D2200" t="str">
            <v>250</v>
          </cell>
          <cell r="E2200" t="str">
            <v>459</v>
          </cell>
          <cell r="F2200">
            <v>-2550</v>
          </cell>
          <cell r="G2200">
            <v>8</v>
          </cell>
          <cell r="H2200" t="str">
            <v>2006-08-31</v>
          </cell>
        </row>
        <row r="2201">
          <cell r="A2201" t="str">
            <v>481003</v>
          </cell>
          <cell r="B2201" t="str">
            <v>1015</v>
          </cell>
          <cell r="C2201">
            <v>-129252.52</v>
          </cell>
          <cell r="D2201" t="str">
            <v>200</v>
          </cell>
          <cell r="F2201">
            <v>-13124.43</v>
          </cell>
          <cell r="G2201">
            <v>8</v>
          </cell>
          <cell r="H2201" t="str">
            <v>2006-08-31</v>
          </cell>
        </row>
        <row r="2202">
          <cell r="A2202" t="str">
            <v>481000</v>
          </cell>
          <cell r="B2202" t="str">
            <v>1015</v>
          </cell>
          <cell r="C2202">
            <v>-15667.93</v>
          </cell>
          <cell r="D2202" t="str">
            <v>202</v>
          </cell>
          <cell r="E2202" t="str">
            <v>402</v>
          </cell>
          <cell r="F2202">
            <v>-37531</v>
          </cell>
          <cell r="G2202">
            <v>9</v>
          </cell>
          <cell r="H2202" t="str">
            <v>2006-09-30</v>
          </cell>
        </row>
        <row r="2203">
          <cell r="A2203" t="str">
            <v>481000</v>
          </cell>
          <cell r="B2203" t="str">
            <v>1015</v>
          </cell>
          <cell r="C2203">
            <v>-18674.3</v>
          </cell>
          <cell r="D2203" t="str">
            <v>203</v>
          </cell>
          <cell r="E2203" t="str">
            <v>402</v>
          </cell>
          <cell r="F2203">
            <v>0</v>
          </cell>
          <cell r="G2203">
            <v>9</v>
          </cell>
          <cell r="H2203" t="str">
            <v>2006-09-30</v>
          </cell>
        </row>
        <row r="2204">
          <cell r="A2204" t="str">
            <v>481000</v>
          </cell>
          <cell r="B2204" t="str">
            <v>1015</v>
          </cell>
          <cell r="C2204">
            <v>-243738.7</v>
          </cell>
          <cell r="D2204" t="str">
            <v>204</v>
          </cell>
          <cell r="E2204" t="str">
            <v>402</v>
          </cell>
          <cell r="F2204">
            <v>0</v>
          </cell>
          <cell r="G2204">
            <v>9</v>
          </cell>
          <cell r="H2204" t="str">
            <v>2006-09-30</v>
          </cell>
        </row>
        <row r="2205">
          <cell r="A2205" t="str">
            <v>481000</v>
          </cell>
          <cell r="B2205" t="str">
            <v>1015</v>
          </cell>
          <cell r="C2205">
            <v>0</v>
          </cell>
          <cell r="D2205" t="str">
            <v>210</v>
          </cell>
          <cell r="E2205" t="str">
            <v>402</v>
          </cell>
          <cell r="F2205">
            <v>0</v>
          </cell>
          <cell r="G2205">
            <v>9</v>
          </cell>
          <cell r="H2205" t="str">
            <v>2006-09-30</v>
          </cell>
        </row>
        <row r="2206">
          <cell r="A2206" t="str">
            <v>481004</v>
          </cell>
          <cell r="B2206" t="str">
            <v>1015</v>
          </cell>
          <cell r="C2206">
            <v>-243666.88</v>
          </cell>
          <cell r="D2206" t="str">
            <v>202</v>
          </cell>
          <cell r="E2206" t="str">
            <v>402</v>
          </cell>
          <cell r="F2206">
            <v>-464429</v>
          </cell>
          <cell r="G2206">
            <v>9</v>
          </cell>
          <cell r="H2206" t="str">
            <v>2006-09-30</v>
          </cell>
        </row>
        <row r="2207">
          <cell r="A2207" t="str">
            <v>481004</v>
          </cell>
          <cell r="B2207" t="str">
            <v>1015</v>
          </cell>
          <cell r="C2207">
            <v>-231086.11</v>
          </cell>
          <cell r="D2207" t="str">
            <v>203</v>
          </cell>
          <cell r="E2207" t="str">
            <v>402</v>
          </cell>
          <cell r="F2207">
            <v>0</v>
          </cell>
          <cell r="G2207">
            <v>9</v>
          </cell>
          <cell r="H2207" t="str">
            <v>2006-09-30</v>
          </cell>
        </row>
        <row r="2208">
          <cell r="A2208" t="str">
            <v>481004</v>
          </cell>
          <cell r="B2208" t="str">
            <v>1015</v>
          </cell>
          <cell r="C2208">
            <v>-3016158.05</v>
          </cell>
          <cell r="D2208" t="str">
            <v>204</v>
          </cell>
          <cell r="E2208" t="str">
            <v>402</v>
          </cell>
          <cell r="F2208">
            <v>0</v>
          </cell>
          <cell r="G2208">
            <v>9</v>
          </cell>
          <cell r="H2208" t="str">
            <v>2006-09-30</v>
          </cell>
        </row>
        <row r="2209">
          <cell r="A2209" t="str">
            <v>481004</v>
          </cell>
          <cell r="B2209" t="str">
            <v>1015</v>
          </cell>
          <cell r="C2209">
            <v>0</v>
          </cell>
          <cell r="D2209" t="str">
            <v>210</v>
          </cell>
          <cell r="E2209" t="str">
            <v>402</v>
          </cell>
          <cell r="F2209">
            <v>0</v>
          </cell>
          <cell r="G2209">
            <v>9</v>
          </cell>
          <cell r="H2209" t="str">
            <v>2006-09-30</v>
          </cell>
        </row>
        <row r="2210">
          <cell r="A2210" t="str">
            <v>481000</v>
          </cell>
          <cell r="B2210" t="str">
            <v>1015</v>
          </cell>
          <cell r="C2210">
            <v>-6998.71</v>
          </cell>
          <cell r="D2210" t="str">
            <v>202</v>
          </cell>
          <cell r="E2210" t="str">
            <v>403</v>
          </cell>
          <cell r="F2210">
            <v>0</v>
          </cell>
          <cell r="G2210">
            <v>9</v>
          </cell>
          <cell r="H2210" t="str">
            <v>2006-09-30</v>
          </cell>
        </row>
        <row r="2211">
          <cell r="A2211" t="str">
            <v>481000</v>
          </cell>
          <cell r="B2211" t="str">
            <v>1015</v>
          </cell>
          <cell r="C2211">
            <v>-1619.75</v>
          </cell>
          <cell r="D2211" t="str">
            <v>203</v>
          </cell>
          <cell r="E2211" t="str">
            <v>403</v>
          </cell>
          <cell r="F2211">
            <v>0</v>
          </cell>
          <cell r="G2211">
            <v>9</v>
          </cell>
          <cell r="H2211" t="str">
            <v>2006-09-30</v>
          </cell>
        </row>
        <row r="2212">
          <cell r="A2212" t="str">
            <v>481000</v>
          </cell>
          <cell r="B2212" t="str">
            <v>1015</v>
          </cell>
          <cell r="C2212">
            <v>-2944.28</v>
          </cell>
          <cell r="D2212" t="str">
            <v>204</v>
          </cell>
          <cell r="E2212" t="str">
            <v>403</v>
          </cell>
          <cell r="F2212">
            <v>0</v>
          </cell>
          <cell r="G2212">
            <v>9</v>
          </cell>
          <cell r="H2212" t="str">
            <v>2006-09-30</v>
          </cell>
        </row>
        <row r="2213">
          <cell r="A2213" t="str">
            <v>481000</v>
          </cell>
          <cell r="B2213" t="str">
            <v>1015</v>
          </cell>
          <cell r="C2213">
            <v>-9431.9</v>
          </cell>
          <cell r="D2213" t="str">
            <v>202</v>
          </cell>
          <cell r="E2213" t="str">
            <v>404</v>
          </cell>
          <cell r="F2213">
            <v>-30000</v>
          </cell>
          <cell r="G2213">
            <v>9</v>
          </cell>
          <cell r="H2213" t="str">
            <v>2006-09-30</v>
          </cell>
        </row>
        <row r="2214">
          <cell r="A2214" t="str">
            <v>481000</v>
          </cell>
          <cell r="B2214" t="str">
            <v>1015</v>
          </cell>
          <cell r="C2214">
            <v>-21662.1</v>
          </cell>
          <cell r="D2214" t="str">
            <v>203</v>
          </cell>
          <cell r="E2214" t="str">
            <v>404</v>
          </cell>
          <cell r="F2214">
            <v>0</v>
          </cell>
          <cell r="G2214">
            <v>9</v>
          </cell>
          <cell r="H2214" t="str">
            <v>2006-09-30</v>
          </cell>
        </row>
        <row r="2215">
          <cell r="A2215" t="str">
            <v>481000</v>
          </cell>
          <cell r="B2215" t="str">
            <v>1015</v>
          </cell>
          <cell r="C2215">
            <v>-194829.9</v>
          </cell>
          <cell r="D2215" t="str">
            <v>204</v>
          </cell>
          <cell r="E2215" t="str">
            <v>404</v>
          </cell>
          <cell r="F2215">
            <v>0</v>
          </cell>
          <cell r="G2215">
            <v>9</v>
          </cell>
          <cell r="H2215" t="str">
            <v>2006-09-30</v>
          </cell>
        </row>
        <row r="2216">
          <cell r="A2216" t="str">
            <v>481004</v>
          </cell>
          <cell r="B2216" t="str">
            <v>1015</v>
          </cell>
          <cell r="C2216">
            <v>0</v>
          </cell>
          <cell r="D2216" t="str">
            <v>202</v>
          </cell>
          <cell r="E2216" t="str">
            <v>404</v>
          </cell>
          <cell r="F2216">
            <v>0</v>
          </cell>
          <cell r="G2216">
            <v>9</v>
          </cell>
          <cell r="H2216" t="str">
            <v>2006-09-30</v>
          </cell>
        </row>
        <row r="2217">
          <cell r="A2217" t="str">
            <v>481004</v>
          </cell>
          <cell r="B2217" t="str">
            <v>1015</v>
          </cell>
          <cell r="C2217">
            <v>0</v>
          </cell>
          <cell r="D2217" t="str">
            <v>203</v>
          </cell>
          <cell r="E2217" t="str">
            <v>404</v>
          </cell>
          <cell r="F2217">
            <v>0</v>
          </cell>
          <cell r="G2217">
            <v>9</v>
          </cell>
          <cell r="H2217" t="str">
            <v>2006-09-30</v>
          </cell>
        </row>
        <row r="2218">
          <cell r="A2218" t="str">
            <v>481004</v>
          </cell>
          <cell r="B2218" t="str">
            <v>1015</v>
          </cell>
          <cell r="C2218">
            <v>0</v>
          </cell>
          <cell r="D2218" t="str">
            <v>204</v>
          </cell>
          <cell r="E2218" t="str">
            <v>404</v>
          </cell>
          <cell r="F2218">
            <v>0</v>
          </cell>
          <cell r="G2218">
            <v>9</v>
          </cell>
          <cell r="H2218" t="str">
            <v>2006-09-30</v>
          </cell>
        </row>
        <row r="2219">
          <cell r="A2219" t="str">
            <v>481004</v>
          </cell>
          <cell r="B2219" t="str">
            <v>1015</v>
          </cell>
          <cell r="C2219">
            <v>0</v>
          </cell>
          <cell r="D2219" t="str">
            <v>210</v>
          </cell>
          <cell r="E2219" t="str">
            <v>404</v>
          </cell>
          <cell r="F2219">
            <v>0</v>
          </cell>
          <cell r="G2219">
            <v>9</v>
          </cell>
          <cell r="H2219" t="str">
            <v>2006-09-30</v>
          </cell>
        </row>
        <row r="2220">
          <cell r="A2220" t="str">
            <v>489300</v>
          </cell>
          <cell r="B2220" t="str">
            <v>1015</v>
          </cell>
          <cell r="C2220">
            <v>-54707.31</v>
          </cell>
          <cell r="D2220" t="str">
            <v>250</v>
          </cell>
          <cell r="E2220" t="str">
            <v>405</v>
          </cell>
          <cell r="F2220">
            <v>-297239</v>
          </cell>
          <cell r="G2220">
            <v>9</v>
          </cell>
          <cell r="H2220" t="str">
            <v>2006-09-30</v>
          </cell>
        </row>
        <row r="2221">
          <cell r="A2221" t="str">
            <v>489304</v>
          </cell>
          <cell r="B2221" t="str">
            <v>1015</v>
          </cell>
          <cell r="C2221">
            <v>-85649.06</v>
          </cell>
          <cell r="D2221" t="str">
            <v>250</v>
          </cell>
          <cell r="E2221" t="str">
            <v>405</v>
          </cell>
          <cell r="F2221">
            <v>-818893</v>
          </cell>
          <cell r="G2221">
            <v>9</v>
          </cell>
          <cell r="H2221" t="str">
            <v>2006-09-30</v>
          </cell>
        </row>
        <row r="2222">
          <cell r="A2222" t="str">
            <v>489300</v>
          </cell>
          <cell r="B2222" t="str">
            <v>1015</v>
          </cell>
          <cell r="C2222">
            <v>-100643.96</v>
          </cell>
          <cell r="D2222" t="str">
            <v>250</v>
          </cell>
          <cell r="E2222" t="str">
            <v>406</v>
          </cell>
          <cell r="F2222">
            <v>-504075</v>
          </cell>
          <cell r="G2222">
            <v>9</v>
          </cell>
          <cell r="H2222" t="str">
            <v>2006-09-30</v>
          </cell>
        </row>
        <row r="2223">
          <cell r="A2223" t="str">
            <v>489304</v>
          </cell>
          <cell r="B2223" t="str">
            <v>1015</v>
          </cell>
          <cell r="C2223">
            <v>-37277.19</v>
          </cell>
          <cell r="D2223" t="str">
            <v>250</v>
          </cell>
          <cell r="E2223" t="str">
            <v>406</v>
          </cell>
          <cell r="F2223">
            <v>-199708</v>
          </cell>
          <cell r="G2223">
            <v>9</v>
          </cell>
          <cell r="H2223" t="str">
            <v>2006-09-30</v>
          </cell>
        </row>
        <row r="2224">
          <cell r="A2224" t="str">
            <v>480000</v>
          </cell>
          <cell r="B2224" t="str">
            <v>1015</v>
          </cell>
          <cell r="C2224">
            <v>-6803097.6200000001</v>
          </cell>
          <cell r="D2224" t="str">
            <v>202</v>
          </cell>
          <cell r="E2224" t="str">
            <v>407</v>
          </cell>
          <cell r="F2224">
            <v>-1793263.04</v>
          </cell>
          <cell r="G2224">
            <v>9</v>
          </cell>
          <cell r="H2224" t="str">
            <v>2006-09-30</v>
          </cell>
        </row>
        <row r="2225">
          <cell r="A2225" t="str">
            <v>480000</v>
          </cell>
          <cell r="B2225" t="str">
            <v>1015</v>
          </cell>
          <cell r="C2225">
            <v>-894073.47</v>
          </cell>
          <cell r="D2225" t="str">
            <v>203</v>
          </cell>
          <cell r="E2225" t="str">
            <v>407</v>
          </cell>
          <cell r="F2225">
            <v>0</v>
          </cell>
          <cell r="G2225">
            <v>9</v>
          </cell>
          <cell r="H2225" t="str">
            <v>2006-09-30</v>
          </cell>
        </row>
        <row r="2226">
          <cell r="A2226" t="str">
            <v>480000</v>
          </cell>
          <cell r="B2226" t="str">
            <v>1015</v>
          </cell>
          <cell r="C2226">
            <v>-11745676.49</v>
          </cell>
          <cell r="D2226" t="str">
            <v>204</v>
          </cell>
          <cell r="E2226" t="str">
            <v>407</v>
          </cell>
          <cell r="F2226">
            <v>0</v>
          </cell>
          <cell r="G2226">
            <v>9</v>
          </cell>
          <cell r="H2226" t="str">
            <v>2006-09-30</v>
          </cell>
        </row>
        <row r="2227">
          <cell r="A2227" t="str">
            <v>480000</v>
          </cell>
          <cell r="B2227" t="str">
            <v>1015</v>
          </cell>
          <cell r="C2227">
            <v>97600.56</v>
          </cell>
          <cell r="D2227" t="str">
            <v>205</v>
          </cell>
          <cell r="E2227" t="str">
            <v>407</v>
          </cell>
          <cell r="F2227">
            <v>0</v>
          </cell>
          <cell r="G2227">
            <v>9</v>
          </cell>
          <cell r="H2227" t="str">
            <v>2006-09-30</v>
          </cell>
        </row>
        <row r="2228">
          <cell r="A2228" t="str">
            <v>480000</v>
          </cell>
          <cell r="B2228" t="str">
            <v>1015</v>
          </cell>
          <cell r="C2228">
            <v>2047.84</v>
          </cell>
          <cell r="D2228" t="str">
            <v>210</v>
          </cell>
          <cell r="E2228" t="str">
            <v>407</v>
          </cell>
          <cell r="F2228">
            <v>291.7</v>
          </cell>
          <cell r="G2228">
            <v>9</v>
          </cell>
          <cell r="H2228" t="str">
            <v>2006-09-30</v>
          </cell>
        </row>
        <row r="2229">
          <cell r="A2229" t="str">
            <v>480001</v>
          </cell>
          <cell r="B2229" t="str">
            <v>1015</v>
          </cell>
          <cell r="C2229">
            <v>-594948.41</v>
          </cell>
          <cell r="D2229" t="str">
            <v>202</v>
          </cell>
          <cell r="E2229" t="str">
            <v>407</v>
          </cell>
          <cell r="F2229">
            <v>-432180.35</v>
          </cell>
          <cell r="G2229">
            <v>9</v>
          </cell>
          <cell r="H2229" t="str">
            <v>2006-09-30</v>
          </cell>
        </row>
        <row r="2230">
          <cell r="A2230" t="str">
            <v>480001</v>
          </cell>
          <cell r="B2230" t="str">
            <v>1015</v>
          </cell>
          <cell r="C2230">
            <v>-213790.7</v>
          </cell>
          <cell r="D2230" t="str">
            <v>203</v>
          </cell>
          <cell r="E2230" t="str">
            <v>407</v>
          </cell>
          <cell r="F2230">
            <v>0</v>
          </cell>
          <cell r="G2230">
            <v>9</v>
          </cell>
          <cell r="H2230" t="str">
            <v>2006-09-30</v>
          </cell>
        </row>
        <row r="2231">
          <cell r="A2231" t="str">
            <v>480001</v>
          </cell>
          <cell r="B2231" t="str">
            <v>1015</v>
          </cell>
          <cell r="C2231">
            <v>-2799295.52</v>
          </cell>
          <cell r="D2231" t="str">
            <v>204</v>
          </cell>
          <cell r="E2231" t="str">
            <v>407</v>
          </cell>
          <cell r="F2231">
            <v>0</v>
          </cell>
          <cell r="G2231">
            <v>9</v>
          </cell>
          <cell r="H2231" t="str">
            <v>2006-09-30</v>
          </cell>
        </row>
        <row r="2232">
          <cell r="A2232" t="str">
            <v>480001</v>
          </cell>
          <cell r="B2232" t="str">
            <v>1015</v>
          </cell>
          <cell r="C2232">
            <v>-48784.33</v>
          </cell>
          <cell r="D2232" t="str">
            <v>205</v>
          </cell>
          <cell r="E2232" t="str">
            <v>407</v>
          </cell>
          <cell r="F2232">
            <v>0</v>
          </cell>
          <cell r="G2232">
            <v>9</v>
          </cell>
          <cell r="H2232" t="str">
            <v>2006-09-30</v>
          </cell>
        </row>
        <row r="2233">
          <cell r="A2233" t="str">
            <v>480001</v>
          </cell>
          <cell r="B2233" t="str">
            <v>1015</v>
          </cell>
          <cell r="C2233">
            <v>-3460.02</v>
          </cell>
          <cell r="D2233" t="str">
            <v>210</v>
          </cell>
          <cell r="E2233" t="str">
            <v>407</v>
          </cell>
          <cell r="F2233">
            <v>-492.2</v>
          </cell>
          <cell r="G2233">
            <v>9</v>
          </cell>
          <cell r="H2233" t="str">
            <v>2006-09-30</v>
          </cell>
        </row>
        <row r="2234">
          <cell r="A2234" t="str">
            <v>481000</v>
          </cell>
          <cell r="B2234" t="str">
            <v>1015</v>
          </cell>
          <cell r="C2234">
            <v>-2414.7199999999998</v>
          </cell>
          <cell r="D2234" t="str">
            <v>202</v>
          </cell>
          <cell r="E2234" t="str">
            <v>407</v>
          </cell>
          <cell r="F2234">
            <v>-2541.77</v>
          </cell>
          <cell r="G2234">
            <v>9</v>
          </cell>
          <cell r="H2234" t="str">
            <v>2006-09-30</v>
          </cell>
        </row>
        <row r="2235">
          <cell r="A2235" t="str">
            <v>481000</v>
          </cell>
          <cell r="B2235" t="str">
            <v>1015</v>
          </cell>
          <cell r="C2235">
            <v>-1264.76</v>
          </cell>
          <cell r="D2235" t="str">
            <v>203</v>
          </cell>
          <cell r="E2235" t="str">
            <v>407</v>
          </cell>
          <cell r="F2235">
            <v>0</v>
          </cell>
          <cell r="G2235">
            <v>9</v>
          </cell>
          <cell r="H2235" t="str">
            <v>2006-09-30</v>
          </cell>
        </row>
        <row r="2236">
          <cell r="A2236" t="str">
            <v>481000</v>
          </cell>
          <cell r="B2236" t="str">
            <v>1015</v>
          </cell>
          <cell r="C2236">
            <v>-16614.37</v>
          </cell>
          <cell r="D2236" t="str">
            <v>204</v>
          </cell>
          <cell r="E2236" t="str">
            <v>407</v>
          </cell>
          <cell r="F2236">
            <v>0</v>
          </cell>
          <cell r="G2236">
            <v>9</v>
          </cell>
          <cell r="H2236" t="str">
            <v>2006-09-30</v>
          </cell>
        </row>
        <row r="2237">
          <cell r="A2237" t="str">
            <v>481000</v>
          </cell>
          <cell r="B2237" t="str">
            <v>1015</v>
          </cell>
          <cell r="C2237">
            <v>39.69</v>
          </cell>
          <cell r="D2237" t="str">
            <v>205</v>
          </cell>
          <cell r="E2237" t="str">
            <v>407</v>
          </cell>
          <cell r="F2237">
            <v>0</v>
          </cell>
          <cell r="G2237">
            <v>9</v>
          </cell>
          <cell r="H2237" t="str">
            <v>2006-09-30</v>
          </cell>
        </row>
        <row r="2238">
          <cell r="A2238" t="str">
            <v>481004</v>
          </cell>
          <cell r="B2238" t="str">
            <v>1015</v>
          </cell>
          <cell r="C2238">
            <v>-1433412.44</v>
          </cell>
          <cell r="D2238" t="str">
            <v>202</v>
          </cell>
          <cell r="E2238" t="str">
            <v>407</v>
          </cell>
          <cell r="F2238">
            <v>-616026.84</v>
          </cell>
          <cell r="G2238">
            <v>9</v>
          </cell>
          <cell r="H2238" t="str">
            <v>2006-09-30</v>
          </cell>
        </row>
        <row r="2239">
          <cell r="A2239" t="str">
            <v>481004</v>
          </cell>
          <cell r="B2239" t="str">
            <v>1015</v>
          </cell>
          <cell r="C2239">
            <v>-306022.43</v>
          </cell>
          <cell r="D2239" t="str">
            <v>203</v>
          </cell>
          <cell r="E2239" t="str">
            <v>407</v>
          </cell>
          <cell r="F2239">
            <v>0</v>
          </cell>
          <cell r="G2239">
            <v>9</v>
          </cell>
          <cell r="H2239" t="str">
            <v>2006-09-30</v>
          </cell>
        </row>
        <row r="2240">
          <cell r="A2240" t="str">
            <v>481004</v>
          </cell>
          <cell r="B2240" t="str">
            <v>1015</v>
          </cell>
          <cell r="C2240">
            <v>-4028325.08</v>
          </cell>
          <cell r="D2240" t="str">
            <v>204</v>
          </cell>
          <cell r="E2240" t="str">
            <v>407</v>
          </cell>
          <cell r="F2240">
            <v>0</v>
          </cell>
          <cell r="G2240">
            <v>9</v>
          </cell>
          <cell r="H2240" t="str">
            <v>2006-09-30</v>
          </cell>
        </row>
        <row r="2241">
          <cell r="A2241" t="str">
            <v>481004</v>
          </cell>
          <cell r="B2241" t="str">
            <v>1015</v>
          </cell>
          <cell r="C2241">
            <v>17678.71</v>
          </cell>
          <cell r="D2241" t="str">
            <v>205</v>
          </cell>
          <cell r="E2241" t="str">
            <v>407</v>
          </cell>
          <cell r="F2241">
            <v>0</v>
          </cell>
          <cell r="G2241">
            <v>9</v>
          </cell>
          <cell r="H2241" t="str">
            <v>2006-09-30</v>
          </cell>
        </row>
        <row r="2242">
          <cell r="A2242" t="str">
            <v>481004</v>
          </cell>
          <cell r="B2242" t="str">
            <v>1015</v>
          </cell>
          <cell r="C2242">
            <v>1412.18</v>
          </cell>
          <cell r="D2242" t="str">
            <v>210</v>
          </cell>
          <cell r="E2242" t="str">
            <v>407</v>
          </cell>
          <cell r="F2242">
            <v>200.5</v>
          </cell>
          <cell r="G2242">
            <v>9</v>
          </cell>
          <cell r="H2242" t="str">
            <v>2006-09-30</v>
          </cell>
        </row>
        <row r="2243">
          <cell r="A2243" t="str">
            <v>480000</v>
          </cell>
          <cell r="B2243" t="str">
            <v>1015</v>
          </cell>
          <cell r="C2243">
            <v>-44851.79</v>
          </cell>
          <cell r="D2243" t="str">
            <v>202</v>
          </cell>
          <cell r="E2243" t="str">
            <v>408</v>
          </cell>
          <cell r="F2243">
            <v>-10098.69</v>
          </cell>
          <cell r="G2243">
            <v>9</v>
          </cell>
          <cell r="H2243" t="str">
            <v>2006-09-30</v>
          </cell>
        </row>
        <row r="2244">
          <cell r="A2244" t="str">
            <v>480000</v>
          </cell>
          <cell r="B2244" t="str">
            <v>1015</v>
          </cell>
          <cell r="C2244">
            <v>-5037.45</v>
          </cell>
          <cell r="D2244" t="str">
            <v>203</v>
          </cell>
          <cell r="E2244" t="str">
            <v>408</v>
          </cell>
          <cell r="F2244">
            <v>0</v>
          </cell>
          <cell r="G2244">
            <v>9</v>
          </cell>
          <cell r="H2244" t="str">
            <v>2006-09-30</v>
          </cell>
        </row>
        <row r="2245">
          <cell r="A2245" t="str">
            <v>480000</v>
          </cell>
          <cell r="B2245" t="str">
            <v>1015</v>
          </cell>
          <cell r="C2245">
            <v>-66192.92</v>
          </cell>
          <cell r="D2245" t="str">
            <v>204</v>
          </cell>
          <cell r="E2245" t="str">
            <v>408</v>
          </cell>
          <cell r="F2245">
            <v>0</v>
          </cell>
          <cell r="G2245">
            <v>9</v>
          </cell>
          <cell r="H2245" t="str">
            <v>2006-09-30</v>
          </cell>
        </row>
        <row r="2246">
          <cell r="A2246" t="str">
            <v>480000</v>
          </cell>
          <cell r="B2246" t="str">
            <v>1015</v>
          </cell>
          <cell r="C2246">
            <v>-1106.3800000000001</v>
          </cell>
          <cell r="D2246" t="str">
            <v>205</v>
          </cell>
          <cell r="E2246" t="str">
            <v>408</v>
          </cell>
          <cell r="F2246">
            <v>0</v>
          </cell>
          <cell r="G2246">
            <v>9</v>
          </cell>
          <cell r="H2246" t="str">
            <v>2006-09-30</v>
          </cell>
        </row>
        <row r="2247">
          <cell r="A2247" t="str">
            <v>480001</v>
          </cell>
          <cell r="B2247" t="str">
            <v>1015</v>
          </cell>
          <cell r="C2247">
            <v>-7514.57</v>
          </cell>
          <cell r="D2247" t="str">
            <v>202</v>
          </cell>
          <cell r="E2247" t="str">
            <v>408</v>
          </cell>
          <cell r="F2247">
            <v>-1209.79</v>
          </cell>
          <cell r="G2247">
            <v>9</v>
          </cell>
          <cell r="H2247" t="str">
            <v>2006-09-30</v>
          </cell>
        </row>
        <row r="2248">
          <cell r="A2248" t="str">
            <v>480001</v>
          </cell>
          <cell r="B2248" t="str">
            <v>1015</v>
          </cell>
          <cell r="C2248">
            <v>-588.66999999999996</v>
          </cell>
          <cell r="D2248" t="str">
            <v>203</v>
          </cell>
          <cell r="E2248" t="str">
            <v>408</v>
          </cell>
          <cell r="F2248">
            <v>0</v>
          </cell>
          <cell r="G2248">
            <v>9</v>
          </cell>
          <cell r="H2248" t="str">
            <v>2006-09-30</v>
          </cell>
        </row>
        <row r="2249">
          <cell r="A2249" t="str">
            <v>480001</v>
          </cell>
          <cell r="B2249" t="str">
            <v>1015</v>
          </cell>
          <cell r="C2249">
            <v>-7709.05</v>
          </cell>
          <cell r="D2249" t="str">
            <v>204</v>
          </cell>
          <cell r="E2249" t="str">
            <v>408</v>
          </cell>
          <cell r="F2249">
            <v>0</v>
          </cell>
          <cell r="G2249">
            <v>9</v>
          </cell>
          <cell r="H2249" t="str">
            <v>2006-09-30</v>
          </cell>
        </row>
        <row r="2250">
          <cell r="A2250" t="str">
            <v>480001</v>
          </cell>
          <cell r="B2250" t="str">
            <v>1015</v>
          </cell>
          <cell r="C2250">
            <v>-2346.56</v>
          </cell>
          <cell r="D2250" t="str">
            <v>205</v>
          </cell>
          <cell r="E2250" t="str">
            <v>408</v>
          </cell>
          <cell r="F2250">
            <v>0</v>
          </cell>
          <cell r="G2250">
            <v>9</v>
          </cell>
          <cell r="H2250" t="str">
            <v>2006-09-30</v>
          </cell>
        </row>
        <row r="2251">
          <cell r="A2251" t="str">
            <v>480001</v>
          </cell>
          <cell r="B2251" t="str">
            <v>1015</v>
          </cell>
          <cell r="C2251">
            <v>0</v>
          </cell>
          <cell r="D2251" t="str">
            <v>210</v>
          </cell>
          <cell r="E2251" t="str">
            <v>408</v>
          </cell>
          <cell r="F2251">
            <v>0</v>
          </cell>
          <cell r="G2251">
            <v>9</v>
          </cell>
          <cell r="H2251" t="str">
            <v>2006-09-30</v>
          </cell>
        </row>
        <row r="2252">
          <cell r="A2252" t="str">
            <v>481004</v>
          </cell>
          <cell r="B2252" t="str">
            <v>1015</v>
          </cell>
          <cell r="C2252">
            <v>-24482.639999999999</v>
          </cell>
          <cell r="D2252" t="str">
            <v>202</v>
          </cell>
          <cell r="E2252" t="str">
            <v>408</v>
          </cell>
          <cell r="F2252">
            <v>-6052.52</v>
          </cell>
          <cell r="G2252">
            <v>9</v>
          </cell>
          <cell r="H2252" t="str">
            <v>2006-09-30</v>
          </cell>
        </row>
        <row r="2253">
          <cell r="A2253" t="str">
            <v>481004</v>
          </cell>
          <cell r="B2253" t="str">
            <v>1015</v>
          </cell>
          <cell r="C2253">
            <v>-3012.88</v>
          </cell>
          <cell r="D2253" t="str">
            <v>203</v>
          </cell>
          <cell r="E2253" t="str">
            <v>408</v>
          </cell>
          <cell r="F2253">
            <v>0</v>
          </cell>
          <cell r="G2253">
            <v>9</v>
          </cell>
          <cell r="H2253" t="str">
            <v>2006-09-30</v>
          </cell>
        </row>
        <row r="2254">
          <cell r="A2254" t="str">
            <v>481004</v>
          </cell>
          <cell r="B2254" t="str">
            <v>1015</v>
          </cell>
          <cell r="C2254">
            <v>-39578.03</v>
          </cell>
          <cell r="D2254" t="str">
            <v>204</v>
          </cell>
          <cell r="E2254" t="str">
            <v>408</v>
          </cell>
          <cell r="F2254">
            <v>0</v>
          </cell>
          <cell r="G2254">
            <v>9</v>
          </cell>
          <cell r="H2254" t="str">
            <v>2006-09-30</v>
          </cell>
        </row>
        <row r="2255">
          <cell r="A2255" t="str">
            <v>481004</v>
          </cell>
          <cell r="B2255" t="str">
            <v>1015</v>
          </cell>
          <cell r="C2255">
            <v>-719.06</v>
          </cell>
          <cell r="D2255" t="str">
            <v>205</v>
          </cell>
          <cell r="E2255" t="str">
            <v>408</v>
          </cell>
          <cell r="F2255">
            <v>0</v>
          </cell>
          <cell r="G2255">
            <v>9</v>
          </cell>
          <cell r="H2255" t="str">
            <v>2006-09-30</v>
          </cell>
        </row>
        <row r="2256">
          <cell r="A2256" t="str">
            <v>481002</v>
          </cell>
          <cell r="B2256" t="str">
            <v>1015</v>
          </cell>
          <cell r="C2256">
            <v>-4728.4399999999996</v>
          </cell>
          <cell r="D2256" t="str">
            <v>202</v>
          </cell>
          <cell r="E2256" t="str">
            <v>411</v>
          </cell>
          <cell r="F2256">
            <v>-24728</v>
          </cell>
          <cell r="G2256">
            <v>9</v>
          </cell>
          <cell r="H2256" t="str">
            <v>2006-09-30</v>
          </cell>
        </row>
        <row r="2257">
          <cell r="A2257" t="str">
            <v>481002</v>
          </cell>
          <cell r="B2257" t="str">
            <v>1015</v>
          </cell>
          <cell r="C2257">
            <v>-4522.01</v>
          </cell>
          <cell r="D2257" t="str">
            <v>203</v>
          </cell>
          <cell r="E2257" t="str">
            <v>411</v>
          </cell>
          <cell r="F2257">
            <v>0</v>
          </cell>
          <cell r="G2257">
            <v>9</v>
          </cell>
          <cell r="H2257" t="str">
            <v>2006-09-30</v>
          </cell>
        </row>
        <row r="2258">
          <cell r="A2258" t="str">
            <v>481002</v>
          </cell>
          <cell r="B2258" t="str">
            <v>1015</v>
          </cell>
          <cell r="C2258">
            <v>-116740.39</v>
          </cell>
          <cell r="D2258" t="str">
            <v>204</v>
          </cell>
          <cell r="E2258" t="str">
            <v>411</v>
          </cell>
          <cell r="F2258">
            <v>0</v>
          </cell>
          <cell r="G2258">
            <v>9</v>
          </cell>
          <cell r="H2258" t="str">
            <v>2006-09-30</v>
          </cell>
        </row>
        <row r="2259">
          <cell r="A2259" t="str">
            <v>481005</v>
          </cell>
          <cell r="B2259" t="str">
            <v>1015</v>
          </cell>
          <cell r="C2259">
            <v>-17869.34</v>
          </cell>
          <cell r="D2259" t="str">
            <v>202</v>
          </cell>
          <cell r="E2259" t="str">
            <v>411</v>
          </cell>
          <cell r="F2259">
            <v>-38268</v>
          </cell>
          <cell r="G2259">
            <v>9</v>
          </cell>
          <cell r="H2259" t="str">
            <v>2006-09-30</v>
          </cell>
        </row>
        <row r="2260">
          <cell r="A2260" t="str">
            <v>481005</v>
          </cell>
          <cell r="B2260" t="str">
            <v>1015</v>
          </cell>
          <cell r="C2260">
            <v>-6998.48</v>
          </cell>
          <cell r="D2260" t="str">
            <v>203</v>
          </cell>
          <cell r="E2260" t="str">
            <v>411</v>
          </cell>
          <cell r="F2260">
            <v>0</v>
          </cell>
          <cell r="G2260">
            <v>9</v>
          </cell>
          <cell r="H2260" t="str">
            <v>2006-09-30</v>
          </cell>
        </row>
        <row r="2261">
          <cell r="A2261" t="str">
            <v>481005</v>
          </cell>
          <cell r="B2261" t="str">
            <v>1015</v>
          </cell>
          <cell r="C2261">
            <v>-180662.1</v>
          </cell>
          <cell r="D2261" t="str">
            <v>204</v>
          </cell>
          <cell r="E2261" t="str">
            <v>411</v>
          </cell>
          <cell r="F2261">
            <v>0</v>
          </cell>
          <cell r="G2261">
            <v>9</v>
          </cell>
          <cell r="H2261" t="str">
            <v>2006-09-30</v>
          </cell>
        </row>
        <row r="2262">
          <cell r="A2262" t="str">
            <v>481002</v>
          </cell>
          <cell r="B2262" t="str">
            <v>1015</v>
          </cell>
          <cell r="C2262">
            <v>0</v>
          </cell>
          <cell r="D2262" t="str">
            <v>210</v>
          </cell>
          <cell r="E2262" t="str">
            <v>412</v>
          </cell>
          <cell r="F2262">
            <v>0</v>
          </cell>
          <cell r="G2262">
            <v>9</v>
          </cell>
          <cell r="H2262" t="str">
            <v>2006-09-30</v>
          </cell>
        </row>
        <row r="2263">
          <cell r="A2263" t="str">
            <v>481002</v>
          </cell>
          <cell r="B2263" t="str">
            <v>1015</v>
          </cell>
          <cell r="C2263">
            <v>-3588.12</v>
          </cell>
          <cell r="D2263" t="str">
            <v>202</v>
          </cell>
          <cell r="E2263" t="str">
            <v>414</v>
          </cell>
          <cell r="F2263">
            <v>-8858</v>
          </cell>
          <cell r="G2263">
            <v>9</v>
          </cell>
          <cell r="H2263" t="str">
            <v>2006-09-30</v>
          </cell>
        </row>
        <row r="2264">
          <cell r="A2264" t="str">
            <v>481002</v>
          </cell>
          <cell r="B2264" t="str">
            <v>1015</v>
          </cell>
          <cell r="C2264">
            <v>-1619.86</v>
          </cell>
          <cell r="D2264" t="str">
            <v>203</v>
          </cell>
          <cell r="E2264" t="str">
            <v>414</v>
          </cell>
          <cell r="F2264">
            <v>0</v>
          </cell>
          <cell r="G2264">
            <v>9</v>
          </cell>
          <cell r="H2264" t="str">
            <v>2006-09-30</v>
          </cell>
        </row>
        <row r="2265">
          <cell r="A2265" t="str">
            <v>481002</v>
          </cell>
          <cell r="B2265" t="str">
            <v>1015</v>
          </cell>
          <cell r="C2265">
            <v>-41818.44</v>
          </cell>
          <cell r="D2265" t="str">
            <v>204</v>
          </cell>
          <cell r="E2265" t="str">
            <v>414</v>
          </cell>
          <cell r="F2265">
            <v>0</v>
          </cell>
          <cell r="G2265">
            <v>9</v>
          </cell>
          <cell r="H2265" t="str">
            <v>2006-09-30</v>
          </cell>
        </row>
        <row r="2266">
          <cell r="A2266" t="str">
            <v>481005</v>
          </cell>
          <cell r="B2266" t="str">
            <v>1015</v>
          </cell>
          <cell r="C2266">
            <v>-11553.73</v>
          </cell>
          <cell r="D2266" t="str">
            <v>202</v>
          </cell>
          <cell r="E2266" t="str">
            <v>414</v>
          </cell>
          <cell r="F2266">
            <v>-8153</v>
          </cell>
          <cell r="G2266">
            <v>9</v>
          </cell>
          <cell r="H2266" t="str">
            <v>2006-09-30</v>
          </cell>
        </row>
        <row r="2267">
          <cell r="A2267" t="str">
            <v>481005</v>
          </cell>
          <cell r="B2267" t="str">
            <v>1015</v>
          </cell>
          <cell r="C2267">
            <v>-1491.29</v>
          </cell>
          <cell r="D2267" t="str">
            <v>203</v>
          </cell>
          <cell r="E2267" t="str">
            <v>414</v>
          </cell>
          <cell r="F2267">
            <v>0</v>
          </cell>
          <cell r="G2267">
            <v>9</v>
          </cell>
          <cell r="H2267" t="str">
            <v>2006-09-30</v>
          </cell>
        </row>
        <row r="2268">
          <cell r="A2268" t="str">
            <v>481005</v>
          </cell>
          <cell r="B2268" t="str">
            <v>1015</v>
          </cell>
          <cell r="C2268">
            <v>-38489.68</v>
          </cell>
          <cell r="D2268" t="str">
            <v>204</v>
          </cell>
          <cell r="E2268" t="str">
            <v>414</v>
          </cell>
          <cell r="F2268">
            <v>0</v>
          </cell>
          <cell r="G2268">
            <v>9</v>
          </cell>
          <cell r="H2268" t="str">
            <v>2006-09-30</v>
          </cell>
        </row>
        <row r="2269">
          <cell r="A2269" t="str">
            <v>489300</v>
          </cell>
          <cell r="B2269" t="str">
            <v>1015</v>
          </cell>
          <cell r="C2269">
            <v>-162554.63</v>
          </cell>
          <cell r="D2269" t="str">
            <v>250</v>
          </cell>
          <cell r="E2269" t="str">
            <v>415</v>
          </cell>
          <cell r="F2269">
            <v>-1005350</v>
          </cell>
          <cell r="G2269">
            <v>9</v>
          </cell>
          <cell r="H2269" t="str">
            <v>2006-09-30</v>
          </cell>
        </row>
        <row r="2270">
          <cell r="A2270" t="str">
            <v>489304</v>
          </cell>
          <cell r="B2270" t="str">
            <v>1015</v>
          </cell>
          <cell r="C2270">
            <v>-50460.22</v>
          </cell>
          <cell r="D2270" t="str">
            <v>250</v>
          </cell>
          <cell r="E2270" t="str">
            <v>415</v>
          </cell>
          <cell r="F2270">
            <v>-206631</v>
          </cell>
          <cell r="G2270">
            <v>9</v>
          </cell>
          <cell r="H2270" t="str">
            <v>2006-09-30</v>
          </cell>
        </row>
        <row r="2271">
          <cell r="A2271" t="str">
            <v>489304</v>
          </cell>
          <cell r="B2271" t="str">
            <v>1015</v>
          </cell>
          <cell r="C2271">
            <v>-785.58</v>
          </cell>
          <cell r="D2271" t="str">
            <v>250</v>
          </cell>
          <cell r="E2271" t="str">
            <v>416</v>
          </cell>
          <cell r="F2271">
            <v>-815</v>
          </cell>
          <cell r="G2271">
            <v>9</v>
          </cell>
          <cell r="H2271" t="str">
            <v>2006-09-30</v>
          </cell>
        </row>
        <row r="2272">
          <cell r="A2272" t="str">
            <v>481000</v>
          </cell>
          <cell r="B2272" t="str">
            <v>1015</v>
          </cell>
          <cell r="C2272">
            <v>0</v>
          </cell>
          <cell r="D2272" t="str">
            <v>202</v>
          </cell>
          <cell r="E2272" t="str">
            <v>451</v>
          </cell>
          <cell r="F2272">
            <v>0</v>
          </cell>
          <cell r="G2272">
            <v>9</v>
          </cell>
          <cell r="H2272" t="str">
            <v>2006-09-30</v>
          </cell>
        </row>
        <row r="2273">
          <cell r="A2273" t="str">
            <v>481000</v>
          </cell>
          <cell r="B2273" t="str">
            <v>1015</v>
          </cell>
          <cell r="C2273">
            <v>0</v>
          </cell>
          <cell r="D2273" t="str">
            <v>204</v>
          </cell>
          <cell r="E2273" t="str">
            <v>451</v>
          </cell>
          <cell r="F2273">
            <v>0</v>
          </cell>
          <cell r="G2273">
            <v>9</v>
          </cell>
          <cell r="H2273" t="str">
            <v>2006-09-30</v>
          </cell>
        </row>
        <row r="2274">
          <cell r="A2274" t="str">
            <v>481000</v>
          </cell>
          <cell r="B2274" t="str">
            <v>1015</v>
          </cell>
          <cell r="C2274">
            <v>0</v>
          </cell>
          <cell r="D2274" t="str">
            <v>210</v>
          </cell>
          <cell r="E2274" t="str">
            <v>451</v>
          </cell>
          <cell r="F2274">
            <v>0</v>
          </cell>
          <cell r="G2274">
            <v>9</v>
          </cell>
          <cell r="H2274" t="str">
            <v>2006-09-30</v>
          </cell>
        </row>
        <row r="2275">
          <cell r="A2275" t="str">
            <v>481004</v>
          </cell>
          <cell r="B2275" t="str">
            <v>1015</v>
          </cell>
          <cell r="C2275">
            <v>-18125</v>
          </cell>
          <cell r="D2275" t="str">
            <v>202</v>
          </cell>
          <cell r="E2275" t="str">
            <v>451</v>
          </cell>
          <cell r="F2275">
            <v>-17474</v>
          </cell>
          <cell r="G2275">
            <v>9</v>
          </cell>
          <cell r="H2275" t="str">
            <v>2006-09-30</v>
          </cell>
        </row>
        <row r="2276">
          <cell r="A2276" t="str">
            <v>481004</v>
          </cell>
          <cell r="B2276" t="str">
            <v>1015</v>
          </cell>
          <cell r="C2276">
            <v>-134722</v>
          </cell>
          <cell r="D2276" t="str">
            <v>204</v>
          </cell>
          <cell r="E2276" t="str">
            <v>451</v>
          </cell>
          <cell r="F2276">
            <v>0</v>
          </cell>
          <cell r="G2276">
            <v>9</v>
          </cell>
          <cell r="H2276" t="str">
            <v>2006-09-30</v>
          </cell>
        </row>
        <row r="2277">
          <cell r="A2277" t="str">
            <v>481004</v>
          </cell>
          <cell r="B2277" t="str">
            <v>1015</v>
          </cell>
          <cell r="C2277">
            <v>0</v>
          </cell>
          <cell r="D2277" t="str">
            <v>210</v>
          </cell>
          <cell r="E2277" t="str">
            <v>451</v>
          </cell>
          <cell r="F2277">
            <v>0</v>
          </cell>
          <cell r="G2277">
            <v>9</v>
          </cell>
          <cell r="H2277" t="str">
            <v>2006-09-30</v>
          </cell>
        </row>
        <row r="2278">
          <cell r="A2278" t="str">
            <v>480000</v>
          </cell>
          <cell r="B2278" t="str">
            <v>1015</v>
          </cell>
          <cell r="C2278">
            <v>-285847.76</v>
          </cell>
          <cell r="D2278" t="str">
            <v>202</v>
          </cell>
          <cell r="E2278" t="str">
            <v>453</v>
          </cell>
          <cell r="F2278">
            <v>-52686.7</v>
          </cell>
          <cell r="G2278">
            <v>9</v>
          </cell>
          <cell r="H2278" t="str">
            <v>2006-09-30</v>
          </cell>
        </row>
        <row r="2279">
          <cell r="A2279" t="str">
            <v>480000</v>
          </cell>
          <cell r="B2279" t="str">
            <v>1015</v>
          </cell>
          <cell r="C2279">
            <v>-380299.12</v>
          </cell>
          <cell r="D2279" t="str">
            <v>204</v>
          </cell>
          <cell r="E2279" t="str">
            <v>453</v>
          </cell>
          <cell r="F2279">
            <v>0</v>
          </cell>
          <cell r="G2279">
            <v>9</v>
          </cell>
          <cell r="H2279" t="str">
            <v>2006-09-30</v>
          </cell>
        </row>
        <row r="2280">
          <cell r="A2280" t="str">
            <v>480000</v>
          </cell>
          <cell r="B2280" t="str">
            <v>1015</v>
          </cell>
          <cell r="C2280">
            <v>644.65</v>
          </cell>
          <cell r="D2280" t="str">
            <v>205</v>
          </cell>
          <cell r="E2280" t="str">
            <v>453</v>
          </cell>
          <cell r="F2280">
            <v>0</v>
          </cell>
          <cell r="G2280">
            <v>9</v>
          </cell>
          <cell r="H2280" t="str">
            <v>2006-09-30</v>
          </cell>
        </row>
        <row r="2281">
          <cell r="A2281" t="str">
            <v>480001</v>
          </cell>
          <cell r="B2281" t="str">
            <v>1015</v>
          </cell>
          <cell r="C2281">
            <v>-98545.87</v>
          </cell>
          <cell r="D2281" t="str">
            <v>202</v>
          </cell>
          <cell r="E2281" t="str">
            <v>453</v>
          </cell>
          <cell r="F2281">
            <v>-48478.11</v>
          </cell>
          <cell r="G2281">
            <v>9</v>
          </cell>
          <cell r="H2281" t="str">
            <v>2006-09-30</v>
          </cell>
        </row>
        <row r="2282">
          <cell r="A2282" t="str">
            <v>480001</v>
          </cell>
          <cell r="B2282" t="str">
            <v>1015</v>
          </cell>
          <cell r="C2282">
            <v>-3181.72</v>
          </cell>
          <cell r="D2282" t="str">
            <v>202</v>
          </cell>
          <cell r="E2282" t="str">
            <v>453</v>
          </cell>
          <cell r="F2282">
            <v>0</v>
          </cell>
          <cell r="G2282">
            <v>9</v>
          </cell>
          <cell r="H2282" t="str">
            <v>2006-09-30</v>
          </cell>
        </row>
        <row r="2283">
          <cell r="A2283" t="str">
            <v>480001</v>
          </cell>
          <cell r="B2283" t="str">
            <v>1015</v>
          </cell>
          <cell r="C2283">
            <v>-344166.75</v>
          </cell>
          <cell r="D2283" t="str">
            <v>204</v>
          </cell>
          <cell r="E2283" t="str">
            <v>453</v>
          </cell>
          <cell r="F2283">
            <v>0</v>
          </cell>
          <cell r="G2283">
            <v>9</v>
          </cell>
          <cell r="H2283" t="str">
            <v>2006-09-30</v>
          </cell>
        </row>
        <row r="2284">
          <cell r="A2284" t="str">
            <v>480001</v>
          </cell>
          <cell r="B2284" t="str">
            <v>1015</v>
          </cell>
          <cell r="C2284">
            <v>-30936.76</v>
          </cell>
          <cell r="D2284" t="str">
            <v>205</v>
          </cell>
          <cell r="E2284" t="str">
            <v>453</v>
          </cell>
          <cell r="F2284">
            <v>0</v>
          </cell>
          <cell r="G2284">
            <v>9</v>
          </cell>
          <cell r="H2284" t="str">
            <v>2006-09-30</v>
          </cell>
        </row>
        <row r="2285">
          <cell r="A2285" t="str">
            <v>480001</v>
          </cell>
          <cell r="B2285" t="str">
            <v>1015</v>
          </cell>
          <cell r="C2285">
            <v>0</v>
          </cell>
          <cell r="D2285" t="str">
            <v>210</v>
          </cell>
          <cell r="E2285" t="str">
            <v>453</v>
          </cell>
          <cell r="F2285">
            <v>0</v>
          </cell>
          <cell r="G2285">
            <v>9</v>
          </cell>
          <cell r="H2285" t="str">
            <v>2006-09-30</v>
          </cell>
        </row>
        <row r="2286">
          <cell r="A2286" t="str">
            <v>481004</v>
          </cell>
          <cell r="B2286" t="str">
            <v>1015</v>
          </cell>
          <cell r="C2286">
            <v>-63103.57</v>
          </cell>
          <cell r="D2286" t="str">
            <v>202</v>
          </cell>
          <cell r="E2286" t="str">
            <v>453</v>
          </cell>
          <cell r="F2286">
            <v>-23135.19</v>
          </cell>
          <cell r="G2286">
            <v>9</v>
          </cell>
          <cell r="H2286" t="str">
            <v>2006-09-30</v>
          </cell>
        </row>
        <row r="2287">
          <cell r="A2287" t="str">
            <v>481004</v>
          </cell>
          <cell r="B2287" t="str">
            <v>1015</v>
          </cell>
          <cell r="C2287">
            <v>-166748.26999999999</v>
          </cell>
          <cell r="D2287" t="str">
            <v>204</v>
          </cell>
          <cell r="E2287" t="str">
            <v>453</v>
          </cell>
          <cell r="F2287">
            <v>0</v>
          </cell>
          <cell r="G2287">
            <v>9</v>
          </cell>
          <cell r="H2287" t="str">
            <v>2006-09-30</v>
          </cell>
        </row>
        <row r="2288">
          <cell r="A2288" t="str">
            <v>481004</v>
          </cell>
          <cell r="B2288" t="str">
            <v>1015</v>
          </cell>
          <cell r="C2288">
            <v>150.53</v>
          </cell>
          <cell r="D2288" t="str">
            <v>205</v>
          </cell>
          <cell r="E2288" t="str">
            <v>453</v>
          </cell>
          <cell r="F2288">
            <v>0</v>
          </cell>
          <cell r="G2288">
            <v>9</v>
          </cell>
          <cell r="H2288" t="str">
            <v>2006-09-30</v>
          </cell>
        </row>
        <row r="2289">
          <cell r="A2289" t="str">
            <v>480000</v>
          </cell>
          <cell r="B2289" t="str">
            <v>1015</v>
          </cell>
          <cell r="C2289">
            <v>-9435.14</v>
          </cell>
          <cell r="D2289" t="str">
            <v>202</v>
          </cell>
          <cell r="E2289" t="str">
            <v>455</v>
          </cell>
          <cell r="F2289">
            <v>-1669.81</v>
          </cell>
          <cell r="G2289">
            <v>9</v>
          </cell>
          <cell r="H2289" t="str">
            <v>2006-09-30</v>
          </cell>
        </row>
        <row r="2290">
          <cell r="A2290" t="str">
            <v>480000</v>
          </cell>
          <cell r="B2290" t="str">
            <v>1015</v>
          </cell>
          <cell r="C2290">
            <v>-12059.83</v>
          </cell>
          <cell r="D2290" t="str">
            <v>204</v>
          </cell>
          <cell r="E2290" t="str">
            <v>455</v>
          </cell>
          <cell r="F2290">
            <v>0</v>
          </cell>
          <cell r="G2290">
            <v>9</v>
          </cell>
          <cell r="H2290" t="str">
            <v>2006-09-30</v>
          </cell>
        </row>
        <row r="2291">
          <cell r="A2291" t="str">
            <v>480000</v>
          </cell>
          <cell r="B2291" t="str">
            <v>1015</v>
          </cell>
          <cell r="C2291">
            <v>-420.9</v>
          </cell>
          <cell r="D2291" t="str">
            <v>205</v>
          </cell>
          <cell r="E2291" t="str">
            <v>455</v>
          </cell>
          <cell r="F2291">
            <v>0</v>
          </cell>
          <cell r="G2291">
            <v>9</v>
          </cell>
          <cell r="H2291" t="str">
            <v>2006-09-30</v>
          </cell>
        </row>
        <row r="2292">
          <cell r="A2292" t="str">
            <v>480001</v>
          </cell>
          <cell r="B2292" t="str">
            <v>1015</v>
          </cell>
          <cell r="C2292">
            <v>-7443.04</v>
          </cell>
          <cell r="D2292" t="str">
            <v>202</v>
          </cell>
          <cell r="E2292" t="str">
            <v>455</v>
          </cell>
          <cell r="F2292">
            <v>-3156.09</v>
          </cell>
          <cell r="G2292">
            <v>9</v>
          </cell>
          <cell r="H2292" t="str">
            <v>2006-09-30</v>
          </cell>
        </row>
        <row r="2293">
          <cell r="A2293" t="str">
            <v>480001</v>
          </cell>
          <cell r="B2293" t="str">
            <v>1015</v>
          </cell>
          <cell r="C2293">
            <v>-22702.54</v>
          </cell>
          <cell r="D2293" t="str">
            <v>204</v>
          </cell>
          <cell r="E2293" t="str">
            <v>455</v>
          </cell>
          <cell r="F2293">
            <v>0</v>
          </cell>
          <cell r="G2293">
            <v>9</v>
          </cell>
          <cell r="H2293" t="str">
            <v>2006-09-30</v>
          </cell>
        </row>
        <row r="2294">
          <cell r="A2294" t="str">
            <v>480001</v>
          </cell>
          <cell r="B2294" t="str">
            <v>1015</v>
          </cell>
          <cell r="C2294">
            <v>642.69000000000005</v>
          </cell>
          <cell r="D2294" t="str">
            <v>205</v>
          </cell>
          <cell r="E2294" t="str">
            <v>455</v>
          </cell>
          <cell r="F2294">
            <v>0</v>
          </cell>
          <cell r="G2294">
            <v>9</v>
          </cell>
          <cell r="H2294" t="str">
            <v>2006-09-30</v>
          </cell>
        </row>
        <row r="2295">
          <cell r="A2295" t="str">
            <v>480001</v>
          </cell>
          <cell r="B2295" t="str">
            <v>1015</v>
          </cell>
          <cell r="C2295">
            <v>0</v>
          </cell>
          <cell r="D2295" t="str">
            <v>210</v>
          </cell>
          <cell r="E2295" t="str">
            <v>455</v>
          </cell>
          <cell r="F2295">
            <v>0</v>
          </cell>
          <cell r="G2295">
            <v>9</v>
          </cell>
          <cell r="H2295" t="str">
            <v>2006-09-30</v>
          </cell>
        </row>
        <row r="2296">
          <cell r="A2296" t="str">
            <v>481004</v>
          </cell>
          <cell r="B2296" t="str">
            <v>1015</v>
          </cell>
          <cell r="C2296">
            <v>-3870.82</v>
          </cell>
          <cell r="D2296" t="str">
            <v>202</v>
          </cell>
          <cell r="E2296" t="str">
            <v>455</v>
          </cell>
          <cell r="F2296">
            <v>-1238.0999999999999</v>
          </cell>
          <cell r="G2296">
            <v>9</v>
          </cell>
          <cell r="H2296" t="str">
            <v>2006-09-30</v>
          </cell>
        </row>
        <row r="2297">
          <cell r="A2297" t="str">
            <v>481004</v>
          </cell>
          <cell r="B2297" t="str">
            <v>1015</v>
          </cell>
          <cell r="C2297">
            <v>-8923.6299999999992</v>
          </cell>
          <cell r="D2297" t="str">
            <v>204</v>
          </cell>
          <cell r="E2297" t="str">
            <v>455</v>
          </cell>
          <cell r="F2297">
            <v>0</v>
          </cell>
          <cell r="G2297">
            <v>9</v>
          </cell>
          <cell r="H2297" t="str">
            <v>2006-09-30</v>
          </cell>
        </row>
        <row r="2298">
          <cell r="A2298" t="str">
            <v>481004</v>
          </cell>
          <cell r="B2298" t="str">
            <v>1015</v>
          </cell>
          <cell r="C2298">
            <v>-221.79</v>
          </cell>
          <cell r="D2298" t="str">
            <v>205</v>
          </cell>
          <cell r="E2298" t="str">
            <v>455</v>
          </cell>
          <cell r="F2298">
            <v>0</v>
          </cell>
          <cell r="G2298">
            <v>9</v>
          </cell>
          <cell r="H2298" t="str">
            <v>2006-09-30</v>
          </cell>
        </row>
        <row r="2299">
          <cell r="A2299" t="str">
            <v>481002</v>
          </cell>
          <cell r="B2299" t="str">
            <v>1015</v>
          </cell>
          <cell r="C2299">
            <v>0</v>
          </cell>
          <cell r="D2299" t="str">
            <v>202</v>
          </cell>
          <cell r="E2299" t="str">
            <v>456</v>
          </cell>
          <cell r="F2299">
            <v>0</v>
          </cell>
          <cell r="G2299">
            <v>9</v>
          </cell>
          <cell r="H2299" t="str">
            <v>2006-09-30</v>
          </cell>
        </row>
        <row r="2300">
          <cell r="A2300" t="str">
            <v>481002</v>
          </cell>
          <cell r="B2300" t="str">
            <v>1015</v>
          </cell>
          <cell r="C2300">
            <v>0</v>
          </cell>
          <cell r="D2300" t="str">
            <v>203</v>
          </cell>
          <cell r="E2300" t="str">
            <v>456</v>
          </cell>
          <cell r="F2300">
            <v>0</v>
          </cell>
          <cell r="G2300">
            <v>9</v>
          </cell>
          <cell r="H2300" t="str">
            <v>2006-09-30</v>
          </cell>
        </row>
        <row r="2301">
          <cell r="A2301" t="str">
            <v>481002</v>
          </cell>
          <cell r="B2301" t="str">
            <v>1015</v>
          </cell>
          <cell r="C2301">
            <v>0</v>
          </cell>
          <cell r="D2301" t="str">
            <v>204</v>
          </cell>
          <cell r="E2301" t="str">
            <v>456</v>
          </cell>
          <cell r="F2301">
            <v>0</v>
          </cell>
          <cell r="G2301">
            <v>9</v>
          </cell>
          <cell r="H2301" t="str">
            <v>2006-09-30</v>
          </cell>
        </row>
        <row r="2302">
          <cell r="A2302" t="str">
            <v>481002</v>
          </cell>
          <cell r="B2302" t="str">
            <v>1015</v>
          </cell>
          <cell r="C2302">
            <v>0</v>
          </cell>
          <cell r="D2302" t="str">
            <v>210</v>
          </cell>
          <cell r="E2302" t="str">
            <v>456</v>
          </cell>
          <cell r="F2302">
            <v>0</v>
          </cell>
          <cell r="G2302">
            <v>9</v>
          </cell>
          <cell r="H2302" t="str">
            <v>2006-09-30</v>
          </cell>
        </row>
        <row r="2303">
          <cell r="A2303" t="str">
            <v>481002</v>
          </cell>
          <cell r="B2303" t="str">
            <v>1015</v>
          </cell>
          <cell r="C2303">
            <v>-438.6</v>
          </cell>
          <cell r="D2303" t="str">
            <v>202</v>
          </cell>
          <cell r="E2303" t="str">
            <v>457</v>
          </cell>
          <cell r="F2303">
            <v>-2715</v>
          </cell>
          <cell r="G2303">
            <v>9</v>
          </cell>
          <cell r="H2303" t="str">
            <v>2006-09-30</v>
          </cell>
        </row>
        <row r="2304">
          <cell r="A2304" t="str">
            <v>481002</v>
          </cell>
          <cell r="B2304" t="str">
            <v>1015</v>
          </cell>
          <cell r="C2304">
            <v>-496.49</v>
          </cell>
          <cell r="D2304" t="str">
            <v>203</v>
          </cell>
          <cell r="E2304" t="str">
            <v>457</v>
          </cell>
          <cell r="F2304">
            <v>0</v>
          </cell>
          <cell r="G2304">
            <v>9</v>
          </cell>
          <cell r="H2304" t="str">
            <v>2006-09-30</v>
          </cell>
        </row>
        <row r="2305">
          <cell r="A2305" t="str">
            <v>481002</v>
          </cell>
          <cell r="B2305" t="str">
            <v>1015</v>
          </cell>
          <cell r="C2305">
            <v>-12786.4</v>
          </cell>
          <cell r="D2305" t="str">
            <v>204</v>
          </cell>
          <cell r="E2305" t="str">
            <v>457</v>
          </cell>
          <cell r="F2305">
            <v>0</v>
          </cell>
          <cell r="G2305">
            <v>9</v>
          </cell>
          <cell r="H2305" t="str">
            <v>2006-09-30</v>
          </cell>
        </row>
        <row r="2306">
          <cell r="A2306" t="str">
            <v>481005</v>
          </cell>
          <cell r="B2306" t="str">
            <v>1015</v>
          </cell>
          <cell r="C2306">
            <v>-1967</v>
          </cell>
          <cell r="D2306" t="str">
            <v>202</v>
          </cell>
          <cell r="E2306" t="str">
            <v>457</v>
          </cell>
          <cell r="F2306">
            <v>-11267</v>
          </cell>
          <cell r="G2306">
            <v>9</v>
          </cell>
          <cell r="H2306" t="str">
            <v>2006-09-30</v>
          </cell>
        </row>
        <row r="2307">
          <cell r="A2307" t="str">
            <v>481005</v>
          </cell>
          <cell r="B2307" t="str">
            <v>1015</v>
          </cell>
          <cell r="C2307">
            <v>-2060</v>
          </cell>
          <cell r="D2307" t="str">
            <v>203</v>
          </cell>
          <cell r="E2307" t="str">
            <v>457</v>
          </cell>
          <cell r="F2307">
            <v>0</v>
          </cell>
          <cell r="G2307">
            <v>9</v>
          </cell>
          <cell r="H2307" t="str">
            <v>2006-09-30</v>
          </cell>
        </row>
        <row r="2308">
          <cell r="A2308" t="str">
            <v>481005</v>
          </cell>
          <cell r="B2308" t="str">
            <v>1015</v>
          </cell>
          <cell r="C2308">
            <v>-53062</v>
          </cell>
          <cell r="D2308" t="str">
            <v>204</v>
          </cell>
          <cell r="E2308" t="str">
            <v>457</v>
          </cell>
          <cell r="F2308">
            <v>0</v>
          </cell>
          <cell r="G2308">
            <v>9</v>
          </cell>
          <cell r="H2308" t="str">
            <v>2006-09-30</v>
          </cell>
        </row>
        <row r="2309">
          <cell r="A2309" t="str">
            <v>489300</v>
          </cell>
          <cell r="B2309" t="str">
            <v>1015</v>
          </cell>
          <cell r="C2309">
            <v>-2582.19</v>
          </cell>
          <cell r="D2309" t="str">
            <v>250</v>
          </cell>
          <cell r="E2309" t="str">
            <v>458</v>
          </cell>
          <cell r="F2309">
            <v>-15163</v>
          </cell>
          <cell r="G2309">
            <v>9</v>
          </cell>
          <cell r="H2309" t="str">
            <v>2006-09-30</v>
          </cell>
        </row>
        <row r="2310">
          <cell r="A2310" t="str">
            <v>489304</v>
          </cell>
          <cell r="B2310" t="str">
            <v>1015</v>
          </cell>
          <cell r="C2310">
            <v>-658.7</v>
          </cell>
          <cell r="D2310" t="str">
            <v>250</v>
          </cell>
          <cell r="E2310" t="str">
            <v>458</v>
          </cell>
          <cell r="F2310">
            <v>-1859</v>
          </cell>
          <cell r="G2310">
            <v>9</v>
          </cell>
          <cell r="H2310" t="str">
            <v>2006-09-30</v>
          </cell>
        </row>
        <row r="2311">
          <cell r="A2311" t="str">
            <v>489300</v>
          </cell>
          <cell r="B2311" t="str">
            <v>1015</v>
          </cell>
          <cell r="C2311">
            <v>-1471.71</v>
          </cell>
          <cell r="D2311" t="str">
            <v>250</v>
          </cell>
          <cell r="E2311" t="str">
            <v>459</v>
          </cell>
          <cell r="F2311">
            <v>-2813</v>
          </cell>
          <cell r="G2311">
            <v>9</v>
          </cell>
          <cell r="H2311" t="str">
            <v>2006-09-30</v>
          </cell>
        </row>
        <row r="2312">
          <cell r="A2312" t="str">
            <v>480004</v>
          </cell>
          <cell r="B2312" t="str">
            <v>1015</v>
          </cell>
          <cell r="C2312">
            <v>640012.46</v>
          </cell>
          <cell r="D2312" t="str">
            <v>215</v>
          </cell>
          <cell r="E2312" t="str">
            <v>CET</v>
          </cell>
          <cell r="F2312">
            <v>0</v>
          </cell>
          <cell r="G2312">
            <v>9</v>
          </cell>
          <cell r="H2312" t="str">
            <v>2006-09-30</v>
          </cell>
        </row>
        <row r="2313">
          <cell r="A2313" t="str">
            <v>481003</v>
          </cell>
          <cell r="B2313" t="str">
            <v>1015</v>
          </cell>
          <cell r="C2313">
            <v>-126878.36</v>
          </cell>
          <cell r="D2313" t="str">
            <v>200</v>
          </cell>
          <cell r="F2313">
            <v>-12866.43</v>
          </cell>
          <cell r="G2313">
            <v>9</v>
          </cell>
          <cell r="H2313" t="str">
            <v>2006-09-30</v>
          </cell>
        </row>
        <row r="2314">
          <cell r="A2314" t="str">
            <v>481000</v>
          </cell>
          <cell r="B2314" t="str">
            <v>1015</v>
          </cell>
          <cell r="C2314">
            <v>-17919.439999999999</v>
          </cell>
          <cell r="D2314" t="str">
            <v>202</v>
          </cell>
          <cell r="E2314" t="str">
            <v>402</v>
          </cell>
          <cell r="F2314">
            <v>-43829</v>
          </cell>
          <cell r="G2314">
            <v>10</v>
          </cell>
          <cell r="H2314" t="str">
            <v>2006-10-31</v>
          </cell>
        </row>
        <row r="2315">
          <cell r="A2315" t="str">
            <v>481000</v>
          </cell>
          <cell r="B2315" t="str">
            <v>1015</v>
          </cell>
          <cell r="C2315">
            <v>-21807.99</v>
          </cell>
          <cell r="D2315" t="str">
            <v>203</v>
          </cell>
          <cell r="E2315" t="str">
            <v>402</v>
          </cell>
          <cell r="F2315">
            <v>0</v>
          </cell>
          <cell r="G2315">
            <v>10</v>
          </cell>
          <cell r="H2315" t="str">
            <v>2006-10-31</v>
          </cell>
        </row>
        <row r="2316">
          <cell r="A2316" t="str">
            <v>481000</v>
          </cell>
          <cell r="B2316" t="str">
            <v>1015</v>
          </cell>
          <cell r="C2316">
            <v>-284639.99</v>
          </cell>
          <cell r="D2316" t="str">
            <v>204</v>
          </cell>
          <cell r="E2316" t="str">
            <v>402</v>
          </cell>
          <cell r="F2316">
            <v>0</v>
          </cell>
          <cell r="G2316">
            <v>10</v>
          </cell>
          <cell r="H2316" t="str">
            <v>2006-10-31</v>
          </cell>
        </row>
        <row r="2317">
          <cell r="A2317" t="str">
            <v>481000</v>
          </cell>
          <cell r="B2317" t="str">
            <v>1015</v>
          </cell>
          <cell r="C2317">
            <v>0</v>
          </cell>
          <cell r="D2317" t="str">
            <v>210</v>
          </cell>
          <cell r="E2317" t="str">
            <v>402</v>
          </cell>
          <cell r="F2317">
            <v>0</v>
          </cell>
          <cell r="G2317">
            <v>10</v>
          </cell>
          <cell r="H2317" t="str">
            <v>2006-10-31</v>
          </cell>
        </row>
        <row r="2318">
          <cell r="A2318" t="str">
            <v>481004</v>
          </cell>
          <cell r="B2318" t="str">
            <v>1015</v>
          </cell>
          <cell r="C2318">
            <v>-275522.21000000002</v>
          </cell>
          <cell r="D2318" t="str">
            <v>202</v>
          </cell>
          <cell r="E2318" t="str">
            <v>402</v>
          </cell>
          <cell r="F2318">
            <v>-552865</v>
          </cell>
          <cell r="G2318">
            <v>10</v>
          </cell>
          <cell r="H2318" t="str">
            <v>2006-10-31</v>
          </cell>
        </row>
        <row r="2319">
          <cell r="A2319" t="str">
            <v>481004</v>
          </cell>
          <cell r="B2319" t="str">
            <v>1015</v>
          </cell>
          <cell r="C2319">
            <v>-275088.69</v>
          </cell>
          <cell r="D2319" t="str">
            <v>203</v>
          </cell>
          <cell r="E2319" t="str">
            <v>402</v>
          </cell>
          <cell r="F2319">
            <v>0</v>
          </cell>
          <cell r="G2319">
            <v>10</v>
          </cell>
          <cell r="H2319" t="str">
            <v>2006-10-31</v>
          </cell>
        </row>
        <row r="2320">
          <cell r="A2320" t="str">
            <v>481004</v>
          </cell>
          <cell r="B2320" t="str">
            <v>1015</v>
          </cell>
          <cell r="C2320">
            <v>-3590489.36</v>
          </cell>
          <cell r="D2320" t="str">
            <v>204</v>
          </cell>
          <cell r="E2320" t="str">
            <v>402</v>
          </cell>
          <cell r="F2320">
            <v>0</v>
          </cell>
          <cell r="G2320">
            <v>10</v>
          </cell>
          <cell r="H2320" t="str">
            <v>2006-10-31</v>
          </cell>
        </row>
        <row r="2321">
          <cell r="A2321" t="str">
            <v>481004</v>
          </cell>
          <cell r="B2321" t="str">
            <v>1015</v>
          </cell>
          <cell r="C2321">
            <v>0</v>
          </cell>
          <cell r="D2321" t="str">
            <v>210</v>
          </cell>
          <cell r="E2321" t="str">
            <v>402</v>
          </cell>
          <cell r="F2321">
            <v>0</v>
          </cell>
          <cell r="G2321">
            <v>10</v>
          </cell>
          <cell r="H2321" t="str">
            <v>2006-10-31</v>
          </cell>
        </row>
        <row r="2322">
          <cell r="A2322" t="str">
            <v>481000</v>
          </cell>
          <cell r="B2322" t="str">
            <v>1015</v>
          </cell>
          <cell r="C2322">
            <v>-7071.01</v>
          </cell>
          <cell r="D2322" t="str">
            <v>202</v>
          </cell>
          <cell r="E2322" t="str">
            <v>403</v>
          </cell>
          <cell r="F2322">
            <v>0</v>
          </cell>
          <cell r="G2322">
            <v>10</v>
          </cell>
          <cell r="H2322" t="str">
            <v>2006-10-31</v>
          </cell>
        </row>
        <row r="2323">
          <cell r="A2323" t="str">
            <v>481000</v>
          </cell>
          <cell r="B2323" t="str">
            <v>1015</v>
          </cell>
          <cell r="C2323">
            <v>-1636.48</v>
          </cell>
          <cell r="D2323" t="str">
            <v>203</v>
          </cell>
          <cell r="E2323" t="str">
            <v>403</v>
          </cell>
          <cell r="F2323">
            <v>0</v>
          </cell>
          <cell r="G2323">
            <v>10</v>
          </cell>
          <cell r="H2323" t="str">
            <v>2006-10-31</v>
          </cell>
        </row>
        <row r="2324">
          <cell r="A2324" t="str">
            <v>481000</v>
          </cell>
          <cell r="B2324" t="str">
            <v>1015</v>
          </cell>
          <cell r="C2324">
            <v>-2974.7</v>
          </cell>
          <cell r="D2324" t="str">
            <v>204</v>
          </cell>
          <cell r="E2324" t="str">
            <v>403</v>
          </cell>
          <cell r="F2324">
            <v>0</v>
          </cell>
          <cell r="G2324">
            <v>10</v>
          </cell>
          <cell r="H2324" t="str">
            <v>2006-10-31</v>
          </cell>
        </row>
        <row r="2325">
          <cell r="A2325" t="str">
            <v>481000</v>
          </cell>
          <cell r="B2325" t="str">
            <v>1015</v>
          </cell>
          <cell r="C2325">
            <v>-9742.31</v>
          </cell>
          <cell r="D2325" t="str">
            <v>202</v>
          </cell>
          <cell r="E2325" t="str">
            <v>404</v>
          </cell>
          <cell r="F2325">
            <v>-31000</v>
          </cell>
          <cell r="G2325">
            <v>10</v>
          </cell>
          <cell r="H2325" t="str">
            <v>2006-10-31</v>
          </cell>
        </row>
        <row r="2326">
          <cell r="A2326" t="str">
            <v>481000</v>
          </cell>
          <cell r="B2326" t="str">
            <v>1015</v>
          </cell>
          <cell r="C2326">
            <v>-22384.17</v>
          </cell>
          <cell r="D2326" t="str">
            <v>203</v>
          </cell>
          <cell r="E2326" t="str">
            <v>404</v>
          </cell>
          <cell r="F2326">
            <v>0</v>
          </cell>
          <cell r="G2326">
            <v>10</v>
          </cell>
          <cell r="H2326" t="str">
            <v>2006-10-31</v>
          </cell>
        </row>
        <row r="2327">
          <cell r="A2327" t="str">
            <v>481000</v>
          </cell>
          <cell r="B2327" t="str">
            <v>1015</v>
          </cell>
          <cell r="C2327">
            <v>-201324.23</v>
          </cell>
          <cell r="D2327" t="str">
            <v>204</v>
          </cell>
          <cell r="E2327" t="str">
            <v>404</v>
          </cell>
          <cell r="F2327">
            <v>0</v>
          </cell>
          <cell r="G2327">
            <v>10</v>
          </cell>
          <cell r="H2327" t="str">
            <v>2006-10-31</v>
          </cell>
        </row>
        <row r="2328">
          <cell r="A2328" t="str">
            <v>481004</v>
          </cell>
          <cell r="B2328" t="str">
            <v>1015</v>
          </cell>
          <cell r="C2328">
            <v>0</v>
          </cell>
          <cell r="D2328" t="str">
            <v>202</v>
          </cell>
          <cell r="E2328" t="str">
            <v>404</v>
          </cell>
          <cell r="F2328">
            <v>0</v>
          </cell>
          <cell r="G2328">
            <v>10</v>
          </cell>
          <cell r="H2328" t="str">
            <v>2006-10-31</v>
          </cell>
        </row>
        <row r="2329">
          <cell r="A2329" t="str">
            <v>481004</v>
          </cell>
          <cell r="B2329" t="str">
            <v>1015</v>
          </cell>
          <cell r="C2329">
            <v>0</v>
          </cell>
          <cell r="D2329" t="str">
            <v>203</v>
          </cell>
          <cell r="E2329" t="str">
            <v>404</v>
          </cell>
          <cell r="F2329">
            <v>0</v>
          </cell>
          <cell r="G2329">
            <v>10</v>
          </cell>
          <cell r="H2329" t="str">
            <v>2006-10-31</v>
          </cell>
        </row>
        <row r="2330">
          <cell r="A2330" t="str">
            <v>481004</v>
          </cell>
          <cell r="B2330" t="str">
            <v>1015</v>
          </cell>
          <cell r="C2330">
            <v>0</v>
          </cell>
          <cell r="D2330" t="str">
            <v>204</v>
          </cell>
          <cell r="E2330" t="str">
            <v>404</v>
          </cell>
          <cell r="F2330">
            <v>0</v>
          </cell>
          <cell r="G2330">
            <v>10</v>
          </cell>
          <cell r="H2330" t="str">
            <v>2006-10-31</v>
          </cell>
        </row>
        <row r="2331">
          <cell r="A2331" t="str">
            <v>481004</v>
          </cell>
          <cell r="B2331" t="str">
            <v>1015</v>
          </cell>
          <cell r="C2331">
            <v>0</v>
          </cell>
          <cell r="D2331" t="str">
            <v>210</v>
          </cell>
          <cell r="E2331" t="str">
            <v>404</v>
          </cell>
          <cell r="F2331">
            <v>0</v>
          </cell>
          <cell r="G2331">
            <v>10</v>
          </cell>
          <cell r="H2331" t="str">
            <v>2006-10-31</v>
          </cell>
        </row>
        <row r="2332">
          <cell r="A2332" t="str">
            <v>489300</v>
          </cell>
          <cell r="B2332" t="str">
            <v>1015</v>
          </cell>
          <cell r="C2332">
            <v>-65581.2</v>
          </cell>
          <cell r="D2332" t="str">
            <v>250</v>
          </cell>
          <cell r="E2332" t="str">
            <v>405</v>
          </cell>
          <cell r="F2332">
            <v>-337094</v>
          </cell>
          <cell r="G2332">
            <v>10</v>
          </cell>
          <cell r="H2332" t="str">
            <v>2006-10-31</v>
          </cell>
        </row>
        <row r="2333">
          <cell r="A2333" t="str">
            <v>489304</v>
          </cell>
          <cell r="B2333" t="str">
            <v>1015</v>
          </cell>
          <cell r="C2333">
            <v>-72103.070000000007</v>
          </cell>
          <cell r="D2333" t="str">
            <v>250</v>
          </cell>
          <cell r="E2333" t="str">
            <v>405</v>
          </cell>
          <cell r="F2333">
            <v>-525267</v>
          </cell>
          <cell r="G2333">
            <v>10</v>
          </cell>
          <cell r="H2333" t="str">
            <v>2006-10-31</v>
          </cell>
        </row>
        <row r="2334">
          <cell r="A2334" t="str">
            <v>489300</v>
          </cell>
          <cell r="B2334" t="str">
            <v>1015</v>
          </cell>
          <cell r="C2334">
            <v>-109072.01</v>
          </cell>
          <cell r="D2334" t="str">
            <v>250</v>
          </cell>
          <cell r="E2334" t="str">
            <v>406</v>
          </cell>
          <cell r="F2334">
            <v>-549448</v>
          </cell>
          <cell r="G2334">
            <v>10</v>
          </cell>
          <cell r="H2334" t="str">
            <v>2006-10-31</v>
          </cell>
        </row>
        <row r="2335">
          <cell r="A2335" t="str">
            <v>489304</v>
          </cell>
          <cell r="B2335" t="str">
            <v>1015</v>
          </cell>
          <cell r="C2335">
            <v>-37781.870000000003</v>
          </cell>
          <cell r="D2335" t="str">
            <v>250</v>
          </cell>
          <cell r="E2335" t="str">
            <v>406</v>
          </cell>
          <cell r="F2335">
            <v>-212969</v>
          </cell>
          <cell r="G2335">
            <v>10</v>
          </cell>
          <cell r="H2335" t="str">
            <v>2006-10-31</v>
          </cell>
        </row>
        <row r="2336">
          <cell r="A2336" t="str">
            <v>480000</v>
          </cell>
          <cell r="B2336" t="str">
            <v>1015</v>
          </cell>
          <cell r="C2336">
            <v>-8763865.75</v>
          </cell>
          <cell r="D2336" t="str">
            <v>202</v>
          </cell>
          <cell r="E2336" t="str">
            <v>407</v>
          </cell>
          <cell r="F2336">
            <v>-2958717.44</v>
          </cell>
          <cell r="G2336">
            <v>10</v>
          </cell>
          <cell r="H2336" t="str">
            <v>2006-10-31</v>
          </cell>
        </row>
        <row r="2337">
          <cell r="A2337" t="str">
            <v>480000</v>
          </cell>
          <cell r="B2337" t="str">
            <v>1015</v>
          </cell>
          <cell r="C2337">
            <v>-1473880</v>
          </cell>
          <cell r="D2337" t="str">
            <v>203</v>
          </cell>
          <cell r="E2337" t="str">
            <v>407</v>
          </cell>
          <cell r="F2337">
            <v>0</v>
          </cell>
          <cell r="G2337">
            <v>10</v>
          </cell>
          <cell r="H2337" t="str">
            <v>2006-10-31</v>
          </cell>
        </row>
        <row r="2338">
          <cell r="A2338" t="str">
            <v>480000</v>
          </cell>
          <cell r="B2338" t="str">
            <v>1015</v>
          </cell>
          <cell r="C2338">
            <v>-19363936.859999999</v>
          </cell>
          <cell r="D2338" t="str">
            <v>204</v>
          </cell>
          <cell r="E2338" t="str">
            <v>407</v>
          </cell>
          <cell r="F2338">
            <v>0</v>
          </cell>
          <cell r="G2338">
            <v>10</v>
          </cell>
          <cell r="H2338" t="str">
            <v>2006-10-31</v>
          </cell>
        </row>
        <row r="2339">
          <cell r="A2339" t="str">
            <v>480000</v>
          </cell>
          <cell r="B2339" t="str">
            <v>1015</v>
          </cell>
          <cell r="C2339">
            <v>607796.47</v>
          </cell>
          <cell r="D2339" t="str">
            <v>205</v>
          </cell>
          <cell r="E2339" t="str">
            <v>407</v>
          </cell>
          <cell r="F2339">
            <v>0</v>
          </cell>
          <cell r="G2339">
            <v>10</v>
          </cell>
          <cell r="H2339" t="str">
            <v>2006-10-31</v>
          </cell>
        </row>
        <row r="2340">
          <cell r="A2340" t="str">
            <v>480001</v>
          </cell>
          <cell r="B2340" t="str">
            <v>1015</v>
          </cell>
          <cell r="C2340">
            <v>-2803183.43</v>
          </cell>
          <cell r="D2340" t="str">
            <v>202</v>
          </cell>
          <cell r="E2340" t="str">
            <v>407</v>
          </cell>
          <cell r="F2340">
            <v>-1996466.21</v>
          </cell>
          <cell r="G2340">
            <v>10</v>
          </cell>
          <cell r="H2340" t="str">
            <v>2006-10-31</v>
          </cell>
        </row>
        <row r="2341">
          <cell r="A2341" t="str">
            <v>480001</v>
          </cell>
          <cell r="B2341" t="str">
            <v>1015</v>
          </cell>
          <cell r="C2341">
            <v>-991661.24</v>
          </cell>
          <cell r="D2341" t="str">
            <v>203</v>
          </cell>
          <cell r="E2341" t="str">
            <v>407</v>
          </cell>
          <cell r="F2341">
            <v>0</v>
          </cell>
          <cell r="G2341">
            <v>10</v>
          </cell>
          <cell r="H2341" t="str">
            <v>2006-10-31</v>
          </cell>
        </row>
        <row r="2342">
          <cell r="A2342" t="str">
            <v>480001</v>
          </cell>
          <cell r="B2342" t="str">
            <v>1015</v>
          </cell>
          <cell r="C2342">
            <v>-13024223.43</v>
          </cell>
          <cell r="D2342" t="str">
            <v>204</v>
          </cell>
          <cell r="E2342" t="str">
            <v>407</v>
          </cell>
          <cell r="F2342">
            <v>0</v>
          </cell>
          <cell r="G2342">
            <v>10</v>
          </cell>
          <cell r="H2342" t="str">
            <v>2006-10-31</v>
          </cell>
        </row>
        <row r="2343">
          <cell r="A2343" t="str">
            <v>480001</v>
          </cell>
          <cell r="B2343" t="str">
            <v>1015</v>
          </cell>
          <cell r="C2343">
            <v>338573.23</v>
          </cell>
          <cell r="D2343" t="str">
            <v>205</v>
          </cell>
          <cell r="E2343" t="str">
            <v>407</v>
          </cell>
          <cell r="F2343">
            <v>0</v>
          </cell>
          <cell r="G2343">
            <v>10</v>
          </cell>
          <cell r="H2343" t="str">
            <v>2006-10-31</v>
          </cell>
        </row>
        <row r="2344">
          <cell r="A2344" t="str">
            <v>480001</v>
          </cell>
          <cell r="B2344" t="str">
            <v>1015</v>
          </cell>
          <cell r="C2344">
            <v>-69.11</v>
          </cell>
          <cell r="D2344" t="str">
            <v>210</v>
          </cell>
          <cell r="E2344" t="str">
            <v>407</v>
          </cell>
          <cell r="F2344">
            <v>-7.9</v>
          </cell>
          <cell r="G2344">
            <v>10</v>
          </cell>
          <cell r="H2344" t="str">
            <v>2006-10-31</v>
          </cell>
        </row>
        <row r="2345">
          <cell r="A2345" t="str">
            <v>481000</v>
          </cell>
          <cell r="B2345" t="str">
            <v>1015</v>
          </cell>
          <cell r="C2345">
            <v>-1922.68</v>
          </cell>
          <cell r="D2345" t="str">
            <v>202</v>
          </cell>
          <cell r="E2345" t="str">
            <v>407</v>
          </cell>
          <cell r="F2345">
            <v>-1728.84</v>
          </cell>
          <cell r="G2345">
            <v>10</v>
          </cell>
          <cell r="H2345" t="str">
            <v>2006-10-31</v>
          </cell>
        </row>
        <row r="2346">
          <cell r="A2346" t="str">
            <v>481000</v>
          </cell>
          <cell r="B2346" t="str">
            <v>1015</v>
          </cell>
          <cell r="C2346">
            <v>-860.26</v>
          </cell>
          <cell r="D2346" t="str">
            <v>203</v>
          </cell>
          <cell r="E2346" t="str">
            <v>407</v>
          </cell>
          <cell r="F2346">
            <v>0</v>
          </cell>
          <cell r="G2346">
            <v>10</v>
          </cell>
          <cell r="H2346" t="str">
            <v>2006-10-31</v>
          </cell>
        </row>
        <row r="2347">
          <cell r="A2347" t="str">
            <v>481000</v>
          </cell>
          <cell r="B2347" t="str">
            <v>1015</v>
          </cell>
          <cell r="C2347">
            <v>-11300.78</v>
          </cell>
          <cell r="D2347" t="str">
            <v>204</v>
          </cell>
          <cell r="E2347" t="str">
            <v>407</v>
          </cell>
          <cell r="F2347">
            <v>0</v>
          </cell>
          <cell r="G2347">
            <v>10</v>
          </cell>
          <cell r="H2347" t="str">
            <v>2006-10-31</v>
          </cell>
        </row>
        <row r="2348">
          <cell r="A2348" t="str">
            <v>481000</v>
          </cell>
          <cell r="B2348" t="str">
            <v>1015</v>
          </cell>
          <cell r="C2348">
            <v>49.91</v>
          </cell>
          <cell r="D2348" t="str">
            <v>205</v>
          </cell>
          <cell r="E2348" t="str">
            <v>407</v>
          </cell>
          <cell r="F2348">
            <v>0</v>
          </cell>
          <cell r="G2348">
            <v>10</v>
          </cell>
          <cell r="H2348" t="str">
            <v>2006-10-31</v>
          </cell>
        </row>
        <row r="2349">
          <cell r="A2349" t="str">
            <v>481004</v>
          </cell>
          <cell r="B2349" t="str">
            <v>1015</v>
          </cell>
          <cell r="C2349">
            <v>-1904821.14</v>
          </cell>
          <cell r="D2349" t="str">
            <v>202</v>
          </cell>
          <cell r="E2349" t="str">
            <v>407</v>
          </cell>
          <cell r="F2349">
            <v>-1074245.51</v>
          </cell>
          <cell r="G2349">
            <v>10</v>
          </cell>
          <cell r="H2349" t="str">
            <v>2006-10-31</v>
          </cell>
        </row>
        <row r="2350">
          <cell r="A2350" t="str">
            <v>481004</v>
          </cell>
          <cell r="B2350" t="str">
            <v>1015</v>
          </cell>
          <cell r="C2350">
            <v>-534642.5</v>
          </cell>
          <cell r="D2350" t="str">
            <v>203</v>
          </cell>
          <cell r="E2350" t="str">
            <v>407</v>
          </cell>
          <cell r="F2350">
            <v>0</v>
          </cell>
          <cell r="G2350">
            <v>10</v>
          </cell>
          <cell r="H2350" t="str">
            <v>2006-10-31</v>
          </cell>
        </row>
        <row r="2351">
          <cell r="A2351" t="str">
            <v>481004</v>
          </cell>
          <cell r="B2351" t="str">
            <v>1015</v>
          </cell>
          <cell r="C2351">
            <v>-7023263.9299999997</v>
          </cell>
          <cell r="D2351" t="str">
            <v>204</v>
          </cell>
          <cell r="E2351" t="str">
            <v>407</v>
          </cell>
          <cell r="F2351">
            <v>0</v>
          </cell>
          <cell r="G2351">
            <v>10</v>
          </cell>
          <cell r="H2351" t="str">
            <v>2006-10-31</v>
          </cell>
        </row>
        <row r="2352">
          <cell r="A2352" t="str">
            <v>481004</v>
          </cell>
          <cell r="B2352" t="str">
            <v>1015</v>
          </cell>
          <cell r="C2352">
            <v>136807.39000000001</v>
          </cell>
          <cell r="D2352" t="str">
            <v>205</v>
          </cell>
          <cell r="E2352" t="str">
            <v>407</v>
          </cell>
          <cell r="F2352">
            <v>0</v>
          </cell>
          <cell r="G2352">
            <v>10</v>
          </cell>
          <cell r="H2352" t="str">
            <v>2006-10-31</v>
          </cell>
        </row>
        <row r="2353">
          <cell r="A2353" t="str">
            <v>481004</v>
          </cell>
          <cell r="B2353" t="str">
            <v>1015</v>
          </cell>
          <cell r="C2353">
            <v>69.11</v>
          </cell>
          <cell r="D2353" t="str">
            <v>210</v>
          </cell>
          <cell r="E2353" t="str">
            <v>407</v>
          </cell>
          <cell r="F2353">
            <v>7.9</v>
          </cell>
          <cell r="G2353">
            <v>10</v>
          </cell>
          <cell r="H2353" t="str">
            <v>2006-10-31</v>
          </cell>
        </row>
        <row r="2354">
          <cell r="A2354" t="str">
            <v>480000</v>
          </cell>
          <cell r="B2354" t="str">
            <v>1015</v>
          </cell>
          <cell r="C2354">
            <v>-65424.63</v>
          </cell>
          <cell r="D2354" t="str">
            <v>202</v>
          </cell>
          <cell r="E2354" t="str">
            <v>408</v>
          </cell>
          <cell r="F2354">
            <v>-16502.61</v>
          </cell>
          <cell r="G2354">
            <v>10</v>
          </cell>
          <cell r="H2354" t="str">
            <v>2006-10-31</v>
          </cell>
        </row>
        <row r="2355">
          <cell r="A2355" t="str">
            <v>480000</v>
          </cell>
          <cell r="B2355" t="str">
            <v>1015</v>
          </cell>
          <cell r="C2355">
            <v>-8227.34</v>
          </cell>
          <cell r="D2355" t="str">
            <v>203</v>
          </cell>
          <cell r="E2355" t="str">
            <v>408</v>
          </cell>
          <cell r="F2355">
            <v>0</v>
          </cell>
          <cell r="G2355">
            <v>10</v>
          </cell>
          <cell r="H2355" t="str">
            <v>2006-10-31</v>
          </cell>
        </row>
        <row r="2356">
          <cell r="A2356" t="str">
            <v>480000</v>
          </cell>
          <cell r="B2356" t="str">
            <v>1015</v>
          </cell>
          <cell r="C2356">
            <v>-108069.65</v>
          </cell>
          <cell r="D2356" t="str">
            <v>204</v>
          </cell>
          <cell r="E2356" t="str">
            <v>408</v>
          </cell>
          <cell r="F2356">
            <v>0</v>
          </cell>
          <cell r="G2356">
            <v>10</v>
          </cell>
          <cell r="H2356" t="str">
            <v>2006-10-31</v>
          </cell>
        </row>
        <row r="2357">
          <cell r="A2357" t="str">
            <v>480000</v>
          </cell>
          <cell r="B2357" t="str">
            <v>1015</v>
          </cell>
          <cell r="C2357">
            <v>3360.73</v>
          </cell>
          <cell r="D2357" t="str">
            <v>205</v>
          </cell>
          <cell r="E2357" t="str">
            <v>408</v>
          </cell>
          <cell r="F2357">
            <v>0</v>
          </cell>
          <cell r="G2357">
            <v>10</v>
          </cell>
          <cell r="H2357" t="str">
            <v>2006-10-31</v>
          </cell>
        </row>
        <row r="2358">
          <cell r="A2358" t="str">
            <v>480001</v>
          </cell>
          <cell r="B2358" t="str">
            <v>1015</v>
          </cell>
          <cell r="C2358">
            <v>-23988.43</v>
          </cell>
          <cell r="D2358" t="str">
            <v>202</v>
          </cell>
          <cell r="E2358" t="str">
            <v>408</v>
          </cell>
          <cell r="F2358">
            <v>-5979.44</v>
          </cell>
          <cell r="G2358">
            <v>10</v>
          </cell>
          <cell r="H2358" t="str">
            <v>2006-10-31</v>
          </cell>
        </row>
        <row r="2359">
          <cell r="A2359" t="str">
            <v>480001</v>
          </cell>
          <cell r="B2359" t="str">
            <v>1015</v>
          </cell>
          <cell r="C2359">
            <v>-2958.27</v>
          </cell>
          <cell r="D2359" t="str">
            <v>203</v>
          </cell>
          <cell r="E2359" t="str">
            <v>408</v>
          </cell>
          <cell r="F2359">
            <v>0</v>
          </cell>
          <cell r="G2359">
            <v>10</v>
          </cell>
          <cell r="H2359" t="str">
            <v>2006-10-31</v>
          </cell>
        </row>
        <row r="2360">
          <cell r="A2360" t="str">
            <v>480001</v>
          </cell>
          <cell r="B2360" t="str">
            <v>1015</v>
          </cell>
          <cell r="C2360">
            <v>-38865.279999999999</v>
          </cell>
          <cell r="D2360" t="str">
            <v>204</v>
          </cell>
          <cell r="E2360" t="str">
            <v>408</v>
          </cell>
          <cell r="F2360">
            <v>0</v>
          </cell>
          <cell r="G2360">
            <v>10</v>
          </cell>
          <cell r="H2360" t="str">
            <v>2006-10-31</v>
          </cell>
        </row>
        <row r="2361">
          <cell r="A2361" t="str">
            <v>480001</v>
          </cell>
          <cell r="B2361" t="str">
            <v>1015</v>
          </cell>
          <cell r="C2361">
            <v>-5030.37</v>
          </cell>
          <cell r="D2361" t="str">
            <v>205</v>
          </cell>
          <cell r="E2361" t="str">
            <v>408</v>
          </cell>
          <cell r="F2361">
            <v>0</v>
          </cell>
          <cell r="G2361">
            <v>10</v>
          </cell>
          <cell r="H2361" t="str">
            <v>2006-10-31</v>
          </cell>
        </row>
        <row r="2362">
          <cell r="A2362" t="str">
            <v>480001</v>
          </cell>
          <cell r="B2362" t="str">
            <v>1015</v>
          </cell>
          <cell r="C2362">
            <v>0</v>
          </cell>
          <cell r="D2362" t="str">
            <v>210</v>
          </cell>
          <cell r="E2362" t="str">
            <v>408</v>
          </cell>
          <cell r="F2362">
            <v>0</v>
          </cell>
          <cell r="G2362">
            <v>10</v>
          </cell>
          <cell r="H2362" t="str">
            <v>2006-10-31</v>
          </cell>
        </row>
        <row r="2363">
          <cell r="A2363" t="str">
            <v>481004</v>
          </cell>
          <cell r="B2363" t="str">
            <v>1015</v>
          </cell>
          <cell r="C2363">
            <v>-32902.94</v>
          </cell>
          <cell r="D2363" t="str">
            <v>202</v>
          </cell>
          <cell r="E2363" t="str">
            <v>408</v>
          </cell>
          <cell r="F2363">
            <v>-8536.9500000000007</v>
          </cell>
          <cell r="G2363">
            <v>10</v>
          </cell>
          <cell r="H2363" t="str">
            <v>2006-10-31</v>
          </cell>
        </row>
        <row r="2364">
          <cell r="A2364" t="str">
            <v>481004</v>
          </cell>
          <cell r="B2364" t="str">
            <v>1015</v>
          </cell>
          <cell r="C2364">
            <v>-4249.3900000000003</v>
          </cell>
          <cell r="D2364" t="str">
            <v>203</v>
          </cell>
          <cell r="E2364" t="str">
            <v>408</v>
          </cell>
          <cell r="F2364">
            <v>0</v>
          </cell>
          <cell r="G2364">
            <v>10</v>
          </cell>
          <cell r="H2364" t="str">
            <v>2006-10-31</v>
          </cell>
        </row>
        <row r="2365">
          <cell r="A2365" t="str">
            <v>481004</v>
          </cell>
          <cell r="B2365" t="str">
            <v>1015</v>
          </cell>
          <cell r="C2365">
            <v>-55821.07</v>
          </cell>
          <cell r="D2365" t="str">
            <v>204</v>
          </cell>
          <cell r="E2365" t="str">
            <v>408</v>
          </cell>
          <cell r="F2365">
            <v>0</v>
          </cell>
          <cell r="G2365">
            <v>10</v>
          </cell>
          <cell r="H2365" t="str">
            <v>2006-10-31</v>
          </cell>
        </row>
        <row r="2366">
          <cell r="A2366" t="str">
            <v>481004</v>
          </cell>
          <cell r="B2366" t="str">
            <v>1015</v>
          </cell>
          <cell r="C2366">
            <v>1929.64</v>
          </cell>
          <cell r="D2366" t="str">
            <v>205</v>
          </cell>
          <cell r="E2366" t="str">
            <v>408</v>
          </cell>
          <cell r="F2366">
            <v>0</v>
          </cell>
          <cell r="G2366">
            <v>10</v>
          </cell>
          <cell r="H2366" t="str">
            <v>2006-10-31</v>
          </cell>
        </row>
        <row r="2367">
          <cell r="A2367" t="str">
            <v>481002</v>
          </cell>
          <cell r="B2367" t="str">
            <v>1015</v>
          </cell>
          <cell r="C2367">
            <v>-7900.04</v>
          </cell>
          <cell r="D2367" t="str">
            <v>202</v>
          </cell>
          <cell r="E2367" t="str">
            <v>411</v>
          </cell>
          <cell r="F2367">
            <v>-48973</v>
          </cell>
          <cell r="G2367">
            <v>10</v>
          </cell>
          <cell r="H2367" t="str">
            <v>2006-10-31</v>
          </cell>
        </row>
        <row r="2368">
          <cell r="A2368" t="str">
            <v>481002</v>
          </cell>
          <cell r="B2368" t="str">
            <v>1015</v>
          </cell>
          <cell r="C2368">
            <v>-8955.69</v>
          </cell>
          <cell r="D2368" t="str">
            <v>203</v>
          </cell>
          <cell r="E2368" t="str">
            <v>411</v>
          </cell>
          <cell r="F2368">
            <v>0</v>
          </cell>
          <cell r="G2368">
            <v>10</v>
          </cell>
          <cell r="H2368" t="str">
            <v>2006-10-31</v>
          </cell>
        </row>
        <row r="2369">
          <cell r="A2369" t="str">
            <v>481002</v>
          </cell>
          <cell r="B2369" t="str">
            <v>1015</v>
          </cell>
          <cell r="C2369">
            <v>-137851.17000000001</v>
          </cell>
          <cell r="D2369" t="str">
            <v>204</v>
          </cell>
          <cell r="E2369" t="str">
            <v>411</v>
          </cell>
          <cell r="F2369">
            <v>0</v>
          </cell>
          <cell r="G2369">
            <v>10</v>
          </cell>
          <cell r="H2369" t="str">
            <v>2006-10-31</v>
          </cell>
        </row>
        <row r="2370">
          <cell r="A2370" t="str">
            <v>481005</v>
          </cell>
          <cell r="B2370" t="str">
            <v>1015</v>
          </cell>
          <cell r="C2370">
            <v>-32148.639999999999</v>
          </cell>
          <cell r="D2370" t="str">
            <v>202</v>
          </cell>
          <cell r="E2370" t="str">
            <v>411</v>
          </cell>
          <cell r="F2370">
            <v>-145682</v>
          </cell>
          <cell r="G2370">
            <v>10</v>
          </cell>
          <cell r="H2370" t="str">
            <v>2006-10-31</v>
          </cell>
        </row>
        <row r="2371">
          <cell r="A2371" t="str">
            <v>481005</v>
          </cell>
          <cell r="B2371" t="str">
            <v>1015</v>
          </cell>
          <cell r="C2371">
            <v>-26641.05</v>
          </cell>
          <cell r="D2371" t="str">
            <v>203</v>
          </cell>
          <cell r="E2371" t="str">
            <v>411</v>
          </cell>
          <cell r="F2371">
            <v>0</v>
          </cell>
          <cell r="G2371">
            <v>10</v>
          </cell>
          <cell r="H2371" t="str">
            <v>2006-10-31</v>
          </cell>
        </row>
        <row r="2372">
          <cell r="A2372" t="str">
            <v>481005</v>
          </cell>
          <cell r="B2372" t="str">
            <v>1015</v>
          </cell>
          <cell r="C2372">
            <v>-410071.45</v>
          </cell>
          <cell r="D2372" t="str">
            <v>204</v>
          </cell>
          <cell r="E2372" t="str">
            <v>411</v>
          </cell>
          <cell r="F2372">
            <v>0</v>
          </cell>
          <cell r="G2372">
            <v>10</v>
          </cell>
          <cell r="H2372" t="str">
            <v>2006-10-31</v>
          </cell>
        </row>
        <row r="2373">
          <cell r="A2373" t="str">
            <v>481002</v>
          </cell>
          <cell r="B2373" t="str">
            <v>1015</v>
          </cell>
          <cell r="C2373">
            <v>0</v>
          </cell>
          <cell r="D2373" t="str">
            <v>210</v>
          </cell>
          <cell r="E2373" t="str">
            <v>412</v>
          </cell>
          <cell r="F2373">
            <v>0</v>
          </cell>
          <cell r="G2373">
            <v>10</v>
          </cell>
          <cell r="H2373" t="str">
            <v>2006-10-31</v>
          </cell>
        </row>
        <row r="2374">
          <cell r="A2374" t="str">
            <v>481002</v>
          </cell>
          <cell r="B2374" t="str">
            <v>1015</v>
          </cell>
          <cell r="C2374">
            <v>-4861.22</v>
          </cell>
          <cell r="D2374" t="str">
            <v>202</v>
          </cell>
          <cell r="E2374" t="str">
            <v>414</v>
          </cell>
          <cell r="F2374">
            <v>-18066</v>
          </cell>
          <cell r="G2374">
            <v>10</v>
          </cell>
          <cell r="H2374" t="str">
            <v>2006-10-31</v>
          </cell>
        </row>
        <row r="2375">
          <cell r="A2375" t="str">
            <v>481002</v>
          </cell>
          <cell r="B2375" t="str">
            <v>1015</v>
          </cell>
          <cell r="C2375">
            <v>-3303.73</v>
          </cell>
          <cell r="D2375" t="str">
            <v>203</v>
          </cell>
          <cell r="E2375" t="str">
            <v>414</v>
          </cell>
          <cell r="F2375">
            <v>0</v>
          </cell>
          <cell r="G2375">
            <v>10</v>
          </cell>
          <cell r="H2375" t="str">
            <v>2006-10-31</v>
          </cell>
        </row>
        <row r="2376">
          <cell r="A2376" t="str">
            <v>481002</v>
          </cell>
          <cell r="B2376" t="str">
            <v>1015</v>
          </cell>
          <cell r="C2376">
            <v>-50852.9</v>
          </cell>
          <cell r="D2376" t="str">
            <v>204</v>
          </cell>
          <cell r="E2376" t="str">
            <v>414</v>
          </cell>
          <cell r="F2376">
            <v>0</v>
          </cell>
          <cell r="G2376">
            <v>10</v>
          </cell>
          <cell r="H2376" t="str">
            <v>2006-10-31</v>
          </cell>
        </row>
        <row r="2377">
          <cell r="A2377" t="str">
            <v>481005</v>
          </cell>
          <cell r="B2377" t="str">
            <v>1015</v>
          </cell>
          <cell r="C2377">
            <v>-11871.33</v>
          </cell>
          <cell r="D2377" t="str">
            <v>202</v>
          </cell>
          <cell r="E2377" t="str">
            <v>414</v>
          </cell>
          <cell r="F2377">
            <v>-18171</v>
          </cell>
          <cell r="G2377">
            <v>10</v>
          </cell>
          <cell r="H2377" t="str">
            <v>2006-10-31</v>
          </cell>
        </row>
        <row r="2378">
          <cell r="A2378" t="str">
            <v>481005</v>
          </cell>
          <cell r="B2378" t="str">
            <v>1015</v>
          </cell>
          <cell r="C2378">
            <v>-3323.09</v>
          </cell>
          <cell r="D2378" t="str">
            <v>203</v>
          </cell>
          <cell r="E2378" t="str">
            <v>414</v>
          </cell>
          <cell r="F2378">
            <v>0</v>
          </cell>
          <cell r="G2378">
            <v>10</v>
          </cell>
          <cell r="H2378" t="str">
            <v>2006-10-31</v>
          </cell>
        </row>
        <row r="2379">
          <cell r="A2379" t="str">
            <v>481005</v>
          </cell>
          <cell r="B2379" t="str">
            <v>1015</v>
          </cell>
          <cell r="C2379">
            <v>-51148.4</v>
          </cell>
          <cell r="D2379" t="str">
            <v>204</v>
          </cell>
          <cell r="E2379" t="str">
            <v>414</v>
          </cell>
          <cell r="F2379">
            <v>0</v>
          </cell>
          <cell r="G2379">
            <v>10</v>
          </cell>
          <cell r="H2379" t="str">
            <v>2006-10-31</v>
          </cell>
        </row>
        <row r="2380">
          <cell r="A2380" t="str">
            <v>489300</v>
          </cell>
          <cell r="B2380" t="str">
            <v>1015</v>
          </cell>
          <cell r="C2380">
            <v>-182896.43</v>
          </cell>
          <cell r="D2380" t="str">
            <v>250</v>
          </cell>
          <cell r="E2380" t="str">
            <v>415</v>
          </cell>
          <cell r="F2380">
            <v>-1170163</v>
          </cell>
          <cell r="G2380">
            <v>10</v>
          </cell>
          <cell r="H2380" t="str">
            <v>2006-10-31</v>
          </cell>
        </row>
        <row r="2381">
          <cell r="A2381" t="str">
            <v>489304</v>
          </cell>
          <cell r="B2381" t="str">
            <v>1015</v>
          </cell>
          <cell r="C2381">
            <v>-54058.01</v>
          </cell>
          <cell r="D2381" t="str">
            <v>250</v>
          </cell>
          <cell r="E2381" t="str">
            <v>415</v>
          </cell>
          <cell r="F2381">
            <v>-228386</v>
          </cell>
          <cell r="G2381">
            <v>10</v>
          </cell>
          <cell r="H2381" t="str">
            <v>2006-10-31</v>
          </cell>
        </row>
        <row r="2382">
          <cell r="A2382" t="str">
            <v>489304</v>
          </cell>
          <cell r="B2382" t="str">
            <v>1015</v>
          </cell>
          <cell r="C2382">
            <v>-943.72</v>
          </cell>
          <cell r="D2382" t="str">
            <v>250</v>
          </cell>
          <cell r="E2382" t="str">
            <v>416</v>
          </cell>
          <cell r="F2382">
            <v>-1257</v>
          </cell>
          <cell r="G2382">
            <v>10</v>
          </cell>
          <cell r="H2382" t="str">
            <v>2006-10-31</v>
          </cell>
        </row>
        <row r="2383">
          <cell r="A2383" t="str">
            <v>481000</v>
          </cell>
          <cell r="B2383" t="str">
            <v>1015</v>
          </cell>
          <cell r="C2383">
            <v>0</v>
          </cell>
          <cell r="D2383" t="str">
            <v>202</v>
          </cell>
          <cell r="E2383" t="str">
            <v>451</v>
          </cell>
          <cell r="F2383">
            <v>0</v>
          </cell>
          <cell r="G2383">
            <v>10</v>
          </cell>
          <cell r="H2383" t="str">
            <v>2006-10-31</v>
          </cell>
        </row>
        <row r="2384">
          <cell r="A2384" t="str">
            <v>481000</v>
          </cell>
          <cell r="B2384" t="str">
            <v>1015</v>
          </cell>
          <cell r="C2384">
            <v>0</v>
          </cell>
          <cell r="D2384" t="str">
            <v>204</v>
          </cell>
          <cell r="E2384" t="str">
            <v>451</v>
          </cell>
          <cell r="F2384">
            <v>0</v>
          </cell>
          <cell r="G2384">
            <v>10</v>
          </cell>
          <cell r="H2384" t="str">
            <v>2006-10-31</v>
          </cell>
        </row>
        <row r="2385">
          <cell r="A2385" t="str">
            <v>481000</v>
          </cell>
          <cell r="B2385" t="str">
            <v>1015</v>
          </cell>
          <cell r="C2385">
            <v>0</v>
          </cell>
          <cell r="D2385" t="str">
            <v>210</v>
          </cell>
          <cell r="E2385" t="str">
            <v>451</v>
          </cell>
          <cell r="F2385">
            <v>0</v>
          </cell>
          <cell r="G2385">
            <v>10</v>
          </cell>
          <cell r="H2385" t="str">
            <v>2006-10-31</v>
          </cell>
        </row>
        <row r="2386">
          <cell r="A2386" t="str">
            <v>481004</v>
          </cell>
          <cell r="B2386" t="str">
            <v>1015</v>
          </cell>
          <cell r="C2386">
            <v>-20639</v>
          </cell>
          <cell r="D2386" t="str">
            <v>202</v>
          </cell>
          <cell r="E2386" t="str">
            <v>451</v>
          </cell>
          <cell r="F2386">
            <v>-20859</v>
          </cell>
          <cell r="G2386">
            <v>10</v>
          </cell>
          <cell r="H2386" t="str">
            <v>2006-10-31</v>
          </cell>
        </row>
        <row r="2387">
          <cell r="A2387" t="str">
            <v>481004</v>
          </cell>
          <cell r="B2387" t="str">
            <v>1015</v>
          </cell>
          <cell r="C2387">
            <v>-160819</v>
          </cell>
          <cell r="D2387" t="str">
            <v>204</v>
          </cell>
          <cell r="E2387" t="str">
            <v>451</v>
          </cell>
          <cell r="F2387">
            <v>0</v>
          </cell>
          <cell r="G2387">
            <v>10</v>
          </cell>
          <cell r="H2387" t="str">
            <v>2006-10-31</v>
          </cell>
        </row>
        <row r="2388">
          <cell r="A2388" t="str">
            <v>481004</v>
          </cell>
          <cell r="B2388" t="str">
            <v>1015</v>
          </cell>
          <cell r="C2388">
            <v>0</v>
          </cell>
          <cell r="D2388" t="str">
            <v>210</v>
          </cell>
          <cell r="E2388" t="str">
            <v>451</v>
          </cell>
          <cell r="F2388">
            <v>0</v>
          </cell>
          <cell r="G2388">
            <v>10</v>
          </cell>
          <cell r="H2388" t="str">
            <v>2006-10-31</v>
          </cell>
        </row>
        <row r="2389">
          <cell r="A2389" t="str">
            <v>480000</v>
          </cell>
          <cell r="B2389" t="str">
            <v>1015</v>
          </cell>
          <cell r="C2389">
            <v>-396890.22</v>
          </cell>
          <cell r="D2389" t="str">
            <v>202</v>
          </cell>
          <cell r="E2389" t="str">
            <v>453</v>
          </cell>
          <cell r="F2389">
            <v>-107261.21</v>
          </cell>
          <cell r="G2389">
            <v>10</v>
          </cell>
          <cell r="H2389" t="str">
            <v>2006-10-31</v>
          </cell>
        </row>
        <row r="2390">
          <cell r="A2390" t="str">
            <v>480000</v>
          </cell>
          <cell r="B2390" t="str">
            <v>1015</v>
          </cell>
          <cell r="C2390">
            <v>-773436.19</v>
          </cell>
          <cell r="D2390" t="str">
            <v>204</v>
          </cell>
          <cell r="E2390" t="str">
            <v>453</v>
          </cell>
          <cell r="F2390">
            <v>0</v>
          </cell>
          <cell r="G2390">
            <v>10</v>
          </cell>
          <cell r="H2390" t="str">
            <v>2006-10-31</v>
          </cell>
        </row>
        <row r="2391">
          <cell r="A2391" t="str">
            <v>480000</v>
          </cell>
          <cell r="B2391" t="str">
            <v>1015</v>
          </cell>
          <cell r="C2391">
            <v>15916.14</v>
          </cell>
          <cell r="D2391" t="str">
            <v>205</v>
          </cell>
          <cell r="E2391" t="str">
            <v>453</v>
          </cell>
          <cell r="F2391">
            <v>0</v>
          </cell>
          <cell r="G2391">
            <v>10</v>
          </cell>
          <cell r="H2391" t="str">
            <v>2006-10-31</v>
          </cell>
        </row>
        <row r="2392">
          <cell r="A2392" t="str">
            <v>480001</v>
          </cell>
          <cell r="B2392" t="str">
            <v>1015</v>
          </cell>
          <cell r="C2392">
            <v>-112793.87</v>
          </cell>
          <cell r="D2392" t="str">
            <v>202</v>
          </cell>
          <cell r="E2392" t="str">
            <v>453</v>
          </cell>
          <cell r="F2392">
            <v>-56389.63</v>
          </cell>
          <cell r="G2392">
            <v>10</v>
          </cell>
          <cell r="H2392" t="str">
            <v>2006-10-31</v>
          </cell>
        </row>
        <row r="2393">
          <cell r="A2393" t="str">
            <v>480001</v>
          </cell>
          <cell r="B2393" t="str">
            <v>1015</v>
          </cell>
          <cell r="C2393">
            <v>-405535.95</v>
          </cell>
          <cell r="D2393" t="str">
            <v>204</v>
          </cell>
          <cell r="E2393" t="str">
            <v>453</v>
          </cell>
          <cell r="F2393">
            <v>0</v>
          </cell>
          <cell r="G2393">
            <v>10</v>
          </cell>
          <cell r="H2393" t="str">
            <v>2006-10-31</v>
          </cell>
        </row>
        <row r="2394">
          <cell r="A2394" t="str">
            <v>480001</v>
          </cell>
          <cell r="B2394" t="str">
            <v>1015</v>
          </cell>
          <cell r="C2394">
            <v>-15090.03</v>
          </cell>
          <cell r="D2394" t="str">
            <v>205</v>
          </cell>
          <cell r="E2394" t="str">
            <v>453</v>
          </cell>
          <cell r="F2394">
            <v>0</v>
          </cell>
          <cell r="G2394">
            <v>10</v>
          </cell>
          <cell r="H2394" t="str">
            <v>2006-10-31</v>
          </cell>
        </row>
        <row r="2395">
          <cell r="A2395" t="str">
            <v>480001</v>
          </cell>
          <cell r="B2395" t="str">
            <v>1015</v>
          </cell>
          <cell r="C2395">
            <v>0</v>
          </cell>
          <cell r="D2395" t="str">
            <v>210</v>
          </cell>
          <cell r="E2395" t="str">
            <v>453</v>
          </cell>
          <cell r="F2395">
            <v>0</v>
          </cell>
          <cell r="G2395">
            <v>10</v>
          </cell>
          <cell r="H2395" t="str">
            <v>2006-10-31</v>
          </cell>
        </row>
        <row r="2396">
          <cell r="A2396" t="str">
            <v>481004</v>
          </cell>
          <cell r="B2396" t="str">
            <v>1015</v>
          </cell>
          <cell r="C2396">
            <v>-125360.91</v>
          </cell>
          <cell r="D2396" t="str">
            <v>202</v>
          </cell>
          <cell r="E2396" t="str">
            <v>453</v>
          </cell>
          <cell r="F2396">
            <v>-60013.16</v>
          </cell>
          <cell r="G2396">
            <v>10</v>
          </cell>
          <cell r="H2396" t="str">
            <v>2006-10-31</v>
          </cell>
        </row>
        <row r="2397">
          <cell r="A2397" t="str">
            <v>481004</v>
          </cell>
          <cell r="B2397" t="str">
            <v>1015</v>
          </cell>
          <cell r="C2397">
            <v>-432347.86</v>
          </cell>
          <cell r="D2397" t="str">
            <v>204</v>
          </cell>
          <cell r="E2397" t="str">
            <v>453</v>
          </cell>
          <cell r="F2397">
            <v>0</v>
          </cell>
          <cell r="G2397">
            <v>10</v>
          </cell>
          <cell r="H2397" t="str">
            <v>2006-10-31</v>
          </cell>
        </row>
        <row r="2398">
          <cell r="A2398" t="str">
            <v>481004</v>
          </cell>
          <cell r="B2398" t="str">
            <v>1015</v>
          </cell>
          <cell r="C2398">
            <v>7678.89</v>
          </cell>
          <cell r="D2398" t="str">
            <v>205</v>
          </cell>
          <cell r="E2398" t="str">
            <v>453</v>
          </cell>
          <cell r="F2398">
            <v>0</v>
          </cell>
          <cell r="G2398">
            <v>10</v>
          </cell>
          <cell r="H2398" t="str">
            <v>2006-10-31</v>
          </cell>
        </row>
        <row r="2399">
          <cell r="A2399" t="str">
            <v>480000</v>
          </cell>
          <cell r="B2399" t="str">
            <v>1015</v>
          </cell>
          <cell r="C2399">
            <v>-17444.89</v>
          </cell>
          <cell r="D2399" t="str">
            <v>202</v>
          </cell>
          <cell r="E2399" t="str">
            <v>455</v>
          </cell>
          <cell r="F2399">
            <v>-4866.9399999999996</v>
          </cell>
          <cell r="G2399">
            <v>10</v>
          </cell>
          <cell r="H2399" t="str">
            <v>2006-10-31</v>
          </cell>
        </row>
        <row r="2400">
          <cell r="A2400" t="str">
            <v>480000</v>
          </cell>
          <cell r="B2400" t="str">
            <v>1015</v>
          </cell>
          <cell r="C2400">
            <v>-35094.5</v>
          </cell>
          <cell r="D2400" t="str">
            <v>204</v>
          </cell>
          <cell r="E2400" t="str">
            <v>455</v>
          </cell>
          <cell r="F2400">
            <v>0</v>
          </cell>
          <cell r="G2400">
            <v>10</v>
          </cell>
          <cell r="H2400" t="str">
            <v>2006-10-31</v>
          </cell>
        </row>
        <row r="2401">
          <cell r="A2401" t="str">
            <v>480000</v>
          </cell>
          <cell r="B2401" t="str">
            <v>1015</v>
          </cell>
          <cell r="C2401">
            <v>1344.62</v>
          </cell>
          <cell r="D2401" t="str">
            <v>205</v>
          </cell>
          <cell r="E2401" t="str">
            <v>455</v>
          </cell>
          <cell r="F2401">
            <v>0</v>
          </cell>
          <cell r="G2401">
            <v>10</v>
          </cell>
          <cell r="H2401" t="str">
            <v>2006-10-31</v>
          </cell>
        </row>
        <row r="2402">
          <cell r="A2402" t="str">
            <v>480001</v>
          </cell>
          <cell r="B2402" t="str">
            <v>1015</v>
          </cell>
          <cell r="C2402">
            <v>-8583.49</v>
          </cell>
          <cell r="D2402" t="str">
            <v>202</v>
          </cell>
          <cell r="E2402" t="str">
            <v>455</v>
          </cell>
          <cell r="F2402">
            <v>-3466.04</v>
          </cell>
          <cell r="G2402">
            <v>10</v>
          </cell>
          <cell r="H2402" t="str">
            <v>2006-10-31</v>
          </cell>
        </row>
        <row r="2403">
          <cell r="A2403" t="str">
            <v>480001</v>
          </cell>
          <cell r="B2403" t="str">
            <v>1015</v>
          </cell>
          <cell r="C2403">
            <v>-24933.26</v>
          </cell>
          <cell r="D2403" t="str">
            <v>204</v>
          </cell>
          <cell r="E2403" t="str">
            <v>455</v>
          </cell>
          <cell r="F2403">
            <v>0</v>
          </cell>
          <cell r="G2403">
            <v>10</v>
          </cell>
          <cell r="H2403" t="str">
            <v>2006-10-31</v>
          </cell>
        </row>
        <row r="2404">
          <cell r="A2404" t="str">
            <v>480001</v>
          </cell>
          <cell r="B2404" t="str">
            <v>1015</v>
          </cell>
          <cell r="C2404">
            <v>-2214.2600000000002</v>
          </cell>
          <cell r="D2404" t="str">
            <v>205</v>
          </cell>
          <cell r="E2404" t="str">
            <v>455</v>
          </cell>
          <cell r="F2404">
            <v>0</v>
          </cell>
          <cell r="G2404">
            <v>10</v>
          </cell>
          <cell r="H2404" t="str">
            <v>2006-10-31</v>
          </cell>
        </row>
        <row r="2405">
          <cell r="A2405" t="str">
            <v>480001</v>
          </cell>
          <cell r="B2405" t="str">
            <v>1015</v>
          </cell>
          <cell r="C2405">
            <v>0</v>
          </cell>
          <cell r="D2405" t="str">
            <v>210</v>
          </cell>
          <cell r="E2405" t="str">
            <v>455</v>
          </cell>
          <cell r="F2405">
            <v>0</v>
          </cell>
          <cell r="G2405">
            <v>10</v>
          </cell>
          <cell r="H2405" t="str">
            <v>2006-10-31</v>
          </cell>
        </row>
        <row r="2406">
          <cell r="A2406" t="str">
            <v>481004</v>
          </cell>
          <cell r="B2406" t="str">
            <v>1015</v>
          </cell>
          <cell r="C2406">
            <v>-9605.6200000000008</v>
          </cell>
          <cell r="D2406" t="str">
            <v>202</v>
          </cell>
          <cell r="E2406" t="str">
            <v>455</v>
          </cell>
          <cell r="F2406">
            <v>-3648.02</v>
          </cell>
          <cell r="G2406">
            <v>10</v>
          </cell>
          <cell r="H2406" t="str">
            <v>2006-10-31</v>
          </cell>
        </row>
        <row r="2407">
          <cell r="A2407" t="str">
            <v>481004</v>
          </cell>
          <cell r="B2407" t="str">
            <v>1015</v>
          </cell>
          <cell r="C2407">
            <v>-26286.240000000002</v>
          </cell>
          <cell r="D2407" t="str">
            <v>204</v>
          </cell>
          <cell r="E2407" t="str">
            <v>455</v>
          </cell>
          <cell r="F2407">
            <v>0</v>
          </cell>
          <cell r="G2407">
            <v>10</v>
          </cell>
          <cell r="H2407" t="str">
            <v>2006-10-31</v>
          </cell>
        </row>
        <row r="2408">
          <cell r="A2408" t="str">
            <v>481004</v>
          </cell>
          <cell r="B2408" t="str">
            <v>1015</v>
          </cell>
          <cell r="C2408">
            <v>869.64</v>
          </cell>
          <cell r="D2408" t="str">
            <v>205</v>
          </cell>
          <cell r="E2408" t="str">
            <v>455</v>
          </cell>
          <cell r="F2408">
            <v>0</v>
          </cell>
          <cell r="G2408">
            <v>10</v>
          </cell>
          <cell r="H2408" t="str">
            <v>2006-10-31</v>
          </cell>
        </row>
        <row r="2409">
          <cell r="A2409" t="str">
            <v>481002</v>
          </cell>
          <cell r="B2409" t="str">
            <v>1015</v>
          </cell>
          <cell r="C2409">
            <v>0</v>
          </cell>
          <cell r="D2409" t="str">
            <v>202</v>
          </cell>
          <cell r="E2409" t="str">
            <v>456</v>
          </cell>
          <cell r="F2409">
            <v>0</v>
          </cell>
          <cell r="G2409">
            <v>10</v>
          </cell>
          <cell r="H2409" t="str">
            <v>2006-10-31</v>
          </cell>
        </row>
        <row r="2410">
          <cell r="A2410" t="str">
            <v>481002</v>
          </cell>
          <cell r="B2410" t="str">
            <v>1015</v>
          </cell>
          <cell r="C2410">
            <v>0</v>
          </cell>
          <cell r="D2410" t="str">
            <v>203</v>
          </cell>
          <cell r="E2410" t="str">
            <v>456</v>
          </cell>
          <cell r="F2410">
            <v>0</v>
          </cell>
          <cell r="G2410">
            <v>10</v>
          </cell>
          <cell r="H2410" t="str">
            <v>2006-10-31</v>
          </cell>
        </row>
        <row r="2411">
          <cell r="A2411" t="str">
            <v>481002</v>
          </cell>
          <cell r="B2411" t="str">
            <v>1015</v>
          </cell>
          <cell r="C2411">
            <v>0</v>
          </cell>
          <cell r="D2411" t="str">
            <v>204</v>
          </cell>
          <cell r="E2411" t="str">
            <v>456</v>
          </cell>
          <cell r="F2411">
            <v>0</v>
          </cell>
          <cell r="G2411">
            <v>10</v>
          </cell>
          <cell r="H2411" t="str">
            <v>2006-10-31</v>
          </cell>
        </row>
        <row r="2412">
          <cell r="A2412" t="str">
            <v>481002</v>
          </cell>
          <cell r="B2412" t="str">
            <v>1015</v>
          </cell>
          <cell r="C2412">
            <v>0</v>
          </cell>
          <cell r="D2412" t="str">
            <v>210</v>
          </cell>
          <cell r="E2412" t="str">
            <v>456</v>
          </cell>
          <cell r="F2412">
            <v>0</v>
          </cell>
          <cell r="G2412">
            <v>10</v>
          </cell>
          <cell r="H2412" t="str">
            <v>2006-10-31</v>
          </cell>
        </row>
        <row r="2413">
          <cell r="A2413" t="str">
            <v>481002</v>
          </cell>
          <cell r="B2413" t="str">
            <v>1015</v>
          </cell>
          <cell r="C2413">
            <v>-473.91</v>
          </cell>
          <cell r="D2413" t="str">
            <v>202</v>
          </cell>
          <cell r="E2413" t="str">
            <v>457</v>
          </cell>
          <cell r="F2413">
            <v>-2973</v>
          </cell>
          <cell r="G2413">
            <v>10</v>
          </cell>
          <cell r="H2413" t="str">
            <v>2006-10-31</v>
          </cell>
        </row>
        <row r="2414">
          <cell r="A2414" t="str">
            <v>481002</v>
          </cell>
          <cell r="B2414" t="str">
            <v>1015</v>
          </cell>
          <cell r="C2414">
            <v>-543.66999999999996</v>
          </cell>
          <cell r="D2414" t="str">
            <v>203</v>
          </cell>
          <cell r="E2414" t="str">
            <v>457</v>
          </cell>
          <cell r="F2414">
            <v>0</v>
          </cell>
          <cell r="G2414">
            <v>10</v>
          </cell>
          <cell r="H2414" t="str">
            <v>2006-10-31</v>
          </cell>
        </row>
        <row r="2415">
          <cell r="A2415" t="str">
            <v>481002</v>
          </cell>
          <cell r="B2415" t="str">
            <v>1015</v>
          </cell>
          <cell r="C2415">
            <v>-8334.51</v>
          </cell>
          <cell r="D2415" t="str">
            <v>204</v>
          </cell>
          <cell r="E2415" t="str">
            <v>457</v>
          </cell>
          <cell r="F2415">
            <v>0</v>
          </cell>
          <cell r="G2415">
            <v>10</v>
          </cell>
          <cell r="H2415" t="str">
            <v>2006-10-31</v>
          </cell>
        </row>
        <row r="2416">
          <cell r="A2416" t="str">
            <v>481005</v>
          </cell>
          <cell r="B2416" t="str">
            <v>1015</v>
          </cell>
          <cell r="C2416">
            <v>-1736</v>
          </cell>
          <cell r="D2416" t="str">
            <v>202</v>
          </cell>
          <cell r="E2416" t="str">
            <v>457</v>
          </cell>
          <cell r="F2416">
            <v>-9539</v>
          </cell>
          <cell r="G2416">
            <v>10</v>
          </cell>
          <cell r="H2416" t="str">
            <v>2006-10-31</v>
          </cell>
        </row>
        <row r="2417">
          <cell r="A2417" t="str">
            <v>481005</v>
          </cell>
          <cell r="B2417" t="str">
            <v>1015</v>
          </cell>
          <cell r="C2417">
            <v>-1744</v>
          </cell>
          <cell r="D2417" t="str">
            <v>203</v>
          </cell>
          <cell r="E2417" t="str">
            <v>457</v>
          </cell>
          <cell r="F2417">
            <v>0</v>
          </cell>
          <cell r="G2417">
            <v>10</v>
          </cell>
          <cell r="H2417" t="str">
            <v>2006-10-31</v>
          </cell>
        </row>
        <row r="2418">
          <cell r="A2418" t="str">
            <v>481005</v>
          </cell>
          <cell r="B2418" t="str">
            <v>1015</v>
          </cell>
          <cell r="C2418">
            <v>-26742</v>
          </cell>
          <cell r="D2418" t="str">
            <v>204</v>
          </cell>
          <cell r="E2418" t="str">
            <v>457</v>
          </cell>
          <cell r="F2418">
            <v>0</v>
          </cell>
          <cell r="G2418">
            <v>10</v>
          </cell>
          <cell r="H2418" t="str">
            <v>2006-10-31</v>
          </cell>
        </row>
        <row r="2419">
          <cell r="A2419" t="str">
            <v>489300</v>
          </cell>
          <cell r="B2419" t="str">
            <v>1015</v>
          </cell>
          <cell r="C2419">
            <v>-2923.96</v>
          </cell>
          <cell r="D2419" t="str">
            <v>250</v>
          </cell>
          <cell r="E2419" t="str">
            <v>458</v>
          </cell>
          <cell r="F2419">
            <v>-17449</v>
          </cell>
          <cell r="G2419">
            <v>10</v>
          </cell>
          <cell r="H2419" t="str">
            <v>2006-10-31</v>
          </cell>
        </row>
        <row r="2420">
          <cell r="A2420" t="str">
            <v>489304</v>
          </cell>
          <cell r="B2420" t="str">
            <v>1015</v>
          </cell>
          <cell r="C2420">
            <v>-834.2</v>
          </cell>
          <cell r="D2420" t="str">
            <v>250</v>
          </cell>
          <cell r="E2420" t="str">
            <v>458</v>
          </cell>
          <cell r="F2420">
            <v>-2444</v>
          </cell>
          <cell r="G2420">
            <v>10</v>
          </cell>
          <cell r="H2420" t="str">
            <v>2006-10-31</v>
          </cell>
        </row>
        <row r="2421">
          <cell r="A2421" t="str">
            <v>489300</v>
          </cell>
          <cell r="B2421" t="str">
            <v>1015</v>
          </cell>
          <cell r="C2421">
            <v>-1702.96</v>
          </cell>
          <cell r="D2421" t="str">
            <v>250</v>
          </cell>
          <cell r="E2421" t="str">
            <v>459</v>
          </cell>
          <cell r="F2421">
            <v>-4856</v>
          </cell>
          <cell r="G2421">
            <v>10</v>
          </cell>
          <cell r="H2421" t="str">
            <v>2006-10-31</v>
          </cell>
        </row>
        <row r="2422">
          <cell r="A2422" t="str">
            <v>480004</v>
          </cell>
          <cell r="B2422" t="str">
            <v>1015</v>
          </cell>
          <cell r="C2422">
            <v>-97509.84</v>
          </cell>
          <cell r="D2422" t="str">
            <v>215</v>
          </cell>
          <cell r="E2422" t="str">
            <v>CET</v>
          </cell>
          <cell r="F2422">
            <v>0</v>
          </cell>
          <cell r="G2422">
            <v>10</v>
          </cell>
          <cell r="H2422" t="str">
            <v>2006-10-31</v>
          </cell>
        </row>
        <row r="2423">
          <cell r="A2423" t="str">
            <v>481003</v>
          </cell>
          <cell r="B2423" t="str">
            <v>1015</v>
          </cell>
          <cell r="C2423">
            <v>-117350.93</v>
          </cell>
          <cell r="D2423" t="str">
            <v>200</v>
          </cell>
          <cell r="F2423">
            <v>-12447.63</v>
          </cell>
          <cell r="G2423">
            <v>10</v>
          </cell>
          <cell r="H2423" t="str">
            <v>2006-10-31</v>
          </cell>
        </row>
        <row r="2424">
          <cell r="A2424" t="str">
            <v>481000</v>
          </cell>
          <cell r="B2424" t="str">
            <v>1015</v>
          </cell>
          <cell r="C2424">
            <v>-12628.77</v>
          </cell>
          <cell r="D2424" t="str">
            <v>202</v>
          </cell>
          <cell r="E2424" t="str">
            <v>402</v>
          </cell>
          <cell r="F2424">
            <v>0</v>
          </cell>
          <cell r="G2424">
            <v>11</v>
          </cell>
          <cell r="H2424" t="str">
            <v>2006-11-30</v>
          </cell>
        </row>
        <row r="2425">
          <cell r="A2425" t="str">
            <v>481000</v>
          </cell>
          <cell r="B2425" t="str">
            <v>1015</v>
          </cell>
          <cell r="C2425">
            <v>-2606.56</v>
          </cell>
          <cell r="D2425" t="str">
            <v>202</v>
          </cell>
          <cell r="E2425" t="str">
            <v>402</v>
          </cell>
          <cell r="F2425">
            <v>-5478.32</v>
          </cell>
          <cell r="G2425">
            <v>11</v>
          </cell>
          <cell r="H2425" t="str">
            <v>2006-11-30</v>
          </cell>
        </row>
        <row r="2426">
          <cell r="A2426" t="str">
            <v>481000</v>
          </cell>
          <cell r="B2426" t="str">
            <v>1015</v>
          </cell>
          <cell r="C2426">
            <v>-2521.4299999999998</v>
          </cell>
          <cell r="D2426" t="str">
            <v>202</v>
          </cell>
          <cell r="E2426" t="str">
            <v>402</v>
          </cell>
          <cell r="F2426">
            <v>-5371.25</v>
          </cell>
          <cell r="G2426">
            <v>11</v>
          </cell>
          <cell r="H2426" t="str">
            <v>2006-11-30</v>
          </cell>
        </row>
        <row r="2427">
          <cell r="A2427" t="str">
            <v>481000</v>
          </cell>
          <cell r="B2427" t="str">
            <v>1015</v>
          </cell>
          <cell r="C2427">
            <v>-2326.23</v>
          </cell>
          <cell r="D2427" t="str">
            <v>202</v>
          </cell>
          <cell r="E2427" t="str">
            <v>402</v>
          </cell>
          <cell r="F2427">
            <v>-5107.72</v>
          </cell>
          <cell r="G2427">
            <v>11</v>
          </cell>
          <cell r="H2427" t="str">
            <v>2006-11-30</v>
          </cell>
        </row>
        <row r="2428">
          <cell r="A2428" t="str">
            <v>481000</v>
          </cell>
          <cell r="B2428" t="str">
            <v>1015</v>
          </cell>
          <cell r="C2428">
            <v>-2172.66</v>
          </cell>
          <cell r="D2428" t="str">
            <v>202</v>
          </cell>
          <cell r="E2428" t="str">
            <v>402</v>
          </cell>
          <cell r="F2428">
            <v>-4729.25</v>
          </cell>
          <cell r="G2428">
            <v>11</v>
          </cell>
          <cell r="H2428" t="str">
            <v>2006-11-30</v>
          </cell>
        </row>
        <row r="2429">
          <cell r="A2429" t="str">
            <v>481000</v>
          </cell>
          <cell r="B2429" t="str">
            <v>1015</v>
          </cell>
          <cell r="C2429">
            <v>-1956.23</v>
          </cell>
          <cell r="D2429" t="str">
            <v>202</v>
          </cell>
          <cell r="E2429" t="str">
            <v>402</v>
          </cell>
          <cell r="F2429">
            <v>-4167.46</v>
          </cell>
          <cell r="G2429">
            <v>11</v>
          </cell>
          <cell r="H2429" t="str">
            <v>2006-11-30</v>
          </cell>
        </row>
        <row r="2430">
          <cell r="A2430" t="str">
            <v>481000</v>
          </cell>
          <cell r="B2430" t="str">
            <v>1015</v>
          </cell>
          <cell r="C2430">
            <v>-1715.77</v>
          </cell>
          <cell r="D2430" t="str">
            <v>202</v>
          </cell>
          <cell r="E2430" t="str">
            <v>402</v>
          </cell>
          <cell r="F2430">
            <v>-3980.65</v>
          </cell>
          <cell r="G2430">
            <v>11</v>
          </cell>
          <cell r="H2430" t="str">
            <v>2006-11-30</v>
          </cell>
        </row>
        <row r="2431">
          <cell r="A2431" t="str">
            <v>481000</v>
          </cell>
          <cell r="B2431" t="str">
            <v>1015</v>
          </cell>
          <cell r="C2431">
            <v>-1418.03</v>
          </cell>
          <cell r="D2431" t="str">
            <v>202</v>
          </cell>
          <cell r="E2431" t="str">
            <v>402</v>
          </cell>
          <cell r="F2431">
            <v>-2949.45</v>
          </cell>
          <cell r="G2431">
            <v>11</v>
          </cell>
          <cell r="H2431" t="str">
            <v>2006-11-30</v>
          </cell>
        </row>
        <row r="2432">
          <cell r="A2432" t="str">
            <v>481000</v>
          </cell>
          <cell r="B2432" t="str">
            <v>1015</v>
          </cell>
          <cell r="C2432">
            <v>-531.39</v>
          </cell>
          <cell r="D2432" t="str">
            <v>202</v>
          </cell>
          <cell r="E2432" t="str">
            <v>402</v>
          </cell>
          <cell r="F2432">
            <v>-1250.32</v>
          </cell>
          <cell r="G2432">
            <v>11</v>
          </cell>
          <cell r="H2432" t="str">
            <v>2006-11-30</v>
          </cell>
        </row>
        <row r="2433">
          <cell r="A2433" t="str">
            <v>481000</v>
          </cell>
          <cell r="B2433" t="str">
            <v>1015</v>
          </cell>
          <cell r="C2433">
            <v>-20461.41</v>
          </cell>
          <cell r="D2433" t="str">
            <v>202</v>
          </cell>
          <cell r="E2433" t="str">
            <v>402</v>
          </cell>
          <cell r="F2433">
            <v>-53781.55</v>
          </cell>
          <cell r="G2433">
            <v>11</v>
          </cell>
          <cell r="H2433" t="str">
            <v>2006-11-30</v>
          </cell>
        </row>
        <row r="2434">
          <cell r="A2434" t="str">
            <v>481000</v>
          </cell>
          <cell r="B2434" t="str">
            <v>1015</v>
          </cell>
          <cell r="C2434">
            <v>-12143.6</v>
          </cell>
          <cell r="D2434" t="str">
            <v>202</v>
          </cell>
          <cell r="E2434" t="str">
            <v>402</v>
          </cell>
          <cell r="F2434">
            <v>-27655.19</v>
          </cell>
          <cell r="G2434">
            <v>11</v>
          </cell>
          <cell r="H2434" t="str">
            <v>2006-11-30</v>
          </cell>
        </row>
        <row r="2435">
          <cell r="A2435" t="str">
            <v>481000</v>
          </cell>
          <cell r="B2435" t="str">
            <v>1015</v>
          </cell>
          <cell r="C2435">
            <v>-11537</v>
          </cell>
          <cell r="D2435" t="str">
            <v>202</v>
          </cell>
          <cell r="E2435" t="str">
            <v>402</v>
          </cell>
          <cell r="F2435">
            <v>-27150.33</v>
          </cell>
          <cell r="G2435">
            <v>11</v>
          </cell>
          <cell r="H2435" t="str">
            <v>2006-11-30</v>
          </cell>
        </row>
        <row r="2436">
          <cell r="A2436" t="str">
            <v>481000</v>
          </cell>
          <cell r="B2436" t="str">
            <v>1015</v>
          </cell>
          <cell r="C2436">
            <v>-8823.61</v>
          </cell>
          <cell r="D2436" t="str">
            <v>202</v>
          </cell>
          <cell r="E2436" t="str">
            <v>402</v>
          </cell>
          <cell r="F2436">
            <v>-20928.53</v>
          </cell>
          <cell r="G2436">
            <v>11</v>
          </cell>
          <cell r="H2436" t="str">
            <v>2006-11-30</v>
          </cell>
        </row>
        <row r="2437">
          <cell r="A2437" t="str">
            <v>481000</v>
          </cell>
          <cell r="B2437" t="str">
            <v>1015</v>
          </cell>
          <cell r="C2437">
            <v>-8946.66</v>
          </cell>
          <cell r="D2437" t="str">
            <v>202</v>
          </cell>
          <cell r="E2437" t="str">
            <v>402</v>
          </cell>
          <cell r="F2437">
            <v>-20736.439999999999</v>
          </cell>
          <cell r="G2437">
            <v>11</v>
          </cell>
          <cell r="H2437" t="str">
            <v>2006-11-30</v>
          </cell>
        </row>
        <row r="2438">
          <cell r="A2438" t="str">
            <v>481000</v>
          </cell>
          <cell r="B2438" t="str">
            <v>1015</v>
          </cell>
          <cell r="C2438">
            <v>-8226.83</v>
          </cell>
          <cell r="D2438" t="str">
            <v>202</v>
          </cell>
          <cell r="E2438" t="str">
            <v>402</v>
          </cell>
          <cell r="F2438">
            <v>-19511.48</v>
          </cell>
          <cell r="G2438">
            <v>11</v>
          </cell>
          <cell r="H2438" t="str">
            <v>2006-11-30</v>
          </cell>
        </row>
        <row r="2439">
          <cell r="A2439" t="str">
            <v>481000</v>
          </cell>
          <cell r="B2439" t="str">
            <v>1015</v>
          </cell>
          <cell r="C2439">
            <v>-6145.02</v>
          </cell>
          <cell r="D2439" t="str">
            <v>202</v>
          </cell>
          <cell r="E2439" t="str">
            <v>402</v>
          </cell>
          <cell r="F2439">
            <v>-14371.14</v>
          </cell>
          <cell r="G2439">
            <v>11</v>
          </cell>
          <cell r="H2439" t="str">
            <v>2006-11-30</v>
          </cell>
        </row>
        <row r="2440">
          <cell r="A2440" t="str">
            <v>481000</v>
          </cell>
          <cell r="B2440" t="str">
            <v>1015</v>
          </cell>
          <cell r="C2440">
            <v>602562.09</v>
          </cell>
          <cell r="D2440" t="str">
            <v>202</v>
          </cell>
          <cell r="E2440" t="str">
            <v>402</v>
          </cell>
          <cell r="F2440">
            <v>1249759.3400000001</v>
          </cell>
          <cell r="G2440">
            <v>11</v>
          </cell>
          <cell r="H2440" t="str">
            <v>2006-11-30</v>
          </cell>
        </row>
        <row r="2441">
          <cell r="A2441" t="str">
            <v>481000</v>
          </cell>
          <cell r="B2441" t="str">
            <v>1015</v>
          </cell>
          <cell r="C2441">
            <v>-521499.19</v>
          </cell>
          <cell r="D2441" t="str">
            <v>202</v>
          </cell>
          <cell r="E2441" t="str">
            <v>402</v>
          </cell>
          <cell r="F2441">
            <v>-1081816.26</v>
          </cell>
          <cell r="G2441">
            <v>11</v>
          </cell>
          <cell r="H2441" t="str">
            <v>2006-11-30</v>
          </cell>
        </row>
        <row r="2442">
          <cell r="A2442" t="str">
            <v>481000</v>
          </cell>
          <cell r="B2442" t="str">
            <v>1015</v>
          </cell>
          <cell r="C2442">
            <v>-58973.73</v>
          </cell>
          <cell r="D2442" t="str">
            <v>203</v>
          </cell>
          <cell r="E2442" t="str">
            <v>402</v>
          </cell>
          <cell r="F2442">
            <v>0</v>
          </cell>
          <cell r="G2442">
            <v>11</v>
          </cell>
          <cell r="H2442" t="str">
            <v>2006-11-30</v>
          </cell>
        </row>
        <row r="2443">
          <cell r="A2443" t="str">
            <v>481000</v>
          </cell>
          <cell r="B2443" t="str">
            <v>1015</v>
          </cell>
          <cell r="C2443">
            <v>-262504.55</v>
          </cell>
          <cell r="D2443" t="str">
            <v>204</v>
          </cell>
          <cell r="E2443" t="str">
            <v>402</v>
          </cell>
          <cell r="F2443">
            <v>0</v>
          </cell>
          <cell r="G2443">
            <v>11</v>
          </cell>
          <cell r="H2443" t="str">
            <v>2006-11-30</v>
          </cell>
        </row>
        <row r="2444">
          <cell r="A2444" t="str">
            <v>481000</v>
          </cell>
          <cell r="B2444" t="str">
            <v>1015</v>
          </cell>
          <cell r="C2444">
            <v>4980289.62</v>
          </cell>
          <cell r="D2444" t="str">
            <v>210</v>
          </cell>
          <cell r="E2444" t="str">
            <v>402</v>
          </cell>
          <cell r="F2444">
            <v>927877</v>
          </cell>
          <cell r="G2444">
            <v>11</v>
          </cell>
          <cell r="H2444" t="str">
            <v>2006-11-30</v>
          </cell>
        </row>
        <row r="2445">
          <cell r="A2445" t="str">
            <v>481000</v>
          </cell>
          <cell r="B2445" t="str">
            <v>1015</v>
          </cell>
          <cell r="C2445">
            <v>-4980289.62</v>
          </cell>
          <cell r="D2445" t="str">
            <v>210</v>
          </cell>
          <cell r="E2445" t="str">
            <v>402</v>
          </cell>
          <cell r="F2445">
            <v>-927877</v>
          </cell>
          <cell r="G2445">
            <v>11</v>
          </cell>
          <cell r="H2445" t="str">
            <v>2006-11-30</v>
          </cell>
        </row>
        <row r="2446">
          <cell r="A2446" t="str">
            <v>481004</v>
          </cell>
          <cell r="B2446" t="str">
            <v>1015</v>
          </cell>
          <cell r="C2446">
            <v>-34946.949999999997</v>
          </cell>
          <cell r="D2446" t="str">
            <v>202</v>
          </cell>
          <cell r="E2446" t="str">
            <v>402</v>
          </cell>
          <cell r="F2446">
            <v>0</v>
          </cell>
          <cell r="G2446">
            <v>11</v>
          </cell>
          <cell r="H2446" t="str">
            <v>2006-11-30</v>
          </cell>
        </row>
        <row r="2447">
          <cell r="A2447" t="str">
            <v>481004</v>
          </cell>
          <cell r="B2447" t="str">
            <v>1015</v>
          </cell>
          <cell r="C2447">
            <v>-50.93</v>
          </cell>
          <cell r="D2447" t="str">
            <v>202</v>
          </cell>
          <cell r="E2447" t="str">
            <v>402</v>
          </cell>
          <cell r="F2447">
            <v>-94.48</v>
          </cell>
          <cell r="G2447">
            <v>11</v>
          </cell>
          <cell r="H2447" t="str">
            <v>2006-11-30</v>
          </cell>
        </row>
        <row r="2448">
          <cell r="A2448" t="str">
            <v>481004</v>
          </cell>
          <cell r="B2448" t="str">
            <v>1015</v>
          </cell>
          <cell r="C2448">
            <v>485.79</v>
          </cell>
          <cell r="D2448" t="str">
            <v>202</v>
          </cell>
          <cell r="E2448" t="str">
            <v>402</v>
          </cell>
          <cell r="F2448">
            <v>621.79</v>
          </cell>
          <cell r="G2448">
            <v>11</v>
          </cell>
          <cell r="H2448" t="str">
            <v>2006-11-30</v>
          </cell>
        </row>
        <row r="2449">
          <cell r="A2449" t="str">
            <v>481004</v>
          </cell>
          <cell r="B2449" t="str">
            <v>1015</v>
          </cell>
          <cell r="C2449">
            <v>-4386.03</v>
          </cell>
          <cell r="D2449" t="str">
            <v>202</v>
          </cell>
          <cell r="E2449" t="str">
            <v>402</v>
          </cell>
          <cell r="F2449">
            <v>-9554.35</v>
          </cell>
          <cell r="G2449">
            <v>11</v>
          </cell>
          <cell r="H2449" t="str">
            <v>2006-11-30</v>
          </cell>
        </row>
        <row r="2450">
          <cell r="A2450" t="str">
            <v>481004</v>
          </cell>
          <cell r="B2450" t="str">
            <v>1015</v>
          </cell>
          <cell r="C2450">
            <v>-3477.68</v>
          </cell>
          <cell r="D2450" t="str">
            <v>202</v>
          </cell>
          <cell r="E2450" t="str">
            <v>402</v>
          </cell>
          <cell r="F2450">
            <v>-7674.25</v>
          </cell>
          <cell r="G2450">
            <v>11</v>
          </cell>
          <cell r="H2450" t="str">
            <v>2006-11-30</v>
          </cell>
        </row>
        <row r="2451">
          <cell r="A2451" t="str">
            <v>481004</v>
          </cell>
          <cell r="B2451" t="str">
            <v>1015</v>
          </cell>
          <cell r="C2451">
            <v>-2806.96</v>
          </cell>
          <cell r="D2451" t="str">
            <v>202</v>
          </cell>
          <cell r="E2451" t="str">
            <v>402</v>
          </cell>
          <cell r="F2451">
            <v>-6138.51</v>
          </cell>
          <cell r="G2451">
            <v>11</v>
          </cell>
          <cell r="H2451" t="str">
            <v>2006-11-30</v>
          </cell>
        </row>
        <row r="2452">
          <cell r="A2452" t="str">
            <v>481004</v>
          </cell>
          <cell r="B2452" t="str">
            <v>1015</v>
          </cell>
          <cell r="C2452">
            <v>-2460.81</v>
          </cell>
          <cell r="D2452" t="str">
            <v>202</v>
          </cell>
          <cell r="E2452" t="str">
            <v>402</v>
          </cell>
          <cell r="F2452">
            <v>-5099.49</v>
          </cell>
          <cell r="G2452">
            <v>11</v>
          </cell>
          <cell r="H2452" t="str">
            <v>2006-11-30</v>
          </cell>
        </row>
        <row r="2453">
          <cell r="A2453" t="str">
            <v>481004</v>
          </cell>
          <cell r="B2453" t="str">
            <v>1015</v>
          </cell>
          <cell r="C2453">
            <v>-2005.75</v>
          </cell>
          <cell r="D2453" t="str">
            <v>202</v>
          </cell>
          <cell r="E2453" t="str">
            <v>402</v>
          </cell>
          <cell r="F2453">
            <v>-4090.53</v>
          </cell>
          <cell r="G2453">
            <v>11</v>
          </cell>
          <cell r="H2453" t="str">
            <v>2006-11-30</v>
          </cell>
        </row>
        <row r="2454">
          <cell r="A2454" t="str">
            <v>481004</v>
          </cell>
          <cell r="B2454" t="str">
            <v>1015</v>
          </cell>
          <cell r="C2454">
            <v>-811.08</v>
          </cell>
          <cell r="D2454" t="str">
            <v>202</v>
          </cell>
          <cell r="E2454" t="str">
            <v>402</v>
          </cell>
          <cell r="F2454">
            <v>-1787.13</v>
          </cell>
          <cell r="G2454">
            <v>11</v>
          </cell>
          <cell r="H2454" t="str">
            <v>2006-11-30</v>
          </cell>
        </row>
        <row r="2455">
          <cell r="A2455" t="str">
            <v>481004</v>
          </cell>
          <cell r="B2455" t="str">
            <v>1015</v>
          </cell>
          <cell r="C2455">
            <v>-485.79</v>
          </cell>
          <cell r="D2455" t="str">
            <v>202</v>
          </cell>
          <cell r="E2455" t="str">
            <v>402</v>
          </cell>
          <cell r="F2455">
            <v>-622.1</v>
          </cell>
          <cell r="G2455">
            <v>11</v>
          </cell>
          <cell r="H2455" t="str">
            <v>2006-11-30</v>
          </cell>
        </row>
        <row r="2456">
          <cell r="A2456" t="str">
            <v>481004</v>
          </cell>
          <cell r="B2456" t="str">
            <v>1015</v>
          </cell>
          <cell r="C2456">
            <v>-235.25</v>
          </cell>
          <cell r="D2456" t="str">
            <v>202</v>
          </cell>
          <cell r="E2456" t="str">
            <v>402</v>
          </cell>
          <cell r="F2456">
            <v>-473.69</v>
          </cell>
          <cell r="G2456">
            <v>11</v>
          </cell>
          <cell r="H2456" t="str">
            <v>2006-11-30</v>
          </cell>
        </row>
        <row r="2457">
          <cell r="A2457" t="str">
            <v>481004</v>
          </cell>
          <cell r="B2457" t="str">
            <v>1015</v>
          </cell>
          <cell r="C2457">
            <v>-35151.699999999997</v>
          </cell>
          <cell r="D2457" t="str">
            <v>202</v>
          </cell>
          <cell r="E2457" t="str">
            <v>402</v>
          </cell>
          <cell r="F2457">
            <v>-89777.36</v>
          </cell>
          <cell r="G2457">
            <v>11</v>
          </cell>
          <cell r="H2457" t="str">
            <v>2006-11-30</v>
          </cell>
        </row>
        <row r="2458">
          <cell r="A2458" t="str">
            <v>481004</v>
          </cell>
          <cell r="B2458" t="str">
            <v>1015</v>
          </cell>
          <cell r="C2458">
            <v>-20867.349999999999</v>
          </cell>
          <cell r="D2458" t="str">
            <v>202</v>
          </cell>
          <cell r="E2458" t="str">
            <v>402</v>
          </cell>
          <cell r="F2458">
            <v>-53752.06</v>
          </cell>
          <cell r="G2458">
            <v>11</v>
          </cell>
          <cell r="H2458" t="str">
            <v>2006-11-30</v>
          </cell>
        </row>
        <row r="2459">
          <cell r="A2459" t="str">
            <v>481004</v>
          </cell>
          <cell r="B2459" t="str">
            <v>1015</v>
          </cell>
          <cell r="C2459">
            <v>-24454.91</v>
          </cell>
          <cell r="D2459" t="str">
            <v>202</v>
          </cell>
          <cell r="E2459" t="str">
            <v>402</v>
          </cell>
          <cell r="F2459">
            <v>-53371.39</v>
          </cell>
          <cell r="G2459">
            <v>11</v>
          </cell>
          <cell r="H2459" t="str">
            <v>2006-11-30</v>
          </cell>
        </row>
        <row r="2460">
          <cell r="A2460" t="str">
            <v>481004</v>
          </cell>
          <cell r="B2460" t="str">
            <v>1015</v>
          </cell>
          <cell r="C2460">
            <v>-18682.12</v>
          </cell>
          <cell r="D2460" t="str">
            <v>202</v>
          </cell>
          <cell r="E2460" t="str">
            <v>402</v>
          </cell>
          <cell r="F2460">
            <v>-42227.56</v>
          </cell>
          <cell r="G2460">
            <v>11</v>
          </cell>
          <cell r="H2460" t="str">
            <v>2006-11-30</v>
          </cell>
        </row>
        <row r="2461">
          <cell r="A2461" t="str">
            <v>481004</v>
          </cell>
          <cell r="B2461" t="str">
            <v>1015</v>
          </cell>
          <cell r="C2461">
            <v>-13461.87</v>
          </cell>
          <cell r="D2461" t="str">
            <v>202</v>
          </cell>
          <cell r="E2461" t="str">
            <v>402</v>
          </cell>
          <cell r="F2461">
            <v>-29399.69</v>
          </cell>
          <cell r="G2461">
            <v>11</v>
          </cell>
          <cell r="H2461" t="str">
            <v>2006-11-30</v>
          </cell>
        </row>
        <row r="2462">
          <cell r="A2462" t="str">
            <v>481004</v>
          </cell>
          <cell r="B2462" t="str">
            <v>1015</v>
          </cell>
          <cell r="C2462">
            <v>-11331.53</v>
          </cell>
          <cell r="D2462" t="str">
            <v>202</v>
          </cell>
          <cell r="E2462" t="str">
            <v>402</v>
          </cell>
          <cell r="F2462">
            <v>-25466.35</v>
          </cell>
          <cell r="G2462">
            <v>11</v>
          </cell>
          <cell r="H2462" t="str">
            <v>2006-11-30</v>
          </cell>
        </row>
        <row r="2463">
          <cell r="A2463" t="str">
            <v>481004</v>
          </cell>
          <cell r="B2463" t="str">
            <v>1015</v>
          </cell>
          <cell r="C2463">
            <v>-10357.6</v>
          </cell>
          <cell r="D2463" t="str">
            <v>202</v>
          </cell>
          <cell r="E2463" t="str">
            <v>402</v>
          </cell>
          <cell r="F2463">
            <v>-24284.67</v>
          </cell>
          <cell r="G2463">
            <v>11</v>
          </cell>
          <cell r="H2463" t="str">
            <v>2006-11-30</v>
          </cell>
        </row>
        <row r="2464">
          <cell r="A2464" t="str">
            <v>481004</v>
          </cell>
          <cell r="B2464" t="str">
            <v>1015</v>
          </cell>
          <cell r="C2464">
            <v>-7932.42</v>
          </cell>
          <cell r="D2464" t="str">
            <v>202</v>
          </cell>
          <cell r="E2464" t="str">
            <v>402</v>
          </cell>
          <cell r="F2464">
            <v>-16643.12</v>
          </cell>
          <cell r="G2464">
            <v>11</v>
          </cell>
          <cell r="H2464" t="str">
            <v>2006-11-30</v>
          </cell>
        </row>
        <row r="2465">
          <cell r="A2465" t="str">
            <v>481004</v>
          </cell>
          <cell r="B2465" t="str">
            <v>1015</v>
          </cell>
          <cell r="C2465">
            <v>-7543.38</v>
          </cell>
          <cell r="D2465" t="str">
            <v>202</v>
          </cell>
          <cell r="E2465" t="str">
            <v>402</v>
          </cell>
          <cell r="F2465">
            <v>-15854.21</v>
          </cell>
          <cell r="G2465">
            <v>11</v>
          </cell>
          <cell r="H2465" t="str">
            <v>2006-11-30</v>
          </cell>
        </row>
        <row r="2466">
          <cell r="A2466" t="str">
            <v>481004</v>
          </cell>
          <cell r="B2466" t="str">
            <v>1015</v>
          </cell>
          <cell r="C2466">
            <v>-6279.94</v>
          </cell>
          <cell r="D2466" t="str">
            <v>202</v>
          </cell>
          <cell r="E2466" t="str">
            <v>402</v>
          </cell>
          <cell r="F2466">
            <v>-12596.06</v>
          </cell>
          <cell r="G2466">
            <v>11</v>
          </cell>
          <cell r="H2466" t="str">
            <v>2006-11-30</v>
          </cell>
        </row>
        <row r="2467">
          <cell r="A2467" t="str">
            <v>481004</v>
          </cell>
          <cell r="B2467" t="str">
            <v>1015</v>
          </cell>
          <cell r="C2467">
            <v>501247.4</v>
          </cell>
          <cell r="D2467" t="str">
            <v>202</v>
          </cell>
          <cell r="E2467" t="str">
            <v>402</v>
          </cell>
          <cell r="F2467">
            <v>1792821.98</v>
          </cell>
          <cell r="G2467">
            <v>11</v>
          </cell>
          <cell r="H2467" t="str">
            <v>2006-11-30</v>
          </cell>
        </row>
        <row r="2468">
          <cell r="A2468" t="str">
            <v>481004</v>
          </cell>
          <cell r="B2468" t="str">
            <v>1015</v>
          </cell>
          <cell r="C2468">
            <v>-634326.9</v>
          </cell>
          <cell r="D2468" t="str">
            <v>202</v>
          </cell>
          <cell r="E2468" t="str">
            <v>402</v>
          </cell>
          <cell r="F2468">
            <v>-2015773.77</v>
          </cell>
          <cell r="G2468">
            <v>11</v>
          </cell>
          <cell r="H2468" t="str">
            <v>2006-11-30</v>
          </cell>
        </row>
        <row r="2469">
          <cell r="A2469" t="str">
            <v>481004</v>
          </cell>
          <cell r="B2469" t="str">
            <v>1015</v>
          </cell>
          <cell r="C2469">
            <v>-744116.95</v>
          </cell>
          <cell r="D2469" t="str">
            <v>203</v>
          </cell>
          <cell r="E2469" t="str">
            <v>402</v>
          </cell>
          <cell r="F2469">
            <v>0</v>
          </cell>
          <cell r="G2469">
            <v>11</v>
          </cell>
          <cell r="H2469" t="str">
            <v>2006-11-30</v>
          </cell>
        </row>
        <row r="2470">
          <cell r="A2470" t="str">
            <v>481004</v>
          </cell>
          <cell r="B2470" t="str">
            <v>1015</v>
          </cell>
          <cell r="C2470">
            <v>-3313059.32</v>
          </cell>
          <cell r="D2470" t="str">
            <v>204</v>
          </cell>
          <cell r="E2470" t="str">
            <v>402</v>
          </cell>
          <cell r="F2470">
            <v>0</v>
          </cell>
          <cell r="G2470">
            <v>11</v>
          </cell>
          <cell r="H2470" t="str">
            <v>2006-11-30</v>
          </cell>
        </row>
        <row r="2471">
          <cell r="A2471" t="str">
            <v>481004</v>
          </cell>
          <cell r="B2471" t="str">
            <v>1015</v>
          </cell>
          <cell r="C2471">
            <v>4327182.79</v>
          </cell>
          <cell r="D2471" t="str">
            <v>210</v>
          </cell>
          <cell r="E2471" t="str">
            <v>402</v>
          </cell>
          <cell r="F2471">
            <v>842511</v>
          </cell>
          <cell r="G2471">
            <v>11</v>
          </cell>
          <cell r="H2471" t="str">
            <v>2006-11-30</v>
          </cell>
        </row>
        <row r="2472">
          <cell r="A2472" t="str">
            <v>481004</v>
          </cell>
          <cell r="B2472" t="str">
            <v>1015</v>
          </cell>
          <cell r="C2472">
            <v>-4327182.79</v>
          </cell>
          <cell r="D2472" t="str">
            <v>210</v>
          </cell>
          <cell r="E2472" t="str">
            <v>402</v>
          </cell>
          <cell r="F2472">
            <v>-842511</v>
          </cell>
          <cell r="G2472">
            <v>11</v>
          </cell>
          <cell r="H2472" t="str">
            <v>2006-11-30</v>
          </cell>
        </row>
        <row r="2473">
          <cell r="A2473" t="str">
            <v>481000</v>
          </cell>
          <cell r="B2473" t="str">
            <v>1015</v>
          </cell>
          <cell r="C2473">
            <v>-7071.01</v>
          </cell>
          <cell r="D2473" t="str">
            <v>202</v>
          </cell>
          <cell r="E2473" t="str">
            <v>403</v>
          </cell>
          <cell r="F2473">
            <v>0</v>
          </cell>
          <cell r="G2473">
            <v>11</v>
          </cell>
          <cell r="H2473" t="str">
            <v>2006-11-30</v>
          </cell>
        </row>
        <row r="2474">
          <cell r="A2474" t="str">
            <v>481000</v>
          </cell>
          <cell r="B2474" t="str">
            <v>1015</v>
          </cell>
          <cell r="C2474">
            <v>-1663.3</v>
          </cell>
          <cell r="D2474" t="str">
            <v>203</v>
          </cell>
          <cell r="E2474" t="str">
            <v>403</v>
          </cell>
          <cell r="F2474">
            <v>0</v>
          </cell>
          <cell r="G2474">
            <v>11</v>
          </cell>
          <cell r="H2474" t="str">
            <v>2006-11-30</v>
          </cell>
        </row>
        <row r="2475">
          <cell r="A2475" t="str">
            <v>481000</v>
          </cell>
          <cell r="B2475" t="str">
            <v>1015</v>
          </cell>
          <cell r="C2475">
            <v>-2974.7</v>
          </cell>
          <cell r="D2475" t="str">
            <v>204</v>
          </cell>
          <cell r="E2475" t="str">
            <v>403</v>
          </cell>
          <cell r="F2475">
            <v>0</v>
          </cell>
          <cell r="G2475">
            <v>11</v>
          </cell>
          <cell r="H2475" t="str">
            <v>2006-11-30</v>
          </cell>
        </row>
        <row r="2476">
          <cell r="A2476" t="str">
            <v>481000</v>
          </cell>
          <cell r="B2476" t="str">
            <v>1015</v>
          </cell>
          <cell r="C2476">
            <v>-9431.9</v>
          </cell>
          <cell r="D2476" t="str">
            <v>202</v>
          </cell>
          <cell r="E2476" t="str">
            <v>404</v>
          </cell>
          <cell r="F2476">
            <v>-30000</v>
          </cell>
          <cell r="G2476">
            <v>11</v>
          </cell>
          <cell r="H2476" t="str">
            <v>2006-11-30</v>
          </cell>
        </row>
        <row r="2477">
          <cell r="A2477" t="str">
            <v>481000</v>
          </cell>
          <cell r="B2477" t="str">
            <v>1015</v>
          </cell>
          <cell r="C2477">
            <v>9742.31</v>
          </cell>
          <cell r="D2477" t="str">
            <v>202</v>
          </cell>
          <cell r="E2477" t="str">
            <v>404</v>
          </cell>
          <cell r="F2477">
            <v>31000</v>
          </cell>
          <cell r="G2477">
            <v>11</v>
          </cell>
          <cell r="H2477" t="str">
            <v>2006-11-30</v>
          </cell>
        </row>
        <row r="2478">
          <cell r="A2478" t="str">
            <v>481000</v>
          </cell>
          <cell r="B2478" t="str">
            <v>1015</v>
          </cell>
          <cell r="C2478">
            <v>-9742.31</v>
          </cell>
          <cell r="D2478" t="str">
            <v>202</v>
          </cell>
          <cell r="E2478" t="str">
            <v>404</v>
          </cell>
          <cell r="F2478">
            <v>-31000</v>
          </cell>
          <cell r="G2478">
            <v>11</v>
          </cell>
          <cell r="H2478" t="str">
            <v>2006-11-30</v>
          </cell>
        </row>
        <row r="2479">
          <cell r="A2479" t="str">
            <v>481000</v>
          </cell>
          <cell r="B2479" t="str">
            <v>1015</v>
          </cell>
          <cell r="C2479">
            <v>-25142.400000000001</v>
          </cell>
          <cell r="D2479" t="str">
            <v>203</v>
          </cell>
          <cell r="E2479" t="str">
            <v>404</v>
          </cell>
          <cell r="F2479">
            <v>0</v>
          </cell>
          <cell r="G2479">
            <v>11</v>
          </cell>
          <cell r="H2479" t="str">
            <v>2006-11-30</v>
          </cell>
        </row>
        <row r="2480">
          <cell r="A2480" t="str">
            <v>481000</v>
          </cell>
          <cell r="B2480" t="str">
            <v>1015</v>
          </cell>
          <cell r="C2480">
            <v>-159979.20000000001</v>
          </cell>
          <cell r="D2480" t="str">
            <v>204</v>
          </cell>
          <cell r="E2480" t="str">
            <v>404</v>
          </cell>
          <cell r="F2480">
            <v>0</v>
          </cell>
          <cell r="G2480">
            <v>11</v>
          </cell>
          <cell r="H2480" t="str">
            <v>2006-11-30</v>
          </cell>
        </row>
        <row r="2481">
          <cell r="A2481" t="str">
            <v>481004</v>
          </cell>
          <cell r="B2481" t="str">
            <v>1015</v>
          </cell>
          <cell r="C2481">
            <v>0</v>
          </cell>
          <cell r="D2481" t="str">
            <v>202</v>
          </cell>
          <cell r="E2481" t="str">
            <v>404</v>
          </cell>
          <cell r="F2481">
            <v>0</v>
          </cell>
          <cell r="G2481">
            <v>11</v>
          </cell>
          <cell r="H2481" t="str">
            <v>2006-11-30</v>
          </cell>
        </row>
        <row r="2482">
          <cell r="A2482" t="str">
            <v>481004</v>
          </cell>
          <cell r="B2482" t="str">
            <v>1015</v>
          </cell>
          <cell r="C2482">
            <v>0</v>
          </cell>
          <cell r="D2482" t="str">
            <v>203</v>
          </cell>
          <cell r="E2482" t="str">
            <v>404</v>
          </cell>
          <cell r="F2482">
            <v>0</v>
          </cell>
          <cell r="G2482">
            <v>11</v>
          </cell>
          <cell r="H2482" t="str">
            <v>2006-11-30</v>
          </cell>
        </row>
        <row r="2483">
          <cell r="A2483" t="str">
            <v>481004</v>
          </cell>
          <cell r="B2483" t="str">
            <v>1015</v>
          </cell>
          <cell r="C2483">
            <v>0</v>
          </cell>
          <cell r="D2483" t="str">
            <v>204</v>
          </cell>
          <cell r="E2483" t="str">
            <v>404</v>
          </cell>
          <cell r="F2483">
            <v>0</v>
          </cell>
          <cell r="G2483">
            <v>11</v>
          </cell>
          <cell r="H2483" t="str">
            <v>2006-11-30</v>
          </cell>
        </row>
        <row r="2484">
          <cell r="A2484" t="str">
            <v>481004</v>
          </cell>
          <cell r="B2484" t="str">
            <v>1015</v>
          </cell>
          <cell r="C2484">
            <v>0</v>
          </cell>
          <cell r="D2484" t="str">
            <v>210</v>
          </cell>
          <cell r="E2484" t="str">
            <v>404</v>
          </cell>
          <cell r="F2484">
            <v>0</v>
          </cell>
          <cell r="G2484">
            <v>11</v>
          </cell>
          <cell r="H2484" t="str">
            <v>2006-11-30</v>
          </cell>
        </row>
        <row r="2485">
          <cell r="A2485" t="str">
            <v>489300</v>
          </cell>
          <cell r="B2485" t="str">
            <v>1015</v>
          </cell>
          <cell r="C2485">
            <v>-206085.34</v>
          </cell>
          <cell r="D2485" t="str">
            <v>250</v>
          </cell>
          <cell r="E2485" t="str">
            <v>405</v>
          </cell>
          <cell r="F2485">
            <v>0</v>
          </cell>
          <cell r="G2485">
            <v>11</v>
          </cell>
          <cell r="H2485" t="str">
            <v>2006-11-30</v>
          </cell>
        </row>
        <row r="2486">
          <cell r="A2486" t="str">
            <v>489300</v>
          </cell>
          <cell r="B2486" t="str">
            <v>1015</v>
          </cell>
          <cell r="C2486">
            <v>58293.2</v>
          </cell>
          <cell r="D2486" t="str">
            <v>250</v>
          </cell>
          <cell r="E2486" t="str">
            <v>405</v>
          </cell>
          <cell r="F2486">
            <v>337094</v>
          </cell>
          <cell r="G2486">
            <v>11</v>
          </cell>
          <cell r="H2486" t="str">
            <v>2006-11-30</v>
          </cell>
        </row>
        <row r="2487">
          <cell r="A2487" t="str">
            <v>489300</v>
          </cell>
          <cell r="B2487" t="str">
            <v>1015</v>
          </cell>
          <cell r="C2487">
            <v>-51770.99</v>
          </cell>
          <cell r="D2487" t="str">
            <v>250</v>
          </cell>
          <cell r="E2487" t="str">
            <v>405</v>
          </cell>
          <cell r="F2487">
            <v>-341576</v>
          </cell>
          <cell r="G2487">
            <v>11</v>
          </cell>
          <cell r="H2487" t="str">
            <v>2006-11-30</v>
          </cell>
        </row>
        <row r="2488">
          <cell r="A2488" t="str">
            <v>489300</v>
          </cell>
          <cell r="B2488" t="str">
            <v>1015</v>
          </cell>
          <cell r="C2488">
            <v>-56230.62</v>
          </cell>
          <cell r="D2488" t="str">
            <v>250</v>
          </cell>
          <cell r="E2488" t="str">
            <v>405</v>
          </cell>
          <cell r="F2488">
            <v>-320922</v>
          </cell>
          <cell r="G2488">
            <v>11</v>
          </cell>
          <cell r="H2488" t="str">
            <v>2006-11-30</v>
          </cell>
        </row>
        <row r="2489">
          <cell r="A2489" t="str">
            <v>489304</v>
          </cell>
          <cell r="B2489" t="str">
            <v>1015</v>
          </cell>
          <cell r="C2489">
            <v>-2090.34</v>
          </cell>
          <cell r="D2489" t="str">
            <v>250</v>
          </cell>
          <cell r="E2489" t="str">
            <v>405</v>
          </cell>
          <cell r="F2489">
            <v>0</v>
          </cell>
          <cell r="G2489">
            <v>11</v>
          </cell>
          <cell r="H2489" t="str">
            <v>2006-11-30</v>
          </cell>
        </row>
        <row r="2490">
          <cell r="A2490" t="str">
            <v>489304</v>
          </cell>
          <cell r="B2490" t="str">
            <v>1015</v>
          </cell>
          <cell r="C2490">
            <v>72103.070000000007</v>
          </cell>
          <cell r="D2490" t="str">
            <v>250</v>
          </cell>
          <cell r="E2490" t="str">
            <v>405</v>
          </cell>
          <cell r="F2490">
            <v>525267</v>
          </cell>
          <cell r="G2490">
            <v>11</v>
          </cell>
          <cell r="H2490" t="str">
            <v>2006-11-30</v>
          </cell>
        </row>
        <row r="2491">
          <cell r="A2491" t="str">
            <v>489304</v>
          </cell>
          <cell r="B2491" t="str">
            <v>1015</v>
          </cell>
          <cell r="C2491">
            <v>-74930.649999999994</v>
          </cell>
          <cell r="D2491" t="str">
            <v>250</v>
          </cell>
          <cell r="E2491" t="str">
            <v>405</v>
          </cell>
          <cell r="F2491">
            <v>-535294</v>
          </cell>
          <cell r="G2491">
            <v>11</v>
          </cell>
          <cell r="H2491" t="str">
            <v>2006-11-30</v>
          </cell>
        </row>
        <row r="2492">
          <cell r="A2492" t="str">
            <v>489304</v>
          </cell>
          <cell r="B2492" t="str">
            <v>1015</v>
          </cell>
          <cell r="C2492">
            <v>-70012.73</v>
          </cell>
          <cell r="D2492" t="str">
            <v>250</v>
          </cell>
          <cell r="E2492" t="str">
            <v>405</v>
          </cell>
          <cell r="F2492">
            <v>-525267</v>
          </cell>
          <cell r="G2492">
            <v>11</v>
          </cell>
          <cell r="H2492" t="str">
            <v>2006-11-30</v>
          </cell>
        </row>
        <row r="2493">
          <cell r="A2493" t="str">
            <v>489300</v>
          </cell>
          <cell r="B2493" t="str">
            <v>1015</v>
          </cell>
          <cell r="C2493">
            <v>-20279.8</v>
          </cell>
          <cell r="D2493" t="str">
            <v>250</v>
          </cell>
          <cell r="E2493" t="str">
            <v>406</v>
          </cell>
          <cell r="F2493">
            <v>0</v>
          </cell>
          <cell r="G2493">
            <v>11</v>
          </cell>
          <cell r="H2493" t="str">
            <v>2006-11-30</v>
          </cell>
        </row>
        <row r="2494">
          <cell r="A2494" t="str">
            <v>489300</v>
          </cell>
          <cell r="B2494" t="str">
            <v>1015</v>
          </cell>
          <cell r="C2494">
            <v>116541.98</v>
          </cell>
          <cell r="D2494" t="str">
            <v>250</v>
          </cell>
          <cell r="E2494" t="str">
            <v>406</v>
          </cell>
          <cell r="F2494">
            <v>549448</v>
          </cell>
          <cell r="G2494">
            <v>11</v>
          </cell>
          <cell r="H2494" t="str">
            <v>2006-11-30</v>
          </cell>
        </row>
        <row r="2495">
          <cell r="A2495" t="str">
            <v>489300</v>
          </cell>
          <cell r="B2495" t="str">
            <v>1015</v>
          </cell>
          <cell r="C2495">
            <v>-91599.18</v>
          </cell>
          <cell r="D2495" t="str">
            <v>250</v>
          </cell>
          <cell r="E2495" t="str">
            <v>406</v>
          </cell>
          <cell r="F2495">
            <v>-549448</v>
          </cell>
          <cell r="G2495">
            <v>11</v>
          </cell>
          <cell r="H2495" t="str">
            <v>2006-11-30</v>
          </cell>
        </row>
        <row r="2496">
          <cell r="A2496" t="str">
            <v>489300</v>
          </cell>
          <cell r="B2496" t="str">
            <v>1015</v>
          </cell>
          <cell r="C2496">
            <v>-110773.82</v>
          </cell>
          <cell r="D2496" t="str">
            <v>250</v>
          </cell>
          <cell r="E2496" t="str">
            <v>406</v>
          </cell>
          <cell r="F2496">
            <v>-524211</v>
          </cell>
          <cell r="G2496">
            <v>11</v>
          </cell>
          <cell r="H2496" t="str">
            <v>2006-11-30</v>
          </cell>
        </row>
        <row r="2497">
          <cell r="A2497" t="str">
            <v>489304</v>
          </cell>
          <cell r="B2497" t="str">
            <v>1015</v>
          </cell>
          <cell r="C2497">
            <v>-2424.0100000000002</v>
          </cell>
          <cell r="D2497" t="str">
            <v>250</v>
          </cell>
          <cell r="E2497" t="str">
            <v>406</v>
          </cell>
          <cell r="F2497">
            <v>0</v>
          </cell>
          <cell r="G2497">
            <v>11</v>
          </cell>
          <cell r="H2497" t="str">
            <v>2006-11-30</v>
          </cell>
        </row>
        <row r="2498">
          <cell r="A2498" t="str">
            <v>489304</v>
          </cell>
          <cell r="B2498" t="str">
            <v>1015</v>
          </cell>
          <cell r="C2498">
            <v>39942.129999999997</v>
          </cell>
          <cell r="D2498" t="str">
            <v>250</v>
          </cell>
          <cell r="E2498" t="str">
            <v>406</v>
          </cell>
          <cell r="F2498">
            <v>212969</v>
          </cell>
          <cell r="G2498">
            <v>11</v>
          </cell>
          <cell r="H2498" t="str">
            <v>2006-11-30</v>
          </cell>
        </row>
        <row r="2499">
          <cell r="A2499" t="str">
            <v>489304</v>
          </cell>
          <cell r="B2499" t="str">
            <v>1015</v>
          </cell>
          <cell r="C2499">
            <v>-41055.370000000003</v>
          </cell>
          <cell r="D2499" t="str">
            <v>250</v>
          </cell>
          <cell r="E2499" t="str">
            <v>406</v>
          </cell>
          <cell r="F2499">
            <v>-225836</v>
          </cell>
          <cell r="G2499">
            <v>11</v>
          </cell>
          <cell r="H2499" t="str">
            <v>2006-11-30</v>
          </cell>
        </row>
        <row r="2500">
          <cell r="A2500" t="str">
            <v>489304</v>
          </cell>
          <cell r="B2500" t="str">
            <v>1015</v>
          </cell>
          <cell r="C2500">
            <v>-35173.129999999997</v>
          </cell>
          <cell r="D2500" t="str">
            <v>250</v>
          </cell>
          <cell r="E2500" t="str">
            <v>406</v>
          </cell>
          <cell r="F2500">
            <v>-212969</v>
          </cell>
          <cell r="G2500">
            <v>11</v>
          </cell>
          <cell r="H2500" t="str">
            <v>2006-11-30</v>
          </cell>
        </row>
        <row r="2501">
          <cell r="A2501" t="str">
            <v>480000</v>
          </cell>
          <cell r="B2501" t="str">
            <v>1015</v>
          </cell>
          <cell r="C2501">
            <v>-3954668.39</v>
          </cell>
          <cell r="D2501" t="str">
            <v>202</v>
          </cell>
          <cell r="E2501" t="str">
            <v>407</v>
          </cell>
          <cell r="F2501">
            <v>0</v>
          </cell>
          <cell r="G2501">
            <v>11</v>
          </cell>
          <cell r="H2501" t="str">
            <v>2006-11-30</v>
          </cell>
        </row>
        <row r="2502">
          <cell r="A2502" t="str">
            <v>480000</v>
          </cell>
          <cell r="B2502" t="str">
            <v>1015</v>
          </cell>
          <cell r="C2502">
            <v>-0.54</v>
          </cell>
          <cell r="D2502" t="str">
            <v>202</v>
          </cell>
          <cell r="E2502" t="str">
            <v>407</v>
          </cell>
          <cell r="F2502">
            <v>-0.27</v>
          </cell>
          <cell r="G2502">
            <v>11</v>
          </cell>
          <cell r="H2502" t="str">
            <v>2006-11-30</v>
          </cell>
        </row>
        <row r="2503">
          <cell r="A2503" t="str">
            <v>480000</v>
          </cell>
          <cell r="B2503" t="str">
            <v>1015</v>
          </cell>
          <cell r="C2503">
            <v>-82.82</v>
          </cell>
          <cell r="D2503" t="str">
            <v>202</v>
          </cell>
          <cell r="E2503" t="str">
            <v>407</v>
          </cell>
          <cell r="F2503">
            <v>-45.49</v>
          </cell>
          <cell r="G2503">
            <v>11</v>
          </cell>
          <cell r="H2503" t="str">
            <v>2006-11-30</v>
          </cell>
        </row>
        <row r="2504">
          <cell r="A2504" t="str">
            <v>480000</v>
          </cell>
          <cell r="B2504" t="str">
            <v>1015</v>
          </cell>
          <cell r="C2504">
            <v>-64.52</v>
          </cell>
          <cell r="D2504" t="str">
            <v>202</v>
          </cell>
          <cell r="E2504" t="str">
            <v>407</v>
          </cell>
          <cell r="F2504">
            <v>-35.76</v>
          </cell>
          <cell r="G2504">
            <v>11</v>
          </cell>
          <cell r="H2504" t="str">
            <v>2006-11-30</v>
          </cell>
        </row>
        <row r="2505">
          <cell r="A2505" t="str">
            <v>480000</v>
          </cell>
          <cell r="B2505" t="str">
            <v>1015</v>
          </cell>
          <cell r="C2505">
            <v>-58.77</v>
          </cell>
          <cell r="D2505" t="str">
            <v>202</v>
          </cell>
          <cell r="E2505" t="str">
            <v>407</v>
          </cell>
          <cell r="F2505">
            <v>-35.36</v>
          </cell>
          <cell r="G2505">
            <v>11</v>
          </cell>
          <cell r="H2505" t="str">
            <v>2006-11-30</v>
          </cell>
        </row>
        <row r="2506">
          <cell r="A2506" t="str">
            <v>480000</v>
          </cell>
          <cell r="B2506" t="str">
            <v>1015</v>
          </cell>
          <cell r="C2506">
            <v>-26.12</v>
          </cell>
          <cell r="D2506" t="str">
            <v>202</v>
          </cell>
          <cell r="E2506" t="str">
            <v>407</v>
          </cell>
          <cell r="F2506">
            <v>-15.13</v>
          </cell>
          <cell r="G2506">
            <v>11</v>
          </cell>
          <cell r="H2506" t="str">
            <v>2006-11-30</v>
          </cell>
        </row>
        <row r="2507">
          <cell r="A2507" t="str">
            <v>480000</v>
          </cell>
          <cell r="B2507" t="str">
            <v>1015</v>
          </cell>
          <cell r="C2507">
            <v>-13.59</v>
          </cell>
          <cell r="D2507" t="str">
            <v>202</v>
          </cell>
          <cell r="E2507" t="str">
            <v>407</v>
          </cell>
          <cell r="F2507">
            <v>-6.97</v>
          </cell>
          <cell r="G2507">
            <v>11</v>
          </cell>
          <cell r="H2507" t="str">
            <v>2006-11-30</v>
          </cell>
        </row>
        <row r="2508">
          <cell r="A2508" t="str">
            <v>480000</v>
          </cell>
          <cell r="B2508" t="str">
            <v>1015</v>
          </cell>
          <cell r="C2508">
            <v>-9.76</v>
          </cell>
          <cell r="D2508" t="str">
            <v>202</v>
          </cell>
          <cell r="E2508" t="str">
            <v>407</v>
          </cell>
          <cell r="F2508">
            <v>-5.91</v>
          </cell>
          <cell r="G2508">
            <v>11</v>
          </cell>
          <cell r="H2508" t="str">
            <v>2006-11-30</v>
          </cell>
        </row>
        <row r="2509">
          <cell r="A2509" t="str">
            <v>480000</v>
          </cell>
          <cell r="B2509" t="str">
            <v>1015</v>
          </cell>
          <cell r="C2509">
            <v>-2.44</v>
          </cell>
          <cell r="D2509" t="str">
            <v>202</v>
          </cell>
          <cell r="E2509" t="str">
            <v>407</v>
          </cell>
          <cell r="F2509">
            <v>-1.47</v>
          </cell>
          <cell r="G2509">
            <v>11</v>
          </cell>
          <cell r="H2509" t="str">
            <v>2006-11-30</v>
          </cell>
        </row>
        <row r="2510">
          <cell r="A2510" t="str">
            <v>480000</v>
          </cell>
          <cell r="B2510" t="str">
            <v>1015</v>
          </cell>
          <cell r="C2510">
            <v>-2.71</v>
          </cell>
          <cell r="D2510" t="str">
            <v>202</v>
          </cell>
          <cell r="E2510" t="str">
            <v>407</v>
          </cell>
          <cell r="F2510">
            <v>-1.39</v>
          </cell>
          <cell r="G2510">
            <v>11</v>
          </cell>
          <cell r="H2510" t="str">
            <v>2006-11-30</v>
          </cell>
        </row>
        <row r="2511">
          <cell r="A2511" t="str">
            <v>480000</v>
          </cell>
          <cell r="B2511" t="str">
            <v>1015</v>
          </cell>
          <cell r="C2511">
            <v>-2.29</v>
          </cell>
          <cell r="D2511" t="str">
            <v>202</v>
          </cell>
          <cell r="E2511" t="str">
            <v>407</v>
          </cell>
          <cell r="F2511">
            <v>-1.38</v>
          </cell>
          <cell r="G2511">
            <v>11</v>
          </cell>
          <cell r="H2511" t="str">
            <v>2006-11-30</v>
          </cell>
        </row>
        <row r="2512">
          <cell r="A2512" t="str">
            <v>480000</v>
          </cell>
          <cell r="B2512" t="str">
            <v>1015</v>
          </cell>
          <cell r="C2512">
            <v>-17153.72</v>
          </cell>
          <cell r="D2512" t="str">
            <v>202</v>
          </cell>
          <cell r="E2512" t="str">
            <v>407</v>
          </cell>
          <cell r="F2512">
            <v>-9129.99</v>
          </cell>
          <cell r="G2512">
            <v>11</v>
          </cell>
          <cell r="H2512" t="str">
            <v>2006-11-30</v>
          </cell>
        </row>
        <row r="2513">
          <cell r="A2513" t="str">
            <v>480000</v>
          </cell>
          <cell r="B2513" t="str">
            <v>1015</v>
          </cell>
          <cell r="C2513">
            <v>-11475.96</v>
          </cell>
          <cell r="D2513" t="str">
            <v>202</v>
          </cell>
          <cell r="E2513" t="str">
            <v>407</v>
          </cell>
          <cell r="F2513">
            <v>-6508.56</v>
          </cell>
          <cell r="G2513">
            <v>11</v>
          </cell>
          <cell r="H2513" t="str">
            <v>2006-11-30</v>
          </cell>
        </row>
        <row r="2514">
          <cell r="A2514" t="str">
            <v>480000</v>
          </cell>
          <cell r="B2514" t="str">
            <v>1015</v>
          </cell>
          <cell r="C2514">
            <v>-674.2</v>
          </cell>
          <cell r="D2514" t="str">
            <v>202</v>
          </cell>
          <cell r="E2514" t="str">
            <v>407</v>
          </cell>
          <cell r="F2514">
            <v>-367.47</v>
          </cell>
          <cell r="G2514">
            <v>11</v>
          </cell>
          <cell r="H2514" t="str">
            <v>2006-11-30</v>
          </cell>
        </row>
        <row r="2515">
          <cell r="A2515" t="str">
            <v>480000</v>
          </cell>
          <cell r="B2515" t="str">
            <v>1015</v>
          </cell>
          <cell r="C2515">
            <v>-1092741.18</v>
          </cell>
          <cell r="D2515" t="str">
            <v>202</v>
          </cell>
          <cell r="E2515" t="str">
            <v>407</v>
          </cell>
          <cell r="F2515">
            <v>-637767.03</v>
          </cell>
          <cell r="G2515">
            <v>11</v>
          </cell>
          <cell r="H2515" t="str">
            <v>2006-11-30</v>
          </cell>
        </row>
        <row r="2516">
          <cell r="A2516" t="str">
            <v>480000</v>
          </cell>
          <cell r="B2516" t="str">
            <v>1015</v>
          </cell>
          <cell r="C2516">
            <v>-1070829.73</v>
          </cell>
          <cell r="D2516" t="str">
            <v>202</v>
          </cell>
          <cell r="E2516" t="str">
            <v>407</v>
          </cell>
          <cell r="F2516">
            <v>-595123.91</v>
          </cell>
          <cell r="G2516">
            <v>11</v>
          </cell>
          <cell r="H2516" t="str">
            <v>2006-11-30</v>
          </cell>
        </row>
        <row r="2517">
          <cell r="A2517" t="str">
            <v>480000</v>
          </cell>
          <cell r="B2517" t="str">
            <v>1015</v>
          </cell>
          <cell r="C2517">
            <v>-845800.6</v>
          </cell>
          <cell r="D2517" t="str">
            <v>202</v>
          </cell>
          <cell r="E2517" t="str">
            <v>407</v>
          </cell>
          <cell r="F2517">
            <v>-510467.03</v>
          </cell>
          <cell r="G2517">
            <v>11</v>
          </cell>
          <cell r="H2517" t="str">
            <v>2006-11-30</v>
          </cell>
        </row>
        <row r="2518">
          <cell r="A2518" t="str">
            <v>480000</v>
          </cell>
          <cell r="B2518" t="str">
            <v>1015</v>
          </cell>
          <cell r="C2518">
            <v>-683443.73</v>
          </cell>
          <cell r="D2518" t="str">
            <v>202</v>
          </cell>
          <cell r="E2518" t="str">
            <v>407</v>
          </cell>
          <cell r="F2518">
            <v>-412007.66</v>
          </cell>
          <cell r="G2518">
            <v>11</v>
          </cell>
          <cell r="H2518" t="str">
            <v>2006-11-30</v>
          </cell>
        </row>
        <row r="2519">
          <cell r="A2519" t="str">
            <v>480000</v>
          </cell>
          <cell r="B2519" t="str">
            <v>1015</v>
          </cell>
          <cell r="C2519">
            <v>-736298.02</v>
          </cell>
          <cell r="D2519" t="str">
            <v>202</v>
          </cell>
          <cell r="E2519" t="str">
            <v>407</v>
          </cell>
          <cell r="F2519">
            <v>-402628.42</v>
          </cell>
          <cell r="G2519">
            <v>11</v>
          </cell>
          <cell r="H2519" t="str">
            <v>2006-11-30</v>
          </cell>
        </row>
        <row r="2520">
          <cell r="A2520" t="str">
            <v>480000</v>
          </cell>
          <cell r="B2520" t="str">
            <v>1015</v>
          </cell>
          <cell r="C2520">
            <v>-747236.07</v>
          </cell>
          <cell r="D2520" t="str">
            <v>202</v>
          </cell>
          <cell r="E2520" t="str">
            <v>407</v>
          </cell>
          <cell r="F2520">
            <v>-401898.07</v>
          </cell>
          <cell r="G2520">
            <v>11</v>
          </cell>
          <cell r="H2520" t="str">
            <v>2006-11-30</v>
          </cell>
        </row>
        <row r="2521">
          <cell r="A2521" t="str">
            <v>480000</v>
          </cell>
          <cell r="B2521" t="str">
            <v>1015</v>
          </cell>
          <cell r="C2521">
            <v>-694733.71</v>
          </cell>
          <cell r="D2521" t="str">
            <v>202</v>
          </cell>
          <cell r="E2521" t="str">
            <v>407</v>
          </cell>
          <cell r="F2521">
            <v>-397535.81</v>
          </cell>
          <cell r="G2521">
            <v>11</v>
          </cell>
          <cell r="H2521" t="str">
            <v>2006-11-30</v>
          </cell>
        </row>
        <row r="2522">
          <cell r="A2522" t="str">
            <v>480000</v>
          </cell>
          <cell r="B2522" t="str">
            <v>1015</v>
          </cell>
          <cell r="C2522">
            <v>-686700.1</v>
          </cell>
          <cell r="D2522" t="str">
            <v>202</v>
          </cell>
          <cell r="E2522" t="str">
            <v>407</v>
          </cell>
          <cell r="F2522">
            <v>-389676.21</v>
          </cell>
          <cell r="G2522">
            <v>11</v>
          </cell>
          <cell r="H2522" t="str">
            <v>2006-11-30</v>
          </cell>
        </row>
        <row r="2523">
          <cell r="A2523" t="str">
            <v>480000</v>
          </cell>
          <cell r="B2523" t="str">
            <v>1015</v>
          </cell>
          <cell r="C2523">
            <v>-646119.73</v>
          </cell>
          <cell r="D2523" t="str">
            <v>202</v>
          </cell>
          <cell r="E2523" t="str">
            <v>407</v>
          </cell>
          <cell r="F2523">
            <v>-349878.33</v>
          </cell>
          <cell r="G2523">
            <v>11</v>
          </cell>
          <cell r="H2523" t="str">
            <v>2006-11-30</v>
          </cell>
        </row>
        <row r="2524">
          <cell r="A2524" t="str">
            <v>480000</v>
          </cell>
          <cell r="B2524" t="str">
            <v>1015</v>
          </cell>
          <cell r="C2524">
            <v>-593526.03</v>
          </cell>
          <cell r="D2524" t="str">
            <v>202</v>
          </cell>
          <cell r="E2524" t="str">
            <v>407</v>
          </cell>
          <cell r="F2524">
            <v>-331892.45</v>
          </cell>
          <cell r="G2524">
            <v>11</v>
          </cell>
          <cell r="H2524" t="str">
            <v>2006-11-30</v>
          </cell>
        </row>
        <row r="2525">
          <cell r="A2525" t="str">
            <v>480000</v>
          </cell>
          <cell r="B2525" t="str">
            <v>1015</v>
          </cell>
          <cell r="C2525">
            <v>-479881.56</v>
          </cell>
          <cell r="D2525" t="str">
            <v>202</v>
          </cell>
          <cell r="E2525" t="str">
            <v>407</v>
          </cell>
          <cell r="F2525">
            <v>-283361.90000000002</v>
          </cell>
          <cell r="G2525">
            <v>11</v>
          </cell>
          <cell r="H2525" t="str">
            <v>2006-11-30</v>
          </cell>
        </row>
        <row r="2526">
          <cell r="A2526" t="str">
            <v>480000</v>
          </cell>
          <cell r="B2526" t="str">
            <v>1015</v>
          </cell>
          <cell r="C2526">
            <v>-397381.99</v>
          </cell>
          <cell r="D2526" t="str">
            <v>202</v>
          </cell>
          <cell r="E2526" t="str">
            <v>407</v>
          </cell>
          <cell r="F2526">
            <v>-232909.18</v>
          </cell>
          <cell r="G2526">
            <v>11</v>
          </cell>
          <cell r="H2526" t="str">
            <v>2006-11-30</v>
          </cell>
        </row>
        <row r="2527">
          <cell r="A2527" t="str">
            <v>480000</v>
          </cell>
          <cell r="B2527" t="str">
            <v>1015</v>
          </cell>
          <cell r="C2527">
            <v>-338831.63</v>
          </cell>
          <cell r="D2527" t="str">
            <v>202</v>
          </cell>
          <cell r="E2527" t="str">
            <v>407</v>
          </cell>
          <cell r="F2527">
            <v>-181415.7</v>
          </cell>
          <cell r="G2527">
            <v>11</v>
          </cell>
          <cell r="H2527" t="str">
            <v>2006-11-30</v>
          </cell>
        </row>
        <row r="2528">
          <cell r="A2528" t="str">
            <v>480000</v>
          </cell>
          <cell r="B2528" t="str">
            <v>1015</v>
          </cell>
          <cell r="C2528">
            <v>-267032.5</v>
          </cell>
          <cell r="D2528" t="str">
            <v>202</v>
          </cell>
          <cell r="E2528" t="str">
            <v>407</v>
          </cell>
          <cell r="F2528">
            <v>-162403.22</v>
          </cell>
          <cell r="G2528">
            <v>11</v>
          </cell>
          <cell r="H2528" t="str">
            <v>2006-11-30</v>
          </cell>
        </row>
        <row r="2529">
          <cell r="A2529" t="str">
            <v>480000</v>
          </cell>
          <cell r="B2529" t="str">
            <v>1015</v>
          </cell>
          <cell r="C2529">
            <v>-155891.5</v>
          </cell>
          <cell r="D2529" t="str">
            <v>202</v>
          </cell>
          <cell r="E2529" t="str">
            <v>407</v>
          </cell>
          <cell r="F2529">
            <v>-85523.97</v>
          </cell>
          <cell r="G2529">
            <v>11</v>
          </cell>
          <cell r="H2529" t="str">
            <v>2006-11-30</v>
          </cell>
        </row>
        <row r="2530">
          <cell r="A2530" t="str">
            <v>480000</v>
          </cell>
          <cell r="B2530" t="str">
            <v>1015</v>
          </cell>
          <cell r="C2530">
            <v>-19921.78</v>
          </cell>
          <cell r="D2530" t="str">
            <v>202</v>
          </cell>
          <cell r="E2530" t="str">
            <v>407</v>
          </cell>
          <cell r="F2530">
            <v>-10944.4</v>
          </cell>
          <cell r="G2530">
            <v>11</v>
          </cell>
          <cell r="H2530" t="str">
            <v>2006-11-30</v>
          </cell>
        </row>
        <row r="2531">
          <cell r="A2531" t="str">
            <v>480000</v>
          </cell>
          <cell r="B2531" t="str">
            <v>1015</v>
          </cell>
          <cell r="C2531">
            <v>-4402812.62</v>
          </cell>
          <cell r="D2531" t="str">
            <v>203</v>
          </cell>
          <cell r="E2531" t="str">
            <v>407</v>
          </cell>
          <cell r="F2531">
            <v>0</v>
          </cell>
          <cell r="G2531">
            <v>11</v>
          </cell>
          <cell r="H2531" t="str">
            <v>2006-11-30</v>
          </cell>
        </row>
        <row r="2532">
          <cell r="A2532" t="str">
            <v>480000</v>
          </cell>
          <cell r="B2532" t="str">
            <v>1015</v>
          </cell>
          <cell r="C2532">
            <v>-32636942.710000001</v>
          </cell>
          <cell r="D2532" t="str">
            <v>204</v>
          </cell>
          <cell r="E2532" t="str">
            <v>407</v>
          </cell>
          <cell r="F2532">
            <v>0</v>
          </cell>
          <cell r="G2532">
            <v>11</v>
          </cell>
          <cell r="H2532" t="str">
            <v>2006-11-30</v>
          </cell>
        </row>
        <row r="2533">
          <cell r="A2533" t="str">
            <v>480000</v>
          </cell>
          <cell r="B2533" t="str">
            <v>1015</v>
          </cell>
          <cell r="C2533">
            <v>633940.64</v>
          </cell>
          <cell r="D2533" t="str">
            <v>205</v>
          </cell>
          <cell r="E2533" t="str">
            <v>407</v>
          </cell>
          <cell r="F2533">
            <v>0</v>
          </cell>
          <cell r="G2533">
            <v>11</v>
          </cell>
          <cell r="H2533" t="str">
            <v>2006-11-30</v>
          </cell>
        </row>
        <row r="2534">
          <cell r="A2534" t="str">
            <v>480000</v>
          </cell>
          <cell r="B2534" t="str">
            <v>1015</v>
          </cell>
          <cell r="C2534">
            <v>-12.43</v>
          </cell>
          <cell r="D2534" t="str">
            <v>210</v>
          </cell>
          <cell r="E2534" t="str">
            <v>407</v>
          </cell>
          <cell r="F2534">
            <v>0</v>
          </cell>
          <cell r="G2534">
            <v>11</v>
          </cell>
          <cell r="H2534" t="str">
            <v>2006-11-30</v>
          </cell>
        </row>
        <row r="2535">
          <cell r="A2535" t="str">
            <v>480001</v>
          </cell>
          <cell r="B2535" t="str">
            <v>1015</v>
          </cell>
          <cell r="C2535">
            <v>104019.41</v>
          </cell>
          <cell r="D2535" t="str">
            <v>202</v>
          </cell>
          <cell r="E2535" t="str">
            <v>407</v>
          </cell>
          <cell r="F2535">
            <v>11645.53</v>
          </cell>
          <cell r="G2535">
            <v>11</v>
          </cell>
          <cell r="H2535" t="str">
            <v>2006-11-30</v>
          </cell>
        </row>
        <row r="2536">
          <cell r="A2536" t="str">
            <v>480001</v>
          </cell>
          <cell r="B2536" t="str">
            <v>1015</v>
          </cell>
          <cell r="C2536">
            <v>-113501.32</v>
          </cell>
          <cell r="D2536" t="str">
            <v>202</v>
          </cell>
          <cell r="E2536" t="str">
            <v>407</v>
          </cell>
          <cell r="F2536">
            <v>-16127.33</v>
          </cell>
          <cell r="G2536">
            <v>11</v>
          </cell>
          <cell r="H2536" t="str">
            <v>2006-11-30</v>
          </cell>
        </row>
        <row r="2537">
          <cell r="A2537" t="str">
            <v>480001</v>
          </cell>
          <cell r="B2537" t="str">
            <v>1015</v>
          </cell>
          <cell r="C2537">
            <v>583120.07999999996</v>
          </cell>
          <cell r="D2537" t="str">
            <v>202</v>
          </cell>
          <cell r="E2537" t="str">
            <v>407</v>
          </cell>
          <cell r="F2537">
            <v>2896134.25</v>
          </cell>
          <cell r="G2537">
            <v>11</v>
          </cell>
          <cell r="H2537" t="str">
            <v>2006-11-30</v>
          </cell>
        </row>
        <row r="2538">
          <cell r="A2538" t="str">
            <v>480001</v>
          </cell>
          <cell r="B2538" t="str">
            <v>1015</v>
          </cell>
          <cell r="C2538">
            <v>-5228487.33</v>
          </cell>
          <cell r="D2538" t="str">
            <v>202</v>
          </cell>
          <cell r="E2538" t="str">
            <v>407</v>
          </cell>
          <cell r="F2538">
            <v>-4841821.9000000004</v>
          </cell>
          <cell r="G2538">
            <v>11</v>
          </cell>
          <cell r="H2538" t="str">
            <v>2006-11-30</v>
          </cell>
        </row>
        <row r="2539">
          <cell r="A2539" t="str">
            <v>480001</v>
          </cell>
          <cell r="B2539" t="str">
            <v>1015</v>
          </cell>
          <cell r="C2539">
            <v>-5561844.6100000003</v>
          </cell>
          <cell r="D2539" t="str">
            <v>203</v>
          </cell>
          <cell r="E2539" t="str">
            <v>407</v>
          </cell>
          <cell r="F2539">
            <v>0</v>
          </cell>
          <cell r="G2539">
            <v>11</v>
          </cell>
          <cell r="H2539" t="str">
            <v>2006-11-30</v>
          </cell>
        </row>
        <row r="2540">
          <cell r="A2540" t="str">
            <v>480001</v>
          </cell>
          <cell r="B2540" t="str">
            <v>1015</v>
          </cell>
          <cell r="C2540">
            <v>-5390864.0999999996</v>
          </cell>
          <cell r="D2540" t="str">
            <v>204</v>
          </cell>
          <cell r="E2540" t="str">
            <v>407</v>
          </cell>
          <cell r="F2540">
            <v>0</v>
          </cell>
          <cell r="G2540">
            <v>11</v>
          </cell>
          <cell r="H2540" t="str">
            <v>2006-11-30</v>
          </cell>
        </row>
        <row r="2541">
          <cell r="A2541" t="str">
            <v>480001</v>
          </cell>
          <cell r="B2541" t="str">
            <v>1015</v>
          </cell>
          <cell r="C2541">
            <v>-1183511.9099999999</v>
          </cell>
          <cell r="D2541" t="str">
            <v>205</v>
          </cell>
          <cell r="E2541" t="str">
            <v>407</v>
          </cell>
          <cell r="F2541">
            <v>0</v>
          </cell>
          <cell r="G2541">
            <v>11</v>
          </cell>
          <cell r="H2541" t="str">
            <v>2006-11-30</v>
          </cell>
        </row>
        <row r="2542">
          <cell r="A2542" t="str">
            <v>480001</v>
          </cell>
          <cell r="B2542" t="str">
            <v>1015</v>
          </cell>
          <cell r="C2542">
            <v>1602.73</v>
          </cell>
          <cell r="D2542" t="str">
            <v>210</v>
          </cell>
          <cell r="E2542" t="str">
            <v>407</v>
          </cell>
          <cell r="F2542">
            <v>231.8</v>
          </cell>
          <cell r="G2542">
            <v>11</v>
          </cell>
          <cell r="H2542" t="str">
            <v>2006-11-30</v>
          </cell>
        </row>
        <row r="2543">
          <cell r="A2543" t="str">
            <v>480001</v>
          </cell>
          <cell r="B2543" t="str">
            <v>1015</v>
          </cell>
          <cell r="C2543">
            <v>-1602.73</v>
          </cell>
          <cell r="D2543" t="str">
            <v>210</v>
          </cell>
          <cell r="E2543" t="str">
            <v>407</v>
          </cell>
          <cell r="F2543">
            <v>-231.8</v>
          </cell>
          <cell r="G2543">
            <v>11</v>
          </cell>
          <cell r="H2543" t="str">
            <v>2006-11-30</v>
          </cell>
        </row>
        <row r="2544">
          <cell r="A2544" t="str">
            <v>480001</v>
          </cell>
          <cell r="B2544" t="str">
            <v>1015</v>
          </cell>
          <cell r="C2544">
            <v>1112538.95</v>
          </cell>
          <cell r="D2544" t="str">
            <v>210</v>
          </cell>
          <cell r="E2544" t="str">
            <v>407</v>
          </cell>
          <cell r="F2544">
            <v>171490.3</v>
          </cell>
          <cell r="G2544">
            <v>11</v>
          </cell>
          <cell r="H2544" t="str">
            <v>2006-11-30</v>
          </cell>
        </row>
        <row r="2545">
          <cell r="A2545" t="str">
            <v>480001</v>
          </cell>
          <cell r="B2545" t="str">
            <v>1015</v>
          </cell>
          <cell r="C2545">
            <v>-1121136.31</v>
          </cell>
          <cell r="D2545" t="str">
            <v>210</v>
          </cell>
          <cell r="E2545" t="str">
            <v>407</v>
          </cell>
          <cell r="F2545">
            <v>-172838.2</v>
          </cell>
          <cell r="G2545">
            <v>11</v>
          </cell>
          <cell r="H2545" t="str">
            <v>2006-11-30</v>
          </cell>
        </row>
        <row r="2546">
          <cell r="A2546" t="str">
            <v>481000</v>
          </cell>
          <cell r="B2546" t="str">
            <v>1015</v>
          </cell>
          <cell r="C2546">
            <v>-708</v>
          </cell>
          <cell r="D2546" t="str">
            <v>202</v>
          </cell>
          <cell r="E2546" t="str">
            <v>407</v>
          </cell>
          <cell r="F2546">
            <v>0</v>
          </cell>
          <cell r="G2546">
            <v>11</v>
          </cell>
          <cell r="H2546" t="str">
            <v>2006-11-30</v>
          </cell>
        </row>
        <row r="2547">
          <cell r="A2547" t="str">
            <v>481000</v>
          </cell>
          <cell r="B2547" t="str">
            <v>1015</v>
          </cell>
          <cell r="C2547">
            <v>-713.84</v>
          </cell>
          <cell r="D2547" t="str">
            <v>202</v>
          </cell>
          <cell r="E2547" t="str">
            <v>407</v>
          </cell>
          <cell r="F2547">
            <v>-788.39</v>
          </cell>
          <cell r="G2547">
            <v>11</v>
          </cell>
          <cell r="H2547" t="str">
            <v>2006-11-30</v>
          </cell>
        </row>
        <row r="2548">
          <cell r="A2548" t="str">
            <v>481000</v>
          </cell>
          <cell r="B2548" t="str">
            <v>1015</v>
          </cell>
          <cell r="C2548">
            <v>-527.17999999999995</v>
          </cell>
          <cell r="D2548" t="str">
            <v>202</v>
          </cell>
          <cell r="E2548" t="str">
            <v>407</v>
          </cell>
          <cell r="F2548">
            <v>-750.59</v>
          </cell>
          <cell r="G2548">
            <v>11</v>
          </cell>
          <cell r="H2548" t="str">
            <v>2006-11-30</v>
          </cell>
        </row>
        <row r="2549">
          <cell r="A2549" t="str">
            <v>481000</v>
          </cell>
          <cell r="B2549" t="str">
            <v>1015</v>
          </cell>
          <cell r="C2549">
            <v>-272.62</v>
          </cell>
          <cell r="D2549" t="str">
            <v>202</v>
          </cell>
          <cell r="E2549" t="str">
            <v>407</v>
          </cell>
          <cell r="F2549">
            <v>-332.21</v>
          </cell>
          <cell r="G2549">
            <v>11</v>
          </cell>
          <cell r="H2549" t="str">
            <v>2006-11-30</v>
          </cell>
        </row>
        <row r="2550">
          <cell r="A2550" t="str">
            <v>481000</v>
          </cell>
          <cell r="B2550" t="str">
            <v>1015</v>
          </cell>
          <cell r="C2550">
            <v>-1553.24</v>
          </cell>
          <cell r="D2550" t="str">
            <v>203</v>
          </cell>
          <cell r="E2550" t="str">
            <v>407</v>
          </cell>
          <cell r="F2550">
            <v>0</v>
          </cell>
          <cell r="G2550">
            <v>11</v>
          </cell>
          <cell r="H2550" t="str">
            <v>2006-11-30</v>
          </cell>
        </row>
        <row r="2551">
          <cell r="A2551" t="str">
            <v>481000</v>
          </cell>
          <cell r="B2551" t="str">
            <v>1015</v>
          </cell>
          <cell r="C2551">
            <v>-11242.53</v>
          </cell>
          <cell r="D2551" t="str">
            <v>204</v>
          </cell>
          <cell r="E2551" t="str">
            <v>407</v>
          </cell>
          <cell r="F2551">
            <v>0</v>
          </cell>
          <cell r="G2551">
            <v>11</v>
          </cell>
          <cell r="H2551" t="str">
            <v>2006-11-30</v>
          </cell>
        </row>
        <row r="2552">
          <cell r="A2552" t="str">
            <v>481000</v>
          </cell>
          <cell r="B2552" t="str">
            <v>1015</v>
          </cell>
          <cell r="C2552">
            <v>72.349999999999994</v>
          </cell>
          <cell r="D2552" t="str">
            <v>205</v>
          </cell>
          <cell r="E2552" t="str">
            <v>407</v>
          </cell>
          <cell r="F2552">
            <v>0</v>
          </cell>
          <cell r="G2552">
            <v>11</v>
          </cell>
          <cell r="H2552" t="str">
            <v>2006-11-30</v>
          </cell>
        </row>
        <row r="2553">
          <cell r="A2553" t="str">
            <v>481004</v>
          </cell>
          <cell r="B2553" t="str">
            <v>1015</v>
          </cell>
          <cell r="C2553">
            <v>-746075.23</v>
          </cell>
          <cell r="D2553" t="str">
            <v>202</v>
          </cell>
          <cell r="E2553" t="str">
            <v>407</v>
          </cell>
          <cell r="F2553">
            <v>0</v>
          </cell>
          <cell r="G2553">
            <v>11</v>
          </cell>
          <cell r="H2553" t="str">
            <v>2006-11-30</v>
          </cell>
        </row>
        <row r="2554">
          <cell r="A2554" t="str">
            <v>481004</v>
          </cell>
          <cell r="B2554" t="str">
            <v>1015</v>
          </cell>
          <cell r="C2554">
            <v>-84</v>
          </cell>
          <cell r="D2554" t="str">
            <v>202</v>
          </cell>
          <cell r="E2554" t="str">
            <v>407</v>
          </cell>
          <cell r="F2554">
            <v>-77.92</v>
          </cell>
          <cell r="G2554">
            <v>11</v>
          </cell>
          <cell r="H2554" t="str">
            <v>2006-11-30</v>
          </cell>
        </row>
        <row r="2555">
          <cell r="A2555" t="str">
            <v>481004</v>
          </cell>
          <cell r="B2555" t="str">
            <v>1015</v>
          </cell>
          <cell r="C2555">
            <v>-79.709999999999994</v>
          </cell>
          <cell r="D2555" t="str">
            <v>202</v>
          </cell>
          <cell r="E2555" t="str">
            <v>407</v>
          </cell>
          <cell r="F2555">
            <v>-43.26</v>
          </cell>
          <cell r="G2555">
            <v>11</v>
          </cell>
          <cell r="H2555" t="str">
            <v>2006-11-30</v>
          </cell>
        </row>
        <row r="2556">
          <cell r="A2556" t="str">
            <v>481004</v>
          </cell>
          <cell r="B2556" t="str">
            <v>1015</v>
          </cell>
          <cell r="C2556">
            <v>-10362.9</v>
          </cell>
          <cell r="D2556" t="str">
            <v>202</v>
          </cell>
          <cell r="E2556" t="str">
            <v>407</v>
          </cell>
          <cell r="F2556">
            <v>-8201.2199999999993</v>
          </cell>
          <cell r="G2556">
            <v>11</v>
          </cell>
          <cell r="H2556" t="str">
            <v>2006-11-30</v>
          </cell>
        </row>
        <row r="2557">
          <cell r="A2557" t="str">
            <v>481004</v>
          </cell>
          <cell r="B2557" t="str">
            <v>1015</v>
          </cell>
          <cell r="C2557">
            <v>-6935.71</v>
          </cell>
          <cell r="D2557" t="str">
            <v>202</v>
          </cell>
          <cell r="E2557" t="str">
            <v>407</v>
          </cell>
          <cell r="F2557">
            <v>-5180.21</v>
          </cell>
          <cell r="G2557">
            <v>11</v>
          </cell>
          <cell r="H2557" t="str">
            <v>2006-11-30</v>
          </cell>
        </row>
        <row r="2558">
          <cell r="A2558" t="str">
            <v>481004</v>
          </cell>
          <cell r="B2558" t="str">
            <v>1015</v>
          </cell>
          <cell r="C2558">
            <v>-1018.14</v>
          </cell>
          <cell r="D2558" t="str">
            <v>202</v>
          </cell>
          <cell r="E2558" t="str">
            <v>407</v>
          </cell>
          <cell r="F2558">
            <v>-587.01</v>
          </cell>
          <cell r="G2558">
            <v>11</v>
          </cell>
          <cell r="H2558" t="str">
            <v>2006-11-30</v>
          </cell>
        </row>
        <row r="2559">
          <cell r="A2559" t="str">
            <v>481004</v>
          </cell>
          <cell r="B2559" t="str">
            <v>1015</v>
          </cell>
          <cell r="C2559">
            <v>-1304.29</v>
          </cell>
          <cell r="D2559" t="str">
            <v>202</v>
          </cell>
          <cell r="E2559" t="str">
            <v>407</v>
          </cell>
          <cell r="F2559">
            <v>-428.63</v>
          </cell>
          <cell r="G2559">
            <v>11</v>
          </cell>
          <cell r="H2559" t="str">
            <v>2006-11-30</v>
          </cell>
        </row>
      </sheetData>
      <sheetData sheetId="5" refreshError="1">
        <row r="6">
          <cell r="BV6">
            <v>38383</v>
          </cell>
          <cell r="BW6">
            <v>38411</v>
          </cell>
          <cell r="BX6">
            <v>38442</v>
          </cell>
          <cell r="BY6">
            <v>38472</v>
          </cell>
          <cell r="BZ6">
            <v>38503</v>
          </cell>
          <cell r="CA6">
            <v>38533</v>
          </cell>
          <cell r="CB6">
            <v>38564</v>
          </cell>
          <cell r="CC6">
            <v>38595</v>
          </cell>
          <cell r="CD6">
            <v>38625</v>
          </cell>
          <cell r="CE6">
            <v>38656</v>
          </cell>
          <cell r="CF6">
            <v>38686</v>
          </cell>
          <cell r="CG6">
            <v>38717</v>
          </cell>
          <cell r="CH6">
            <v>38748</v>
          </cell>
          <cell r="CI6">
            <v>38776</v>
          </cell>
          <cell r="CJ6">
            <v>38807</v>
          </cell>
          <cell r="CK6">
            <v>38837</v>
          </cell>
          <cell r="CL6">
            <v>38868</v>
          </cell>
          <cell r="CM6">
            <v>38898</v>
          </cell>
          <cell r="CN6">
            <v>38929</v>
          </cell>
          <cell r="CO6">
            <v>38960</v>
          </cell>
          <cell r="CP6">
            <v>38990</v>
          </cell>
          <cell r="CQ6">
            <v>39021</v>
          </cell>
          <cell r="CR6">
            <v>39051</v>
          </cell>
          <cell r="CS6">
            <v>39082</v>
          </cell>
          <cell r="CT6">
            <v>39113</v>
          </cell>
          <cell r="CU6">
            <v>39141</v>
          </cell>
          <cell r="CV6">
            <v>39172</v>
          </cell>
          <cell r="CW6">
            <v>39202</v>
          </cell>
          <cell r="CX6">
            <v>39233</v>
          </cell>
          <cell r="CY6">
            <v>39263</v>
          </cell>
          <cell r="CZ6">
            <v>39294</v>
          </cell>
          <cell r="DA6">
            <v>39325</v>
          </cell>
          <cell r="DB6">
            <v>39355</v>
          </cell>
          <cell r="DC6">
            <v>39386</v>
          </cell>
          <cell r="DD6">
            <v>39416</v>
          </cell>
          <cell r="DE6">
            <v>39447</v>
          </cell>
          <cell r="DF6">
            <v>39478</v>
          </cell>
          <cell r="DG6">
            <v>39507</v>
          </cell>
          <cell r="DH6">
            <v>39538</v>
          </cell>
          <cell r="DI6">
            <v>39568</v>
          </cell>
          <cell r="DJ6">
            <v>39599</v>
          </cell>
          <cell r="DK6">
            <v>39629</v>
          </cell>
          <cell r="DL6">
            <v>39660</v>
          </cell>
          <cell r="DM6">
            <v>39691</v>
          </cell>
          <cell r="DN6">
            <v>39721</v>
          </cell>
          <cell r="DO6">
            <v>39752</v>
          </cell>
          <cell r="DP6">
            <v>39782</v>
          </cell>
          <cell r="DQ6">
            <v>39813</v>
          </cell>
          <cell r="DR6">
            <v>39844</v>
          </cell>
          <cell r="DS6">
            <v>39872</v>
          </cell>
          <cell r="DT6">
            <v>39903</v>
          </cell>
          <cell r="DU6">
            <v>39933</v>
          </cell>
          <cell r="DV6">
            <v>39964</v>
          </cell>
          <cell r="DW6">
            <v>39994</v>
          </cell>
          <cell r="DX6">
            <v>40025</v>
          </cell>
          <cell r="DY6">
            <v>40056</v>
          </cell>
          <cell r="DZ6">
            <v>40086</v>
          </cell>
          <cell r="EA6">
            <v>40117</v>
          </cell>
          <cell r="EB6">
            <v>40147</v>
          </cell>
          <cell r="EC6">
            <v>40178</v>
          </cell>
          <cell r="ED6">
            <v>40209</v>
          </cell>
          <cell r="EE6">
            <v>40237</v>
          </cell>
          <cell r="EF6">
            <v>40268</v>
          </cell>
          <cell r="EG6">
            <v>40298</v>
          </cell>
          <cell r="EH6">
            <v>40329</v>
          </cell>
          <cell r="EI6">
            <v>40359</v>
          </cell>
          <cell r="EJ6">
            <v>40390</v>
          </cell>
          <cell r="EK6">
            <v>40421</v>
          </cell>
          <cell r="EL6">
            <v>40451</v>
          </cell>
          <cell r="EM6">
            <v>40482</v>
          </cell>
          <cell r="EN6">
            <v>40512</v>
          </cell>
          <cell r="EO6">
            <v>40543</v>
          </cell>
          <cell r="EP6">
            <v>40574</v>
          </cell>
          <cell r="EQ6">
            <v>40602</v>
          </cell>
          <cell r="ER6">
            <v>40633</v>
          </cell>
          <cell r="ES6">
            <v>40663</v>
          </cell>
          <cell r="ET6">
            <v>40694</v>
          </cell>
          <cell r="EU6">
            <v>40724</v>
          </cell>
          <cell r="EV6">
            <v>40755</v>
          </cell>
          <cell r="EW6">
            <v>40786</v>
          </cell>
          <cell r="EX6">
            <v>40816</v>
          </cell>
          <cell r="EY6">
            <v>40847</v>
          </cell>
          <cell r="EZ6">
            <v>40877</v>
          </cell>
          <cell r="FA6">
            <v>40908</v>
          </cell>
          <cell r="FB6">
            <v>40939</v>
          </cell>
          <cell r="FC6">
            <v>40968</v>
          </cell>
          <cell r="FD6">
            <v>40999</v>
          </cell>
          <cell r="FE6">
            <v>41029</v>
          </cell>
          <cell r="FF6">
            <v>41060</v>
          </cell>
          <cell r="FG6">
            <v>41090</v>
          </cell>
          <cell r="FH6">
            <v>41121</v>
          </cell>
          <cell r="FI6">
            <v>41152</v>
          </cell>
          <cell r="FJ6">
            <v>41182</v>
          </cell>
          <cell r="FK6">
            <v>41213</v>
          </cell>
          <cell r="FL6">
            <v>41243</v>
          </cell>
          <cell r="FM6">
            <v>41274</v>
          </cell>
          <cell r="FN6">
            <v>41305</v>
          </cell>
          <cell r="FO6">
            <v>41333</v>
          </cell>
          <cell r="FP6">
            <v>41364</v>
          </cell>
          <cell r="FQ6">
            <v>41394</v>
          </cell>
          <cell r="FR6">
            <v>41425</v>
          </cell>
          <cell r="FS6">
            <v>41455</v>
          </cell>
          <cell r="FT6">
            <v>41486</v>
          </cell>
          <cell r="FU6">
            <v>41517</v>
          </cell>
          <cell r="FV6">
            <v>41547</v>
          </cell>
          <cell r="FW6">
            <v>41578</v>
          </cell>
          <cell r="FX6">
            <v>41608</v>
          </cell>
          <cell r="FY6">
            <v>41639</v>
          </cell>
          <cell r="FZ6">
            <v>41670</v>
          </cell>
          <cell r="GA6">
            <v>41698</v>
          </cell>
          <cell r="GB6">
            <v>41729</v>
          </cell>
          <cell r="GC6">
            <v>41759</v>
          </cell>
          <cell r="GD6">
            <v>41790</v>
          </cell>
          <cell r="GE6">
            <v>41820</v>
          </cell>
          <cell r="GF6">
            <v>41851</v>
          </cell>
          <cell r="GG6">
            <v>41882</v>
          </cell>
          <cell r="GH6">
            <v>41912</v>
          </cell>
          <cell r="GI6">
            <v>41943</v>
          </cell>
          <cell r="GJ6">
            <v>41973</v>
          </cell>
          <cell r="GK6">
            <v>42004</v>
          </cell>
          <cell r="GL6">
            <v>42035</v>
          </cell>
          <cell r="GM6">
            <v>42063</v>
          </cell>
          <cell r="GN6">
            <v>42094</v>
          </cell>
          <cell r="GO6">
            <v>42124</v>
          </cell>
          <cell r="GP6">
            <v>42155</v>
          </cell>
          <cell r="GQ6">
            <v>42185</v>
          </cell>
          <cell r="GR6">
            <v>42216</v>
          </cell>
          <cell r="GS6">
            <v>42247</v>
          </cell>
          <cell r="GT6">
            <v>42277</v>
          </cell>
          <cell r="GU6">
            <v>42308</v>
          </cell>
          <cell r="GV6">
            <v>42338</v>
          </cell>
          <cell r="GW6">
            <v>42369</v>
          </cell>
          <cell r="GX6">
            <v>42400</v>
          </cell>
          <cell r="GY6">
            <v>42429</v>
          </cell>
          <cell r="GZ6">
            <v>42460</v>
          </cell>
          <cell r="HA6">
            <v>42490</v>
          </cell>
          <cell r="HB6">
            <v>42521</v>
          </cell>
          <cell r="HC6">
            <v>42551</v>
          </cell>
          <cell r="HD6">
            <v>42582</v>
          </cell>
          <cell r="HE6">
            <v>42613</v>
          </cell>
          <cell r="HF6">
            <v>42643</v>
          </cell>
          <cell r="HG6">
            <v>42674</v>
          </cell>
          <cell r="HH6">
            <v>42704</v>
          </cell>
          <cell r="HI6">
            <v>42735</v>
          </cell>
          <cell r="HJ6">
            <v>42766</v>
          </cell>
          <cell r="HK6">
            <v>42794</v>
          </cell>
          <cell r="HL6">
            <v>42825</v>
          </cell>
          <cell r="HM6">
            <v>42855</v>
          </cell>
          <cell r="HN6">
            <v>42886</v>
          </cell>
          <cell r="HO6">
            <v>42916</v>
          </cell>
          <cell r="HP6">
            <v>42947</v>
          </cell>
          <cell r="HQ6">
            <v>42978</v>
          </cell>
          <cell r="HR6">
            <v>43008</v>
          </cell>
          <cell r="HS6">
            <v>43039</v>
          </cell>
          <cell r="HT6">
            <v>43069</v>
          </cell>
          <cell r="HU6">
            <v>43100</v>
          </cell>
          <cell r="HV6">
            <v>43131</v>
          </cell>
          <cell r="HW6">
            <v>43159</v>
          </cell>
          <cell r="HX6">
            <v>43190</v>
          </cell>
          <cell r="HY6">
            <v>43220</v>
          </cell>
          <cell r="HZ6">
            <v>43251</v>
          </cell>
          <cell r="IA6">
            <v>43281</v>
          </cell>
          <cell r="IB6">
            <v>43312</v>
          </cell>
          <cell r="IC6">
            <v>43343</v>
          </cell>
          <cell r="ID6">
            <v>43373</v>
          </cell>
          <cell r="IE6">
            <v>43404</v>
          </cell>
          <cell r="IF6">
            <v>43434</v>
          </cell>
          <cell r="IG6">
            <v>43465</v>
          </cell>
          <cell r="IH6">
            <v>43496</v>
          </cell>
          <cell r="II6">
            <v>43524</v>
          </cell>
          <cell r="IJ6">
            <v>43555</v>
          </cell>
        </row>
        <row r="8">
          <cell r="BV8">
            <v>10129</v>
          </cell>
          <cell r="BW8">
            <v>10437</v>
          </cell>
          <cell r="BX8">
            <v>9054</v>
          </cell>
          <cell r="BY8">
            <v>10575</v>
          </cell>
          <cell r="BZ8">
            <v>10517</v>
          </cell>
          <cell r="CA8">
            <v>11113</v>
          </cell>
          <cell r="CB8">
            <v>10543</v>
          </cell>
          <cell r="CC8">
            <v>8893</v>
          </cell>
          <cell r="CD8">
            <v>13704</v>
          </cell>
          <cell r="CE8">
            <v>13546</v>
          </cell>
          <cell r="CF8">
            <v>11004</v>
          </cell>
          <cell r="CG8">
            <v>10033</v>
          </cell>
          <cell r="CH8">
            <v>8402</v>
          </cell>
          <cell r="CI8">
            <v>10563</v>
          </cell>
          <cell r="CJ8">
            <v>9833</v>
          </cell>
          <cell r="CK8">
            <v>10611</v>
          </cell>
          <cell r="CL8">
            <v>10861</v>
          </cell>
          <cell r="CM8">
            <v>12519</v>
          </cell>
          <cell r="CN8">
            <v>11835</v>
          </cell>
          <cell r="CO8">
            <v>11647</v>
          </cell>
          <cell r="CP8">
            <v>12463</v>
          </cell>
          <cell r="CQ8">
            <v>11976</v>
          </cell>
          <cell r="CR8">
            <v>13688</v>
          </cell>
          <cell r="CS8">
            <v>13021</v>
          </cell>
          <cell r="CT8">
            <v>12919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12">
          <cell r="BV12">
            <v>25921.702284341984</v>
          </cell>
          <cell r="BW12">
            <v>26928.533516691528</v>
          </cell>
          <cell r="BX12">
            <v>22855.654717162717</v>
          </cell>
          <cell r="BY12">
            <v>27096.625504724041</v>
          </cell>
          <cell r="BZ12">
            <v>26880.162987934309</v>
          </cell>
          <cell r="CA12">
            <v>25234.060401148345</v>
          </cell>
          <cell r="CB12">
            <v>27062.277058847885</v>
          </cell>
          <cell r="CC12">
            <v>22144.269745808044</v>
          </cell>
          <cell r="CD12">
            <v>35047.807991280744</v>
          </cell>
          <cell r="CE12">
            <v>31798.069364545463</v>
          </cell>
          <cell r="CF12">
            <v>22322.853453217656</v>
          </cell>
          <cell r="CG12">
            <v>24932.527885556832</v>
          </cell>
          <cell r="CH12">
            <v>20095.642068347748</v>
          </cell>
          <cell r="CI12">
            <v>30005.109650302296</v>
          </cell>
          <cell r="CJ12">
            <v>24388.300783795159</v>
          </cell>
          <cell r="CK12">
            <v>25731.112695011088</v>
          </cell>
          <cell r="CL12">
            <v>25199.406848555445</v>
          </cell>
          <cell r="CM12">
            <v>29471.297811261997</v>
          </cell>
          <cell r="CN12">
            <v>27550.529260347219</v>
          </cell>
          <cell r="CO12">
            <v>26611.894221422921</v>
          </cell>
          <cell r="CP12">
            <v>28864.343958420963</v>
          </cell>
          <cell r="CQ12">
            <v>26354.985924203425</v>
          </cell>
          <cell r="CR12">
            <v>34282.020969729747</v>
          </cell>
          <cell r="CS12">
            <v>28895.053071393373</v>
          </cell>
          <cell r="CT12">
            <v>26419.947403398895</v>
          </cell>
          <cell r="CU12" t="e">
            <v>#DIV/0!</v>
          </cell>
          <cell r="CV12" t="e">
            <v>#DIV/0!</v>
          </cell>
          <cell r="CW12" t="e">
            <v>#DIV/0!</v>
          </cell>
          <cell r="CX12" t="e">
            <v>#DIV/0!</v>
          </cell>
          <cell r="CY12" t="e">
            <v>#DIV/0!</v>
          </cell>
          <cell r="CZ12" t="e">
            <v>#DIV/0!</v>
          </cell>
          <cell r="DA12" t="e">
            <v>#DIV/0!</v>
          </cell>
          <cell r="DB12" t="e">
            <v>#DIV/0!</v>
          </cell>
          <cell r="DC12" t="e">
            <v>#DIV/0!</v>
          </cell>
          <cell r="DD12" t="e">
            <v>#DIV/0!</v>
          </cell>
          <cell r="DE12" t="e">
            <v>#DIV/0!</v>
          </cell>
        </row>
        <row r="14">
          <cell r="BV14">
            <v>7609.6287827878823</v>
          </cell>
          <cell r="BW14">
            <v>7821.4484599876359</v>
          </cell>
          <cell r="BX14">
            <v>6852.460526434088</v>
          </cell>
          <cell r="BY14">
            <v>7954.9948415509516</v>
          </cell>
          <cell r="BZ14">
            <v>7946.3924184418402</v>
          </cell>
          <cell r="CA14">
            <v>7062.4584810419374</v>
          </cell>
          <cell r="CB14">
            <v>7539.1288792765263</v>
          </cell>
          <cell r="CC14">
            <v>6457.3534874655588</v>
          </cell>
          <cell r="CD14">
            <v>9748.4021890123113</v>
          </cell>
          <cell r="CE14">
            <v>8799.1852854908448</v>
          </cell>
          <cell r="CF14">
            <v>7153.8879139728178</v>
          </cell>
          <cell r="CG14">
            <v>8059.9172764995319</v>
          </cell>
          <cell r="CH14">
            <v>6687.2970122779743</v>
          </cell>
          <cell r="CI14">
            <v>9519.4527981579013</v>
          </cell>
          <cell r="CJ14">
            <v>8014.9377500087667</v>
          </cell>
          <cell r="CK14">
            <v>8368.6758659295447</v>
          </cell>
          <cell r="CL14">
            <v>8307.0036791993571</v>
          </cell>
          <cell r="CM14">
            <v>10011.873151627771</v>
          </cell>
          <cell r="CN14">
            <v>9359.8805253632345</v>
          </cell>
          <cell r="CO14">
            <v>9246.9855341547009</v>
          </cell>
          <cell r="CP14">
            <v>9853.3937779639909</v>
          </cell>
          <cell r="CQ14">
            <v>9220.3604736602247</v>
          </cell>
          <cell r="CR14">
            <v>13473.397502882362</v>
          </cell>
          <cell r="CS14">
            <v>11468.858102932405</v>
          </cell>
          <cell r="CT14">
            <v>10722.74117339525</v>
          </cell>
          <cell r="CU14" t="e">
            <v>#DIV/0!</v>
          </cell>
          <cell r="CV14" t="e">
            <v>#DIV/0!</v>
          </cell>
          <cell r="CW14" t="e">
            <v>#DIV/0!</v>
          </cell>
          <cell r="CX14" t="e">
            <v>#DIV/0!</v>
          </cell>
          <cell r="CY14" t="e">
            <v>#DIV/0!</v>
          </cell>
          <cell r="CZ14" t="e">
            <v>#DIV/0!</v>
          </cell>
          <cell r="DA14" t="e">
            <v>#DIV/0!</v>
          </cell>
          <cell r="DB14" t="e">
            <v>#DIV/0!</v>
          </cell>
          <cell r="DC14" t="e">
            <v>#DIV/0!</v>
          </cell>
          <cell r="DD14" t="e">
            <v>#DIV/0!</v>
          </cell>
          <cell r="DE14" t="e">
            <v>#DIV/0!</v>
          </cell>
        </row>
        <row r="16">
          <cell r="BV16">
            <v>46578.208932870133</v>
          </cell>
          <cell r="BW16">
            <v>47874.748023320819</v>
          </cell>
          <cell r="BX16">
            <v>41943.614756403185</v>
          </cell>
          <cell r="BY16">
            <v>48692.179653725012</v>
          </cell>
          <cell r="BZ16">
            <v>48639.524593623857</v>
          </cell>
          <cell r="CA16">
            <v>57048.161117809708</v>
          </cell>
          <cell r="CB16">
            <v>60898.544061875597</v>
          </cell>
          <cell r="CC16">
            <v>52160.326766726401</v>
          </cell>
          <cell r="CD16">
            <v>78744.309819706948</v>
          </cell>
          <cell r="CE16">
            <v>71076.855349963691</v>
          </cell>
          <cell r="CF16">
            <v>72536.068632809518</v>
          </cell>
          <cell r="CG16">
            <v>81722.654837943643</v>
          </cell>
          <cell r="CH16">
            <v>67805.120919374269</v>
          </cell>
          <cell r="CI16">
            <v>85579.727551539792</v>
          </cell>
          <cell r="CJ16">
            <v>72054.161466196078</v>
          </cell>
          <cell r="CK16">
            <v>75234.261439059366</v>
          </cell>
          <cell r="CL16">
            <v>74679.829472245197</v>
          </cell>
          <cell r="CM16">
            <v>85019.55903711023</v>
          </cell>
          <cell r="CN16">
            <v>79482.920214289552</v>
          </cell>
          <cell r="CO16">
            <v>78524.230244422375</v>
          </cell>
          <cell r="CP16">
            <v>83673.772263615043</v>
          </cell>
          <cell r="CQ16">
            <v>78298.133602136339</v>
          </cell>
          <cell r="CR16">
            <v>80943.601527387902</v>
          </cell>
          <cell r="CS16">
            <v>68901.008825674231</v>
          </cell>
          <cell r="CT16">
            <v>64418.591423205857</v>
          </cell>
          <cell r="CU16" t="e">
            <v>#DIV/0!</v>
          </cell>
          <cell r="CV16" t="e">
            <v>#DIV/0!</v>
          </cell>
          <cell r="CW16" t="e">
            <v>#DIV/0!</v>
          </cell>
          <cell r="CX16" t="e">
            <v>#DIV/0!</v>
          </cell>
          <cell r="CY16" t="e">
            <v>#DIV/0!</v>
          </cell>
          <cell r="CZ16" t="e">
            <v>#DIV/0!</v>
          </cell>
          <cell r="DA16" t="e">
            <v>#DIV/0!</v>
          </cell>
          <cell r="DB16" t="e">
            <v>#DIV/0!</v>
          </cell>
          <cell r="DC16" t="e">
            <v>#DIV/0!</v>
          </cell>
          <cell r="DD16" t="e">
            <v>#DIV/0!</v>
          </cell>
          <cell r="DE16" t="e">
            <v>#DIV/0!</v>
          </cell>
        </row>
        <row r="17">
          <cell r="BV17">
            <v>80109.540000000008</v>
          </cell>
          <cell r="BW17">
            <v>82624.729999999981</v>
          </cell>
          <cell r="BX17">
            <v>71651.729999999981</v>
          </cell>
          <cell r="BY17">
            <v>83743.8</v>
          </cell>
          <cell r="BZ17">
            <v>83466.080000000016</v>
          </cell>
          <cell r="CA17">
            <v>89344.68</v>
          </cell>
          <cell r="CB17">
            <v>95499.950000000012</v>
          </cell>
          <cell r="CC17">
            <v>80761.950000000012</v>
          </cell>
          <cell r="CD17">
            <v>123540.52</v>
          </cell>
          <cell r="CE17">
            <v>111674.11</v>
          </cell>
          <cell r="CF17">
            <v>102012.81</v>
          </cell>
          <cell r="CG17">
            <v>114715.1</v>
          </cell>
          <cell r="CH17">
            <v>94588.06</v>
          </cell>
          <cell r="CI17">
            <v>125104.29</v>
          </cell>
          <cell r="CJ17">
            <v>104457.4</v>
          </cell>
          <cell r="CK17">
            <v>109334.05</v>
          </cell>
          <cell r="CL17">
            <v>108186.23999999999</v>
          </cell>
          <cell r="CM17">
            <v>124502.73</v>
          </cell>
          <cell r="CN17">
            <v>116393.33</v>
          </cell>
          <cell r="CO17">
            <v>114383.11</v>
          </cell>
          <cell r="CP17">
            <v>122391.51</v>
          </cell>
          <cell r="CQ17">
            <v>113873.47999999998</v>
          </cell>
          <cell r="CR17">
            <v>128699.02000000002</v>
          </cell>
          <cell r="CS17">
            <v>109264.92000000001</v>
          </cell>
          <cell r="CT17">
            <v>101561.28</v>
          </cell>
          <cell r="CU17" t="e">
            <v>#DIV/0!</v>
          </cell>
          <cell r="CV17" t="e">
            <v>#DIV/0!</v>
          </cell>
          <cell r="CW17" t="e">
            <v>#DIV/0!</v>
          </cell>
          <cell r="CX17" t="e">
            <v>#DIV/0!</v>
          </cell>
          <cell r="CY17" t="e">
            <v>#DIV/0!</v>
          </cell>
          <cell r="CZ17" t="e">
            <v>#DIV/0!</v>
          </cell>
          <cell r="DA17" t="e">
            <v>#DIV/0!</v>
          </cell>
          <cell r="DB17" t="e">
            <v>#DIV/0!</v>
          </cell>
          <cell r="DC17" t="e">
            <v>#DIV/0!</v>
          </cell>
          <cell r="DD17" t="e">
            <v>#DIV/0!</v>
          </cell>
          <cell r="DE17" t="e">
            <v>#DIV/0!</v>
          </cell>
        </row>
        <row r="18">
          <cell r="BV18">
            <v>80109.539999999994</v>
          </cell>
          <cell r="BW18">
            <v>82624.73</v>
          </cell>
          <cell r="BX18">
            <v>71651.73</v>
          </cell>
          <cell r="BY18">
            <v>83743.8</v>
          </cell>
          <cell r="BZ18">
            <v>83466.080000000002</v>
          </cell>
          <cell r="CA18">
            <v>89344.68</v>
          </cell>
          <cell r="CB18">
            <v>95499.95</v>
          </cell>
          <cell r="CC18">
            <v>80761.95</v>
          </cell>
          <cell r="CD18">
            <v>123540.52</v>
          </cell>
          <cell r="CE18">
            <v>111674.11</v>
          </cell>
          <cell r="CF18">
            <v>102012.81</v>
          </cell>
          <cell r="CG18">
            <v>114715.1</v>
          </cell>
          <cell r="CH18">
            <v>94588.06</v>
          </cell>
          <cell r="CI18">
            <v>125104.29</v>
          </cell>
          <cell r="CJ18">
            <v>104457.4</v>
          </cell>
          <cell r="CK18">
            <v>109334.05</v>
          </cell>
          <cell r="CL18">
            <v>108186.24000000001</v>
          </cell>
          <cell r="CM18">
            <v>124502.73</v>
          </cell>
          <cell r="CN18">
            <v>116393.33</v>
          </cell>
          <cell r="CO18">
            <v>114383.11</v>
          </cell>
          <cell r="CP18">
            <v>122391.51</v>
          </cell>
          <cell r="CQ18">
            <v>113873.48</v>
          </cell>
          <cell r="CR18">
            <v>128699.02</v>
          </cell>
          <cell r="CS18">
            <v>109264.92</v>
          </cell>
          <cell r="CT18">
            <v>101561.28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22">
          <cell r="BV22">
            <v>518</v>
          </cell>
          <cell r="BW22">
            <v>494</v>
          </cell>
          <cell r="BX22">
            <v>474</v>
          </cell>
          <cell r="BY22">
            <v>271</v>
          </cell>
          <cell r="BZ22">
            <v>1125</v>
          </cell>
          <cell r="CA22">
            <v>650</v>
          </cell>
          <cell r="CB22">
            <v>655</v>
          </cell>
          <cell r="CC22">
            <v>929</v>
          </cell>
          <cell r="CD22">
            <v>556</v>
          </cell>
          <cell r="CE22">
            <v>1163</v>
          </cell>
          <cell r="CF22">
            <v>1454</v>
          </cell>
          <cell r="CG22">
            <v>-403</v>
          </cell>
          <cell r="CH22">
            <v>386</v>
          </cell>
          <cell r="CI22">
            <v>-45</v>
          </cell>
          <cell r="CJ22">
            <v>290</v>
          </cell>
          <cell r="CK22">
            <v>417</v>
          </cell>
          <cell r="CL22">
            <v>157</v>
          </cell>
          <cell r="CM22">
            <v>151</v>
          </cell>
          <cell r="CN22">
            <v>50</v>
          </cell>
          <cell r="CO22">
            <v>1477</v>
          </cell>
          <cell r="CP22">
            <v>403</v>
          </cell>
          <cell r="CQ22">
            <v>472</v>
          </cell>
          <cell r="CR22">
            <v>466</v>
          </cell>
          <cell r="CS22">
            <v>377</v>
          </cell>
          <cell r="CT22">
            <v>430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6">
          <cell r="BV26">
            <v>1524.9873890993188</v>
          </cell>
          <cell r="BW26">
            <v>1458.641282184622</v>
          </cell>
          <cell r="BX26">
            <v>1380.4562784476539</v>
          </cell>
          <cell r="BY26">
            <v>758.51921713461923</v>
          </cell>
          <cell r="BZ26">
            <v>2952.3003145829143</v>
          </cell>
          <cell r="CA26">
            <v>1557.9802297111898</v>
          </cell>
          <cell r="CB26">
            <v>1803.7398987265294</v>
          </cell>
          <cell r="CC26">
            <v>2515.1526431571751</v>
          </cell>
          <cell r="CD26">
            <v>1698.0392447567824</v>
          </cell>
          <cell r="CE26">
            <v>3425.8821791283594</v>
          </cell>
          <cell r="CF26">
            <v>3754.6719411062854</v>
          </cell>
          <cell r="CG26">
            <v>-1108.6346848856517</v>
          </cell>
          <cell r="CH26">
            <v>1190.5366073018233</v>
          </cell>
          <cell r="CI26">
            <v>120.39109954239959</v>
          </cell>
          <cell r="CJ26">
            <v>992.60852824644712</v>
          </cell>
          <cell r="CK26">
            <v>1284.1894765028735</v>
          </cell>
          <cell r="CL26">
            <v>482.32029747934877</v>
          </cell>
          <cell r="CM26">
            <v>463.5590028643764</v>
          </cell>
          <cell r="CN26">
            <v>150.53616416572726</v>
          </cell>
          <cell r="CO26">
            <v>4276.7036909522667</v>
          </cell>
          <cell r="CP26">
            <v>1290.496929989097</v>
          </cell>
          <cell r="CQ26">
            <v>939.19155847029242</v>
          </cell>
          <cell r="CR26">
            <v>1212.4293355163491</v>
          </cell>
          <cell r="CS26">
            <v>931.80755662739648</v>
          </cell>
          <cell r="CT26">
            <v>917.21906270388854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</row>
        <row r="30">
          <cell r="BV30">
            <v>3047.4426109006813</v>
          </cell>
          <cell r="BW30">
            <v>2938.9787178153779</v>
          </cell>
          <cell r="BX30">
            <v>2821.5237215523462</v>
          </cell>
          <cell r="BY30">
            <v>1634.1507828653807</v>
          </cell>
          <cell r="BZ30">
            <v>5709.6896854170864</v>
          </cell>
          <cell r="CA30">
            <v>3657.8397702888096</v>
          </cell>
          <cell r="CB30">
            <v>4166.5201012734715</v>
          </cell>
          <cell r="CC30">
            <v>5665.3273568428249</v>
          </cell>
          <cell r="CD30">
            <v>3709.9907552432173</v>
          </cell>
          <cell r="CE30">
            <v>8500.9978208716402</v>
          </cell>
          <cell r="CF30">
            <v>9316.8580588937148</v>
          </cell>
          <cell r="CG30">
            <v>-2996.1953151143484</v>
          </cell>
          <cell r="CH30">
            <v>3217.5433926981764</v>
          </cell>
          <cell r="CI30">
            <v>325.36890045760038</v>
          </cell>
          <cell r="CJ30">
            <v>2458.5314717535525</v>
          </cell>
          <cell r="CK30">
            <v>3180.7305234971268</v>
          </cell>
          <cell r="CL30">
            <v>1194.6297025206513</v>
          </cell>
          <cell r="CM30">
            <v>1148.1609971356236</v>
          </cell>
          <cell r="CN30">
            <v>372.85383583427273</v>
          </cell>
          <cell r="CO30">
            <v>10592.706309047735</v>
          </cell>
          <cell r="CP30">
            <v>3196.3530700109036</v>
          </cell>
          <cell r="CQ30">
            <v>2538.2584415297079</v>
          </cell>
          <cell r="CR30">
            <v>3276.7106644836508</v>
          </cell>
          <cell r="CS30">
            <v>2518.3024433726036</v>
          </cell>
          <cell r="CT30">
            <v>1419.7609372961115</v>
          </cell>
          <cell r="CU30" t="e">
            <v>#DIV/0!</v>
          </cell>
          <cell r="CV30" t="e">
            <v>#DIV/0!</v>
          </cell>
          <cell r="CW30" t="e">
            <v>#DIV/0!</v>
          </cell>
          <cell r="CX30" t="e">
            <v>#DIV/0!</v>
          </cell>
          <cell r="CY30" t="e">
            <v>#DIV/0!</v>
          </cell>
          <cell r="CZ30" t="e">
            <v>#DIV/0!</v>
          </cell>
          <cell r="DA30" t="e">
            <v>#DIV/0!</v>
          </cell>
          <cell r="DB30" t="e">
            <v>#DIV/0!</v>
          </cell>
          <cell r="DC30" t="e">
            <v>#DIV/0!</v>
          </cell>
          <cell r="DD30" t="e">
            <v>#DIV/0!</v>
          </cell>
          <cell r="DE30" t="e">
            <v>#DIV/0!</v>
          </cell>
        </row>
        <row r="31">
          <cell r="BV31">
            <v>4572.43</v>
          </cell>
          <cell r="BW31">
            <v>4397.62</v>
          </cell>
          <cell r="BX31">
            <v>4201.9799999999996</v>
          </cell>
          <cell r="BY31">
            <v>2392.67</v>
          </cell>
          <cell r="BZ31">
            <v>8661.9900000000016</v>
          </cell>
          <cell r="CA31">
            <v>5215.82</v>
          </cell>
          <cell r="CB31">
            <v>5970.2600000000011</v>
          </cell>
          <cell r="CC31">
            <v>8180.48</v>
          </cell>
          <cell r="CD31">
            <v>5408.03</v>
          </cell>
          <cell r="CE31">
            <v>11926.88</v>
          </cell>
          <cell r="CF31">
            <v>13071.53</v>
          </cell>
          <cell r="CG31">
            <v>-4104.83</v>
          </cell>
          <cell r="CH31">
            <v>4408.08</v>
          </cell>
          <cell r="CI31">
            <v>445.76</v>
          </cell>
          <cell r="CJ31">
            <v>3451.1399999999994</v>
          </cell>
          <cell r="CK31">
            <v>4464.92</v>
          </cell>
          <cell r="CL31">
            <v>1676.95</v>
          </cell>
          <cell r="CM31">
            <v>1611.72</v>
          </cell>
          <cell r="CN31">
            <v>523.39</v>
          </cell>
          <cell r="CO31">
            <v>14869.410000000002</v>
          </cell>
          <cell r="CP31">
            <v>4486.8500000000004</v>
          </cell>
          <cell r="CQ31">
            <v>3477.4500000000003</v>
          </cell>
          <cell r="CR31">
            <v>4489.1399999999994</v>
          </cell>
          <cell r="CS31">
            <v>3450.11</v>
          </cell>
          <cell r="CT31">
            <v>2336.98</v>
          </cell>
          <cell r="CU31" t="e">
            <v>#DIV/0!</v>
          </cell>
          <cell r="CV31" t="e">
            <v>#DIV/0!</v>
          </cell>
          <cell r="CW31" t="e">
            <v>#DIV/0!</v>
          </cell>
          <cell r="CX31" t="e">
            <v>#DIV/0!</v>
          </cell>
          <cell r="CY31" t="e">
            <v>#DIV/0!</v>
          </cell>
          <cell r="CZ31" t="e">
            <v>#DIV/0!</v>
          </cell>
          <cell r="DA31" t="e">
            <v>#DIV/0!</v>
          </cell>
          <cell r="DB31" t="e">
            <v>#DIV/0!</v>
          </cell>
          <cell r="DC31" t="e">
            <v>#DIV/0!</v>
          </cell>
          <cell r="DD31" t="e">
            <v>#DIV/0!</v>
          </cell>
          <cell r="DE31" t="e">
            <v>#DIV/0!</v>
          </cell>
        </row>
        <row r="32">
          <cell r="BV32">
            <v>4572.43</v>
          </cell>
          <cell r="BW32">
            <v>4397.62</v>
          </cell>
          <cell r="BX32">
            <v>4201.9799999999996</v>
          </cell>
          <cell r="BY32">
            <v>2392.67</v>
          </cell>
          <cell r="BZ32">
            <v>8661.99</v>
          </cell>
          <cell r="CA32">
            <v>5215.82</v>
          </cell>
          <cell r="CB32">
            <v>5970.26</v>
          </cell>
          <cell r="CC32">
            <v>8180.48</v>
          </cell>
          <cell r="CD32">
            <v>5408.03</v>
          </cell>
          <cell r="CE32">
            <v>11926.88</v>
          </cell>
          <cell r="CF32">
            <v>13071.53</v>
          </cell>
          <cell r="CG32">
            <v>-4104.83</v>
          </cell>
          <cell r="CH32">
            <v>4408.08</v>
          </cell>
          <cell r="CI32">
            <v>445.76</v>
          </cell>
          <cell r="CJ32">
            <v>3451.14</v>
          </cell>
          <cell r="CK32">
            <v>4464.92</v>
          </cell>
          <cell r="CL32">
            <v>1676.95</v>
          </cell>
          <cell r="CM32">
            <v>1611.72</v>
          </cell>
          <cell r="CN32">
            <v>523.39</v>
          </cell>
          <cell r="CO32">
            <v>14869.41</v>
          </cell>
          <cell r="CP32">
            <v>4486.8500000000004</v>
          </cell>
          <cell r="CQ32">
            <v>3477.45</v>
          </cell>
          <cell r="CR32">
            <v>4489.1400000000003</v>
          </cell>
          <cell r="CS32">
            <v>3450.11</v>
          </cell>
          <cell r="CT32">
            <v>2336.98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BV34">
            <v>84681.97</v>
          </cell>
          <cell r="BW34">
            <v>87022.349999999991</v>
          </cell>
          <cell r="BX34">
            <v>75853.709999999992</v>
          </cell>
          <cell r="BY34">
            <v>86136.47</v>
          </cell>
          <cell r="BZ34">
            <v>92128.07</v>
          </cell>
          <cell r="CA34">
            <v>94560.5</v>
          </cell>
          <cell r="CB34">
            <v>101470.20999999999</v>
          </cell>
          <cell r="CC34">
            <v>88942.43</v>
          </cell>
          <cell r="CD34">
            <v>128948.55</v>
          </cell>
          <cell r="CE34">
            <v>123600.99</v>
          </cell>
          <cell r="CF34">
            <v>115084.34</v>
          </cell>
          <cell r="CG34">
            <v>110610.27</v>
          </cell>
          <cell r="CH34">
            <v>98996.14</v>
          </cell>
          <cell r="CI34">
            <v>125550.04999999999</v>
          </cell>
          <cell r="CJ34">
            <v>107908.54</v>
          </cell>
          <cell r="CK34">
            <v>113798.97</v>
          </cell>
          <cell r="CL34">
            <v>109863.19</v>
          </cell>
          <cell r="CM34">
            <v>126114.45</v>
          </cell>
          <cell r="CN34">
            <v>116916.72</v>
          </cell>
          <cell r="CO34">
            <v>129252.52</v>
          </cell>
          <cell r="CP34">
            <v>126878.36</v>
          </cell>
          <cell r="CQ34">
            <v>117350.93</v>
          </cell>
          <cell r="CR34">
            <v>133188.16</v>
          </cell>
          <cell r="CS34">
            <v>112715.03</v>
          </cell>
          <cell r="CT34">
            <v>103898.26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</sheetData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/>
      <sheetData sheetId="1"/>
      <sheetData sheetId="2"/>
      <sheetData sheetId="3"/>
      <sheetData sheetId="4">
        <row r="3">
          <cell r="B3">
            <v>39447</v>
          </cell>
          <cell r="C3">
            <v>39478</v>
          </cell>
          <cell r="D3">
            <v>39507</v>
          </cell>
          <cell r="E3">
            <v>39538</v>
          </cell>
          <cell r="F3">
            <v>39568</v>
          </cell>
          <cell r="G3">
            <v>39599</v>
          </cell>
          <cell r="H3">
            <v>39629</v>
          </cell>
          <cell r="I3">
            <v>39660</v>
          </cell>
          <cell r="J3">
            <v>39691</v>
          </cell>
          <cell r="K3">
            <v>39721</v>
          </cell>
          <cell r="L3">
            <v>39752</v>
          </cell>
          <cell r="M3">
            <v>39782</v>
          </cell>
          <cell r="N3">
            <v>39813</v>
          </cell>
        </row>
        <row r="4">
          <cell r="B4">
            <v>2.5567000000000002</v>
          </cell>
          <cell r="C4">
            <v>2.5567000000000002</v>
          </cell>
          <cell r="D4">
            <v>2.5567000000000002</v>
          </cell>
          <cell r="E4">
            <v>2.5567000000000002</v>
          </cell>
          <cell r="F4">
            <v>2.5567000000000002</v>
          </cell>
          <cell r="G4">
            <v>2.5567000000000002</v>
          </cell>
          <cell r="H4">
            <v>2.5567000000000002</v>
          </cell>
          <cell r="I4">
            <v>2.5567000000000002</v>
          </cell>
          <cell r="J4">
            <v>2.5567000000000002</v>
          </cell>
          <cell r="K4">
            <v>2.5567000000000002</v>
          </cell>
          <cell r="L4">
            <v>2.5567000000000002</v>
          </cell>
          <cell r="M4">
            <v>2.6896300000000002</v>
          </cell>
          <cell r="N4">
            <v>2.6896300000000002</v>
          </cell>
        </row>
        <row r="5">
          <cell r="B5">
            <v>0.58655999999999997</v>
          </cell>
          <cell r="C5">
            <v>0.58655999999999997</v>
          </cell>
          <cell r="D5">
            <v>0.58655999999999997</v>
          </cell>
          <cell r="E5">
            <v>0.58655999999999997</v>
          </cell>
          <cell r="F5">
            <v>0.58655999999999997</v>
          </cell>
          <cell r="G5">
            <v>0.58655999999999997</v>
          </cell>
          <cell r="H5">
            <v>0.58655999999999997</v>
          </cell>
          <cell r="I5">
            <v>0.70370999999999995</v>
          </cell>
          <cell r="J5">
            <v>0.70370999999999995</v>
          </cell>
          <cell r="K5">
            <v>0.70370999999999995</v>
          </cell>
          <cell r="L5">
            <v>0.70370999999999995</v>
          </cell>
          <cell r="M5">
            <v>0.91618999999999995</v>
          </cell>
          <cell r="N5">
            <v>0.91618999999999995</v>
          </cell>
        </row>
        <row r="6">
          <cell r="B6">
            <v>4.8200799999999999</v>
          </cell>
          <cell r="C6">
            <v>4.8200799999999999</v>
          </cell>
          <cell r="D6">
            <v>4.8200799999999999</v>
          </cell>
          <cell r="E6">
            <v>4.8200799999999999</v>
          </cell>
          <cell r="F6">
            <v>4.8200799999999999</v>
          </cell>
          <cell r="G6">
            <v>4.8200799999999999</v>
          </cell>
          <cell r="H6">
            <v>4.8200799999999999</v>
          </cell>
          <cell r="I6">
            <v>6.5426599999999997</v>
          </cell>
          <cell r="J6">
            <v>6.5426599999999997</v>
          </cell>
          <cell r="K6">
            <v>6.5426599999999997</v>
          </cell>
          <cell r="L6">
            <v>6.5426599999999997</v>
          </cell>
          <cell r="M6">
            <v>5.6968100000000002</v>
          </cell>
          <cell r="N6">
            <v>5.6968100000000002</v>
          </cell>
        </row>
        <row r="11">
          <cell r="B11">
            <v>39447</v>
          </cell>
          <cell r="C11">
            <v>39478</v>
          </cell>
          <cell r="D11">
            <v>39507</v>
          </cell>
          <cell r="E11">
            <v>39538</v>
          </cell>
          <cell r="F11">
            <v>39568</v>
          </cell>
          <cell r="G11">
            <v>39599</v>
          </cell>
          <cell r="H11">
            <v>39629</v>
          </cell>
          <cell r="I11">
            <v>39660</v>
          </cell>
          <cell r="J11">
            <v>39691</v>
          </cell>
          <cell r="K11">
            <v>39721</v>
          </cell>
          <cell r="L11">
            <v>39752</v>
          </cell>
          <cell r="M11">
            <v>39782</v>
          </cell>
          <cell r="N11">
            <v>39813</v>
          </cell>
        </row>
        <row r="12">
          <cell r="B12">
            <v>3.12737</v>
          </cell>
          <cell r="C12">
            <v>3.12737</v>
          </cell>
          <cell r="D12">
            <v>3.12737</v>
          </cell>
          <cell r="E12">
            <v>3.12737</v>
          </cell>
          <cell r="F12">
            <v>3.12737</v>
          </cell>
          <cell r="G12">
            <v>3.12737</v>
          </cell>
          <cell r="H12">
            <v>3.12737</v>
          </cell>
          <cell r="I12">
            <v>3.0495899999999998</v>
          </cell>
          <cell r="J12">
            <v>3.0495899999999998</v>
          </cell>
          <cell r="K12">
            <v>3.0495899999999998</v>
          </cell>
          <cell r="L12">
            <v>3.0495899999999998</v>
          </cell>
          <cell r="M12">
            <v>3.12737</v>
          </cell>
          <cell r="N12">
            <v>3.12737</v>
          </cell>
        </row>
        <row r="13">
          <cell r="B13">
            <v>5.3518800000000004</v>
          </cell>
          <cell r="C13">
            <v>5.3518800000000004</v>
          </cell>
          <cell r="D13">
            <v>5.3518800000000004</v>
          </cell>
          <cell r="E13">
            <v>5.3518800000000004</v>
          </cell>
          <cell r="F13">
            <v>5.3518800000000004</v>
          </cell>
          <cell r="G13">
            <v>5.3518800000000004</v>
          </cell>
          <cell r="H13">
            <v>5.3518800000000004</v>
          </cell>
          <cell r="I13">
            <v>2.8395000000000001</v>
          </cell>
          <cell r="J13">
            <v>2.8395000000000001</v>
          </cell>
          <cell r="K13">
            <v>2.8395000000000001</v>
          </cell>
          <cell r="L13">
            <v>2.8395000000000001</v>
          </cell>
          <cell r="M13">
            <v>6.2275600000000004</v>
          </cell>
          <cell r="N13">
            <v>6.2275600000000004</v>
          </cell>
        </row>
      </sheetData>
      <sheetData sheetId="5">
        <row r="1">
          <cell r="A1" t="str">
            <v>Account</v>
          </cell>
          <cell r="B1" t="str">
            <v>Oper Unit</v>
          </cell>
          <cell r="C1" t="str">
            <v>Product</v>
          </cell>
          <cell r="D1" t="str">
            <v>Trans</v>
          </cell>
          <cell r="E1" t="str">
            <v>Date</v>
          </cell>
          <cell r="F1" t="str">
            <v>Journal ID</v>
          </cell>
          <cell r="G1" t="str">
            <v>Monetary Amount</v>
          </cell>
          <cell r="H1" t="str">
            <v>Statistic Amount</v>
          </cell>
        </row>
        <row r="2">
          <cell r="A2" t="str">
            <v>481003</v>
          </cell>
          <cell r="B2" t="str">
            <v>01959</v>
          </cell>
          <cell r="D2" t="str">
            <v>200</v>
          </cell>
          <cell r="E2" t="str">
            <v>2008-01-31</v>
          </cell>
          <cell r="F2" t="str">
            <v>549ACORR2</v>
          </cell>
          <cell r="G2">
            <v>-1212.57</v>
          </cell>
          <cell r="H2">
            <v>0</v>
          </cell>
        </row>
        <row r="3">
          <cell r="A3" t="str">
            <v>481003</v>
          </cell>
          <cell r="B3" t="str">
            <v>01943</v>
          </cell>
          <cell r="D3" t="str">
            <v>200</v>
          </cell>
          <cell r="E3" t="str">
            <v>2008-01-31</v>
          </cell>
          <cell r="F3" t="str">
            <v>549ACORR2</v>
          </cell>
          <cell r="G3">
            <v>-489.12</v>
          </cell>
          <cell r="H3">
            <v>0</v>
          </cell>
        </row>
        <row r="4">
          <cell r="A4" t="str">
            <v>481003</v>
          </cell>
          <cell r="B4" t="str">
            <v>01990</v>
          </cell>
          <cell r="D4" t="str">
            <v>200</v>
          </cell>
          <cell r="E4" t="str">
            <v>2008-01-31</v>
          </cell>
          <cell r="F4" t="str">
            <v>549ACORR2</v>
          </cell>
          <cell r="G4">
            <v>-1881.94</v>
          </cell>
          <cell r="H4">
            <v>0</v>
          </cell>
        </row>
        <row r="5">
          <cell r="A5" t="str">
            <v>481003</v>
          </cell>
          <cell r="B5" t="str">
            <v>01991</v>
          </cell>
          <cell r="D5" t="str">
            <v>200</v>
          </cell>
          <cell r="E5" t="str">
            <v>2008-01-31</v>
          </cell>
          <cell r="F5" t="str">
            <v>549ACORR2</v>
          </cell>
          <cell r="G5">
            <v>-18.71</v>
          </cell>
          <cell r="H5">
            <v>0</v>
          </cell>
        </row>
        <row r="6">
          <cell r="A6" t="str">
            <v>481003</v>
          </cell>
          <cell r="B6" t="str">
            <v>01952</v>
          </cell>
          <cell r="D6" t="str">
            <v>200</v>
          </cell>
          <cell r="E6" t="str">
            <v>2008-01-31</v>
          </cell>
          <cell r="F6" t="str">
            <v>549ACORR2</v>
          </cell>
          <cell r="G6">
            <v>-385.38</v>
          </cell>
          <cell r="H6">
            <v>0</v>
          </cell>
        </row>
        <row r="7">
          <cell r="A7" t="str">
            <v>481003</v>
          </cell>
          <cell r="B7" t="str">
            <v>01954</v>
          </cell>
          <cell r="D7" t="str">
            <v>200</v>
          </cell>
          <cell r="E7" t="str">
            <v>2008-01-31</v>
          </cell>
          <cell r="F7" t="str">
            <v>549ACORR2</v>
          </cell>
          <cell r="G7">
            <v>-42.29</v>
          </cell>
          <cell r="H7">
            <v>0</v>
          </cell>
        </row>
        <row r="8">
          <cell r="A8" t="str">
            <v>481003</v>
          </cell>
          <cell r="B8" t="str">
            <v>01953</v>
          </cell>
          <cell r="D8" t="str">
            <v>200</v>
          </cell>
          <cell r="E8" t="str">
            <v>2008-01-31</v>
          </cell>
          <cell r="F8" t="str">
            <v>549ACORR2</v>
          </cell>
          <cell r="G8">
            <v>-3551.92</v>
          </cell>
          <cell r="H8">
            <v>0</v>
          </cell>
        </row>
        <row r="9">
          <cell r="A9" t="str">
            <v>481003</v>
          </cell>
          <cell r="B9" t="str">
            <v>01986</v>
          </cell>
          <cell r="D9" t="str">
            <v>200</v>
          </cell>
          <cell r="E9" t="str">
            <v>2008-01-31</v>
          </cell>
          <cell r="F9" t="str">
            <v>549ACORR2</v>
          </cell>
          <cell r="G9">
            <v>-411.4</v>
          </cell>
          <cell r="H9">
            <v>0</v>
          </cell>
        </row>
        <row r="10">
          <cell r="A10" t="str">
            <v>481003</v>
          </cell>
          <cell r="B10" t="str">
            <v>01986</v>
          </cell>
          <cell r="D10" t="str">
            <v>200</v>
          </cell>
          <cell r="E10" t="str">
            <v>2008-01-31</v>
          </cell>
          <cell r="F10" t="str">
            <v>549ACORR1A</v>
          </cell>
          <cell r="G10">
            <v>413.61</v>
          </cell>
          <cell r="H10">
            <v>0</v>
          </cell>
        </row>
        <row r="11">
          <cell r="A11" t="str">
            <v>481003</v>
          </cell>
          <cell r="B11" t="str">
            <v>01953</v>
          </cell>
          <cell r="D11" t="str">
            <v>200</v>
          </cell>
          <cell r="E11" t="str">
            <v>2008-01-31</v>
          </cell>
          <cell r="F11" t="str">
            <v>549ACORR1A</v>
          </cell>
          <cell r="G11">
            <v>2387.3000000000002</v>
          </cell>
          <cell r="H11">
            <v>0</v>
          </cell>
        </row>
        <row r="12">
          <cell r="A12" t="str">
            <v>481003</v>
          </cell>
          <cell r="B12" t="str">
            <v>01954</v>
          </cell>
          <cell r="D12" t="str">
            <v>200</v>
          </cell>
          <cell r="E12" t="str">
            <v>2008-01-31</v>
          </cell>
          <cell r="F12" t="str">
            <v>549ACORR1A</v>
          </cell>
          <cell r="G12">
            <v>9.73</v>
          </cell>
          <cell r="H12">
            <v>0</v>
          </cell>
        </row>
        <row r="13">
          <cell r="A13" t="str">
            <v>481003</v>
          </cell>
          <cell r="B13" t="str">
            <v>01952</v>
          </cell>
          <cell r="D13" t="str">
            <v>200</v>
          </cell>
          <cell r="E13" t="str">
            <v>2008-01-31</v>
          </cell>
          <cell r="F13" t="str">
            <v>549ACORR1A</v>
          </cell>
          <cell r="G13">
            <v>184.24</v>
          </cell>
          <cell r="H13">
            <v>0</v>
          </cell>
        </row>
        <row r="14">
          <cell r="A14" t="str">
            <v>481003</v>
          </cell>
          <cell r="B14" t="str">
            <v>01991</v>
          </cell>
          <cell r="D14" t="str">
            <v>200</v>
          </cell>
          <cell r="E14" t="str">
            <v>2008-01-31</v>
          </cell>
          <cell r="F14" t="str">
            <v>549ACORR1A</v>
          </cell>
          <cell r="G14">
            <v>9.27</v>
          </cell>
          <cell r="H14">
            <v>0</v>
          </cell>
        </row>
        <row r="15">
          <cell r="A15" t="str">
            <v>481003</v>
          </cell>
          <cell r="B15" t="str">
            <v>01990</v>
          </cell>
          <cell r="D15" t="str">
            <v>200</v>
          </cell>
          <cell r="E15" t="str">
            <v>2008-01-31</v>
          </cell>
          <cell r="F15" t="str">
            <v>549ACORR1A</v>
          </cell>
          <cell r="G15">
            <v>1333</v>
          </cell>
          <cell r="H15">
            <v>0</v>
          </cell>
        </row>
        <row r="16">
          <cell r="A16" t="str">
            <v>481003</v>
          </cell>
          <cell r="B16" t="str">
            <v>01943</v>
          </cell>
          <cell r="D16" t="str">
            <v>200</v>
          </cell>
          <cell r="E16" t="str">
            <v>2008-01-31</v>
          </cell>
          <cell r="F16" t="str">
            <v>549ACORR1A</v>
          </cell>
          <cell r="G16">
            <v>999.33</v>
          </cell>
          <cell r="H16">
            <v>0</v>
          </cell>
        </row>
        <row r="17">
          <cell r="A17" t="str">
            <v>481003</v>
          </cell>
          <cell r="B17" t="str">
            <v>01959</v>
          </cell>
          <cell r="D17" t="str">
            <v>200</v>
          </cell>
          <cell r="E17" t="str">
            <v>2008-01-31</v>
          </cell>
          <cell r="F17" t="str">
            <v>549ACORR1A</v>
          </cell>
          <cell r="G17">
            <v>631.70000000000005</v>
          </cell>
          <cell r="H17">
            <v>0</v>
          </cell>
        </row>
        <row r="18">
          <cell r="A18" t="str">
            <v>481003</v>
          </cell>
          <cell r="B18" t="str">
            <v>01943</v>
          </cell>
          <cell r="D18" t="str">
            <v>200</v>
          </cell>
          <cell r="E18" t="str">
            <v>2008-01-31</v>
          </cell>
          <cell r="F18" t="str">
            <v>549ACORR2A</v>
          </cell>
          <cell r="G18">
            <v>503</v>
          </cell>
          <cell r="H18">
            <v>0</v>
          </cell>
        </row>
        <row r="19">
          <cell r="A19" t="str">
            <v>481003</v>
          </cell>
          <cell r="B19" t="str">
            <v>01952</v>
          </cell>
          <cell r="D19" t="str">
            <v>200</v>
          </cell>
          <cell r="E19" t="str">
            <v>2008-01-31</v>
          </cell>
          <cell r="F19" t="str">
            <v>549ACORR2A</v>
          </cell>
          <cell r="G19">
            <v>385.38</v>
          </cell>
          <cell r="H19">
            <v>0</v>
          </cell>
        </row>
        <row r="20">
          <cell r="A20" t="str">
            <v>481003</v>
          </cell>
          <cell r="B20" t="str">
            <v>01953</v>
          </cell>
          <cell r="D20" t="str">
            <v>200</v>
          </cell>
          <cell r="E20" t="str">
            <v>2008-01-31</v>
          </cell>
          <cell r="F20" t="str">
            <v>549ACORR2A</v>
          </cell>
          <cell r="G20">
            <v>3551.92</v>
          </cell>
          <cell r="H20">
            <v>0</v>
          </cell>
        </row>
        <row r="21">
          <cell r="A21" t="str">
            <v>481003</v>
          </cell>
          <cell r="B21" t="str">
            <v>01954</v>
          </cell>
          <cell r="D21" t="str">
            <v>200</v>
          </cell>
          <cell r="E21" t="str">
            <v>2008-01-31</v>
          </cell>
          <cell r="F21" t="str">
            <v>549ACORR2A</v>
          </cell>
          <cell r="G21">
            <v>42.29</v>
          </cell>
          <cell r="H21">
            <v>0</v>
          </cell>
        </row>
        <row r="22">
          <cell r="A22" t="str">
            <v>481003</v>
          </cell>
          <cell r="B22" t="str">
            <v>01959</v>
          </cell>
          <cell r="D22" t="str">
            <v>200</v>
          </cell>
          <cell r="E22" t="str">
            <v>2008-01-31</v>
          </cell>
          <cell r="F22" t="str">
            <v>549ACORR2A</v>
          </cell>
          <cell r="G22">
            <v>1212.57</v>
          </cell>
          <cell r="H22">
            <v>0</v>
          </cell>
        </row>
        <row r="23">
          <cell r="A23" t="str">
            <v>481003</v>
          </cell>
          <cell r="B23" t="str">
            <v>01986</v>
          </cell>
          <cell r="D23" t="str">
            <v>200</v>
          </cell>
          <cell r="E23" t="str">
            <v>2008-01-31</v>
          </cell>
          <cell r="F23" t="str">
            <v>549ACORR2A</v>
          </cell>
          <cell r="G23">
            <v>411.4</v>
          </cell>
          <cell r="H23">
            <v>0</v>
          </cell>
        </row>
        <row r="24">
          <cell r="A24" t="str">
            <v>481003</v>
          </cell>
          <cell r="B24" t="str">
            <v>01990</v>
          </cell>
          <cell r="D24" t="str">
            <v>200</v>
          </cell>
          <cell r="E24" t="str">
            <v>2008-01-31</v>
          </cell>
          <cell r="F24" t="str">
            <v>549ACORR2A</v>
          </cell>
          <cell r="G24">
            <v>1881.94</v>
          </cell>
          <cell r="H24">
            <v>0</v>
          </cell>
        </row>
        <row r="25">
          <cell r="A25" t="str">
            <v>481003</v>
          </cell>
          <cell r="B25" t="str">
            <v>01991</v>
          </cell>
          <cell r="D25" t="str">
            <v>200</v>
          </cell>
          <cell r="E25" t="str">
            <v>2008-01-31</v>
          </cell>
          <cell r="F25" t="str">
            <v>549ACORR2A</v>
          </cell>
          <cell r="G25">
            <v>18.71</v>
          </cell>
          <cell r="H25">
            <v>0</v>
          </cell>
        </row>
        <row r="26">
          <cell r="A26" t="str">
            <v>481003</v>
          </cell>
          <cell r="B26" t="str">
            <v>01959</v>
          </cell>
          <cell r="D26" t="str">
            <v>200</v>
          </cell>
          <cell r="E26" t="str">
            <v>2008-01-31</v>
          </cell>
          <cell r="F26" t="str">
            <v>549A</v>
          </cell>
          <cell r="G26">
            <v>-1269.55</v>
          </cell>
          <cell r="H26">
            <v>0</v>
          </cell>
        </row>
        <row r="27">
          <cell r="A27" t="str">
            <v>481003</v>
          </cell>
          <cell r="B27" t="str">
            <v>01943</v>
          </cell>
          <cell r="D27" t="str">
            <v>200</v>
          </cell>
          <cell r="E27" t="str">
            <v>2008-01-31</v>
          </cell>
          <cell r="F27" t="str">
            <v>549A</v>
          </cell>
          <cell r="G27">
            <v>-632</v>
          </cell>
          <cell r="H27">
            <v>0</v>
          </cell>
        </row>
        <row r="28">
          <cell r="A28" t="str">
            <v>481003</v>
          </cell>
          <cell r="B28" t="str">
            <v>01990</v>
          </cell>
          <cell r="D28" t="str">
            <v>200</v>
          </cell>
          <cell r="E28" t="str">
            <v>2008-01-31</v>
          </cell>
          <cell r="F28" t="str">
            <v>549A</v>
          </cell>
          <cell r="G28">
            <v>-1523.23</v>
          </cell>
          <cell r="H28">
            <v>0</v>
          </cell>
        </row>
        <row r="29">
          <cell r="A29" t="str">
            <v>481003</v>
          </cell>
          <cell r="B29" t="str">
            <v>01991</v>
          </cell>
          <cell r="D29" t="str">
            <v>200</v>
          </cell>
          <cell r="E29" t="str">
            <v>2008-01-31</v>
          </cell>
          <cell r="F29" t="str">
            <v>549A</v>
          </cell>
          <cell r="G29">
            <v>-6.51</v>
          </cell>
          <cell r="H29">
            <v>0</v>
          </cell>
        </row>
        <row r="30">
          <cell r="A30" t="str">
            <v>481003</v>
          </cell>
          <cell r="B30" t="str">
            <v>01952</v>
          </cell>
          <cell r="D30" t="str">
            <v>200</v>
          </cell>
          <cell r="E30" t="str">
            <v>2008-01-31</v>
          </cell>
          <cell r="F30" t="str">
            <v>549A</v>
          </cell>
          <cell r="G30">
            <v>-221.84</v>
          </cell>
          <cell r="H30">
            <v>0</v>
          </cell>
        </row>
        <row r="31">
          <cell r="A31" t="str">
            <v>481003</v>
          </cell>
          <cell r="B31" t="str">
            <v>01954</v>
          </cell>
          <cell r="D31" t="str">
            <v>200</v>
          </cell>
          <cell r="E31" t="str">
            <v>2008-01-31</v>
          </cell>
          <cell r="F31" t="str">
            <v>549A</v>
          </cell>
          <cell r="G31">
            <v>-9.68</v>
          </cell>
          <cell r="H31">
            <v>0</v>
          </cell>
        </row>
        <row r="32">
          <cell r="A32" t="str">
            <v>481003</v>
          </cell>
          <cell r="B32" t="str">
            <v>01953</v>
          </cell>
          <cell r="D32" t="str">
            <v>200</v>
          </cell>
          <cell r="E32" t="str">
            <v>2008-01-31</v>
          </cell>
          <cell r="F32" t="str">
            <v>549A</v>
          </cell>
          <cell r="G32">
            <v>-4064.38</v>
          </cell>
          <cell r="H32">
            <v>0</v>
          </cell>
        </row>
        <row r="33">
          <cell r="A33" t="str">
            <v>481003</v>
          </cell>
          <cell r="B33" t="str">
            <v>01986</v>
          </cell>
          <cell r="D33" t="str">
            <v>200</v>
          </cell>
          <cell r="E33" t="str">
            <v>2008-01-31</v>
          </cell>
          <cell r="F33" t="str">
            <v>549A</v>
          </cell>
          <cell r="G33">
            <v>-409.34</v>
          </cell>
          <cell r="H33">
            <v>0</v>
          </cell>
        </row>
        <row r="34">
          <cell r="A34" t="str">
            <v>481003</v>
          </cell>
          <cell r="B34" t="str">
            <v>01959</v>
          </cell>
          <cell r="D34" t="str">
            <v>200</v>
          </cell>
          <cell r="E34" t="str">
            <v>2008-01-31</v>
          </cell>
          <cell r="F34" t="str">
            <v>549ACORR1</v>
          </cell>
          <cell r="G34">
            <v>-631.70000000000005</v>
          </cell>
          <cell r="H34">
            <v>0</v>
          </cell>
        </row>
        <row r="35">
          <cell r="A35" t="str">
            <v>481003</v>
          </cell>
          <cell r="B35" t="str">
            <v>01943</v>
          </cell>
          <cell r="D35" t="str">
            <v>200</v>
          </cell>
          <cell r="E35" t="str">
            <v>2008-01-31</v>
          </cell>
          <cell r="F35" t="str">
            <v>549ACORR1</v>
          </cell>
          <cell r="G35">
            <v>-971.75</v>
          </cell>
          <cell r="H35">
            <v>0</v>
          </cell>
        </row>
        <row r="36">
          <cell r="A36" t="str">
            <v>481003</v>
          </cell>
          <cell r="B36" t="str">
            <v>01990</v>
          </cell>
          <cell r="D36" t="str">
            <v>200</v>
          </cell>
          <cell r="E36" t="str">
            <v>2008-01-31</v>
          </cell>
          <cell r="F36" t="str">
            <v>549ACORR1</v>
          </cell>
          <cell r="G36">
            <v>-1333</v>
          </cell>
          <cell r="H36">
            <v>0</v>
          </cell>
        </row>
        <row r="37">
          <cell r="A37" t="str">
            <v>481003</v>
          </cell>
          <cell r="B37" t="str">
            <v>01991</v>
          </cell>
          <cell r="D37" t="str">
            <v>200</v>
          </cell>
          <cell r="E37" t="str">
            <v>2008-01-31</v>
          </cell>
          <cell r="F37" t="str">
            <v>549ACORR1</v>
          </cell>
          <cell r="G37">
            <v>-9.27</v>
          </cell>
          <cell r="H37">
            <v>0</v>
          </cell>
        </row>
        <row r="38">
          <cell r="A38" t="str">
            <v>481003</v>
          </cell>
          <cell r="B38" t="str">
            <v>01952</v>
          </cell>
          <cell r="D38" t="str">
            <v>200</v>
          </cell>
          <cell r="E38" t="str">
            <v>2008-01-31</v>
          </cell>
          <cell r="F38" t="str">
            <v>549ACORR1</v>
          </cell>
          <cell r="G38">
            <v>-184.24</v>
          </cell>
          <cell r="H38">
            <v>0</v>
          </cell>
        </row>
        <row r="39">
          <cell r="A39" t="str">
            <v>481003</v>
          </cell>
          <cell r="B39" t="str">
            <v>01954</v>
          </cell>
          <cell r="D39" t="str">
            <v>200</v>
          </cell>
          <cell r="E39" t="str">
            <v>2008-01-31</v>
          </cell>
          <cell r="F39" t="str">
            <v>549ACORR1</v>
          </cell>
          <cell r="G39">
            <v>-9.73</v>
          </cell>
          <cell r="H39">
            <v>0</v>
          </cell>
        </row>
        <row r="40">
          <cell r="A40" t="str">
            <v>481003</v>
          </cell>
          <cell r="B40" t="str">
            <v>01953</v>
          </cell>
          <cell r="D40" t="str">
            <v>200</v>
          </cell>
          <cell r="E40" t="str">
            <v>2008-01-31</v>
          </cell>
          <cell r="F40" t="str">
            <v>549ACORR1</v>
          </cell>
          <cell r="G40">
            <v>-2387.3000000000002</v>
          </cell>
          <cell r="H40">
            <v>0</v>
          </cell>
        </row>
        <row r="41">
          <cell r="A41" t="str">
            <v>481003</v>
          </cell>
          <cell r="B41" t="str">
            <v>01986</v>
          </cell>
          <cell r="D41" t="str">
            <v>200</v>
          </cell>
          <cell r="E41" t="str">
            <v>2008-01-31</v>
          </cell>
          <cell r="F41" t="str">
            <v>549ACORR1</v>
          </cell>
          <cell r="G41">
            <v>-413.61</v>
          </cell>
          <cell r="H41">
            <v>0</v>
          </cell>
        </row>
        <row r="42">
          <cell r="A42" t="str">
            <v>481003</v>
          </cell>
          <cell r="B42" t="str">
            <v>01990</v>
          </cell>
          <cell r="D42" t="str">
            <v>200</v>
          </cell>
          <cell r="E42" t="str">
            <v>2008-01-31</v>
          </cell>
          <cell r="F42" t="str">
            <v>470</v>
          </cell>
          <cell r="G42">
            <v>5318.97</v>
          </cell>
          <cell r="H42">
            <v>998.84</v>
          </cell>
        </row>
        <row r="43">
          <cell r="A43" t="str">
            <v>481003</v>
          </cell>
          <cell r="B43" t="str">
            <v>01953</v>
          </cell>
          <cell r="D43" t="str">
            <v>200</v>
          </cell>
          <cell r="E43" t="str">
            <v>2008-01-31</v>
          </cell>
          <cell r="F43" t="str">
            <v>470</v>
          </cell>
          <cell r="G43">
            <v>5222.05</v>
          </cell>
          <cell r="H43">
            <v>980.63</v>
          </cell>
        </row>
        <row r="44">
          <cell r="A44" t="str">
            <v>481003</v>
          </cell>
          <cell r="B44" t="str">
            <v>01986</v>
          </cell>
          <cell r="D44" t="str">
            <v>200</v>
          </cell>
          <cell r="E44" t="str">
            <v>2008-01-31</v>
          </cell>
          <cell r="F44" t="str">
            <v>470</v>
          </cell>
          <cell r="G44">
            <v>1429.31</v>
          </cell>
          <cell r="H44">
            <v>268.42</v>
          </cell>
        </row>
        <row r="45">
          <cell r="A45" t="str">
            <v>481003</v>
          </cell>
          <cell r="B45" t="str">
            <v>01959</v>
          </cell>
          <cell r="D45" t="str">
            <v>200</v>
          </cell>
          <cell r="E45" t="str">
            <v>2008-01-31</v>
          </cell>
          <cell r="F45" t="str">
            <v>470</v>
          </cell>
          <cell r="G45">
            <v>4433.07</v>
          </cell>
          <cell r="H45">
            <v>832.49</v>
          </cell>
        </row>
        <row r="46">
          <cell r="A46" t="str">
            <v>481003</v>
          </cell>
          <cell r="B46" t="str">
            <v>01993</v>
          </cell>
          <cell r="D46" t="str">
            <v>200</v>
          </cell>
          <cell r="E46" t="str">
            <v>2008-01-31</v>
          </cell>
          <cell r="F46" t="str">
            <v>470</v>
          </cell>
          <cell r="G46">
            <v>910.42</v>
          </cell>
          <cell r="H46">
            <v>145.47</v>
          </cell>
        </row>
        <row r="47">
          <cell r="A47" t="str">
            <v>481003</v>
          </cell>
          <cell r="B47" t="str">
            <v>01943</v>
          </cell>
          <cell r="D47" t="str">
            <v>200</v>
          </cell>
          <cell r="E47" t="str">
            <v>2008-01-31</v>
          </cell>
          <cell r="F47" t="str">
            <v>470</v>
          </cell>
          <cell r="G47">
            <v>360.13</v>
          </cell>
          <cell r="H47">
            <v>55.98</v>
          </cell>
        </row>
        <row r="48">
          <cell r="A48" t="str">
            <v>481003</v>
          </cell>
          <cell r="B48" t="str">
            <v>01954</v>
          </cell>
          <cell r="D48" t="str">
            <v>200</v>
          </cell>
          <cell r="E48" t="str">
            <v>2008-01-31</v>
          </cell>
          <cell r="F48" t="str">
            <v>472B</v>
          </cell>
          <cell r="G48">
            <v>39.28</v>
          </cell>
          <cell r="H48">
            <v>6.35</v>
          </cell>
        </row>
        <row r="49">
          <cell r="A49" t="str">
            <v>481003</v>
          </cell>
          <cell r="B49" t="str">
            <v>01989</v>
          </cell>
          <cell r="D49" t="str">
            <v>200</v>
          </cell>
          <cell r="E49" t="str">
            <v>2008-01-31</v>
          </cell>
          <cell r="F49" t="str">
            <v>BINGV29437</v>
          </cell>
          <cell r="G49">
            <v>3698.18</v>
          </cell>
          <cell r="H49">
            <v>464.4</v>
          </cell>
        </row>
        <row r="50">
          <cell r="A50" t="str">
            <v>481003</v>
          </cell>
          <cell r="B50" t="str">
            <v>01988</v>
          </cell>
          <cell r="D50" t="str">
            <v>200</v>
          </cell>
          <cell r="E50" t="str">
            <v>2008-01-31</v>
          </cell>
          <cell r="F50" t="str">
            <v>BINGV29437</v>
          </cell>
          <cell r="G50">
            <v>6814.34</v>
          </cell>
          <cell r="H50">
            <v>855.71</v>
          </cell>
        </row>
        <row r="51">
          <cell r="A51" t="str">
            <v>481003</v>
          </cell>
          <cell r="B51" t="str">
            <v>01986</v>
          </cell>
          <cell r="D51" t="str">
            <v>200</v>
          </cell>
          <cell r="E51" t="str">
            <v>2008-01-31</v>
          </cell>
          <cell r="F51" t="str">
            <v>BINGV29437</v>
          </cell>
          <cell r="G51">
            <v>19502.22</v>
          </cell>
          <cell r="H51">
            <v>2449</v>
          </cell>
        </row>
        <row r="52">
          <cell r="A52" t="str">
            <v>481003</v>
          </cell>
          <cell r="B52" t="str">
            <v>01968</v>
          </cell>
          <cell r="D52" t="str">
            <v>200</v>
          </cell>
          <cell r="E52" t="str">
            <v>2008-01-31</v>
          </cell>
          <cell r="F52" t="str">
            <v>BINGV29437</v>
          </cell>
          <cell r="G52">
            <v>2257.13</v>
          </cell>
          <cell r="H52">
            <v>283.44</v>
          </cell>
        </row>
        <row r="53">
          <cell r="A53" t="str">
            <v>481003</v>
          </cell>
          <cell r="B53" t="str">
            <v>01979</v>
          </cell>
          <cell r="D53" t="str">
            <v>200</v>
          </cell>
          <cell r="E53" t="str">
            <v>2008-01-31</v>
          </cell>
          <cell r="F53" t="str">
            <v>BINGV29437</v>
          </cell>
          <cell r="G53">
            <v>529.4</v>
          </cell>
          <cell r="H53">
            <v>66.48</v>
          </cell>
        </row>
        <row r="54">
          <cell r="A54" t="str">
            <v>481003</v>
          </cell>
          <cell r="B54" t="str">
            <v>01986</v>
          </cell>
          <cell r="D54" t="str">
            <v>200</v>
          </cell>
          <cell r="E54" t="str">
            <v>2008-01-31</v>
          </cell>
          <cell r="F54" t="str">
            <v>BINGV29437</v>
          </cell>
          <cell r="G54">
            <v>-77.92</v>
          </cell>
          <cell r="H54">
            <v>0</v>
          </cell>
        </row>
        <row r="55">
          <cell r="A55" t="str">
            <v>481003</v>
          </cell>
          <cell r="B55" t="str">
            <v>01976</v>
          </cell>
          <cell r="D55" t="str">
            <v>200</v>
          </cell>
          <cell r="E55" t="str">
            <v>2008-01-31</v>
          </cell>
          <cell r="F55" t="str">
            <v>BINGV29437</v>
          </cell>
          <cell r="G55">
            <v>15796.09</v>
          </cell>
          <cell r="H55">
            <v>1983.6</v>
          </cell>
        </row>
        <row r="56">
          <cell r="A56" t="str">
            <v>481003</v>
          </cell>
          <cell r="B56" t="str">
            <v>01980</v>
          </cell>
          <cell r="D56" t="str">
            <v>200</v>
          </cell>
          <cell r="E56" t="str">
            <v>2008-01-31</v>
          </cell>
          <cell r="F56" t="str">
            <v>BINGV29437</v>
          </cell>
          <cell r="G56">
            <v>600.12</v>
          </cell>
          <cell r="H56">
            <v>75.36</v>
          </cell>
        </row>
        <row r="57">
          <cell r="A57" t="str">
            <v>481003</v>
          </cell>
          <cell r="B57" t="str">
            <v>01987</v>
          </cell>
          <cell r="D57" t="str">
            <v>200</v>
          </cell>
          <cell r="E57" t="str">
            <v>2008-01-31</v>
          </cell>
          <cell r="F57" t="str">
            <v>BINGV29437</v>
          </cell>
          <cell r="G57">
            <v>6595.23</v>
          </cell>
          <cell r="H57">
            <v>828.2</v>
          </cell>
        </row>
        <row r="58">
          <cell r="A58" t="str">
            <v>481003</v>
          </cell>
          <cell r="B58" t="str">
            <v>01978</v>
          </cell>
          <cell r="D58" t="str">
            <v>200</v>
          </cell>
          <cell r="E58" t="str">
            <v>2008-01-31</v>
          </cell>
          <cell r="F58" t="str">
            <v>BINGV29437</v>
          </cell>
          <cell r="G58">
            <v>4900.32</v>
          </cell>
          <cell r="H58">
            <v>615.36</v>
          </cell>
        </row>
        <row r="59">
          <cell r="A59" t="str">
            <v>481003</v>
          </cell>
          <cell r="B59" t="str">
            <v>01970</v>
          </cell>
          <cell r="D59" t="str">
            <v>200</v>
          </cell>
          <cell r="E59" t="str">
            <v>2008-01-31</v>
          </cell>
          <cell r="F59" t="str">
            <v>BINGV29437</v>
          </cell>
          <cell r="G59">
            <v>1610.89</v>
          </cell>
          <cell r="H59">
            <v>202.29</v>
          </cell>
        </row>
        <row r="60">
          <cell r="A60" t="str">
            <v>481003</v>
          </cell>
          <cell r="B60" t="str">
            <v>01971</v>
          </cell>
          <cell r="D60" t="str">
            <v>200</v>
          </cell>
          <cell r="E60" t="str">
            <v>2008-01-31</v>
          </cell>
          <cell r="F60" t="str">
            <v>BINGV29437</v>
          </cell>
          <cell r="G60">
            <v>4272.49</v>
          </cell>
          <cell r="H60">
            <v>536.52</v>
          </cell>
        </row>
        <row r="61">
          <cell r="A61" t="str">
            <v>481003</v>
          </cell>
          <cell r="B61" t="str">
            <v>01969</v>
          </cell>
          <cell r="D61" t="str">
            <v>200</v>
          </cell>
          <cell r="E61" t="str">
            <v>2008-01-31</v>
          </cell>
          <cell r="F61" t="str">
            <v>BINGV29437</v>
          </cell>
          <cell r="G61">
            <v>3182.15</v>
          </cell>
          <cell r="H61">
            <v>399.6</v>
          </cell>
        </row>
        <row r="62">
          <cell r="A62" t="str">
            <v>481003</v>
          </cell>
          <cell r="B62" t="str">
            <v>01977</v>
          </cell>
          <cell r="D62" t="str">
            <v>200</v>
          </cell>
          <cell r="E62" t="str">
            <v>2008-01-31</v>
          </cell>
          <cell r="F62" t="str">
            <v>BINGV29437</v>
          </cell>
          <cell r="G62">
            <v>5341.81</v>
          </cell>
          <cell r="H62">
            <v>670.8</v>
          </cell>
        </row>
        <row r="63">
          <cell r="A63" t="str">
            <v>481003</v>
          </cell>
          <cell r="B63" t="str">
            <v>01974</v>
          </cell>
          <cell r="D63" t="str">
            <v>200</v>
          </cell>
          <cell r="E63" t="str">
            <v>2008-01-31</v>
          </cell>
          <cell r="F63" t="str">
            <v>BINGV29437</v>
          </cell>
          <cell r="G63">
            <v>8548.7999999999993</v>
          </cell>
          <cell r="H63">
            <v>1073.52</v>
          </cell>
        </row>
        <row r="64">
          <cell r="A64" t="str">
            <v>481003</v>
          </cell>
          <cell r="B64" t="str">
            <v>01992</v>
          </cell>
          <cell r="D64" t="str">
            <v>200</v>
          </cell>
          <cell r="E64" t="str">
            <v>2008-01-31</v>
          </cell>
          <cell r="F64" t="str">
            <v>BINGV29437</v>
          </cell>
          <cell r="G64">
            <v>13027.57</v>
          </cell>
          <cell r="H64">
            <v>1635.94</v>
          </cell>
        </row>
        <row r="65">
          <cell r="A65" t="str">
            <v>481003</v>
          </cell>
          <cell r="B65" t="str">
            <v>01973</v>
          </cell>
          <cell r="D65" t="str">
            <v>200</v>
          </cell>
          <cell r="E65" t="str">
            <v>2008-01-31</v>
          </cell>
          <cell r="F65" t="str">
            <v>BINGV29437</v>
          </cell>
          <cell r="G65">
            <v>7631.67</v>
          </cell>
          <cell r="H65">
            <v>958.35</v>
          </cell>
        </row>
        <row r="66">
          <cell r="A66" t="str">
            <v>481003</v>
          </cell>
          <cell r="B66" t="str">
            <v>01952</v>
          </cell>
          <cell r="D66" t="str">
            <v>200</v>
          </cell>
          <cell r="E66" t="str">
            <v>2008-01-31</v>
          </cell>
          <cell r="F66" t="str">
            <v>BINGV29437</v>
          </cell>
          <cell r="G66">
            <v>7995.61</v>
          </cell>
          <cell r="H66">
            <v>1004.05</v>
          </cell>
        </row>
        <row r="67">
          <cell r="A67" t="str">
            <v>481003</v>
          </cell>
          <cell r="B67" t="str">
            <v>01991</v>
          </cell>
          <cell r="D67" t="str">
            <v>200</v>
          </cell>
          <cell r="E67" t="str">
            <v>2008-01-31</v>
          </cell>
          <cell r="F67" t="str">
            <v>472B</v>
          </cell>
          <cell r="G67">
            <v>26.34</v>
          </cell>
          <cell r="H67">
            <v>4.2699999999999996</v>
          </cell>
        </row>
        <row r="68">
          <cell r="A68" t="str">
            <v>481003</v>
          </cell>
          <cell r="B68" t="str">
            <v>01943</v>
          </cell>
          <cell r="D68" t="str">
            <v>200</v>
          </cell>
          <cell r="E68" t="str">
            <v>2008-01-31</v>
          </cell>
          <cell r="F68" t="str">
            <v>472B</v>
          </cell>
          <cell r="G68">
            <v>1711.36</v>
          </cell>
          <cell r="H68">
            <v>233.41</v>
          </cell>
        </row>
        <row r="69">
          <cell r="A69" t="str">
            <v>481003</v>
          </cell>
          <cell r="B69" t="str">
            <v>01953</v>
          </cell>
          <cell r="D69" t="str">
            <v>200</v>
          </cell>
          <cell r="E69" t="str">
            <v>2008-01-31</v>
          </cell>
          <cell r="F69" t="str">
            <v>472B</v>
          </cell>
          <cell r="G69">
            <v>10465.200000000001</v>
          </cell>
          <cell r="H69">
            <v>1684.54</v>
          </cell>
        </row>
        <row r="70">
          <cell r="A70" t="str">
            <v>481003</v>
          </cell>
          <cell r="B70" t="str">
            <v>01959</v>
          </cell>
          <cell r="D70" t="str">
            <v>200</v>
          </cell>
          <cell r="E70" t="str">
            <v>2008-02-29</v>
          </cell>
          <cell r="F70" t="str">
            <v>549ACORR1A</v>
          </cell>
          <cell r="G70">
            <v>-1269.55</v>
          </cell>
          <cell r="H70">
            <v>0</v>
          </cell>
        </row>
        <row r="71">
          <cell r="A71" t="str">
            <v>481003</v>
          </cell>
          <cell r="B71" t="str">
            <v>01943</v>
          </cell>
          <cell r="D71" t="str">
            <v>200</v>
          </cell>
          <cell r="E71" t="str">
            <v>2008-02-29</v>
          </cell>
          <cell r="F71" t="str">
            <v>549ACORR1A</v>
          </cell>
          <cell r="G71">
            <v>-614.55999999999995</v>
          </cell>
          <cell r="H71">
            <v>0</v>
          </cell>
        </row>
        <row r="72">
          <cell r="A72" t="str">
            <v>481003</v>
          </cell>
          <cell r="B72" t="str">
            <v>01990</v>
          </cell>
          <cell r="D72" t="str">
            <v>200</v>
          </cell>
          <cell r="E72" t="str">
            <v>2008-02-29</v>
          </cell>
          <cell r="F72" t="str">
            <v>549ACORR1A</v>
          </cell>
          <cell r="G72">
            <v>-1523.23</v>
          </cell>
          <cell r="H72">
            <v>0</v>
          </cell>
        </row>
        <row r="73">
          <cell r="A73" t="str">
            <v>481003</v>
          </cell>
          <cell r="B73" t="str">
            <v>01991</v>
          </cell>
          <cell r="D73" t="str">
            <v>200</v>
          </cell>
          <cell r="E73" t="str">
            <v>2008-02-29</v>
          </cell>
          <cell r="F73" t="str">
            <v>549ACORR1A</v>
          </cell>
          <cell r="G73">
            <v>-6.51</v>
          </cell>
          <cell r="H73">
            <v>0</v>
          </cell>
        </row>
        <row r="74">
          <cell r="A74" t="str">
            <v>481003</v>
          </cell>
          <cell r="B74" t="str">
            <v>01952</v>
          </cell>
          <cell r="D74" t="str">
            <v>200</v>
          </cell>
          <cell r="E74" t="str">
            <v>2008-02-29</v>
          </cell>
          <cell r="F74" t="str">
            <v>549ACORR1A</v>
          </cell>
          <cell r="G74">
            <v>-221.84</v>
          </cell>
          <cell r="H74">
            <v>0</v>
          </cell>
        </row>
        <row r="75">
          <cell r="A75" t="str">
            <v>481003</v>
          </cell>
          <cell r="B75" t="str">
            <v>01954</v>
          </cell>
          <cell r="D75" t="str">
            <v>200</v>
          </cell>
          <cell r="E75" t="str">
            <v>2008-02-29</v>
          </cell>
          <cell r="F75" t="str">
            <v>549ACORR1A</v>
          </cell>
          <cell r="G75">
            <v>-9.68</v>
          </cell>
          <cell r="H75">
            <v>0</v>
          </cell>
        </row>
        <row r="76">
          <cell r="A76" t="str">
            <v>481003</v>
          </cell>
          <cell r="B76" t="str">
            <v>01953</v>
          </cell>
          <cell r="D76" t="str">
            <v>200</v>
          </cell>
          <cell r="E76" t="str">
            <v>2008-02-29</v>
          </cell>
          <cell r="F76" t="str">
            <v>549ACORR1A</v>
          </cell>
          <cell r="G76">
            <v>-4064.38</v>
          </cell>
          <cell r="H76">
            <v>0</v>
          </cell>
        </row>
        <row r="77">
          <cell r="A77" t="str">
            <v>481003</v>
          </cell>
          <cell r="B77" t="str">
            <v>01986</v>
          </cell>
          <cell r="D77" t="str">
            <v>200</v>
          </cell>
          <cell r="E77" t="str">
            <v>2008-02-29</v>
          </cell>
          <cell r="F77" t="str">
            <v>549ACORR1A</v>
          </cell>
          <cell r="G77">
            <v>-409.34</v>
          </cell>
          <cell r="H77">
            <v>0</v>
          </cell>
        </row>
        <row r="78">
          <cell r="A78" t="str">
            <v>481003</v>
          </cell>
          <cell r="B78" t="str">
            <v>01959</v>
          </cell>
          <cell r="D78" t="str">
            <v>200</v>
          </cell>
          <cell r="E78" t="str">
            <v>2008-02-29</v>
          </cell>
          <cell r="F78" t="str">
            <v>549ACORR1</v>
          </cell>
          <cell r="G78">
            <v>1269.55</v>
          </cell>
          <cell r="H78">
            <v>0</v>
          </cell>
        </row>
        <row r="79">
          <cell r="A79" t="str">
            <v>481003</v>
          </cell>
          <cell r="B79" t="str">
            <v>01943</v>
          </cell>
          <cell r="D79" t="str">
            <v>200</v>
          </cell>
          <cell r="E79" t="str">
            <v>2008-02-29</v>
          </cell>
          <cell r="F79" t="str">
            <v>549ACORR1</v>
          </cell>
          <cell r="G79">
            <v>632</v>
          </cell>
          <cell r="H79">
            <v>0</v>
          </cell>
        </row>
        <row r="80">
          <cell r="A80" t="str">
            <v>481003</v>
          </cell>
          <cell r="B80" t="str">
            <v>01990</v>
          </cell>
          <cell r="D80" t="str">
            <v>200</v>
          </cell>
          <cell r="E80" t="str">
            <v>2008-02-29</v>
          </cell>
          <cell r="F80" t="str">
            <v>549ACORR1</v>
          </cell>
          <cell r="G80">
            <v>1523.23</v>
          </cell>
          <cell r="H80">
            <v>0</v>
          </cell>
        </row>
        <row r="81">
          <cell r="A81" t="str">
            <v>481003</v>
          </cell>
          <cell r="B81" t="str">
            <v>01991</v>
          </cell>
          <cell r="D81" t="str">
            <v>200</v>
          </cell>
          <cell r="E81" t="str">
            <v>2008-02-29</v>
          </cell>
          <cell r="F81" t="str">
            <v>549ACORR1</v>
          </cell>
          <cell r="G81">
            <v>6.51</v>
          </cell>
          <cell r="H81">
            <v>0</v>
          </cell>
        </row>
        <row r="82">
          <cell r="A82" t="str">
            <v>481003</v>
          </cell>
          <cell r="B82" t="str">
            <v>01952</v>
          </cell>
          <cell r="D82" t="str">
            <v>200</v>
          </cell>
          <cell r="E82" t="str">
            <v>2008-02-29</v>
          </cell>
          <cell r="F82" t="str">
            <v>549ACORR1</v>
          </cell>
          <cell r="G82">
            <v>221.84</v>
          </cell>
          <cell r="H82">
            <v>0</v>
          </cell>
        </row>
        <row r="83">
          <cell r="A83" t="str">
            <v>481003</v>
          </cell>
          <cell r="B83" t="str">
            <v>01954</v>
          </cell>
          <cell r="D83" t="str">
            <v>200</v>
          </cell>
          <cell r="E83" t="str">
            <v>2008-02-29</v>
          </cell>
          <cell r="F83" t="str">
            <v>549ACORR1</v>
          </cell>
          <cell r="G83">
            <v>9.68</v>
          </cell>
          <cell r="H83">
            <v>0</v>
          </cell>
        </row>
        <row r="84">
          <cell r="A84" t="str">
            <v>481003</v>
          </cell>
          <cell r="B84" t="str">
            <v>01986</v>
          </cell>
          <cell r="D84" t="str">
            <v>200</v>
          </cell>
          <cell r="E84" t="str">
            <v>2008-02-29</v>
          </cell>
          <cell r="F84" t="str">
            <v>549ACORR1</v>
          </cell>
          <cell r="G84">
            <v>409.34</v>
          </cell>
          <cell r="H84">
            <v>0</v>
          </cell>
        </row>
        <row r="85">
          <cell r="A85" t="str">
            <v>481003</v>
          </cell>
          <cell r="B85" t="str">
            <v>01953</v>
          </cell>
          <cell r="D85" t="str">
            <v>200</v>
          </cell>
          <cell r="E85" t="str">
            <v>2008-02-29</v>
          </cell>
          <cell r="F85" t="str">
            <v>549ACORR1</v>
          </cell>
          <cell r="G85">
            <v>4064.38</v>
          </cell>
          <cell r="H85">
            <v>0</v>
          </cell>
        </row>
        <row r="86">
          <cell r="A86" t="str">
            <v>481003</v>
          </cell>
          <cell r="B86" t="str">
            <v>01989</v>
          </cell>
          <cell r="D86" t="str">
            <v>200</v>
          </cell>
          <cell r="E86" t="str">
            <v>2008-02-29</v>
          </cell>
          <cell r="F86" t="str">
            <v>BINGV29704</v>
          </cell>
          <cell r="G86">
            <v>3618.86</v>
          </cell>
          <cell r="H86">
            <v>454.44</v>
          </cell>
        </row>
        <row r="87">
          <cell r="A87" t="str">
            <v>481003</v>
          </cell>
          <cell r="B87" t="str">
            <v>01959</v>
          </cell>
          <cell r="D87" t="str">
            <v>200</v>
          </cell>
          <cell r="E87" t="str">
            <v>2008-02-29</v>
          </cell>
          <cell r="F87" t="str">
            <v>BINGV29704</v>
          </cell>
          <cell r="G87">
            <v>2994.87</v>
          </cell>
          <cell r="H87">
            <v>376.08</v>
          </cell>
        </row>
        <row r="88">
          <cell r="A88" t="str">
            <v>481003</v>
          </cell>
          <cell r="B88" t="str">
            <v>01988</v>
          </cell>
          <cell r="D88" t="str">
            <v>200</v>
          </cell>
          <cell r="E88" t="str">
            <v>2008-02-29</v>
          </cell>
          <cell r="F88" t="str">
            <v>BINGV29704</v>
          </cell>
          <cell r="G88">
            <v>8669.06</v>
          </cell>
          <cell r="H88">
            <v>1088.6199999999999</v>
          </cell>
        </row>
        <row r="89">
          <cell r="A89" t="str">
            <v>481003</v>
          </cell>
          <cell r="B89" t="str">
            <v>01986</v>
          </cell>
          <cell r="D89" t="str">
            <v>200</v>
          </cell>
          <cell r="E89" t="str">
            <v>2008-02-29</v>
          </cell>
          <cell r="F89" t="str">
            <v>BINGV29704</v>
          </cell>
          <cell r="G89">
            <v>23874.69</v>
          </cell>
          <cell r="H89">
            <v>2998</v>
          </cell>
        </row>
        <row r="90">
          <cell r="A90" t="str">
            <v>481003</v>
          </cell>
          <cell r="B90" t="str">
            <v>01968</v>
          </cell>
          <cell r="D90" t="str">
            <v>200</v>
          </cell>
          <cell r="E90" t="str">
            <v>2008-02-29</v>
          </cell>
          <cell r="F90" t="str">
            <v>BINGV29704</v>
          </cell>
          <cell r="G90">
            <v>2723.47</v>
          </cell>
          <cell r="H90">
            <v>342</v>
          </cell>
        </row>
        <row r="91">
          <cell r="A91" t="str">
            <v>481003</v>
          </cell>
          <cell r="B91" t="str">
            <v>01979</v>
          </cell>
          <cell r="D91" t="str">
            <v>200</v>
          </cell>
          <cell r="E91" t="str">
            <v>2008-02-29</v>
          </cell>
          <cell r="F91" t="str">
            <v>BINGV29704</v>
          </cell>
          <cell r="G91">
            <v>371.8</v>
          </cell>
          <cell r="H91">
            <v>46.69</v>
          </cell>
        </row>
        <row r="92">
          <cell r="A92" t="str">
            <v>481003</v>
          </cell>
          <cell r="B92" t="str">
            <v>01976</v>
          </cell>
          <cell r="D92" t="str">
            <v>200</v>
          </cell>
          <cell r="E92" t="str">
            <v>2008-02-29</v>
          </cell>
          <cell r="F92" t="str">
            <v>BINGV29704</v>
          </cell>
          <cell r="G92">
            <v>21944.41</v>
          </cell>
          <cell r="H92">
            <v>2755.68</v>
          </cell>
        </row>
        <row r="93">
          <cell r="A93" t="str">
            <v>481003</v>
          </cell>
          <cell r="B93" t="str">
            <v>01980</v>
          </cell>
          <cell r="D93" t="str">
            <v>200</v>
          </cell>
          <cell r="E93" t="str">
            <v>2008-02-29</v>
          </cell>
          <cell r="F93" t="str">
            <v>BINGV29704</v>
          </cell>
          <cell r="G93">
            <v>424.29</v>
          </cell>
          <cell r="H93">
            <v>53.28</v>
          </cell>
        </row>
        <row r="94">
          <cell r="A94" t="str">
            <v>481003</v>
          </cell>
          <cell r="B94" t="str">
            <v>01977</v>
          </cell>
          <cell r="D94" t="str">
            <v>200</v>
          </cell>
          <cell r="E94" t="str">
            <v>2008-02-29</v>
          </cell>
          <cell r="F94" t="str">
            <v>BINGV29704</v>
          </cell>
          <cell r="G94">
            <v>5252.94</v>
          </cell>
          <cell r="H94">
            <v>659.64</v>
          </cell>
        </row>
        <row r="95">
          <cell r="A95" t="str">
            <v>481003</v>
          </cell>
          <cell r="B95" t="str">
            <v>01974</v>
          </cell>
          <cell r="D95" t="str">
            <v>200</v>
          </cell>
          <cell r="E95" t="str">
            <v>2008-02-29</v>
          </cell>
          <cell r="F95" t="str">
            <v>BINGV29704</v>
          </cell>
          <cell r="G95">
            <v>8112.1</v>
          </cell>
          <cell r="H95">
            <v>1018.68</v>
          </cell>
        </row>
        <row r="96">
          <cell r="A96" t="str">
            <v>481003</v>
          </cell>
          <cell r="B96" t="str">
            <v>01992</v>
          </cell>
          <cell r="D96" t="str">
            <v>200</v>
          </cell>
          <cell r="E96" t="str">
            <v>2008-02-29</v>
          </cell>
          <cell r="F96" t="str">
            <v>BINGV29704</v>
          </cell>
          <cell r="G96">
            <v>16798.259999999998</v>
          </cell>
          <cell r="H96">
            <v>2109.4499999999998</v>
          </cell>
        </row>
        <row r="97">
          <cell r="A97" t="str">
            <v>481003</v>
          </cell>
          <cell r="B97" t="str">
            <v>01973</v>
          </cell>
          <cell r="D97" t="str">
            <v>200</v>
          </cell>
          <cell r="E97" t="str">
            <v>2008-02-29</v>
          </cell>
          <cell r="F97" t="str">
            <v>BINGV29704</v>
          </cell>
          <cell r="G97">
            <v>8825.99</v>
          </cell>
          <cell r="H97">
            <v>1108.33</v>
          </cell>
        </row>
        <row r="98">
          <cell r="A98" t="str">
            <v>481003</v>
          </cell>
          <cell r="B98" t="str">
            <v>01952</v>
          </cell>
          <cell r="D98" t="str">
            <v>200</v>
          </cell>
          <cell r="E98" t="str">
            <v>2008-02-29</v>
          </cell>
          <cell r="F98" t="str">
            <v>BINGV29704</v>
          </cell>
          <cell r="G98">
            <v>6337.64</v>
          </cell>
          <cell r="H98">
            <v>795.85</v>
          </cell>
        </row>
        <row r="99">
          <cell r="A99" t="str">
            <v>481003</v>
          </cell>
          <cell r="B99" t="str">
            <v>01987</v>
          </cell>
          <cell r="D99" t="str">
            <v>200</v>
          </cell>
          <cell r="E99" t="str">
            <v>2008-02-29</v>
          </cell>
          <cell r="F99" t="str">
            <v>BINGV29704</v>
          </cell>
          <cell r="G99">
            <v>10572.35</v>
          </cell>
          <cell r="H99">
            <v>1327.62</v>
          </cell>
        </row>
        <row r="100">
          <cell r="A100" t="str">
            <v>481003</v>
          </cell>
          <cell r="B100" t="str">
            <v>01978</v>
          </cell>
          <cell r="D100" t="str">
            <v>200</v>
          </cell>
          <cell r="E100" t="str">
            <v>2008-02-29</v>
          </cell>
          <cell r="F100" t="str">
            <v>BINGV29704</v>
          </cell>
          <cell r="G100">
            <v>5196.55</v>
          </cell>
          <cell r="H100">
            <v>652.55999999999995</v>
          </cell>
        </row>
        <row r="101">
          <cell r="A101" t="str">
            <v>481003</v>
          </cell>
          <cell r="B101" t="str">
            <v>01970</v>
          </cell>
          <cell r="D101" t="str">
            <v>200</v>
          </cell>
          <cell r="E101" t="str">
            <v>2008-02-29</v>
          </cell>
          <cell r="F101" t="str">
            <v>BINGV29704</v>
          </cell>
          <cell r="G101">
            <v>1671.88</v>
          </cell>
          <cell r="H101">
            <v>209.45</v>
          </cell>
        </row>
        <row r="102">
          <cell r="A102" t="str">
            <v>481003</v>
          </cell>
          <cell r="B102" t="str">
            <v>01971</v>
          </cell>
          <cell r="D102" t="str">
            <v>200</v>
          </cell>
          <cell r="E102" t="str">
            <v>2008-02-29</v>
          </cell>
          <cell r="F102" t="str">
            <v>BINGV29704</v>
          </cell>
          <cell r="G102">
            <v>6650.03</v>
          </cell>
          <cell r="H102">
            <v>835.08</v>
          </cell>
        </row>
        <row r="103">
          <cell r="A103" t="str">
            <v>481003</v>
          </cell>
          <cell r="B103" t="str">
            <v>01959</v>
          </cell>
          <cell r="D103" t="str">
            <v>200</v>
          </cell>
          <cell r="E103" t="str">
            <v>2008-02-29</v>
          </cell>
          <cell r="F103" t="str">
            <v>549A</v>
          </cell>
          <cell r="G103">
            <v>-2976.14</v>
          </cell>
          <cell r="H103">
            <v>0</v>
          </cell>
        </row>
        <row r="104">
          <cell r="A104" t="str">
            <v>481003</v>
          </cell>
          <cell r="B104" t="str">
            <v>01943</v>
          </cell>
          <cell r="D104" t="str">
            <v>200</v>
          </cell>
          <cell r="E104" t="str">
            <v>2008-02-29</v>
          </cell>
          <cell r="F104" t="str">
            <v>549A</v>
          </cell>
          <cell r="G104">
            <v>-564.41999999999996</v>
          </cell>
          <cell r="H104">
            <v>0</v>
          </cell>
        </row>
        <row r="105">
          <cell r="A105" t="str">
            <v>481003</v>
          </cell>
          <cell r="B105" t="str">
            <v>01990</v>
          </cell>
          <cell r="D105" t="str">
            <v>200</v>
          </cell>
          <cell r="E105" t="str">
            <v>2008-02-29</v>
          </cell>
          <cell r="F105" t="str">
            <v>549A</v>
          </cell>
          <cell r="G105">
            <v>-1829.21</v>
          </cell>
          <cell r="H105">
            <v>0</v>
          </cell>
        </row>
        <row r="106">
          <cell r="A106" t="str">
            <v>481003</v>
          </cell>
          <cell r="B106" t="str">
            <v>01991</v>
          </cell>
          <cell r="D106" t="str">
            <v>200</v>
          </cell>
          <cell r="E106" t="str">
            <v>2008-02-29</v>
          </cell>
          <cell r="F106" t="str">
            <v>549A</v>
          </cell>
          <cell r="G106">
            <v>-9.9</v>
          </cell>
          <cell r="H106">
            <v>0</v>
          </cell>
        </row>
        <row r="107">
          <cell r="A107" t="str">
            <v>481003</v>
          </cell>
          <cell r="B107" t="str">
            <v>01993</v>
          </cell>
          <cell r="D107" t="str">
            <v>200</v>
          </cell>
          <cell r="E107" t="str">
            <v>2008-02-29</v>
          </cell>
          <cell r="F107" t="str">
            <v>549A</v>
          </cell>
          <cell r="G107">
            <v>-244.31</v>
          </cell>
          <cell r="H107">
            <v>0</v>
          </cell>
        </row>
        <row r="108">
          <cell r="A108" t="str">
            <v>481003</v>
          </cell>
          <cell r="B108" t="str">
            <v>01954</v>
          </cell>
          <cell r="D108" t="str">
            <v>200</v>
          </cell>
          <cell r="E108" t="str">
            <v>2008-02-29</v>
          </cell>
          <cell r="F108" t="str">
            <v>549A</v>
          </cell>
          <cell r="G108">
            <v>-7.79</v>
          </cell>
          <cell r="H108">
            <v>0</v>
          </cell>
        </row>
        <row r="109">
          <cell r="A109" t="str">
            <v>481003</v>
          </cell>
          <cell r="B109" t="str">
            <v>01953</v>
          </cell>
          <cell r="D109" t="str">
            <v>200</v>
          </cell>
          <cell r="E109" t="str">
            <v>2008-02-29</v>
          </cell>
          <cell r="F109" t="str">
            <v>549A</v>
          </cell>
          <cell r="G109">
            <v>-3435.32</v>
          </cell>
          <cell r="H109">
            <v>0</v>
          </cell>
        </row>
        <row r="110">
          <cell r="A110" t="str">
            <v>481003</v>
          </cell>
          <cell r="B110" t="str">
            <v>01986</v>
          </cell>
          <cell r="D110" t="str">
            <v>200</v>
          </cell>
          <cell r="E110" t="str">
            <v>2008-02-29</v>
          </cell>
          <cell r="F110" t="str">
            <v>549A</v>
          </cell>
          <cell r="G110">
            <v>-454.21</v>
          </cell>
          <cell r="H110">
            <v>0</v>
          </cell>
        </row>
        <row r="111">
          <cell r="A111" t="str">
            <v>481003</v>
          </cell>
          <cell r="B111" t="str">
            <v>01990</v>
          </cell>
          <cell r="D111" t="str">
            <v>200</v>
          </cell>
          <cell r="E111" t="str">
            <v>2008-02-29</v>
          </cell>
          <cell r="F111" t="str">
            <v>470</v>
          </cell>
          <cell r="G111">
            <v>6380.17</v>
          </cell>
          <cell r="H111">
            <v>1199.48</v>
          </cell>
        </row>
        <row r="112">
          <cell r="A112" t="str">
            <v>481003</v>
          </cell>
          <cell r="B112" t="str">
            <v>01953</v>
          </cell>
          <cell r="D112" t="str">
            <v>200</v>
          </cell>
          <cell r="E112" t="str">
            <v>2008-02-29</v>
          </cell>
          <cell r="F112" t="str">
            <v>470</v>
          </cell>
          <cell r="G112">
            <v>5167.0600000000004</v>
          </cell>
          <cell r="H112">
            <v>971.37</v>
          </cell>
        </row>
        <row r="113">
          <cell r="A113" t="str">
            <v>481003</v>
          </cell>
          <cell r="B113" t="str">
            <v>01986</v>
          </cell>
          <cell r="D113" t="str">
            <v>200</v>
          </cell>
          <cell r="E113" t="str">
            <v>2008-02-29</v>
          </cell>
          <cell r="F113" t="str">
            <v>470</v>
          </cell>
          <cell r="G113">
            <v>1584.14</v>
          </cell>
          <cell r="H113">
            <v>297.83999999999997</v>
          </cell>
        </row>
        <row r="114">
          <cell r="A114" t="str">
            <v>481003</v>
          </cell>
          <cell r="B114" t="str">
            <v>01959</v>
          </cell>
          <cell r="D114" t="str">
            <v>200</v>
          </cell>
          <cell r="E114" t="str">
            <v>2008-02-29</v>
          </cell>
          <cell r="F114" t="str">
            <v>470</v>
          </cell>
          <cell r="G114">
            <v>10380.19</v>
          </cell>
          <cell r="H114">
            <v>1951.57</v>
          </cell>
        </row>
        <row r="115">
          <cell r="A115" t="str">
            <v>481003</v>
          </cell>
          <cell r="B115" t="str">
            <v>01993</v>
          </cell>
          <cell r="D115" t="str">
            <v>200</v>
          </cell>
          <cell r="E115" t="str">
            <v>2008-02-29</v>
          </cell>
          <cell r="F115" t="str">
            <v>470</v>
          </cell>
          <cell r="G115">
            <v>1002.54</v>
          </cell>
          <cell r="H115">
            <v>160.19999999999999</v>
          </cell>
        </row>
        <row r="116">
          <cell r="A116" t="str">
            <v>481003</v>
          </cell>
          <cell r="B116" t="str">
            <v>01943</v>
          </cell>
          <cell r="D116" t="str">
            <v>200</v>
          </cell>
          <cell r="E116" t="str">
            <v>2008-02-29</v>
          </cell>
          <cell r="F116" t="str">
            <v>470</v>
          </cell>
          <cell r="G116">
            <v>429.28</v>
          </cell>
          <cell r="H116">
            <v>66.73</v>
          </cell>
        </row>
        <row r="117">
          <cell r="A117" t="str">
            <v>481003</v>
          </cell>
          <cell r="B117" t="str">
            <v>01954</v>
          </cell>
          <cell r="D117" t="str">
            <v>200</v>
          </cell>
          <cell r="E117" t="str">
            <v>2008-02-29</v>
          </cell>
          <cell r="F117" t="str">
            <v>472B</v>
          </cell>
          <cell r="G117">
            <v>31.5</v>
          </cell>
          <cell r="H117">
            <v>5.1100000000000003</v>
          </cell>
        </row>
        <row r="118">
          <cell r="A118" t="str">
            <v>481003</v>
          </cell>
          <cell r="B118" t="str">
            <v>01991</v>
          </cell>
          <cell r="D118" t="str">
            <v>200</v>
          </cell>
          <cell r="E118" t="str">
            <v>2008-02-29</v>
          </cell>
          <cell r="F118" t="str">
            <v>472B</v>
          </cell>
          <cell r="G118">
            <v>40.020000000000003</v>
          </cell>
          <cell r="H118">
            <v>6.49</v>
          </cell>
        </row>
        <row r="119">
          <cell r="A119" t="str">
            <v>481003</v>
          </cell>
          <cell r="B119" t="str">
            <v>01943</v>
          </cell>
          <cell r="D119" t="str">
            <v>200</v>
          </cell>
          <cell r="E119" t="str">
            <v>2008-02-29</v>
          </cell>
          <cell r="F119" t="str">
            <v>472B</v>
          </cell>
          <cell r="G119">
            <v>1459.64</v>
          </cell>
          <cell r="H119">
            <v>199.05</v>
          </cell>
        </row>
        <row r="120">
          <cell r="A120" t="str">
            <v>481003</v>
          </cell>
          <cell r="B120" t="str">
            <v>01953</v>
          </cell>
          <cell r="D120" t="str">
            <v>200</v>
          </cell>
          <cell r="E120" t="str">
            <v>2008-02-29</v>
          </cell>
          <cell r="F120" t="str">
            <v>472B</v>
          </cell>
          <cell r="G120">
            <v>7961.38</v>
          </cell>
          <cell r="H120">
            <v>1281.3</v>
          </cell>
        </row>
        <row r="121">
          <cell r="A121" t="str">
            <v>481003</v>
          </cell>
          <cell r="B121" t="str">
            <v>01954</v>
          </cell>
          <cell r="D121" t="str">
            <v>200</v>
          </cell>
          <cell r="E121" t="str">
            <v>2008-03-31</v>
          </cell>
          <cell r="F121" t="str">
            <v>472B</v>
          </cell>
          <cell r="G121">
            <v>30.45</v>
          </cell>
          <cell r="H121">
            <v>5.64</v>
          </cell>
        </row>
        <row r="122">
          <cell r="A122" t="str">
            <v>481003</v>
          </cell>
          <cell r="B122" t="str">
            <v>01990</v>
          </cell>
          <cell r="D122" t="str">
            <v>200</v>
          </cell>
          <cell r="E122" t="str">
            <v>2008-03-31</v>
          </cell>
          <cell r="F122" t="str">
            <v>470</v>
          </cell>
          <cell r="G122">
            <v>4905.1899999999996</v>
          </cell>
          <cell r="H122">
            <v>922.57</v>
          </cell>
        </row>
        <row r="123">
          <cell r="A123" t="str">
            <v>481003</v>
          </cell>
          <cell r="B123" t="str">
            <v>01953</v>
          </cell>
          <cell r="D123" t="str">
            <v>200</v>
          </cell>
          <cell r="E123" t="str">
            <v>2008-03-31</v>
          </cell>
          <cell r="F123" t="str">
            <v>470</v>
          </cell>
          <cell r="G123">
            <v>5608.09</v>
          </cell>
          <cell r="H123">
            <v>1054.83</v>
          </cell>
        </row>
        <row r="124">
          <cell r="A124" t="str">
            <v>481003</v>
          </cell>
          <cell r="B124" t="str">
            <v>01986</v>
          </cell>
          <cell r="D124" t="str">
            <v>200</v>
          </cell>
          <cell r="E124" t="str">
            <v>2008-03-31</v>
          </cell>
          <cell r="F124" t="str">
            <v>470</v>
          </cell>
          <cell r="G124">
            <v>1930.44</v>
          </cell>
          <cell r="H124">
            <v>363.09</v>
          </cell>
        </row>
        <row r="125">
          <cell r="A125" t="str">
            <v>481003</v>
          </cell>
          <cell r="B125" t="str">
            <v>01959</v>
          </cell>
          <cell r="D125" t="str">
            <v>200</v>
          </cell>
          <cell r="E125" t="str">
            <v>2008-03-31</v>
          </cell>
          <cell r="F125" t="str">
            <v>470</v>
          </cell>
          <cell r="G125">
            <v>14903.76</v>
          </cell>
          <cell r="H125">
            <v>2803.23</v>
          </cell>
        </row>
        <row r="126">
          <cell r="A126" t="str">
            <v>481003</v>
          </cell>
          <cell r="B126" t="str">
            <v>01993</v>
          </cell>
          <cell r="D126" t="str">
            <v>200</v>
          </cell>
          <cell r="E126" t="str">
            <v>2008-03-31</v>
          </cell>
          <cell r="F126" t="str">
            <v>470</v>
          </cell>
          <cell r="G126">
            <v>1320.67</v>
          </cell>
          <cell r="H126">
            <v>211.02</v>
          </cell>
        </row>
        <row r="127">
          <cell r="A127" t="str">
            <v>481003</v>
          </cell>
          <cell r="B127" t="str">
            <v>01943</v>
          </cell>
          <cell r="D127" t="str">
            <v>200</v>
          </cell>
          <cell r="E127" t="str">
            <v>2008-03-31</v>
          </cell>
          <cell r="F127" t="str">
            <v>470</v>
          </cell>
          <cell r="G127">
            <v>551.49</v>
          </cell>
          <cell r="H127">
            <v>85.73</v>
          </cell>
        </row>
        <row r="128">
          <cell r="A128" t="str">
            <v>481003</v>
          </cell>
          <cell r="B128" t="str">
            <v>01991</v>
          </cell>
          <cell r="D128" t="str">
            <v>200</v>
          </cell>
          <cell r="E128" t="str">
            <v>2008-03-31</v>
          </cell>
          <cell r="F128" t="str">
            <v>472B</v>
          </cell>
          <cell r="G128">
            <v>37.92</v>
          </cell>
          <cell r="H128">
            <v>7.02</v>
          </cell>
        </row>
        <row r="129">
          <cell r="A129" t="str">
            <v>481003</v>
          </cell>
          <cell r="B129" t="str">
            <v>01943</v>
          </cell>
          <cell r="D129" t="str">
            <v>200</v>
          </cell>
          <cell r="E129" t="str">
            <v>2008-03-31</v>
          </cell>
          <cell r="F129" t="str">
            <v>472B</v>
          </cell>
          <cell r="G129">
            <v>1071.28</v>
          </cell>
          <cell r="H129">
            <v>200.16</v>
          </cell>
        </row>
        <row r="130">
          <cell r="A130" t="str">
            <v>481003</v>
          </cell>
          <cell r="B130" t="str">
            <v>01953</v>
          </cell>
          <cell r="D130" t="str">
            <v>200</v>
          </cell>
          <cell r="E130" t="str">
            <v>2008-03-31</v>
          </cell>
          <cell r="F130" t="str">
            <v>472B</v>
          </cell>
          <cell r="G130">
            <v>8383.32</v>
          </cell>
          <cell r="H130">
            <v>1541.5</v>
          </cell>
        </row>
        <row r="131">
          <cell r="A131" t="str">
            <v>481003</v>
          </cell>
          <cell r="B131" t="str">
            <v>01959</v>
          </cell>
          <cell r="D131" t="str">
            <v>200</v>
          </cell>
          <cell r="E131" t="str">
            <v>2008-03-31</v>
          </cell>
          <cell r="F131" t="str">
            <v>549A</v>
          </cell>
          <cell r="G131">
            <v>-4274.93</v>
          </cell>
          <cell r="H131">
            <v>0</v>
          </cell>
        </row>
        <row r="132">
          <cell r="A132" t="str">
            <v>481003</v>
          </cell>
          <cell r="B132" t="str">
            <v>01943</v>
          </cell>
          <cell r="D132" t="str">
            <v>200</v>
          </cell>
          <cell r="E132" t="str">
            <v>2008-03-31</v>
          </cell>
          <cell r="F132" t="str">
            <v>549A</v>
          </cell>
          <cell r="G132">
            <v>-607.12</v>
          </cell>
          <cell r="H132">
            <v>0</v>
          </cell>
        </row>
        <row r="133">
          <cell r="A133" t="str">
            <v>481003</v>
          </cell>
          <cell r="B133" t="str">
            <v>01990</v>
          </cell>
          <cell r="D133" t="str">
            <v>200</v>
          </cell>
          <cell r="E133" t="str">
            <v>2008-03-31</v>
          </cell>
          <cell r="F133" t="str">
            <v>549A</v>
          </cell>
          <cell r="G133">
            <v>-1406.92</v>
          </cell>
          <cell r="H133">
            <v>0</v>
          </cell>
        </row>
        <row r="134">
          <cell r="A134" t="str">
            <v>481003</v>
          </cell>
          <cell r="B134" t="str">
            <v>01991</v>
          </cell>
          <cell r="D134" t="str">
            <v>200</v>
          </cell>
          <cell r="E134" t="str">
            <v>2008-03-31</v>
          </cell>
          <cell r="F134" t="str">
            <v>549A</v>
          </cell>
          <cell r="G134">
            <v>-10.71</v>
          </cell>
          <cell r="H134">
            <v>0</v>
          </cell>
        </row>
        <row r="135">
          <cell r="A135" t="str">
            <v>481003</v>
          </cell>
          <cell r="B135" t="str">
            <v>01993</v>
          </cell>
          <cell r="D135" t="str">
            <v>200</v>
          </cell>
          <cell r="E135" t="str">
            <v>2008-03-31</v>
          </cell>
          <cell r="F135" t="str">
            <v>549A</v>
          </cell>
          <cell r="G135">
            <v>-321.81</v>
          </cell>
          <cell r="H135">
            <v>0</v>
          </cell>
        </row>
        <row r="136">
          <cell r="A136" t="str">
            <v>481003</v>
          </cell>
          <cell r="B136" t="str">
            <v>01954</v>
          </cell>
          <cell r="D136" t="str">
            <v>200</v>
          </cell>
          <cell r="E136" t="str">
            <v>2008-03-31</v>
          </cell>
          <cell r="F136" t="str">
            <v>549A</v>
          </cell>
          <cell r="G136">
            <v>-8.6</v>
          </cell>
          <cell r="H136">
            <v>0</v>
          </cell>
        </row>
        <row r="137">
          <cell r="A137" t="str">
            <v>481003</v>
          </cell>
          <cell r="B137" t="str">
            <v>01953</v>
          </cell>
          <cell r="D137" t="str">
            <v>200</v>
          </cell>
          <cell r="E137" t="str">
            <v>2008-03-31</v>
          </cell>
          <cell r="F137" t="str">
            <v>549A</v>
          </cell>
          <cell r="G137">
            <v>-3959.4</v>
          </cell>
          <cell r="H137">
            <v>0</v>
          </cell>
        </row>
        <row r="138">
          <cell r="A138" t="str">
            <v>481003</v>
          </cell>
          <cell r="B138" t="str">
            <v>01986</v>
          </cell>
          <cell r="D138" t="str">
            <v>200</v>
          </cell>
          <cell r="E138" t="str">
            <v>2008-03-31</v>
          </cell>
          <cell r="F138" t="str">
            <v>549A</v>
          </cell>
          <cell r="G138">
            <v>-553.71</v>
          </cell>
          <cell r="H138">
            <v>0</v>
          </cell>
        </row>
        <row r="139">
          <cell r="A139" t="str">
            <v>481003</v>
          </cell>
          <cell r="B139" t="str">
            <v>01968</v>
          </cell>
          <cell r="D139" t="str">
            <v>200</v>
          </cell>
          <cell r="E139" t="str">
            <v>2008-03-31</v>
          </cell>
          <cell r="F139" t="str">
            <v>BINGV30236</v>
          </cell>
          <cell r="G139">
            <v>2620.14</v>
          </cell>
          <cell r="H139">
            <v>329.4</v>
          </cell>
        </row>
        <row r="140">
          <cell r="A140" t="str">
            <v>481003</v>
          </cell>
          <cell r="B140" t="str">
            <v>01979</v>
          </cell>
          <cell r="D140" t="str">
            <v>200</v>
          </cell>
          <cell r="E140" t="str">
            <v>2008-03-31</v>
          </cell>
          <cell r="F140" t="str">
            <v>BINGV30236</v>
          </cell>
          <cell r="G140">
            <v>359.93</v>
          </cell>
          <cell r="H140">
            <v>45.25</v>
          </cell>
        </row>
        <row r="141">
          <cell r="A141" t="str">
            <v>481003</v>
          </cell>
          <cell r="B141" t="str">
            <v>01994</v>
          </cell>
          <cell r="D141" t="str">
            <v>200</v>
          </cell>
          <cell r="E141" t="str">
            <v>2008-03-31</v>
          </cell>
          <cell r="F141" t="str">
            <v>BINGV30236</v>
          </cell>
          <cell r="G141">
            <v>4785.3100000000004</v>
          </cell>
          <cell r="H141">
            <v>601.6</v>
          </cell>
        </row>
        <row r="142">
          <cell r="A142" t="str">
            <v>481003</v>
          </cell>
          <cell r="B142" t="str">
            <v>01976</v>
          </cell>
          <cell r="D142" t="str">
            <v>200</v>
          </cell>
          <cell r="E142" t="str">
            <v>2008-03-31</v>
          </cell>
          <cell r="F142" t="str">
            <v>BINGV30236</v>
          </cell>
          <cell r="G142">
            <v>25644.03</v>
          </cell>
          <cell r="H142">
            <v>3223.92</v>
          </cell>
        </row>
        <row r="143">
          <cell r="A143" t="str">
            <v>481003</v>
          </cell>
          <cell r="B143" t="str">
            <v>01980</v>
          </cell>
          <cell r="D143" t="str">
            <v>200</v>
          </cell>
          <cell r="E143" t="str">
            <v>2008-03-31</v>
          </cell>
          <cell r="F143" t="str">
            <v>BINGV30236</v>
          </cell>
          <cell r="G143">
            <v>355.08</v>
          </cell>
          <cell r="H143">
            <v>44.64</v>
          </cell>
        </row>
        <row r="144">
          <cell r="A144" t="str">
            <v>481003</v>
          </cell>
          <cell r="B144" t="str">
            <v>01987</v>
          </cell>
          <cell r="D144" t="str">
            <v>200</v>
          </cell>
          <cell r="E144" t="str">
            <v>2008-03-31</v>
          </cell>
          <cell r="F144" t="str">
            <v>BINGV30236</v>
          </cell>
          <cell r="G144">
            <v>14058.19</v>
          </cell>
          <cell r="H144">
            <v>1767.37</v>
          </cell>
        </row>
        <row r="145">
          <cell r="A145" t="str">
            <v>481003</v>
          </cell>
          <cell r="B145" t="str">
            <v>01978</v>
          </cell>
          <cell r="D145" t="str">
            <v>200</v>
          </cell>
          <cell r="E145" t="str">
            <v>2008-03-31</v>
          </cell>
          <cell r="F145" t="str">
            <v>BINGV30236</v>
          </cell>
          <cell r="G145">
            <v>5675.56</v>
          </cell>
          <cell r="H145">
            <v>713.52</v>
          </cell>
        </row>
        <row r="146">
          <cell r="A146" t="str">
            <v>481003</v>
          </cell>
          <cell r="B146" t="str">
            <v>01970</v>
          </cell>
          <cell r="D146" t="str">
            <v>200</v>
          </cell>
          <cell r="E146" t="str">
            <v>2008-03-31</v>
          </cell>
          <cell r="F146" t="str">
            <v>BINGV30236</v>
          </cell>
          <cell r="G146">
            <v>1876.6</v>
          </cell>
          <cell r="H146">
            <v>235.92</v>
          </cell>
        </row>
        <row r="147">
          <cell r="A147" t="str">
            <v>481003</v>
          </cell>
          <cell r="B147" t="str">
            <v>01971</v>
          </cell>
          <cell r="D147" t="str">
            <v>200</v>
          </cell>
          <cell r="E147" t="str">
            <v>2008-03-31</v>
          </cell>
          <cell r="F147" t="str">
            <v>BINGV30236</v>
          </cell>
          <cell r="G147">
            <v>3908.74</v>
          </cell>
          <cell r="H147">
            <v>491.4</v>
          </cell>
        </row>
        <row r="148">
          <cell r="A148" t="str">
            <v>481003</v>
          </cell>
          <cell r="B148" t="str">
            <v>01969</v>
          </cell>
          <cell r="D148" t="str">
            <v>200</v>
          </cell>
          <cell r="E148" t="str">
            <v>2008-03-31</v>
          </cell>
          <cell r="F148" t="str">
            <v>BINGV30236</v>
          </cell>
          <cell r="G148">
            <v>3438.17</v>
          </cell>
          <cell r="H148">
            <v>432.24</v>
          </cell>
        </row>
        <row r="149">
          <cell r="A149" t="str">
            <v>481003</v>
          </cell>
          <cell r="B149" t="str">
            <v>01977</v>
          </cell>
          <cell r="D149" t="str">
            <v>200</v>
          </cell>
          <cell r="E149" t="str">
            <v>2008-03-31</v>
          </cell>
          <cell r="F149" t="str">
            <v>BINGV30236</v>
          </cell>
          <cell r="G149">
            <v>5137.2</v>
          </cell>
          <cell r="H149">
            <v>545.84</v>
          </cell>
        </row>
        <row r="150">
          <cell r="A150" t="str">
            <v>481003</v>
          </cell>
          <cell r="B150" t="str">
            <v>01974</v>
          </cell>
          <cell r="D150" t="str">
            <v>200</v>
          </cell>
          <cell r="E150" t="str">
            <v>2008-03-31</v>
          </cell>
          <cell r="F150" t="str">
            <v>BINGV30236</v>
          </cell>
          <cell r="G150">
            <v>9338.0300000000007</v>
          </cell>
          <cell r="H150">
            <v>1173.96</v>
          </cell>
        </row>
        <row r="151">
          <cell r="A151" t="str">
            <v>481003</v>
          </cell>
          <cell r="B151" t="str">
            <v>01992</v>
          </cell>
          <cell r="D151" t="str">
            <v>200</v>
          </cell>
          <cell r="E151" t="str">
            <v>2008-03-31</v>
          </cell>
          <cell r="F151" t="str">
            <v>BINGV30236</v>
          </cell>
          <cell r="G151">
            <v>13695.63</v>
          </cell>
          <cell r="H151">
            <v>1721.79</v>
          </cell>
        </row>
        <row r="152">
          <cell r="A152" t="str">
            <v>481003</v>
          </cell>
          <cell r="B152" t="str">
            <v>01973</v>
          </cell>
          <cell r="D152" t="str">
            <v>200</v>
          </cell>
          <cell r="E152" t="str">
            <v>2008-03-31</v>
          </cell>
          <cell r="F152" t="str">
            <v>BINGV30236</v>
          </cell>
          <cell r="G152">
            <v>8921.1299999999992</v>
          </cell>
          <cell r="H152">
            <v>1121.58</v>
          </cell>
        </row>
        <row r="153">
          <cell r="A153" t="str">
            <v>481003</v>
          </cell>
          <cell r="B153" t="str">
            <v>01952</v>
          </cell>
          <cell r="D153" t="str">
            <v>200</v>
          </cell>
          <cell r="E153" t="str">
            <v>2008-03-31</v>
          </cell>
          <cell r="F153" t="str">
            <v>BINGV30236</v>
          </cell>
          <cell r="G153">
            <v>10998.98</v>
          </cell>
          <cell r="H153">
            <v>1382.77</v>
          </cell>
        </row>
        <row r="154">
          <cell r="A154" t="str">
            <v>481003</v>
          </cell>
          <cell r="B154" t="str">
            <v>01989</v>
          </cell>
          <cell r="D154" t="str">
            <v>200</v>
          </cell>
          <cell r="E154" t="str">
            <v>2008-03-31</v>
          </cell>
          <cell r="F154" t="str">
            <v>BINGV30236</v>
          </cell>
          <cell r="G154">
            <v>3252.99</v>
          </cell>
          <cell r="H154">
            <v>408.96</v>
          </cell>
        </row>
        <row r="155">
          <cell r="A155" t="str">
            <v>481003</v>
          </cell>
          <cell r="B155" t="str">
            <v>01988</v>
          </cell>
          <cell r="D155" t="str">
            <v>200</v>
          </cell>
          <cell r="E155" t="str">
            <v>2008-03-31</v>
          </cell>
          <cell r="F155" t="str">
            <v>BINGV30236</v>
          </cell>
          <cell r="G155">
            <v>7463.92</v>
          </cell>
          <cell r="H155">
            <v>938.56</v>
          </cell>
        </row>
        <row r="156">
          <cell r="A156" t="str">
            <v>481003</v>
          </cell>
          <cell r="B156" t="str">
            <v>01986</v>
          </cell>
          <cell r="D156" t="str">
            <v>200</v>
          </cell>
          <cell r="E156" t="str">
            <v>2008-03-31</v>
          </cell>
          <cell r="F156" t="str">
            <v>BINGV30236</v>
          </cell>
          <cell r="G156">
            <v>19249.330000000002</v>
          </cell>
          <cell r="H156">
            <v>2420</v>
          </cell>
        </row>
        <row r="157">
          <cell r="A157" t="str">
            <v>481003</v>
          </cell>
          <cell r="B157" t="str">
            <v>01953</v>
          </cell>
          <cell r="D157" t="str">
            <v>200</v>
          </cell>
          <cell r="E157" t="str">
            <v>2008-04-30</v>
          </cell>
          <cell r="F157" t="str">
            <v>472B</v>
          </cell>
          <cell r="G157">
            <v>21146.400000000001</v>
          </cell>
          <cell r="H157">
            <v>3888.03</v>
          </cell>
        </row>
        <row r="158">
          <cell r="A158" t="str">
            <v>481003</v>
          </cell>
          <cell r="B158" t="str">
            <v>01954</v>
          </cell>
          <cell r="D158" t="str">
            <v>200</v>
          </cell>
          <cell r="E158" t="str">
            <v>2008-04-30</v>
          </cell>
          <cell r="F158" t="str">
            <v>472B</v>
          </cell>
          <cell r="G158">
            <v>19.16</v>
          </cell>
          <cell r="H158">
            <v>3.55</v>
          </cell>
        </row>
        <row r="159">
          <cell r="A159" t="str">
            <v>481003</v>
          </cell>
          <cell r="B159" t="str">
            <v>01959</v>
          </cell>
          <cell r="D159" t="str">
            <v>200</v>
          </cell>
          <cell r="E159" t="str">
            <v>2008-04-30</v>
          </cell>
          <cell r="F159" t="str">
            <v>549A</v>
          </cell>
          <cell r="G159">
            <v>-0.03</v>
          </cell>
          <cell r="H159">
            <v>0</v>
          </cell>
        </row>
        <row r="160">
          <cell r="A160" t="str">
            <v>481003</v>
          </cell>
          <cell r="B160" t="str">
            <v>01943</v>
          </cell>
          <cell r="D160" t="str">
            <v>200</v>
          </cell>
          <cell r="E160" t="str">
            <v>2008-04-30</v>
          </cell>
          <cell r="F160" t="str">
            <v>549A</v>
          </cell>
          <cell r="G160">
            <v>-785.94</v>
          </cell>
          <cell r="H160">
            <v>0</v>
          </cell>
        </row>
        <row r="161">
          <cell r="A161" t="str">
            <v>481003</v>
          </cell>
          <cell r="B161" t="str">
            <v>01990</v>
          </cell>
          <cell r="D161" t="str">
            <v>200</v>
          </cell>
          <cell r="E161" t="str">
            <v>2008-04-30</v>
          </cell>
          <cell r="F161" t="str">
            <v>549A</v>
          </cell>
          <cell r="G161">
            <v>-2285.29</v>
          </cell>
          <cell r="H161">
            <v>0</v>
          </cell>
        </row>
        <row r="162">
          <cell r="A162" t="str">
            <v>481003</v>
          </cell>
          <cell r="B162" t="str">
            <v>01991</v>
          </cell>
          <cell r="D162" t="str">
            <v>200</v>
          </cell>
          <cell r="E162" t="str">
            <v>2008-04-30</v>
          </cell>
          <cell r="F162" t="str">
            <v>549A</v>
          </cell>
          <cell r="G162">
            <v>-12.47</v>
          </cell>
          <cell r="H162">
            <v>0</v>
          </cell>
        </row>
        <row r="163">
          <cell r="A163" t="str">
            <v>481003</v>
          </cell>
          <cell r="B163" t="str">
            <v>01993</v>
          </cell>
          <cell r="D163" t="str">
            <v>200</v>
          </cell>
          <cell r="E163" t="str">
            <v>2008-04-30</v>
          </cell>
          <cell r="F163" t="str">
            <v>549A</v>
          </cell>
          <cell r="G163">
            <v>-282.83999999999997</v>
          </cell>
          <cell r="H163">
            <v>0</v>
          </cell>
        </row>
        <row r="164">
          <cell r="A164" t="str">
            <v>481003</v>
          </cell>
          <cell r="B164" t="str">
            <v>01954</v>
          </cell>
          <cell r="D164" t="str">
            <v>200</v>
          </cell>
          <cell r="E164" t="str">
            <v>2008-04-30</v>
          </cell>
          <cell r="F164" t="str">
            <v>549A</v>
          </cell>
          <cell r="G164">
            <v>-5.41</v>
          </cell>
          <cell r="H164">
            <v>0</v>
          </cell>
        </row>
        <row r="165">
          <cell r="A165" t="str">
            <v>481003</v>
          </cell>
          <cell r="B165" t="str">
            <v>01953</v>
          </cell>
          <cell r="D165" t="str">
            <v>200</v>
          </cell>
          <cell r="E165" t="str">
            <v>2008-04-30</v>
          </cell>
          <cell r="F165" t="str">
            <v>549A</v>
          </cell>
          <cell r="G165">
            <v>-10138.700000000001</v>
          </cell>
          <cell r="H165">
            <v>0</v>
          </cell>
        </row>
        <row r="166">
          <cell r="A166" t="str">
            <v>481003</v>
          </cell>
          <cell r="B166" t="str">
            <v>01986</v>
          </cell>
          <cell r="D166" t="str">
            <v>200</v>
          </cell>
          <cell r="E166" t="str">
            <v>2008-04-30</v>
          </cell>
          <cell r="F166" t="str">
            <v>549A</v>
          </cell>
          <cell r="G166">
            <v>-955.96</v>
          </cell>
          <cell r="H166">
            <v>0</v>
          </cell>
        </row>
        <row r="167">
          <cell r="A167" t="str">
            <v>481003</v>
          </cell>
          <cell r="B167" t="str">
            <v>01991</v>
          </cell>
          <cell r="D167" t="str">
            <v>200</v>
          </cell>
          <cell r="E167" t="str">
            <v>2008-04-30</v>
          </cell>
          <cell r="F167" t="str">
            <v>472B</v>
          </cell>
          <cell r="G167">
            <v>44.16</v>
          </cell>
          <cell r="H167">
            <v>8.18</v>
          </cell>
        </row>
        <row r="168">
          <cell r="A168" t="str">
            <v>481003</v>
          </cell>
          <cell r="B168" t="str">
            <v>01943</v>
          </cell>
          <cell r="D168" t="str">
            <v>200</v>
          </cell>
          <cell r="E168" t="str">
            <v>2008-04-30</v>
          </cell>
          <cell r="F168" t="str">
            <v>472B</v>
          </cell>
          <cell r="G168">
            <v>1526.56</v>
          </cell>
          <cell r="H168">
            <v>285.23</v>
          </cell>
        </row>
        <row r="169">
          <cell r="A169" t="str">
            <v>481003</v>
          </cell>
          <cell r="B169" t="str">
            <v>01968</v>
          </cell>
          <cell r="D169" t="str">
            <v>200</v>
          </cell>
          <cell r="E169" t="str">
            <v>2008-04-30</v>
          </cell>
          <cell r="F169" t="str">
            <v>BINGV30579</v>
          </cell>
          <cell r="G169">
            <v>3703.53</v>
          </cell>
          <cell r="H169">
            <v>465.6</v>
          </cell>
        </row>
        <row r="170">
          <cell r="A170" t="str">
            <v>481003</v>
          </cell>
          <cell r="B170" t="str">
            <v>01979</v>
          </cell>
          <cell r="D170" t="str">
            <v>200</v>
          </cell>
          <cell r="E170" t="str">
            <v>2008-04-30</v>
          </cell>
          <cell r="F170" t="str">
            <v>BINGV30579</v>
          </cell>
          <cell r="G170">
            <v>236.19</v>
          </cell>
          <cell r="H170">
            <v>45.25</v>
          </cell>
        </row>
        <row r="171">
          <cell r="A171" t="str">
            <v>481003</v>
          </cell>
          <cell r="B171" t="str">
            <v>01994</v>
          </cell>
          <cell r="D171" t="str">
            <v>200</v>
          </cell>
          <cell r="E171" t="str">
            <v>2008-04-30</v>
          </cell>
          <cell r="F171" t="str">
            <v>BINGV30579</v>
          </cell>
          <cell r="G171">
            <v>7834.29</v>
          </cell>
          <cell r="H171">
            <v>984.94</v>
          </cell>
        </row>
        <row r="172">
          <cell r="A172" t="str">
            <v>481003</v>
          </cell>
          <cell r="B172" t="str">
            <v>01976</v>
          </cell>
          <cell r="D172" t="str">
            <v>200</v>
          </cell>
          <cell r="E172" t="str">
            <v>2008-04-30</v>
          </cell>
          <cell r="F172" t="str">
            <v>BINGV30579</v>
          </cell>
          <cell r="G172">
            <v>431.07</v>
          </cell>
          <cell r="H172">
            <v>54.24</v>
          </cell>
        </row>
        <row r="173">
          <cell r="A173" t="str">
            <v>481003</v>
          </cell>
          <cell r="B173" t="str">
            <v>01980</v>
          </cell>
          <cell r="D173" t="str">
            <v>200</v>
          </cell>
          <cell r="E173" t="str">
            <v>2008-04-30</v>
          </cell>
          <cell r="F173" t="str">
            <v>BINGV30579</v>
          </cell>
          <cell r="G173">
            <v>420.94</v>
          </cell>
          <cell r="H173">
            <v>52.92</v>
          </cell>
        </row>
        <row r="174">
          <cell r="A174" t="str">
            <v>481003</v>
          </cell>
          <cell r="B174" t="str">
            <v>01987</v>
          </cell>
          <cell r="D174" t="str">
            <v>200</v>
          </cell>
          <cell r="E174" t="str">
            <v>2008-04-30</v>
          </cell>
          <cell r="F174" t="str">
            <v>BINGV30579</v>
          </cell>
          <cell r="G174">
            <v>10884.51</v>
          </cell>
          <cell r="H174">
            <v>1368.42</v>
          </cell>
        </row>
        <row r="175">
          <cell r="A175" t="str">
            <v>481003</v>
          </cell>
          <cell r="B175" t="str">
            <v>01978</v>
          </cell>
          <cell r="D175" t="str">
            <v>200</v>
          </cell>
          <cell r="E175" t="str">
            <v>2008-04-30</v>
          </cell>
          <cell r="F175" t="str">
            <v>BINGV30579</v>
          </cell>
          <cell r="G175">
            <v>7429</v>
          </cell>
          <cell r="H175">
            <v>933</v>
          </cell>
        </row>
        <row r="176">
          <cell r="A176" t="str">
            <v>481003</v>
          </cell>
          <cell r="B176" t="str">
            <v>01970</v>
          </cell>
          <cell r="D176" t="str">
            <v>200</v>
          </cell>
          <cell r="E176" t="str">
            <v>2008-04-30</v>
          </cell>
          <cell r="F176" t="str">
            <v>BINGV30579</v>
          </cell>
          <cell r="G176">
            <v>2460.6799999999998</v>
          </cell>
          <cell r="H176">
            <v>309.35000000000002</v>
          </cell>
        </row>
        <row r="177">
          <cell r="A177" t="str">
            <v>481003</v>
          </cell>
          <cell r="B177" t="str">
            <v>01971</v>
          </cell>
          <cell r="D177" t="str">
            <v>200</v>
          </cell>
          <cell r="E177" t="str">
            <v>2008-04-30</v>
          </cell>
          <cell r="F177" t="str">
            <v>BINGV30579</v>
          </cell>
          <cell r="G177">
            <v>4883.3100000000004</v>
          </cell>
          <cell r="H177">
            <v>613.91999999999996</v>
          </cell>
        </row>
        <row r="178">
          <cell r="A178" t="str">
            <v>481003</v>
          </cell>
          <cell r="B178" t="str">
            <v>01969</v>
          </cell>
          <cell r="D178" t="str">
            <v>200</v>
          </cell>
          <cell r="E178" t="str">
            <v>2008-04-30</v>
          </cell>
          <cell r="F178" t="str">
            <v>BINGV30579</v>
          </cell>
          <cell r="G178">
            <v>4436.59</v>
          </cell>
          <cell r="H178">
            <v>557.76</v>
          </cell>
        </row>
        <row r="179">
          <cell r="A179" t="str">
            <v>481003</v>
          </cell>
          <cell r="B179" t="str">
            <v>01977</v>
          </cell>
          <cell r="D179" t="str">
            <v>200</v>
          </cell>
          <cell r="E179" t="str">
            <v>2008-04-30</v>
          </cell>
          <cell r="F179" t="str">
            <v>BINGV30579</v>
          </cell>
          <cell r="G179">
            <v>6082.18</v>
          </cell>
          <cell r="H179">
            <v>764.64</v>
          </cell>
        </row>
        <row r="180">
          <cell r="A180" t="str">
            <v>481003</v>
          </cell>
          <cell r="B180" t="str">
            <v>01974</v>
          </cell>
          <cell r="D180" t="str">
            <v>200</v>
          </cell>
          <cell r="E180" t="str">
            <v>2008-04-30</v>
          </cell>
          <cell r="F180" t="str">
            <v>BINGV30579</v>
          </cell>
          <cell r="G180">
            <v>11908.54</v>
          </cell>
          <cell r="H180">
            <v>1497.12</v>
          </cell>
        </row>
        <row r="181">
          <cell r="A181" t="str">
            <v>481003</v>
          </cell>
          <cell r="B181" t="str">
            <v>01992</v>
          </cell>
          <cell r="D181" t="str">
            <v>200</v>
          </cell>
          <cell r="E181" t="str">
            <v>2008-04-30</v>
          </cell>
          <cell r="F181" t="str">
            <v>BINGV30579</v>
          </cell>
          <cell r="G181">
            <v>15923.84</v>
          </cell>
          <cell r="H181">
            <v>2001.92</v>
          </cell>
        </row>
        <row r="182">
          <cell r="A182" t="str">
            <v>481003</v>
          </cell>
          <cell r="B182" t="str">
            <v>01973</v>
          </cell>
          <cell r="D182" t="str">
            <v>200</v>
          </cell>
          <cell r="E182" t="str">
            <v>2008-04-30</v>
          </cell>
          <cell r="F182" t="str">
            <v>BINGV30579</v>
          </cell>
          <cell r="G182">
            <v>10995.11</v>
          </cell>
          <cell r="H182">
            <v>1382.29</v>
          </cell>
        </row>
        <row r="183">
          <cell r="A183" t="str">
            <v>481003</v>
          </cell>
          <cell r="B183" t="str">
            <v>01952</v>
          </cell>
          <cell r="D183" t="str">
            <v>200</v>
          </cell>
          <cell r="E183" t="str">
            <v>2008-04-30</v>
          </cell>
          <cell r="F183" t="str">
            <v>BINGV30579</v>
          </cell>
          <cell r="G183">
            <v>13391.38</v>
          </cell>
          <cell r="H183">
            <v>1683.54</v>
          </cell>
        </row>
        <row r="184">
          <cell r="A184" t="str">
            <v>481003</v>
          </cell>
          <cell r="B184" t="str">
            <v>01989</v>
          </cell>
          <cell r="D184" t="str">
            <v>200</v>
          </cell>
          <cell r="E184" t="str">
            <v>2008-04-30</v>
          </cell>
          <cell r="F184" t="str">
            <v>BINGV30579</v>
          </cell>
          <cell r="G184">
            <v>3728.34</v>
          </cell>
          <cell r="H184">
            <v>468.72</v>
          </cell>
        </row>
        <row r="185">
          <cell r="A185" t="str">
            <v>481003</v>
          </cell>
          <cell r="B185" t="str">
            <v>01988</v>
          </cell>
          <cell r="D185" t="str">
            <v>200</v>
          </cell>
          <cell r="E185" t="str">
            <v>2008-04-30</v>
          </cell>
          <cell r="F185" t="str">
            <v>BINGV30579</v>
          </cell>
          <cell r="G185">
            <v>8051.27</v>
          </cell>
          <cell r="H185">
            <v>1012.22</v>
          </cell>
        </row>
        <row r="186">
          <cell r="A186" t="str">
            <v>481003</v>
          </cell>
          <cell r="B186" t="str">
            <v>01986</v>
          </cell>
          <cell r="D186" t="str">
            <v>200</v>
          </cell>
          <cell r="E186" t="str">
            <v>2008-04-30</v>
          </cell>
          <cell r="F186" t="str">
            <v>BINGV30579</v>
          </cell>
          <cell r="G186">
            <v>22733.39</v>
          </cell>
          <cell r="H186">
            <v>2420</v>
          </cell>
        </row>
        <row r="187">
          <cell r="A187" t="str">
            <v>481003</v>
          </cell>
          <cell r="B187" t="str">
            <v>01953</v>
          </cell>
          <cell r="D187" t="str">
            <v>200</v>
          </cell>
          <cell r="E187" t="str">
            <v>2008-04-30</v>
          </cell>
          <cell r="F187" t="str">
            <v>470</v>
          </cell>
          <cell r="G187">
            <v>14675.28</v>
          </cell>
          <cell r="H187">
            <v>2760.3</v>
          </cell>
        </row>
        <row r="188">
          <cell r="A188" t="str">
            <v>481003</v>
          </cell>
          <cell r="B188" t="str">
            <v>01990</v>
          </cell>
          <cell r="D188" t="str">
            <v>200</v>
          </cell>
          <cell r="E188" t="str">
            <v>2008-04-30</v>
          </cell>
          <cell r="F188" t="str">
            <v>470</v>
          </cell>
          <cell r="G188">
            <v>7967.32</v>
          </cell>
          <cell r="H188">
            <v>1498.55</v>
          </cell>
        </row>
        <row r="189">
          <cell r="A189" t="str">
            <v>481003</v>
          </cell>
          <cell r="B189" t="str">
            <v>01986</v>
          </cell>
          <cell r="D189" t="str">
            <v>200</v>
          </cell>
          <cell r="E189" t="str">
            <v>2008-04-30</v>
          </cell>
          <cell r="F189" t="str">
            <v>470</v>
          </cell>
          <cell r="G189">
            <v>3332.82</v>
          </cell>
          <cell r="H189">
            <v>626.86</v>
          </cell>
        </row>
        <row r="190">
          <cell r="A190" t="str">
            <v>481003</v>
          </cell>
          <cell r="B190" t="str">
            <v>01959</v>
          </cell>
          <cell r="D190" t="str">
            <v>200</v>
          </cell>
          <cell r="E190" t="str">
            <v>2008-04-30</v>
          </cell>
          <cell r="F190" t="str">
            <v>470</v>
          </cell>
          <cell r="G190">
            <v>0.11</v>
          </cell>
          <cell r="H190">
            <v>0.02</v>
          </cell>
        </row>
        <row r="191">
          <cell r="A191" t="str">
            <v>481003</v>
          </cell>
          <cell r="B191" t="str">
            <v>01993</v>
          </cell>
          <cell r="D191" t="str">
            <v>200</v>
          </cell>
          <cell r="E191" t="str">
            <v>2008-04-30</v>
          </cell>
          <cell r="F191" t="str">
            <v>470</v>
          </cell>
          <cell r="G191">
            <v>1160.73</v>
          </cell>
          <cell r="H191">
            <v>185.47</v>
          </cell>
        </row>
        <row r="192">
          <cell r="A192" t="str">
            <v>481003</v>
          </cell>
          <cell r="B192" t="str">
            <v>01943</v>
          </cell>
          <cell r="D192" t="str">
            <v>200</v>
          </cell>
          <cell r="E192" t="str">
            <v>2008-04-30</v>
          </cell>
          <cell r="F192" t="str">
            <v>470</v>
          </cell>
          <cell r="G192">
            <v>545.88</v>
          </cell>
          <cell r="H192">
            <v>84.86</v>
          </cell>
        </row>
        <row r="193">
          <cell r="A193" t="str">
            <v>481003</v>
          </cell>
          <cell r="B193" t="str">
            <v>01953</v>
          </cell>
          <cell r="D193" t="str">
            <v>200</v>
          </cell>
          <cell r="E193" t="str">
            <v>2008-05-31</v>
          </cell>
          <cell r="F193" t="str">
            <v>470</v>
          </cell>
          <cell r="G193">
            <v>12782.33</v>
          </cell>
          <cell r="H193">
            <v>2404.15</v>
          </cell>
        </row>
        <row r="194">
          <cell r="A194" t="str">
            <v>481003</v>
          </cell>
          <cell r="B194" t="str">
            <v>01990</v>
          </cell>
          <cell r="D194" t="str">
            <v>200</v>
          </cell>
          <cell r="E194" t="str">
            <v>2008-05-31</v>
          </cell>
          <cell r="F194" t="str">
            <v>470</v>
          </cell>
          <cell r="G194">
            <v>7513.6</v>
          </cell>
          <cell r="H194">
            <v>1413.22</v>
          </cell>
        </row>
        <row r="195">
          <cell r="A195" t="str">
            <v>481003</v>
          </cell>
          <cell r="B195" t="str">
            <v>01986</v>
          </cell>
          <cell r="D195" t="str">
            <v>200</v>
          </cell>
          <cell r="E195" t="str">
            <v>2008-05-31</v>
          </cell>
          <cell r="F195" t="str">
            <v>470</v>
          </cell>
          <cell r="G195">
            <v>3279.02</v>
          </cell>
          <cell r="H195">
            <v>616.73</v>
          </cell>
        </row>
        <row r="196">
          <cell r="A196" t="str">
            <v>481003</v>
          </cell>
          <cell r="B196" t="str">
            <v>01993</v>
          </cell>
          <cell r="D196" t="str">
            <v>200</v>
          </cell>
          <cell r="E196" t="str">
            <v>2008-05-31</v>
          </cell>
          <cell r="F196" t="str">
            <v>470</v>
          </cell>
          <cell r="G196">
            <v>1346.2</v>
          </cell>
          <cell r="H196">
            <v>215.11</v>
          </cell>
        </row>
        <row r="197">
          <cell r="A197" t="str">
            <v>481003</v>
          </cell>
          <cell r="B197" t="str">
            <v>01943</v>
          </cell>
          <cell r="D197" t="str">
            <v>200</v>
          </cell>
          <cell r="E197" t="str">
            <v>2008-05-31</v>
          </cell>
          <cell r="F197" t="str">
            <v>470</v>
          </cell>
          <cell r="G197">
            <v>660.06</v>
          </cell>
          <cell r="H197">
            <v>102.59</v>
          </cell>
        </row>
        <row r="198">
          <cell r="A198" t="str">
            <v>481003</v>
          </cell>
          <cell r="B198" t="str">
            <v>01954</v>
          </cell>
          <cell r="D198" t="str">
            <v>200</v>
          </cell>
          <cell r="E198" t="str">
            <v>2008-05-31</v>
          </cell>
          <cell r="F198" t="str">
            <v>472B</v>
          </cell>
          <cell r="G198">
            <v>27.75</v>
          </cell>
          <cell r="H198">
            <v>5.14</v>
          </cell>
        </row>
        <row r="199">
          <cell r="A199" t="str">
            <v>481003</v>
          </cell>
          <cell r="B199" t="str">
            <v>01959</v>
          </cell>
          <cell r="D199" t="str">
            <v>200</v>
          </cell>
          <cell r="E199" t="str">
            <v>2008-05-31</v>
          </cell>
          <cell r="F199" t="str">
            <v>549A</v>
          </cell>
          <cell r="G199">
            <v>-0.03</v>
          </cell>
          <cell r="H199">
            <v>0</v>
          </cell>
        </row>
        <row r="200">
          <cell r="A200" t="str">
            <v>481003</v>
          </cell>
          <cell r="B200" t="str">
            <v>01943</v>
          </cell>
          <cell r="D200" t="str">
            <v>200</v>
          </cell>
          <cell r="E200" t="str">
            <v>2008-05-31</v>
          </cell>
          <cell r="F200" t="str">
            <v>549A</v>
          </cell>
          <cell r="G200">
            <v>-844.84</v>
          </cell>
          <cell r="H200">
            <v>0</v>
          </cell>
        </row>
        <row r="201">
          <cell r="A201" t="str">
            <v>481003</v>
          </cell>
          <cell r="B201" t="str">
            <v>01990</v>
          </cell>
          <cell r="D201" t="str">
            <v>200</v>
          </cell>
          <cell r="E201" t="str">
            <v>2008-05-31</v>
          </cell>
          <cell r="F201" t="str">
            <v>549A</v>
          </cell>
          <cell r="G201">
            <v>-2155.16</v>
          </cell>
          <cell r="H201">
            <v>0</v>
          </cell>
        </row>
        <row r="202">
          <cell r="A202" t="str">
            <v>481003</v>
          </cell>
          <cell r="B202" t="str">
            <v>01991</v>
          </cell>
          <cell r="D202" t="str">
            <v>200</v>
          </cell>
          <cell r="E202" t="str">
            <v>2008-05-31</v>
          </cell>
          <cell r="F202" t="str">
            <v>549A</v>
          </cell>
          <cell r="G202">
            <v>-17.22</v>
          </cell>
          <cell r="H202">
            <v>0</v>
          </cell>
        </row>
        <row r="203">
          <cell r="A203" t="str">
            <v>481003</v>
          </cell>
          <cell r="B203" t="str">
            <v>01993</v>
          </cell>
          <cell r="D203" t="str">
            <v>200</v>
          </cell>
          <cell r="E203" t="str">
            <v>2008-05-31</v>
          </cell>
          <cell r="F203" t="str">
            <v>549A</v>
          </cell>
          <cell r="G203">
            <v>-328.04</v>
          </cell>
          <cell r="H203">
            <v>0</v>
          </cell>
        </row>
        <row r="204">
          <cell r="A204" t="str">
            <v>481003</v>
          </cell>
          <cell r="B204" t="str">
            <v>01954</v>
          </cell>
          <cell r="D204" t="str">
            <v>200</v>
          </cell>
          <cell r="E204" t="str">
            <v>2008-05-31</v>
          </cell>
          <cell r="F204" t="str">
            <v>549A</v>
          </cell>
          <cell r="G204">
            <v>-7.84</v>
          </cell>
          <cell r="H204">
            <v>0</v>
          </cell>
        </row>
        <row r="205">
          <cell r="A205" t="str">
            <v>481003</v>
          </cell>
          <cell r="B205" t="str">
            <v>01953</v>
          </cell>
          <cell r="D205" t="str">
            <v>200</v>
          </cell>
          <cell r="E205" t="str">
            <v>2008-05-31</v>
          </cell>
          <cell r="F205" t="str">
            <v>549A</v>
          </cell>
          <cell r="G205">
            <v>-8236.07</v>
          </cell>
          <cell r="H205">
            <v>0</v>
          </cell>
        </row>
        <row r="206">
          <cell r="A206" t="str">
            <v>481003</v>
          </cell>
          <cell r="B206" t="str">
            <v>01986</v>
          </cell>
          <cell r="D206" t="str">
            <v>200</v>
          </cell>
          <cell r="E206" t="str">
            <v>2008-05-31</v>
          </cell>
          <cell r="F206" t="str">
            <v>549A</v>
          </cell>
          <cell r="G206">
            <v>-940.51</v>
          </cell>
          <cell r="H206">
            <v>0</v>
          </cell>
        </row>
        <row r="207">
          <cell r="A207" t="str">
            <v>481003</v>
          </cell>
          <cell r="B207" t="str">
            <v>01991</v>
          </cell>
          <cell r="D207" t="str">
            <v>200</v>
          </cell>
          <cell r="E207" t="str">
            <v>2008-05-31</v>
          </cell>
          <cell r="F207" t="str">
            <v>472B</v>
          </cell>
          <cell r="G207">
            <v>60.96</v>
          </cell>
          <cell r="H207">
            <v>11.29</v>
          </cell>
        </row>
        <row r="208">
          <cell r="A208" t="str">
            <v>481003</v>
          </cell>
          <cell r="B208" t="str">
            <v>01953</v>
          </cell>
          <cell r="D208" t="str">
            <v>200</v>
          </cell>
          <cell r="E208" t="str">
            <v>2008-05-31</v>
          </cell>
          <cell r="F208" t="str">
            <v>472B</v>
          </cell>
          <cell r="G208">
            <v>16298.04</v>
          </cell>
          <cell r="H208">
            <v>2996.55</v>
          </cell>
        </row>
        <row r="209">
          <cell r="A209" t="str">
            <v>481003</v>
          </cell>
          <cell r="B209" t="str">
            <v>01943</v>
          </cell>
          <cell r="D209" t="str">
            <v>200</v>
          </cell>
          <cell r="E209" t="str">
            <v>2008-05-31</v>
          </cell>
          <cell r="F209" t="str">
            <v>472B</v>
          </cell>
          <cell r="G209">
            <v>1580.04</v>
          </cell>
          <cell r="H209">
            <v>295.24</v>
          </cell>
        </row>
        <row r="210">
          <cell r="A210" t="str">
            <v>481003</v>
          </cell>
          <cell r="B210" t="str">
            <v>01969</v>
          </cell>
          <cell r="D210" t="str">
            <v>200</v>
          </cell>
          <cell r="E210" t="str">
            <v>2008-05-31</v>
          </cell>
          <cell r="F210" t="str">
            <v>BINGV31048</v>
          </cell>
          <cell r="G210">
            <v>4820.3100000000004</v>
          </cell>
          <cell r="H210">
            <v>606</v>
          </cell>
        </row>
        <row r="211">
          <cell r="A211" t="str">
            <v>481003</v>
          </cell>
          <cell r="B211" t="str">
            <v>01978</v>
          </cell>
          <cell r="D211" t="str">
            <v>200</v>
          </cell>
          <cell r="E211" t="str">
            <v>2008-05-31</v>
          </cell>
          <cell r="F211" t="str">
            <v>BINGV31048</v>
          </cell>
          <cell r="G211">
            <v>8108.61</v>
          </cell>
          <cell r="H211">
            <v>1019.4</v>
          </cell>
        </row>
        <row r="212">
          <cell r="A212" t="str">
            <v>481003</v>
          </cell>
          <cell r="B212" t="str">
            <v>01992</v>
          </cell>
          <cell r="D212" t="str">
            <v>200</v>
          </cell>
          <cell r="E212" t="str">
            <v>2008-05-31</v>
          </cell>
          <cell r="F212" t="str">
            <v>BINGV31048</v>
          </cell>
          <cell r="G212">
            <v>17438.400000000001</v>
          </cell>
          <cell r="H212">
            <v>2192.3200000000002</v>
          </cell>
        </row>
        <row r="213">
          <cell r="A213" t="str">
            <v>481003</v>
          </cell>
          <cell r="B213" t="str">
            <v>01977</v>
          </cell>
          <cell r="D213" t="str">
            <v>200</v>
          </cell>
          <cell r="E213" t="str">
            <v>2008-05-31</v>
          </cell>
          <cell r="F213" t="str">
            <v>BINGV31048</v>
          </cell>
          <cell r="G213">
            <v>6476.39</v>
          </cell>
          <cell r="H213">
            <v>814.2</v>
          </cell>
        </row>
        <row r="214">
          <cell r="A214" t="str">
            <v>481003</v>
          </cell>
          <cell r="B214" t="str">
            <v>01974</v>
          </cell>
          <cell r="D214" t="str">
            <v>200</v>
          </cell>
          <cell r="E214" t="str">
            <v>2008-05-31</v>
          </cell>
          <cell r="F214" t="str">
            <v>BINGV31048</v>
          </cell>
          <cell r="G214">
            <v>10093.049999999999</v>
          </cell>
          <cell r="H214">
            <v>1268.8800000000001</v>
          </cell>
        </row>
        <row r="215">
          <cell r="A215" t="str">
            <v>481003</v>
          </cell>
          <cell r="B215" t="str">
            <v>01952</v>
          </cell>
          <cell r="D215" t="str">
            <v>200</v>
          </cell>
          <cell r="E215" t="str">
            <v>2008-05-31</v>
          </cell>
          <cell r="F215" t="str">
            <v>BINGV31048</v>
          </cell>
          <cell r="G215">
            <v>17696.63</v>
          </cell>
          <cell r="H215">
            <v>2224.79</v>
          </cell>
        </row>
        <row r="216">
          <cell r="A216" t="str">
            <v>481003</v>
          </cell>
          <cell r="B216" t="str">
            <v>01989</v>
          </cell>
          <cell r="D216" t="str">
            <v>200</v>
          </cell>
          <cell r="E216" t="str">
            <v>2008-05-31</v>
          </cell>
          <cell r="F216" t="str">
            <v>BINGV31048</v>
          </cell>
          <cell r="G216">
            <v>3485.89</v>
          </cell>
          <cell r="H216">
            <v>438.24</v>
          </cell>
        </row>
        <row r="217">
          <cell r="A217" t="str">
            <v>481003</v>
          </cell>
          <cell r="B217" t="str">
            <v>01973</v>
          </cell>
          <cell r="D217" t="str">
            <v>200</v>
          </cell>
          <cell r="E217" t="str">
            <v>2008-05-31</v>
          </cell>
          <cell r="F217" t="str">
            <v>BINGV31048</v>
          </cell>
          <cell r="G217">
            <v>5915</v>
          </cell>
          <cell r="H217">
            <v>743.62</v>
          </cell>
        </row>
        <row r="218">
          <cell r="A218" t="str">
            <v>481003</v>
          </cell>
          <cell r="B218" t="str">
            <v>01988</v>
          </cell>
          <cell r="D218" t="str">
            <v>200</v>
          </cell>
          <cell r="E218" t="str">
            <v>2008-05-31</v>
          </cell>
          <cell r="F218" t="str">
            <v>BINGV31048</v>
          </cell>
          <cell r="G218">
            <v>10114.11</v>
          </cell>
          <cell r="H218">
            <v>1271.56</v>
          </cell>
        </row>
        <row r="219">
          <cell r="A219" t="str">
            <v>481003</v>
          </cell>
          <cell r="B219" t="str">
            <v>01986</v>
          </cell>
          <cell r="D219" t="str">
            <v>200</v>
          </cell>
          <cell r="E219" t="str">
            <v>2008-05-31</v>
          </cell>
          <cell r="F219" t="str">
            <v>BINGV31048</v>
          </cell>
          <cell r="G219">
            <v>26702.59</v>
          </cell>
          <cell r="H219">
            <v>3357</v>
          </cell>
        </row>
        <row r="220">
          <cell r="A220" t="str">
            <v>481003</v>
          </cell>
          <cell r="B220" t="str">
            <v>01968</v>
          </cell>
          <cell r="D220" t="str">
            <v>200</v>
          </cell>
          <cell r="E220" t="str">
            <v>2008-05-31</v>
          </cell>
          <cell r="F220" t="str">
            <v>BINGV31048</v>
          </cell>
          <cell r="G220">
            <v>3382.8</v>
          </cell>
          <cell r="H220">
            <v>425.28</v>
          </cell>
        </row>
        <row r="221">
          <cell r="A221" t="str">
            <v>481003</v>
          </cell>
          <cell r="B221" t="str">
            <v>01979</v>
          </cell>
          <cell r="D221" t="str">
            <v>200</v>
          </cell>
          <cell r="E221" t="str">
            <v>2008-05-31</v>
          </cell>
          <cell r="F221" t="str">
            <v>BINGV31048</v>
          </cell>
          <cell r="G221">
            <v>154.65</v>
          </cell>
          <cell r="H221">
            <v>19.440000000000001</v>
          </cell>
        </row>
        <row r="222">
          <cell r="A222" t="str">
            <v>481003</v>
          </cell>
          <cell r="B222" t="str">
            <v>01994</v>
          </cell>
          <cell r="D222" t="str">
            <v>200</v>
          </cell>
          <cell r="E222" t="str">
            <v>2008-05-31</v>
          </cell>
          <cell r="F222" t="str">
            <v>BINGV31048</v>
          </cell>
          <cell r="G222">
            <v>12114.83</v>
          </cell>
          <cell r="H222">
            <v>1523.1</v>
          </cell>
        </row>
        <row r="223">
          <cell r="A223" t="str">
            <v>481003</v>
          </cell>
          <cell r="B223" t="str">
            <v>01980</v>
          </cell>
          <cell r="D223" t="str">
            <v>200</v>
          </cell>
          <cell r="E223" t="str">
            <v>2008-05-31</v>
          </cell>
          <cell r="F223" t="str">
            <v>BINGV31048</v>
          </cell>
          <cell r="G223">
            <v>352.22</v>
          </cell>
          <cell r="H223">
            <v>44.28</v>
          </cell>
        </row>
        <row r="224">
          <cell r="A224" t="str">
            <v>481003</v>
          </cell>
          <cell r="B224" t="str">
            <v>01987</v>
          </cell>
          <cell r="D224" t="str">
            <v>200</v>
          </cell>
          <cell r="E224" t="str">
            <v>2008-05-31</v>
          </cell>
          <cell r="F224" t="str">
            <v>BINGV31048</v>
          </cell>
          <cell r="G224">
            <v>18093.3</v>
          </cell>
          <cell r="H224">
            <v>2274.7199999999998</v>
          </cell>
        </row>
        <row r="225">
          <cell r="A225" t="str">
            <v>481003</v>
          </cell>
          <cell r="B225" t="str">
            <v>01976</v>
          </cell>
          <cell r="D225" t="str">
            <v>200</v>
          </cell>
          <cell r="E225" t="str">
            <v>2008-05-31</v>
          </cell>
          <cell r="F225" t="str">
            <v>BINGV31048</v>
          </cell>
          <cell r="G225">
            <v>5584.87</v>
          </cell>
          <cell r="H225">
            <v>702.12</v>
          </cell>
        </row>
        <row r="226">
          <cell r="A226" t="str">
            <v>481003</v>
          </cell>
          <cell r="B226" t="str">
            <v>01970</v>
          </cell>
          <cell r="D226" t="str">
            <v>200</v>
          </cell>
          <cell r="E226" t="str">
            <v>2008-05-31</v>
          </cell>
          <cell r="F226" t="str">
            <v>BINGV31048</v>
          </cell>
          <cell r="G226">
            <v>2844.76</v>
          </cell>
          <cell r="H226">
            <v>357.64</v>
          </cell>
        </row>
        <row r="227">
          <cell r="A227" t="str">
            <v>481003</v>
          </cell>
          <cell r="B227" t="str">
            <v>01971</v>
          </cell>
          <cell r="D227" t="str">
            <v>200</v>
          </cell>
          <cell r="E227" t="str">
            <v>2008-05-31</v>
          </cell>
          <cell r="F227" t="str">
            <v>BINGV31048</v>
          </cell>
          <cell r="G227">
            <v>6044.95</v>
          </cell>
          <cell r="H227">
            <v>759.96</v>
          </cell>
        </row>
        <row r="228">
          <cell r="A228" t="str">
            <v>481003</v>
          </cell>
          <cell r="B228" t="str">
            <v>01959</v>
          </cell>
          <cell r="D228" t="str">
            <v>200</v>
          </cell>
          <cell r="E228" t="str">
            <v>2008-06-30</v>
          </cell>
          <cell r="F228" t="str">
            <v>549A</v>
          </cell>
          <cell r="G228">
            <v>0</v>
          </cell>
          <cell r="H228">
            <v>0</v>
          </cell>
        </row>
        <row r="229">
          <cell r="A229" t="str">
            <v>481003</v>
          </cell>
          <cell r="B229" t="str">
            <v>01943</v>
          </cell>
          <cell r="D229" t="str">
            <v>200</v>
          </cell>
          <cell r="E229" t="str">
            <v>2008-06-30</v>
          </cell>
          <cell r="F229" t="str">
            <v>549A</v>
          </cell>
          <cell r="G229">
            <v>-921.05</v>
          </cell>
          <cell r="H229">
            <v>0</v>
          </cell>
        </row>
        <row r="230">
          <cell r="A230" t="str">
            <v>481003</v>
          </cell>
          <cell r="B230" t="str">
            <v>01990</v>
          </cell>
          <cell r="D230" t="str">
            <v>200</v>
          </cell>
          <cell r="E230" t="str">
            <v>2008-06-30</v>
          </cell>
          <cell r="F230" t="str">
            <v>549A</v>
          </cell>
          <cell r="G230">
            <v>-1849.7</v>
          </cell>
          <cell r="H230">
            <v>0</v>
          </cell>
        </row>
        <row r="231">
          <cell r="A231" t="str">
            <v>481003</v>
          </cell>
          <cell r="B231" t="str">
            <v>01991</v>
          </cell>
          <cell r="D231" t="str">
            <v>200</v>
          </cell>
          <cell r="E231" t="str">
            <v>2008-06-30</v>
          </cell>
          <cell r="F231" t="str">
            <v>549A</v>
          </cell>
          <cell r="G231">
            <v>-16.55</v>
          </cell>
          <cell r="H231">
            <v>0</v>
          </cell>
        </row>
        <row r="232">
          <cell r="A232" t="str">
            <v>481003</v>
          </cell>
          <cell r="B232" t="str">
            <v>01993</v>
          </cell>
          <cell r="D232" t="str">
            <v>200</v>
          </cell>
          <cell r="E232" t="str">
            <v>2008-06-30</v>
          </cell>
          <cell r="F232" t="str">
            <v>549A</v>
          </cell>
          <cell r="G232">
            <v>-426.82</v>
          </cell>
          <cell r="H232">
            <v>0</v>
          </cell>
        </row>
        <row r="233">
          <cell r="A233" t="str">
            <v>481003</v>
          </cell>
          <cell r="B233" t="str">
            <v>01954</v>
          </cell>
          <cell r="D233" t="str">
            <v>200</v>
          </cell>
          <cell r="E233" t="str">
            <v>2008-06-30</v>
          </cell>
          <cell r="F233" t="str">
            <v>549A</v>
          </cell>
          <cell r="G233">
            <v>-8.6</v>
          </cell>
          <cell r="H233">
            <v>0</v>
          </cell>
        </row>
        <row r="234">
          <cell r="A234" t="str">
            <v>481003</v>
          </cell>
          <cell r="B234" t="str">
            <v>01953</v>
          </cell>
          <cell r="D234" t="str">
            <v>200</v>
          </cell>
          <cell r="E234" t="str">
            <v>2008-06-30</v>
          </cell>
          <cell r="F234" t="str">
            <v>549A</v>
          </cell>
          <cell r="G234">
            <v>-10686.94</v>
          </cell>
          <cell r="H234">
            <v>0</v>
          </cell>
        </row>
        <row r="235">
          <cell r="A235" t="str">
            <v>481003</v>
          </cell>
          <cell r="B235" t="str">
            <v>01986</v>
          </cell>
          <cell r="D235" t="str">
            <v>200</v>
          </cell>
          <cell r="E235" t="str">
            <v>2008-06-30</v>
          </cell>
          <cell r="F235" t="str">
            <v>549A</v>
          </cell>
          <cell r="G235">
            <v>-1337.15</v>
          </cell>
          <cell r="H235">
            <v>0</v>
          </cell>
        </row>
        <row r="236">
          <cell r="A236" t="str">
            <v>481003</v>
          </cell>
          <cell r="B236" t="str">
            <v>01990</v>
          </cell>
          <cell r="D236" t="str">
            <v>200</v>
          </cell>
          <cell r="E236" t="str">
            <v>2008-06-30</v>
          </cell>
          <cell r="F236" t="str">
            <v>470</v>
          </cell>
          <cell r="G236">
            <v>6448.8</v>
          </cell>
          <cell r="H236">
            <v>1212.92</v>
          </cell>
        </row>
        <row r="237">
          <cell r="A237" t="str">
            <v>481003</v>
          </cell>
          <cell r="B237" t="str">
            <v>01953</v>
          </cell>
          <cell r="D237" t="str">
            <v>200</v>
          </cell>
          <cell r="E237" t="str">
            <v>2008-06-30</v>
          </cell>
          <cell r="F237" t="str">
            <v>470</v>
          </cell>
          <cell r="G237">
            <v>16385.740000000002</v>
          </cell>
          <cell r="H237">
            <v>3081.93</v>
          </cell>
        </row>
        <row r="238">
          <cell r="A238" t="str">
            <v>481003</v>
          </cell>
          <cell r="B238" t="str">
            <v>01986</v>
          </cell>
          <cell r="D238" t="str">
            <v>200</v>
          </cell>
          <cell r="E238" t="str">
            <v>2008-06-30</v>
          </cell>
          <cell r="F238" t="str">
            <v>470</v>
          </cell>
          <cell r="G238">
            <v>4661.8900000000003</v>
          </cell>
          <cell r="H238">
            <v>876.82</v>
          </cell>
        </row>
        <row r="239">
          <cell r="A239" t="str">
            <v>481003</v>
          </cell>
          <cell r="B239" t="str">
            <v>01974</v>
          </cell>
          <cell r="D239" t="str">
            <v>200</v>
          </cell>
          <cell r="E239" t="str">
            <v>2008-06-30</v>
          </cell>
          <cell r="F239" t="str">
            <v>470</v>
          </cell>
          <cell r="G239">
            <v>10231.93</v>
          </cell>
          <cell r="H239">
            <v>1924.42</v>
          </cell>
        </row>
        <row r="240">
          <cell r="A240" t="str">
            <v>481003</v>
          </cell>
          <cell r="B240" t="str">
            <v>01988</v>
          </cell>
          <cell r="D240" t="str">
            <v>200</v>
          </cell>
          <cell r="E240" t="str">
            <v>2008-06-30</v>
          </cell>
          <cell r="F240" t="str">
            <v>470</v>
          </cell>
          <cell r="G240">
            <v>4699.5600000000004</v>
          </cell>
          <cell r="H240">
            <v>882.53</v>
          </cell>
        </row>
        <row r="241">
          <cell r="A241" t="str">
            <v>481003</v>
          </cell>
          <cell r="B241" t="str">
            <v>01993</v>
          </cell>
          <cell r="D241" t="str">
            <v>200</v>
          </cell>
          <cell r="E241" t="str">
            <v>2008-06-30</v>
          </cell>
          <cell r="F241" t="str">
            <v>470</v>
          </cell>
          <cell r="G241">
            <v>1751.48</v>
          </cell>
          <cell r="H241">
            <v>279.88</v>
          </cell>
        </row>
        <row r="242">
          <cell r="A242" t="str">
            <v>481003</v>
          </cell>
          <cell r="B242" t="str">
            <v>01943</v>
          </cell>
          <cell r="D242" t="str">
            <v>200</v>
          </cell>
          <cell r="E242" t="str">
            <v>2008-06-30</v>
          </cell>
          <cell r="F242" t="str">
            <v>470</v>
          </cell>
          <cell r="G242">
            <v>741.84</v>
          </cell>
          <cell r="H242">
            <v>115.32</v>
          </cell>
        </row>
        <row r="243">
          <cell r="A243" t="str">
            <v>481003</v>
          </cell>
          <cell r="B243" t="str">
            <v>01943</v>
          </cell>
          <cell r="D243" t="str">
            <v>200</v>
          </cell>
          <cell r="E243" t="str">
            <v>2008-06-30</v>
          </cell>
          <cell r="F243" t="str">
            <v>472B</v>
          </cell>
          <cell r="G243">
            <v>1704.08</v>
          </cell>
          <cell r="H243">
            <v>318.39</v>
          </cell>
        </row>
        <row r="244">
          <cell r="A244" t="str">
            <v>481003</v>
          </cell>
          <cell r="B244" t="str">
            <v>01954</v>
          </cell>
          <cell r="D244" t="str">
            <v>200</v>
          </cell>
          <cell r="E244" t="str">
            <v>2008-06-30</v>
          </cell>
          <cell r="F244" t="str">
            <v>472B</v>
          </cell>
          <cell r="G244">
            <v>30.42</v>
          </cell>
          <cell r="H244">
            <v>5.64</v>
          </cell>
        </row>
        <row r="245">
          <cell r="A245" t="str">
            <v>481003</v>
          </cell>
          <cell r="B245" t="str">
            <v>01953</v>
          </cell>
          <cell r="D245" t="str">
            <v>200</v>
          </cell>
          <cell r="E245" t="str">
            <v>2008-06-30</v>
          </cell>
          <cell r="F245" t="str">
            <v>472B</v>
          </cell>
          <cell r="G245">
            <v>21353</v>
          </cell>
          <cell r="H245">
            <v>3925.9</v>
          </cell>
        </row>
        <row r="246">
          <cell r="A246" t="str">
            <v>481003</v>
          </cell>
          <cell r="B246" t="str">
            <v>01991</v>
          </cell>
          <cell r="D246" t="str">
            <v>200</v>
          </cell>
          <cell r="E246" t="str">
            <v>2008-06-30</v>
          </cell>
          <cell r="F246" t="str">
            <v>472B</v>
          </cell>
          <cell r="G246">
            <v>58.5</v>
          </cell>
          <cell r="H246">
            <v>10.85</v>
          </cell>
        </row>
        <row r="247">
          <cell r="A247" t="str">
            <v>481003</v>
          </cell>
          <cell r="B247" t="str">
            <v>01989</v>
          </cell>
          <cell r="D247" t="str">
            <v>200</v>
          </cell>
          <cell r="E247" t="str">
            <v>2008-06-30</v>
          </cell>
          <cell r="F247" t="str">
            <v>BINGV31330</v>
          </cell>
          <cell r="G247">
            <v>3276.85</v>
          </cell>
          <cell r="H247">
            <v>411.96</v>
          </cell>
        </row>
        <row r="248">
          <cell r="A248" t="str">
            <v>481003</v>
          </cell>
          <cell r="B248" t="str">
            <v>01988</v>
          </cell>
          <cell r="D248" t="str">
            <v>200</v>
          </cell>
          <cell r="E248" t="str">
            <v>2008-06-30</v>
          </cell>
          <cell r="F248" t="str">
            <v>BINGV31330</v>
          </cell>
          <cell r="G248">
            <v>7274.88</v>
          </cell>
          <cell r="H248">
            <v>914.61</v>
          </cell>
        </row>
        <row r="249">
          <cell r="A249" t="str">
            <v>481003</v>
          </cell>
          <cell r="B249" t="str">
            <v>01986</v>
          </cell>
          <cell r="D249" t="str">
            <v>200</v>
          </cell>
          <cell r="E249" t="str">
            <v>2008-06-30</v>
          </cell>
          <cell r="F249" t="str">
            <v>BINGV31330</v>
          </cell>
          <cell r="G249">
            <v>25262.86</v>
          </cell>
          <cell r="H249">
            <v>3176</v>
          </cell>
        </row>
        <row r="250">
          <cell r="A250" t="str">
            <v>481003</v>
          </cell>
          <cell r="B250" t="str">
            <v>01968</v>
          </cell>
          <cell r="D250" t="str">
            <v>200</v>
          </cell>
          <cell r="E250" t="str">
            <v>2008-06-30</v>
          </cell>
          <cell r="F250" t="str">
            <v>BINGV31330</v>
          </cell>
          <cell r="G250">
            <v>3435.3</v>
          </cell>
          <cell r="H250">
            <v>431.88</v>
          </cell>
        </row>
        <row r="251">
          <cell r="A251" t="str">
            <v>481003</v>
          </cell>
          <cell r="B251" t="str">
            <v>01994</v>
          </cell>
          <cell r="D251" t="str">
            <v>200</v>
          </cell>
          <cell r="E251" t="str">
            <v>2008-06-30</v>
          </cell>
          <cell r="F251" t="str">
            <v>BINGV31330</v>
          </cell>
          <cell r="G251">
            <v>15061.94</v>
          </cell>
          <cell r="H251">
            <v>1893.56</v>
          </cell>
        </row>
        <row r="252">
          <cell r="A252" t="str">
            <v>481003</v>
          </cell>
          <cell r="B252" t="str">
            <v>01976</v>
          </cell>
          <cell r="D252" t="str">
            <v>200</v>
          </cell>
          <cell r="E252" t="str">
            <v>2008-06-30</v>
          </cell>
          <cell r="F252" t="str">
            <v>BINGV31330</v>
          </cell>
          <cell r="G252">
            <v>16095.05</v>
          </cell>
          <cell r="H252">
            <v>2023.44</v>
          </cell>
        </row>
        <row r="253">
          <cell r="A253" t="str">
            <v>481003</v>
          </cell>
          <cell r="B253" t="str">
            <v>01980</v>
          </cell>
          <cell r="D253" t="str">
            <v>200</v>
          </cell>
          <cell r="E253" t="str">
            <v>2008-06-30</v>
          </cell>
          <cell r="F253" t="str">
            <v>BINGV31330</v>
          </cell>
          <cell r="G253">
            <v>335.99</v>
          </cell>
          <cell r="H253">
            <v>42.24</v>
          </cell>
        </row>
        <row r="254">
          <cell r="A254" t="str">
            <v>481003</v>
          </cell>
          <cell r="B254" t="str">
            <v>01987</v>
          </cell>
          <cell r="D254" t="str">
            <v>200</v>
          </cell>
          <cell r="E254" t="str">
            <v>2008-06-30</v>
          </cell>
          <cell r="F254" t="str">
            <v>BINGV31330</v>
          </cell>
          <cell r="G254">
            <v>20481.46</v>
          </cell>
          <cell r="H254">
            <v>2574.9499999999998</v>
          </cell>
        </row>
        <row r="255">
          <cell r="A255" t="str">
            <v>481003</v>
          </cell>
          <cell r="B255" t="str">
            <v>01978</v>
          </cell>
          <cell r="D255" t="str">
            <v>200</v>
          </cell>
          <cell r="E255" t="str">
            <v>2008-06-30</v>
          </cell>
          <cell r="F255" t="str">
            <v>BINGV31330</v>
          </cell>
          <cell r="G255">
            <v>8667.7099999999991</v>
          </cell>
          <cell r="H255">
            <v>1089.72</v>
          </cell>
        </row>
        <row r="256">
          <cell r="A256" t="str">
            <v>481003</v>
          </cell>
          <cell r="B256" t="str">
            <v>01970</v>
          </cell>
          <cell r="D256" t="str">
            <v>200</v>
          </cell>
          <cell r="E256" t="str">
            <v>2008-06-30</v>
          </cell>
          <cell r="F256" t="str">
            <v>BINGV31330</v>
          </cell>
          <cell r="G256">
            <v>3578.18</v>
          </cell>
          <cell r="H256">
            <v>449.84</v>
          </cell>
        </row>
        <row r="257">
          <cell r="A257" t="str">
            <v>481003</v>
          </cell>
          <cell r="B257" t="str">
            <v>01971</v>
          </cell>
          <cell r="D257" t="str">
            <v>200</v>
          </cell>
          <cell r="E257" t="str">
            <v>2008-06-30</v>
          </cell>
          <cell r="F257" t="str">
            <v>BINGV31330</v>
          </cell>
          <cell r="G257">
            <v>8177.86</v>
          </cell>
          <cell r="H257">
            <v>1028.1600000000001</v>
          </cell>
        </row>
        <row r="258">
          <cell r="A258" t="str">
            <v>481003</v>
          </cell>
          <cell r="B258" t="str">
            <v>01969</v>
          </cell>
          <cell r="D258" t="str">
            <v>200</v>
          </cell>
          <cell r="E258" t="str">
            <v>2008-06-30</v>
          </cell>
          <cell r="F258" t="str">
            <v>BINGV31330</v>
          </cell>
          <cell r="G258">
            <v>5209.1499999999996</v>
          </cell>
          <cell r="H258">
            <v>654.9</v>
          </cell>
        </row>
        <row r="259">
          <cell r="A259" t="str">
            <v>481003</v>
          </cell>
          <cell r="B259" t="str">
            <v>01977</v>
          </cell>
          <cell r="D259" t="str">
            <v>200</v>
          </cell>
          <cell r="E259" t="str">
            <v>2008-06-30</v>
          </cell>
          <cell r="F259" t="str">
            <v>BINGV31330</v>
          </cell>
          <cell r="G259">
            <v>7312.55</v>
          </cell>
          <cell r="H259">
            <v>919.32</v>
          </cell>
        </row>
        <row r="260">
          <cell r="A260" t="str">
            <v>481003</v>
          </cell>
          <cell r="B260" t="str">
            <v>01992</v>
          </cell>
          <cell r="D260" t="str">
            <v>200</v>
          </cell>
          <cell r="E260" t="str">
            <v>2008-06-30</v>
          </cell>
          <cell r="F260" t="str">
            <v>BINGV31330</v>
          </cell>
          <cell r="G260">
            <v>22618.53</v>
          </cell>
          <cell r="H260">
            <v>2843.56</v>
          </cell>
        </row>
        <row r="261">
          <cell r="A261" t="str">
            <v>481003</v>
          </cell>
          <cell r="B261" t="str">
            <v>01973</v>
          </cell>
          <cell r="D261" t="str">
            <v>200</v>
          </cell>
          <cell r="E261" t="str">
            <v>2008-06-30</v>
          </cell>
          <cell r="F261" t="str">
            <v>BINGV31330</v>
          </cell>
          <cell r="G261">
            <v>13188.54</v>
          </cell>
          <cell r="H261">
            <v>1658.04</v>
          </cell>
        </row>
        <row r="262">
          <cell r="A262" t="str">
            <v>481003</v>
          </cell>
          <cell r="B262" t="str">
            <v>01952</v>
          </cell>
          <cell r="D262" t="str">
            <v>200</v>
          </cell>
          <cell r="E262" t="str">
            <v>2008-06-30</v>
          </cell>
          <cell r="F262" t="str">
            <v>BINGV31330</v>
          </cell>
          <cell r="G262">
            <v>20362.12</v>
          </cell>
          <cell r="H262">
            <v>2559.89</v>
          </cell>
        </row>
        <row r="263">
          <cell r="A263" t="str">
            <v>481003</v>
          </cell>
          <cell r="B263" t="str">
            <v>01953</v>
          </cell>
          <cell r="D263" t="str">
            <v>200</v>
          </cell>
          <cell r="E263" t="str">
            <v>2008-07-31</v>
          </cell>
          <cell r="F263" t="str">
            <v>470</v>
          </cell>
          <cell r="G263">
            <v>26772.09</v>
          </cell>
          <cell r="H263">
            <v>3888.85</v>
          </cell>
        </row>
        <row r="264">
          <cell r="A264" t="str">
            <v>481003</v>
          </cell>
          <cell r="B264" t="str">
            <v>01990</v>
          </cell>
          <cell r="D264" t="str">
            <v>200</v>
          </cell>
          <cell r="E264" t="str">
            <v>2008-07-31</v>
          </cell>
          <cell r="F264" t="str">
            <v>470</v>
          </cell>
          <cell r="G264">
            <v>7014.12</v>
          </cell>
          <cell r="H264">
            <v>1000.07</v>
          </cell>
        </row>
        <row r="265">
          <cell r="A265" t="str">
            <v>481003</v>
          </cell>
          <cell r="B265" t="str">
            <v>01986</v>
          </cell>
          <cell r="D265" t="str">
            <v>200</v>
          </cell>
          <cell r="E265" t="str">
            <v>2008-07-31</v>
          </cell>
          <cell r="F265" t="str">
            <v>470</v>
          </cell>
          <cell r="G265">
            <v>7361</v>
          </cell>
          <cell r="H265">
            <v>1075.6600000000001</v>
          </cell>
        </row>
        <row r="266">
          <cell r="A266" t="str">
            <v>481003</v>
          </cell>
          <cell r="B266" t="str">
            <v>01988</v>
          </cell>
          <cell r="D266" t="str">
            <v>200</v>
          </cell>
          <cell r="E266" t="str">
            <v>2008-07-31</v>
          </cell>
          <cell r="F266" t="str">
            <v>470</v>
          </cell>
          <cell r="G266">
            <v>6166.87</v>
          </cell>
          <cell r="H266">
            <v>901.8</v>
          </cell>
        </row>
        <row r="267">
          <cell r="A267" t="str">
            <v>481003</v>
          </cell>
          <cell r="B267" t="str">
            <v>01974</v>
          </cell>
          <cell r="D267" t="str">
            <v>200</v>
          </cell>
          <cell r="E267" t="str">
            <v>2008-07-31</v>
          </cell>
          <cell r="F267" t="str">
            <v>470</v>
          </cell>
          <cell r="G267">
            <v>16918.509999999998</v>
          </cell>
          <cell r="H267">
            <v>2474.66</v>
          </cell>
        </row>
        <row r="268">
          <cell r="A268" t="str">
            <v>481003</v>
          </cell>
          <cell r="B268" t="str">
            <v>01993</v>
          </cell>
          <cell r="D268" t="str">
            <v>200</v>
          </cell>
          <cell r="E268" t="str">
            <v>2008-07-31</v>
          </cell>
          <cell r="F268" t="str">
            <v>470</v>
          </cell>
          <cell r="G268">
            <v>3791.79</v>
          </cell>
          <cell r="H268">
            <v>390.69</v>
          </cell>
        </row>
        <row r="269">
          <cell r="A269" t="str">
            <v>481003</v>
          </cell>
          <cell r="B269" t="str">
            <v>01943</v>
          </cell>
          <cell r="D269" t="str">
            <v>200</v>
          </cell>
          <cell r="E269" t="str">
            <v>2008-07-31</v>
          </cell>
          <cell r="F269" t="str">
            <v>470</v>
          </cell>
          <cell r="G269">
            <v>1184.71</v>
          </cell>
          <cell r="H269">
            <v>120.2</v>
          </cell>
        </row>
        <row r="270">
          <cell r="A270" t="str">
            <v>481003</v>
          </cell>
          <cell r="B270" t="str">
            <v>01953</v>
          </cell>
          <cell r="D270" t="str">
            <v>200</v>
          </cell>
          <cell r="E270" t="str">
            <v>2008-07-31</v>
          </cell>
          <cell r="F270" t="str">
            <v>472B</v>
          </cell>
          <cell r="G270">
            <v>35324.15</v>
          </cell>
          <cell r="H270">
            <v>4837.5600000000004</v>
          </cell>
        </row>
        <row r="271">
          <cell r="A271" t="str">
            <v>481003</v>
          </cell>
          <cell r="B271" t="str">
            <v>01954</v>
          </cell>
          <cell r="D271" t="str">
            <v>200</v>
          </cell>
          <cell r="E271" t="str">
            <v>2008-07-31</v>
          </cell>
          <cell r="F271" t="str">
            <v>472B</v>
          </cell>
          <cell r="G271">
            <v>14.19</v>
          </cell>
          <cell r="H271">
            <v>1.96</v>
          </cell>
        </row>
        <row r="272">
          <cell r="A272" t="str">
            <v>481003</v>
          </cell>
          <cell r="B272" t="str">
            <v>01943</v>
          </cell>
          <cell r="D272" t="str">
            <v>200</v>
          </cell>
          <cell r="E272" t="str">
            <v>2008-07-31</v>
          </cell>
          <cell r="F272" t="str">
            <v>472B</v>
          </cell>
          <cell r="G272">
            <v>297.92</v>
          </cell>
          <cell r="H272">
            <v>55.68</v>
          </cell>
        </row>
        <row r="273">
          <cell r="A273" t="str">
            <v>481003</v>
          </cell>
          <cell r="B273" t="str">
            <v>01991</v>
          </cell>
          <cell r="D273" t="str">
            <v>200</v>
          </cell>
          <cell r="E273" t="str">
            <v>2008-07-31</v>
          </cell>
          <cell r="F273" t="str">
            <v>472B</v>
          </cell>
          <cell r="G273">
            <v>74.7</v>
          </cell>
          <cell r="H273">
            <v>10.31</v>
          </cell>
        </row>
        <row r="274">
          <cell r="A274" t="str">
            <v>481003</v>
          </cell>
          <cell r="B274" t="str">
            <v>01976</v>
          </cell>
          <cell r="D274" t="str">
            <v>200</v>
          </cell>
          <cell r="E274" t="str">
            <v>2008-07-31</v>
          </cell>
          <cell r="F274" t="str">
            <v>BINGV31717</v>
          </cell>
          <cell r="G274">
            <v>21999.68</v>
          </cell>
          <cell r="H274">
            <v>2765.76</v>
          </cell>
        </row>
        <row r="275">
          <cell r="A275" t="str">
            <v>481003</v>
          </cell>
          <cell r="B275" t="str">
            <v>01980</v>
          </cell>
          <cell r="D275" t="str">
            <v>200</v>
          </cell>
          <cell r="E275" t="str">
            <v>2008-07-31</v>
          </cell>
          <cell r="F275" t="str">
            <v>BINGV31717</v>
          </cell>
          <cell r="G275">
            <v>36.270000000000003</v>
          </cell>
          <cell r="H275">
            <v>4.5599999999999996</v>
          </cell>
        </row>
        <row r="276">
          <cell r="A276" t="str">
            <v>481003</v>
          </cell>
          <cell r="B276" t="str">
            <v>01987</v>
          </cell>
          <cell r="D276" t="str">
            <v>200</v>
          </cell>
          <cell r="E276" t="str">
            <v>2008-07-31</v>
          </cell>
          <cell r="F276" t="str">
            <v>BINGV31717</v>
          </cell>
          <cell r="G276">
            <v>24596.720000000001</v>
          </cell>
          <cell r="H276">
            <v>3092.34</v>
          </cell>
        </row>
        <row r="277">
          <cell r="A277" t="str">
            <v>481003</v>
          </cell>
          <cell r="B277" t="str">
            <v>01978</v>
          </cell>
          <cell r="D277" t="str">
            <v>200</v>
          </cell>
          <cell r="E277" t="str">
            <v>2008-07-31</v>
          </cell>
          <cell r="F277" t="str">
            <v>BINGV31717</v>
          </cell>
          <cell r="G277">
            <v>10379.4</v>
          </cell>
          <cell r="H277">
            <v>1304.8800000000001</v>
          </cell>
        </row>
        <row r="278">
          <cell r="A278" t="str">
            <v>481003</v>
          </cell>
          <cell r="B278" t="str">
            <v>01970</v>
          </cell>
          <cell r="D278" t="str">
            <v>200</v>
          </cell>
          <cell r="E278" t="str">
            <v>2008-07-31</v>
          </cell>
          <cell r="F278" t="str">
            <v>BINGV31717</v>
          </cell>
          <cell r="G278">
            <v>3896.56</v>
          </cell>
          <cell r="H278">
            <v>489.87</v>
          </cell>
        </row>
        <row r="279">
          <cell r="A279" t="str">
            <v>481003</v>
          </cell>
          <cell r="B279" t="str">
            <v>01971</v>
          </cell>
          <cell r="D279" t="str">
            <v>200</v>
          </cell>
          <cell r="E279" t="str">
            <v>2008-07-31</v>
          </cell>
          <cell r="F279" t="str">
            <v>BINGV31717</v>
          </cell>
          <cell r="G279">
            <v>12760.93</v>
          </cell>
          <cell r="H279">
            <v>1604.28</v>
          </cell>
        </row>
        <row r="280">
          <cell r="A280" t="str">
            <v>481003</v>
          </cell>
          <cell r="B280" t="str">
            <v>01969</v>
          </cell>
          <cell r="D280" t="str">
            <v>200</v>
          </cell>
          <cell r="E280" t="str">
            <v>2008-07-31</v>
          </cell>
          <cell r="F280" t="str">
            <v>BINGV31717</v>
          </cell>
          <cell r="G280">
            <v>3746.93</v>
          </cell>
          <cell r="H280">
            <v>471.06</v>
          </cell>
        </row>
        <row r="281">
          <cell r="A281" t="str">
            <v>481003</v>
          </cell>
          <cell r="B281" t="str">
            <v>01977</v>
          </cell>
          <cell r="D281" t="str">
            <v>200</v>
          </cell>
          <cell r="E281" t="str">
            <v>2008-07-31</v>
          </cell>
          <cell r="F281" t="str">
            <v>BINGV31717</v>
          </cell>
          <cell r="G281">
            <v>9283.6200000000008</v>
          </cell>
          <cell r="H281">
            <v>1167.1199999999999</v>
          </cell>
        </row>
        <row r="282">
          <cell r="A282" t="str">
            <v>481003</v>
          </cell>
          <cell r="B282" t="str">
            <v>01992</v>
          </cell>
          <cell r="D282" t="str">
            <v>200</v>
          </cell>
          <cell r="E282" t="str">
            <v>2008-07-31</v>
          </cell>
          <cell r="F282" t="str">
            <v>BINGV31717</v>
          </cell>
          <cell r="G282">
            <v>23581.59</v>
          </cell>
          <cell r="H282">
            <v>2964.63</v>
          </cell>
        </row>
        <row r="283">
          <cell r="A283" t="str">
            <v>481003</v>
          </cell>
          <cell r="B283" t="str">
            <v>01968</v>
          </cell>
          <cell r="D283" t="str">
            <v>200</v>
          </cell>
          <cell r="E283" t="str">
            <v>2008-07-31</v>
          </cell>
          <cell r="F283" t="str">
            <v>BINGV31717</v>
          </cell>
          <cell r="G283">
            <v>6320.8</v>
          </cell>
          <cell r="H283">
            <v>794.64</v>
          </cell>
        </row>
        <row r="284">
          <cell r="A284" t="str">
            <v>481003</v>
          </cell>
          <cell r="B284" t="str">
            <v>01994</v>
          </cell>
          <cell r="D284" t="str">
            <v>200</v>
          </cell>
          <cell r="E284" t="str">
            <v>2008-07-31</v>
          </cell>
          <cell r="F284" t="str">
            <v>BINGV31717</v>
          </cell>
          <cell r="G284">
            <v>9018.2099999999991</v>
          </cell>
          <cell r="H284">
            <v>1133.75</v>
          </cell>
        </row>
        <row r="285">
          <cell r="A285" t="str">
            <v>481003</v>
          </cell>
          <cell r="B285" t="str">
            <v>01995</v>
          </cell>
          <cell r="D285" t="str">
            <v>200</v>
          </cell>
          <cell r="E285" t="str">
            <v>2008-07-31</v>
          </cell>
          <cell r="F285" t="str">
            <v>BINGV31717</v>
          </cell>
          <cell r="G285">
            <v>25655.83</v>
          </cell>
          <cell r="H285">
            <v>3099.36</v>
          </cell>
        </row>
        <row r="286">
          <cell r="A286" t="str">
            <v>481003</v>
          </cell>
          <cell r="B286" t="str">
            <v>01973</v>
          </cell>
          <cell r="D286" t="str">
            <v>200</v>
          </cell>
          <cell r="E286" t="str">
            <v>2008-07-31</v>
          </cell>
          <cell r="F286" t="str">
            <v>BINGV31717</v>
          </cell>
          <cell r="G286">
            <v>34982.050000000003</v>
          </cell>
          <cell r="H286">
            <v>7398</v>
          </cell>
        </row>
        <row r="287">
          <cell r="A287" t="str">
            <v>481003</v>
          </cell>
          <cell r="B287" t="str">
            <v>01952</v>
          </cell>
          <cell r="D287" t="str">
            <v>200</v>
          </cell>
          <cell r="E287" t="str">
            <v>2008-07-31</v>
          </cell>
          <cell r="F287" t="str">
            <v>BINGV31717</v>
          </cell>
          <cell r="G287">
            <v>27819.94</v>
          </cell>
          <cell r="H287">
            <v>3497.47</v>
          </cell>
        </row>
        <row r="288">
          <cell r="A288" t="str">
            <v>481003</v>
          </cell>
          <cell r="B288" t="str">
            <v>01989</v>
          </cell>
          <cell r="D288" t="str">
            <v>200</v>
          </cell>
          <cell r="E288" t="str">
            <v>2008-07-31</v>
          </cell>
          <cell r="F288" t="str">
            <v>BINGV31717</v>
          </cell>
          <cell r="G288">
            <v>5401.61</v>
          </cell>
          <cell r="H288">
            <v>679.08</v>
          </cell>
        </row>
        <row r="289">
          <cell r="A289" t="str">
            <v>481003</v>
          </cell>
          <cell r="B289" t="str">
            <v>01988</v>
          </cell>
          <cell r="D289" t="str">
            <v>200</v>
          </cell>
          <cell r="E289" t="str">
            <v>2008-07-31</v>
          </cell>
          <cell r="F289" t="str">
            <v>BINGV31717</v>
          </cell>
          <cell r="G289">
            <v>7574.57</v>
          </cell>
          <cell r="H289">
            <v>952.29</v>
          </cell>
        </row>
        <row r="290">
          <cell r="A290" t="str">
            <v>481003</v>
          </cell>
          <cell r="B290" t="str">
            <v>01986</v>
          </cell>
          <cell r="D290" t="str">
            <v>200</v>
          </cell>
          <cell r="E290" t="str">
            <v>2008-07-31</v>
          </cell>
          <cell r="F290" t="str">
            <v>BINGV31717</v>
          </cell>
          <cell r="G290">
            <v>30266.11</v>
          </cell>
          <cell r="H290">
            <v>3805</v>
          </cell>
        </row>
        <row r="291">
          <cell r="A291" t="str">
            <v>481003</v>
          </cell>
          <cell r="B291" t="str">
            <v>01959</v>
          </cell>
          <cell r="D291" t="str">
            <v>200</v>
          </cell>
          <cell r="E291" t="str">
            <v>2008-07-31</v>
          </cell>
          <cell r="F291" t="str">
            <v>549A</v>
          </cell>
          <cell r="G291">
            <v>0</v>
          </cell>
          <cell r="H291">
            <v>0</v>
          </cell>
        </row>
        <row r="292">
          <cell r="A292" t="str">
            <v>481003</v>
          </cell>
          <cell r="B292" t="str">
            <v>01943</v>
          </cell>
          <cell r="D292" t="str">
            <v>200</v>
          </cell>
          <cell r="E292" t="str">
            <v>2008-07-31</v>
          </cell>
          <cell r="F292" t="str">
            <v>549A</v>
          </cell>
          <cell r="G292">
            <v>-420.15</v>
          </cell>
          <cell r="H292">
            <v>0</v>
          </cell>
        </row>
        <row r="293">
          <cell r="A293" t="str">
            <v>481003</v>
          </cell>
          <cell r="B293" t="str">
            <v>01990</v>
          </cell>
          <cell r="D293" t="str">
            <v>200</v>
          </cell>
          <cell r="E293" t="str">
            <v>2008-07-31</v>
          </cell>
          <cell r="F293" t="str">
            <v>549A</v>
          </cell>
          <cell r="G293">
            <v>-1525.11</v>
          </cell>
          <cell r="H293">
            <v>0</v>
          </cell>
        </row>
        <row r="294">
          <cell r="A294" t="str">
            <v>481003</v>
          </cell>
          <cell r="B294" t="str">
            <v>01991</v>
          </cell>
          <cell r="D294" t="str">
            <v>200</v>
          </cell>
          <cell r="E294" t="str">
            <v>2008-07-31</v>
          </cell>
          <cell r="F294" t="str">
            <v>549A</v>
          </cell>
          <cell r="G294">
            <v>-15.72</v>
          </cell>
          <cell r="H294">
            <v>0</v>
          </cell>
        </row>
        <row r="295">
          <cell r="A295" t="str">
            <v>481003</v>
          </cell>
          <cell r="B295" t="str">
            <v>01993</v>
          </cell>
          <cell r="D295" t="str">
            <v>200</v>
          </cell>
          <cell r="E295" t="str">
            <v>2008-07-31</v>
          </cell>
          <cell r="F295" t="str">
            <v>549A</v>
          </cell>
          <cell r="G295">
            <v>-595.79999999999995</v>
          </cell>
          <cell r="H295">
            <v>0</v>
          </cell>
        </row>
        <row r="296">
          <cell r="A296" t="str">
            <v>481003</v>
          </cell>
          <cell r="B296" t="str">
            <v>01954</v>
          </cell>
          <cell r="D296" t="str">
            <v>200</v>
          </cell>
          <cell r="E296" t="str">
            <v>2008-07-31</v>
          </cell>
          <cell r="F296" t="str">
            <v>549A</v>
          </cell>
          <cell r="G296">
            <v>-2.99</v>
          </cell>
          <cell r="H296">
            <v>0</v>
          </cell>
        </row>
        <row r="297">
          <cell r="A297" t="str">
            <v>481003</v>
          </cell>
          <cell r="B297" t="str">
            <v>01953</v>
          </cell>
          <cell r="D297" t="str">
            <v>200</v>
          </cell>
          <cell r="E297" t="str">
            <v>2008-07-31</v>
          </cell>
          <cell r="F297" t="str">
            <v>549A</v>
          </cell>
          <cell r="G297">
            <v>-13307.78</v>
          </cell>
          <cell r="H297">
            <v>0</v>
          </cell>
        </row>
        <row r="298">
          <cell r="A298" t="str">
            <v>481003</v>
          </cell>
          <cell r="B298" t="str">
            <v>01986</v>
          </cell>
          <cell r="D298" t="str">
            <v>200</v>
          </cell>
          <cell r="E298" t="str">
            <v>2008-07-31</v>
          </cell>
          <cell r="F298" t="str">
            <v>549A</v>
          </cell>
          <cell r="G298">
            <v>-1640.38</v>
          </cell>
          <cell r="H298">
            <v>0</v>
          </cell>
        </row>
        <row r="299">
          <cell r="A299" t="str">
            <v>481003</v>
          </cell>
          <cell r="B299" t="str">
            <v>01979</v>
          </cell>
          <cell r="D299" t="str">
            <v>200</v>
          </cell>
          <cell r="E299" t="str">
            <v>2008-08-31</v>
          </cell>
          <cell r="F299" t="str">
            <v>BINGV32099</v>
          </cell>
          <cell r="G299">
            <v>0.18</v>
          </cell>
          <cell r="H299">
            <v>0.02</v>
          </cell>
        </row>
        <row r="300">
          <cell r="A300" t="str">
            <v>481003</v>
          </cell>
          <cell r="B300" t="str">
            <v>01968</v>
          </cell>
          <cell r="D300" t="str">
            <v>200</v>
          </cell>
          <cell r="E300" t="str">
            <v>2008-08-31</v>
          </cell>
          <cell r="F300" t="str">
            <v>BINGV32099</v>
          </cell>
          <cell r="G300">
            <v>6582.96</v>
          </cell>
          <cell r="H300">
            <v>671.62</v>
          </cell>
        </row>
        <row r="301">
          <cell r="A301" t="str">
            <v>481003</v>
          </cell>
          <cell r="B301" t="str">
            <v>01994</v>
          </cell>
          <cell r="D301" t="str">
            <v>200</v>
          </cell>
          <cell r="E301" t="str">
            <v>2008-08-31</v>
          </cell>
          <cell r="F301" t="str">
            <v>BINGV32099</v>
          </cell>
          <cell r="G301">
            <v>16587.95</v>
          </cell>
          <cell r="H301">
            <v>1692.12</v>
          </cell>
        </row>
        <row r="302">
          <cell r="A302" t="str">
            <v>481003</v>
          </cell>
          <cell r="B302" t="str">
            <v>01995</v>
          </cell>
          <cell r="D302" t="str">
            <v>200</v>
          </cell>
          <cell r="E302" t="str">
            <v>2008-08-31</v>
          </cell>
          <cell r="F302" t="str">
            <v>BINGV32099</v>
          </cell>
          <cell r="G302">
            <v>5608.92</v>
          </cell>
          <cell r="H302">
            <v>572.16</v>
          </cell>
        </row>
        <row r="303">
          <cell r="A303" t="str">
            <v>481003</v>
          </cell>
          <cell r="B303" t="str">
            <v>01980</v>
          </cell>
          <cell r="D303" t="str">
            <v>200</v>
          </cell>
          <cell r="E303" t="str">
            <v>2008-08-31</v>
          </cell>
          <cell r="F303" t="str">
            <v>BINGV32099</v>
          </cell>
          <cell r="G303">
            <v>65.88</v>
          </cell>
          <cell r="H303">
            <v>6.72</v>
          </cell>
        </row>
        <row r="304">
          <cell r="A304" t="str">
            <v>481003</v>
          </cell>
          <cell r="B304" t="str">
            <v>01987</v>
          </cell>
          <cell r="D304" t="str">
            <v>200</v>
          </cell>
          <cell r="E304" t="str">
            <v>2008-08-31</v>
          </cell>
          <cell r="F304" t="str">
            <v>BINGV32099</v>
          </cell>
          <cell r="G304">
            <v>28321.919999999998</v>
          </cell>
          <cell r="H304">
            <v>2889.09</v>
          </cell>
        </row>
        <row r="305">
          <cell r="A305" t="str">
            <v>481003</v>
          </cell>
          <cell r="B305" t="str">
            <v>01976</v>
          </cell>
          <cell r="D305" t="str">
            <v>200</v>
          </cell>
          <cell r="E305" t="str">
            <v>2008-08-31</v>
          </cell>
          <cell r="F305" t="str">
            <v>BINGV32099</v>
          </cell>
          <cell r="G305">
            <v>16593.849999999999</v>
          </cell>
          <cell r="H305">
            <v>1692.72</v>
          </cell>
        </row>
        <row r="306">
          <cell r="A306" t="str">
            <v>481003</v>
          </cell>
          <cell r="B306" t="str">
            <v>01978</v>
          </cell>
          <cell r="D306" t="str">
            <v>200</v>
          </cell>
          <cell r="E306" t="str">
            <v>2008-08-31</v>
          </cell>
          <cell r="F306" t="str">
            <v>BINGV32099</v>
          </cell>
          <cell r="G306">
            <v>12404.8</v>
          </cell>
          <cell r="H306">
            <v>1265.4000000000001</v>
          </cell>
        </row>
        <row r="307">
          <cell r="A307" t="str">
            <v>481003</v>
          </cell>
          <cell r="B307" t="str">
            <v>01970</v>
          </cell>
          <cell r="D307" t="str">
            <v>200</v>
          </cell>
          <cell r="E307" t="str">
            <v>2008-08-31</v>
          </cell>
          <cell r="F307" t="str">
            <v>BINGV32099</v>
          </cell>
          <cell r="G307">
            <v>4519.92</v>
          </cell>
          <cell r="H307">
            <v>461.06</v>
          </cell>
        </row>
        <row r="308">
          <cell r="A308" t="str">
            <v>481003</v>
          </cell>
          <cell r="B308" t="str">
            <v>01971</v>
          </cell>
          <cell r="D308" t="str">
            <v>200</v>
          </cell>
          <cell r="E308" t="str">
            <v>2008-08-31</v>
          </cell>
          <cell r="F308" t="str">
            <v>BINGV32099</v>
          </cell>
          <cell r="G308">
            <v>16870.3</v>
          </cell>
          <cell r="H308">
            <v>1720.92</v>
          </cell>
        </row>
        <row r="309">
          <cell r="A309" t="str">
            <v>481003</v>
          </cell>
          <cell r="B309" t="str">
            <v>01969</v>
          </cell>
          <cell r="D309" t="str">
            <v>200</v>
          </cell>
          <cell r="E309" t="str">
            <v>2008-08-31</v>
          </cell>
          <cell r="F309" t="str">
            <v>BINGV32099</v>
          </cell>
          <cell r="G309">
            <v>7596.99</v>
          </cell>
          <cell r="H309">
            <v>774.96</v>
          </cell>
        </row>
        <row r="310">
          <cell r="A310" t="str">
            <v>481003</v>
          </cell>
          <cell r="B310" t="str">
            <v>01977</v>
          </cell>
          <cell r="D310" t="str">
            <v>200</v>
          </cell>
          <cell r="E310" t="str">
            <v>2008-08-31</v>
          </cell>
          <cell r="F310" t="str">
            <v>BINGV32099</v>
          </cell>
          <cell r="G310">
            <v>13605.88</v>
          </cell>
          <cell r="H310">
            <v>1387.92</v>
          </cell>
        </row>
        <row r="311">
          <cell r="A311" t="str">
            <v>481003</v>
          </cell>
          <cell r="B311" t="str">
            <v>01992</v>
          </cell>
          <cell r="D311" t="str">
            <v>200</v>
          </cell>
          <cell r="E311" t="str">
            <v>2008-08-31</v>
          </cell>
          <cell r="F311" t="str">
            <v>BINGV32099</v>
          </cell>
          <cell r="G311">
            <v>31345.81</v>
          </cell>
          <cell r="H311">
            <v>3197.55</v>
          </cell>
        </row>
        <row r="312">
          <cell r="A312" t="str">
            <v>481003</v>
          </cell>
          <cell r="B312" t="str">
            <v>01952</v>
          </cell>
          <cell r="D312" t="str">
            <v>200</v>
          </cell>
          <cell r="E312" t="str">
            <v>2008-08-31</v>
          </cell>
          <cell r="F312" t="str">
            <v>BINGV32099</v>
          </cell>
          <cell r="G312">
            <v>42326.21</v>
          </cell>
          <cell r="H312">
            <v>4317.6499999999996</v>
          </cell>
        </row>
        <row r="313">
          <cell r="A313" t="str">
            <v>481003</v>
          </cell>
          <cell r="B313" t="str">
            <v>01989</v>
          </cell>
          <cell r="D313" t="str">
            <v>200</v>
          </cell>
          <cell r="E313" t="str">
            <v>2008-08-31</v>
          </cell>
          <cell r="F313" t="str">
            <v>BINGV32099</v>
          </cell>
          <cell r="G313">
            <v>3558.51</v>
          </cell>
          <cell r="H313">
            <v>363</v>
          </cell>
        </row>
        <row r="314">
          <cell r="A314" t="str">
            <v>481003</v>
          </cell>
          <cell r="B314" t="str">
            <v>01973</v>
          </cell>
          <cell r="D314" t="str">
            <v>200</v>
          </cell>
          <cell r="E314" t="str">
            <v>2008-08-31</v>
          </cell>
          <cell r="F314" t="str">
            <v>BINGV32099</v>
          </cell>
          <cell r="G314">
            <v>18330.169999999998</v>
          </cell>
          <cell r="H314">
            <v>1869.84</v>
          </cell>
        </row>
        <row r="315">
          <cell r="A315" t="str">
            <v>481003</v>
          </cell>
          <cell r="B315" t="str">
            <v>01988</v>
          </cell>
          <cell r="D315" t="str">
            <v>200</v>
          </cell>
          <cell r="E315" t="str">
            <v>2008-08-31</v>
          </cell>
          <cell r="F315" t="str">
            <v>BINGV32099</v>
          </cell>
          <cell r="G315">
            <v>9927.75</v>
          </cell>
          <cell r="H315">
            <v>1012.72</v>
          </cell>
        </row>
        <row r="316">
          <cell r="A316" t="str">
            <v>481003</v>
          </cell>
          <cell r="B316" t="str">
            <v>01986</v>
          </cell>
          <cell r="D316" t="str">
            <v>200</v>
          </cell>
          <cell r="E316" t="str">
            <v>2008-08-31</v>
          </cell>
          <cell r="F316" t="str">
            <v>BINGV32099</v>
          </cell>
          <cell r="G316">
            <v>40987.75</v>
          </cell>
          <cell r="H316">
            <v>4181</v>
          </cell>
        </row>
        <row r="317">
          <cell r="A317" t="str">
            <v>481003</v>
          </cell>
          <cell r="B317" t="str">
            <v>01953</v>
          </cell>
          <cell r="D317" t="str">
            <v>200</v>
          </cell>
          <cell r="E317" t="str">
            <v>2008-08-31</v>
          </cell>
          <cell r="F317" t="str">
            <v>470</v>
          </cell>
          <cell r="G317">
            <v>37343.96</v>
          </cell>
          <cell r="H317">
            <v>5195.9399999999996</v>
          </cell>
        </row>
        <row r="318">
          <cell r="A318" t="str">
            <v>481003</v>
          </cell>
          <cell r="B318" t="str">
            <v>01990</v>
          </cell>
          <cell r="D318" t="str">
            <v>200</v>
          </cell>
          <cell r="E318" t="str">
            <v>2008-08-31</v>
          </cell>
          <cell r="F318" t="str">
            <v>470</v>
          </cell>
          <cell r="G318">
            <v>10449.93</v>
          </cell>
          <cell r="H318">
            <v>1453.87</v>
          </cell>
        </row>
        <row r="319">
          <cell r="A319" t="str">
            <v>481003</v>
          </cell>
          <cell r="B319" t="str">
            <v>01986</v>
          </cell>
          <cell r="D319" t="str">
            <v>200</v>
          </cell>
          <cell r="E319" t="str">
            <v>2008-08-31</v>
          </cell>
          <cell r="F319" t="str">
            <v>470</v>
          </cell>
          <cell r="G319">
            <v>10428.790000000001</v>
          </cell>
          <cell r="H319">
            <v>1450.49</v>
          </cell>
        </row>
        <row r="320">
          <cell r="A320" t="str">
            <v>481003</v>
          </cell>
          <cell r="B320" t="str">
            <v>01988</v>
          </cell>
          <cell r="D320" t="str">
            <v>200</v>
          </cell>
          <cell r="E320" t="str">
            <v>2008-08-31</v>
          </cell>
          <cell r="F320" t="str">
            <v>470</v>
          </cell>
          <cell r="G320">
            <v>7431.61</v>
          </cell>
          <cell r="H320">
            <v>1034.3499999999999</v>
          </cell>
        </row>
        <row r="321">
          <cell r="A321" t="str">
            <v>481003</v>
          </cell>
          <cell r="B321" t="str">
            <v>01974</v>
          </cell>
          <cell r="D321" t="str">
            <v>200</v>
          </cell>
          <cell r="E321" t="str">
            <v>2008-08-31</v>
          </cell>
          <cell r="F321" t="str">
            <v>470</v>
          </cell>
          <cell r="G321">
            <v>21153.59</v>
          </cell>
          <cell r="H321">
            <v>2946.86</v>
          </cell>
        </row>
        <row r="322">
          <cell r="A322" t="str">
            <v>481003</v>
          </cell>
          <cell r="B322" t="str">
            <v>01993</v>
          </cell>
          <cell r="D322" t="str">
            <v>200</v>
          </cell>
          <cell r="E322" t="str">
            <v>2008-08-31</v>
          </cell>
          <cell r="F322" t="str">
            <v>470</v>
          </cell>
          <cell r="G322">
            <v>5710.47</v>
          </cell>
          <cell r="H322">
            <v>559.39</v>
          </cell>
        </row>
        <row r="323">
          <cell r="A323" t="str">
            <v>481003</v>
          </cell>
          <cell r="B323" t="str">
            <v>01943</v>
          </cell>
          <cell r="D323" t="str">
            <v>200</v>
          </cell>
          <cell r="E323" t="str">
            <v>2008-08-31</v>
          </cell>
          <cell r="F323" t="str">
            <v>470</v>
          </cell>
          <cell r="G323">
            <v>686.57</v>
          </cell>
          <cell r="H323">
            <v>65.709999999999994</v>
          </cell>
        </row>
        <row r="324">
          <cell r="A324" t="str">
            <v>481003</v>
          </cell>
          <cell r="B324" t="str">
            <v>01943</v>
          </cell>
          <cell r="D324" t="str">
            <v>200</v>
          </cell>
          <cell r="E324" t="str">
            <v>2008-08-31</v>
          </cell>
          <cell r="F324" t="str">
            <v>472B</v>
          </cell>
          <cell r="G324">
            <v>2189.6</v>
          </cell>
          <cell r="H324">
            <v>409.11</v>
          </cell>
        </row>
        <row r="325">
          <cell r="A325" t="str">
            <v>481003</v>
          </cell>
          <cell r="B325" t="str">
            <v>01953</v>
          </cell>
          <cell r="D325" t="str">
            <v>200</v>
          </cell>
          <cell r="E325" t="str">
            <v>2008-08-31</v>
          </cell>
          <cell r="F325" t="str">
            <v>472B</v>
          </cell>
          <cell r="G325">
            <v>40490.79</v>
          </cell>
          <cell r="H325">
            <v>5545.02</v>
          </cell>
        </row>
        <row r="326">
          <cell r="A326" t="str">
            <v>481003</v>
          </cell>
          <cell r="B326" t="str">
            <v>01954</v>
          </cell>
          <cell r="D326" t="str">
            <v>200</v>
          </cell>
          <cell r="E326" t="str">
            <v>2008-08-31</v>
          </cell>
          <cell r="F326" t="str">
            <v>472B</v>
          </cell>
          <cell r="G326">
            <v>31.7</v>
          </cell>
          <cell r="H326">
            <v>4.37</v>
          </cell>
        </row>
        <row r="327">
          <cell r="A327" t="str">
            <v>481003</v>
          </cell>
          <cell r="B327" t="str">
            <v>01991</v>
          </cell>
          <cell r="D327" t="str">
            <v>200</v>
          </cell>
          <cell r="E327" t="str">
            <v>2008-08-31</v>
          </cell>
          <cell r="F327" t="str">
            <v>472B</v>
          </cell>
          <cell r="G327">
            <v>76.62</v>
          </cell>
          <cell r="H327">
            <v>10.58</v>
          </cell>
        </row>
        <row r="328">
          <cell r="A328" t="str">
            <v>481003</v>
          </cell>
          <cell r="B328" t="str">
            <v>01993</v>
          </cell>
          <cell r="D328" t="str">
            <v>200</v>
          </cell>
          <cell r="E328" t="str">
            <v>2008-08-31</v>
          </cell>
          <cell r="F328" t="str">
            <v>549A</v>
          </cell>
          <cell r="G328">
            <v>-853.07</v>
          </cell>
          <cell r="H328">
            <v>0</v>
          </cell>
        </row>
        <row r="329">
          <cell r="A329" t="str">
            <v>481003</v>
          </cell>
          <cell r="B329" t="str">
            <v>01954</v>
          </cell>
          <cell r="D329" t="str">
            <v>200</v>
          </cell>
          <cell r="E329" t="str">
            <v>2008-08-31</v>
          </cell>
          <cell r="F329" t="str">
            <v>549A</v>
          </cell>
          <cell r="G329">
            <v>-6.66</v>
          </cell>
          <cell r="H329">
            <v>0</v>
          </cell>
        </row>
        <row r="330">
          <cell r="A330" t="str">
            <v>481003</v>
          </cell>
          <cell r="B330" t="str">
            <v>01953</v>
          </cell>
          <cell r="D330" t="str">
            <v>200</v>
          </cell>
          <cell r="E330" t="str">
            <v>2008-08-31</v>
          </cell>
          <cell r="F330" t="str">
            <v>549A</v>
          </cell>
          <cell r="G330">
            <v>-16379.96</v>
          </cell>
          <cell r="H330">
            <v>0</v>
          </cell>
        </row>
        <row r="331">
          <cell r="A331" t="str">
            <v>481003</v>
          </cell>
          <cell r="B331" t="str">
            <v>01986</v>
          </cell>
          <cell r="D331" t="str">
            <v>200</v>
          </cell>
          <cell r="E331" t="str">
            <v>2008-08-31</v>
          </cell>
          <cell r="F331" t="str">
            <v>549A</v>
          </cell>
          <cell r="G331">
            <v>-2212</v>
          </cell>
          <cell r="H331">
            <v>0</v>
          </cell>
        </row>
        <row r="332">
          <cell r="A332" t="str">
            <v>481003</v>
          </cell>
          <cell r="B332" t="str">
            <v>01959</v>
          </cell>
          <cell r="D332" t="str">
            <v>200</v>
          </cell>
          <cell r="E332" t="str">
            <v>2008-08-31</v>
          </cell>
          <cell r="F332" t="str">
            <v>549A</v>
          </cell>
          <cell r="G332">
            <v>0</v>
          </cell>
          <cell r="H332">
            <v>0</v>
          </cell>
        </row>
        <row r="333">
          <cell r="A333" t="str">
            <v>481003</v>
          </cell>
          <cell r="B333" t="str">
            <v>01943</v>
          </cell>
          <cell r="D333" t="str">
            <v>200</v>
          </cell>
          <cell r="E333" t="str">
            <v>2008-08-31</v>
          </cell>
          <cell r="F333" t="str">
            <v>549A</v>
          </cell>
          <cell r="G333">
            <v>-1134.26</v>
          </cell>
          <cell r="H333">
            <v>0</v>
          </cell>
        </row>
        <row r="334">
          <cell r="A334" t="str">
            <v>481003</v>
          </cell>
          <cell r="B334" t="str">
            <v>01990</v>
          </cell>
          <cell r="D334" t="str">
            <v>200</v>
          </cell>
          <cell r="E334" t="str">
            <v>2008-08-31</v>
          </cell>
          <cell r="F334" t="str">
            <v>549A</v>
          </cell>
          <cell r="G334">
            <v>-2217.15</v>
          </cell>
          <cell r="H334">
            <v>0</v>
          </cell>
        </row>
        <row r="335">
          <cell r="A335" t="str">
            <v>481003</v>
          </cell>
          <cell r="B335" t="str">
            <v>01991</v>
          </cell>
          <cell r="D335" t="str">
            <v>200</v>
          </cell>
          <cell r="E335" t="str">
            <v>2008-08-31</v>
          </cell>
          <cell r="F335" t="str">
            <v>549A</v>
          </cell>
          <cell r="G335">
            <v>-16.13</v>
          </cell>
          <cell r="H335">
            <v>0</v>
          </cell>
        </row>
        <row r="336">
          <cell r="A336" t="str">
            <v>481003</v>
          </cell>
          <cell r="B336" t="str">
            <v>01952</v>
          </cell>
          <cell r="D336" t="str">
            <v>200</v>
          </cell>
          <cell r="E336" t="str">
            <v>2008-09-30</v>
          </cell>
          <cell r="F336" t="str">
            <v>BINGV32476</v>
          </cell>
          <cell r="G336">
            <v>32484.3</v>
          </cell>
          <cell r="H336">
            <v>3286.26</v>
          </cell>
        </row>
        <row r="337">
          <cell r="A337" t="str">
            <v>481003</v>
          </cell>
          <cell r="B337" t="str">
            <v>01989</v>
          </cell>
          <cell r="D337" t="str">
            <v>200</v>
          </cell>
          <cell r="E337" t="str">
            <v>2008-09-30</v>
          </cell>
          <cell r="F337" t="str">
            <v>BINGV32476</v>
          </cell>
          <cell r="G337">
            <v>3464.1</v>
          </cell>
          <cell r="H337">
            <v>350.76</v>
          </cell>
        </row>
        <row r="338">
          <cell r="A338" t="str">
            <v>481003</v>
          </cell>
          <cell r="B338" t="str">
            <v>01988</v>
          </cell>
          <cell r="D338" t="str">
            <v>200</v>
          </cell>
          <cell r="E338" t="str">
            <v>2008-09-30</v>
          </cell>
          <cell r="F338" t="str">
            <v>BINGV32476</v>
          </cell>
          <cell r="G338">
            <v>11163.07</v>
          </cell>
          <cell r="H338">
            <v>1130.26</v>
          </cell>
        </row>
        <row r="339">
          <cell r="A339" t="str">
            <v>481003</v>
          </cell>
          <cell r="B339" t="str">
            <v>01986</v>
          </cell>
          <cell r="D339" t="str">
            <v>200</v>
          </cell>
          <cell r="E339" t="str">
            <v>2008-09-30</v>
          </cell>
          <cell r="F339" t="str">
            <v>BINGV32476</v>
          </cell>
          <cell r="G339">
            <v>41370.44</v>
          </cell>
          <cell r="H339">
            <v>4181</v>
          </cell>
        </row>
        <row r="340">
          <cell r="A340" t="str">
            <v>481003</v>
          </cell>
          <cell r="B340" t="str">
            <v>01968</v>
          </cell>
          <cell r="D340" t="str">
            <v>200</v>
          </cell>
          <cell r="E340" t="str">
            <v>2008-09-30</v>
          </cell>
          <cell r="F340" t="str">
            <v>BINGV32476</v>
          </cell>
          <cell r="G340">
            <v>7313.35</v>
          </cell>
          <cell r="H340">
            <v>740.52</v>
          </cell>
        </row>
        <row r="341">
          <cell r="A341" t="str">
            <v>481003</v>
          </cell>
          <cell r="B341" t="str">
            <v>01974</v>
          </cell>
          <cell r="D341" t="str">
            <v>200</v>
          </cell>
          <cell r="E341" t="str">
            <v>2008-09-30</v>
          </cell>
          <cell r="F341" t="str">
            <v>BINGV32476</v>
          </cell>
          <cell r="G341">
            <v>22056.2</v>
          </cell>
          <cell r="H341">
            <v>2233.3200000000002</v>
          </cell>
        </row>
        <row r="342">
          <cell r="A342" t="str">
            <v>481003</v>
          </cell>
          <cell r="B342" t="str">
            <v>01992</v>
          </cell>
          <cell r="D342" t="str">
            <v>200</v>
          </cell>
          <cell r="E342" t="str">
            <v>2008-09-30</v>
          </cell>
          <cell r="F342" t="str">
            <v>BINGV32476</v>
          </cell>
          <cell r="G342">
            <v>32270.87</v>
          </cell>
          <cell r="H342">
            <v>3267.62</v>
          </cell>
        </row>
        <row r="343">
          <cell r="A343" t="str">
            <v>481003</v>
          </cell>
          <cell r="B343" t="str">
            <v>01979</v>
          </cell>
          <cell r="D343" t="str">
            <v>200</v>
          </cell>
          <cell r="E343" t="str">
            <v>2008-09-30</v>
          </cell>
          <cell r="F343" t="str">
            <v>BINGV32476</v>
          </cell>
          <cell r="G343">
            <v>17.41</v>
          </cell>
          <cell r="H343">
            <v>0.02</v>
          </cell>
        </row>
        <row r="344">
          <cell r="A344" t="str">
            <v>481003</v>
          </cell>
          <cell r="B344" t="str">
            <v>01994</v>
          </cell>
          <cell r="D344" t="str">
            <v>200</v>
          </cell>
          <cell r="E344" t="str">
            <v>2008-09-30</v>
          </cell>
          <cell r="F344" t="str">
            <v>BINGV32476</v>
          </cell>
          <cell r="G344">
            <v>1733.52</v>
          </cell>
          <cell r="H344">
            <v>175.35</v>
          </cell>
        </row>
        <row r="345">
          <cell r="A345" t="str">
            <v>481003</v>
          </cell>
          <cell r="B345" t="str">
            <v>01995</v>
          </cell>
          <cell r="D345" t="str">
            <v>200</v>
          </cell>
          <cell r="E345" t="str">
            <v>2008-09-30</v>
          </cell>
          <cell r="F345" t="str">
            <v>BINGV32476</v>
          </cell>
          <cell r="G345">
            <v>13709.42</v>
          </cell>
          <cell r="H345">
            <v>1388.16</v>
          </cell>
        </row>
        <row r="346">
          <cell r="A346" t="str">
            <v>481003</v>
          </cell>
          <cell r="B346" t="str">
            <v>01976</v>
          </cell>
          <cell r="D346" t="str">
            <v>200</v>
          </cell>
          <cell r="E346" t="str">
            <v>2008-09-30</v>
          </cell>
          <cell r="F346" t="str">
            <v>BINGV32476</v>
          </cell>
          <cell r="G346">
            <v>24643.31</v>
          </cell>
          <cell r="H346">
            <v>2495.2800000000002</v>
          </cell>
        </row>
        <row r="347">
          <cell r="A347" t="str">
            <v>481003</v>
          </cell>
          <cell r="B347" t="str">
            <v>01980</v>
          </cell>
          <cell r="D347" t="str">
            <v>200</v>
          </cell>
          <cell r="E347" t="str">
            <v>2008-09-30</v>
          </cell>
          <cell r="F347" t="str">
            <v>BINGV32476</v>
          </cell>
          <cell r="G347">
            <v>42.66</v>
          </cell>
          <cell r="H347">
            <v>4.32</v>
          </cell>
        </row>
        <row r="348">
          <cell r="A348" t="str">
            <v>481003</v>
          </cell>
          <cell r="B348" t="str">
            <v>01987</v>
          </cell>
          <cell r="D348" t="str">
            <v>200</v>
          </cell>
          <cell r="E348" t="str">
            <v>2008-09-30</v>
          </cell>
          <cell r="F348" t="str">
            <v>BINGV32476</v>
          </cell>
          <cell r="G348">
            <v>30116.959999999999</v>
          </cell>
          <cell r="H348">
            <v>3049.52</v>
          </cell>
        </row>
        <row r="349">
          <cell r="A349" t="str">
            <v>481003</v>
          </cell>
          <cell r="B349" t="str">
            <v>01978</v>
          </cell>
          <cell r="D349" t="str">
            <v>200</v>
          </cell>
          <cell r="E349" t="str">
            <v>2008-09-30</v>
          </cell>
          <cell r="F349" t="str">
            <v>BINGV32476</v>
          </cell>
          <cell r="G349">
            <v>14137.25</v>
          </cell>
          <cell r="H349">
            <v>1431.48</v>
          </cell>
        </row>
        <row r="350">
          <cell r="A350" t="str">
            <v>481003</v>
          </cell>
          <cell r="B350" t="str">
            <v>01970</v>
          </cell>
          <cell r="D350" t="str">
            <v>200</v>
          </cell>
          <cell r="E350" t="str">
            <v>2008-09-30</v>
          </cell>
          <cell r="F350" t="str">
            <v>BINGV32476</v>
          </cell>
          <cell r="G350">
            <v>3657.88</v>
          </cell>
          <cell r="H350">
            <v>370.37</v>
          </cell>
        </row>
        <row r="351">
          <cell r="A351" t="str">
            <v>481003</v>
          </cell>
          <cell r="B351" t="str">
            <v>01971</v>
          </cell>
          <cell r="D351" t="str">
            <v>200</v>
          </cell>
          <cell r="E351" t="str">
            <v>2008-09-30</v>
          </cell>
          <cell r="F351" t="str">
            <v>BINGV32476</v>
          </cell>
          <cell r="G351">
            <v>18480.09</v>
          </cell>
          <cell r="H351">
            <v>1871.16</v>
          </cell>
        </row>
        <row r="352">
          <cell r="A352" t="str">
            <v>481003</v>
          </cell>
          <cell r="B352" t="str">
            <v>01969</v>
          </cell>
          <cell r="D352" t="str">
            <v>200</v>
          </cell>
          <cell r="E352" t="str">
            <v>2008-09-30</v>
          </cell>
          <cell r="F352" t="str">
            <v>BINGV32476</v>
          </cell>
          <cell r="G352">
            <v>9954.98</v>
          </cell>
          <cell r="H352">
            <v>1008</v>
          </cell>
        </row>
        <row r="353">
          <cell r="A353" t="str">
            <v>481003</v>
          </cell>
          <cell r="B353" t="str">
            <v>01977</v>
          </cell>
          <cell r="D353" t="str">
            <v>200</v>
          </cell>
          <cell r="E353" t="str">
            <v>2008-09-30</v>
          </cell>
          <cell r="F353" t="str">
            <v>BINGV32476</v>
          </cell>
          <cell r="G353">
            <v>12866.81</v>
          </cell>
          <cell r="H353">
            <v>1302.8399999999999</v>
          </cell>
        </row>
        <row r="354">
          <cell r="A354" t="str">
            <v>481003</v>
          </cell>
          <cell r="B354" t="str">
            <v>01954</v>
          </cell>
          <cell r="D354" t="str">
            <v>200</v>
          </cell>
          <cell r="E354" t="str">
            <v>2008-09-30</v>
          </cell>
          <cell r="F354" t="str">
            <v>472B</v>
          </cell>
          <cell r="G354">
            <v>37.06</v>
          </cell>
          <cell r="H354">
            <v>5.1100000000000003</v>
          </cell>
        </row>
        <row r="355">
          <cell r="A355" t="str">
            <v>481003</v>
          </cell>
          <cell r="B355" t="str">
            <v>01991</v>
          </cell>
          <cell r="D355" t="str">
            <v>200</v>
          </cell>
          <cell r="E355" t="str">
            <v>2008-09-30</v>
          </cell>
          <cell r="F355" t="str">
            <v>472B</v>
          </cell>
          <cell r="G355">
            <v>63.78</v>
          </cell>
          <cell r="H355">
            <v>8.8000000000000007</v>
          </cell>
        </row>
        <row r="356">
          <cell r="A356" t="str">
            <v>481003</v>
          </cell>
          <cell r="B356" t="str">
            <v>01943</v>
          </cell>
          <cell r="D356" t="str">
            <v>200</v>
          </cell>
          <cell r="E356" t="str">
            <v>2008-09-30</v>
          </cell>
          <cell r="F356" t="str">
            <v>472B</v>
          </cell>
          <cell r="G356">
            <v>894.04</v>
          </cell>
          <cell r="H356">
            <v>167.03</v>
          </cell>
        </row>
        <row r="357">
          <cell r="A357" t="str">
            <v>481003</v>
          </cell>
          <cell r="B357" t="str">
            <v>01953</v>
          </cell>
          <cell r="D357" t="str">
            <v>200</v>
          </cell>
          <cell r="E357" t="str">
            <v>2008-09-30</v>
          </cell>
          <cell r="F357" t="str">
            <v>472B</v>
          </cell>
          <cell r="G357">
            <v>32443.46</v>
          </cell>
          <cell r="H357">
            <v>4443.04</v>
          </cell>
        </row>
        <row r="358">
          <cell r="A358" t="str">
            <v>481003</v>
          </cell>
          <cell r="B358" t="str">
            <v>01990</v>
          </cell>
          <cell r="D358" t="str">
            <v>200</v>
          </cell>
          <cell r="E358" t="str">
            <v>2008-09-30</v>
          </cell>
          <cell r="F358" t="str">
            <v>470</v>
          </cell>
          <cell r="G358">
            <v>10666.65</v>
          </cell>
          <cell r="H358">
            <v>1463.09</v>
          </cell>
        </row>
        <row r="359">
          <cell r="A359" t="str">
            <v>481003</v>
          </cell>
          <cell r="B359" t="str">
            <v>01953</v>
          </cell>
          <cell r="D359" t="str">
            <v>200</v>
          </cell>
          <cell r="E359" t="str">
            <v>2008-09-30</v>
          </cell>
          <cell r="F359" t="str">
            <v>470</v>
          </cell>
          <cell r="G359">
            <v>29982.49</v>
          </cell>
          <cell r="H359">
            <v>4111.7</v>
          </cell>
        </row>
        <row r="360">
          <cell r="A360" t="str">
            <v>481003</v>
          </cell>
          <cell r="B360" t="str">
            <v>01986</v>
          </cell>
          <cell r="D360" t="str">
            <v>200</v>
          </cell>
          <cell r="E360" t="str">
            <v>2008-09-30</v>
          </cell>
          <cell r="F360" t="str">
            <v>470</v>
          </cell>
          <cell r="G360">
            <v>11677.7</v>
          </cell>
          <cell r="H360">
            <v>1601.5</v>
          </cell>
        </row>
        <row r="361">
          <cell r="A361" t="str">
            <v>481003</v>
          </cell>
          <cell r="B361" t="str">
            <v>01974</v>
          </cell>
          <cell r="D361" t="str">
            <v>200</v>
          </cell>
          <cell r="E361" t="str">
            <v>2008-09-30</v>
          </cell>
          <cell r="F361" t="str">
            <v>470</v>
          </cell>
          <cell r="G361">
            <v>22843.01</v>
          </cell>
          <cell r="H361">
            <v>3132.55</v>
          </cell>
        </row>
        <row r="362">
          <cell r="A362" t="str">
            <v>481003</v>
          </cell>
          <cell r="B362" t="str">
            <v>01988</v>
          </cell>
          <cell r="D362" t="str">
            <v>200</v>
          </cell>
          <cell r="E362" t="str">
            <v>2008-09-30</v>
          </cell>
          <cell r="F362" t="str">
            <v>470</v>
          </cell>
          <cell r="G362">
            <v>6382.86</v>
          </cell>
          <cell r="H362">
            <v>875.21</v>
          </cell>
        </row>
        <row r="363">
          <cell r="A363" t="str">
            <v>481003</v>
          </cell>
          <cell r="B363" t="str">
            <v>01993</v>
          </cell>
          <cell r="D363" t="str">
            <v>200</v>
          </cell>
          <cell r="E363" t="str">
            <v>2008-09-30</v>
          </cell>
          <cell r="F363" t="str">
            <v>470</v>
          </cell>
          <cell r="G363">
            <v>5934.55</v>
          </cell>
          <cell r="H363">
            <v>581.33000000000004</v>
          </cell>
        </row>
        <row r="364">
          <cell r="A364" t="str">
            <v>481003</v>
          </cell>
          <cell r="B364" t="str">
            <v>01943</v>
          </cell>
          <cell r="D364" t="str">
            <v>200</v>
          </cell>
          <cell r="E364" t="str">
            <v>2008-09-30</v>
          </cell>
          <cell r="F364" t="str">
            <v>470</v>
          </cell>
          <cell r="G364">
            <v>549.95000000000005</v>
          </cell>
          <cell r="H364">
            <v>52.62</v>
          </cell>
        </row>
        <row r="365">
          <cell r="A365" t="str">
            <v>481003</v>
          </cell>
          <cell r="B365" t="str">
            <v>01943</v>
          </cell>
          <cell r="D365" t="str">
            <v>200</v>
          </cell>
          <cell r="E365" t="str">
            <v>2008-09-30</v>
          </cell>
          <cell r="F365" t="str">
            <v>549A</v>
          </cell>
          <cell r="G365">
            <v>-524.70000000000005</v>
          </cell>
          <cell r="H365">
            <v>0</v>
          </cell>
        </row>
        <row r="366">
          <cell r="A366" t="str">
            <v>481003</v>
          </cell>
          <cell r="B366" t="str">
            <v>01990</v>
          </cell>
          <cell r="D366" t="str">
            <v>200</v>
          </cell>
          <cell r="E366" t="str">
            <v>2008-09-30</v>
          </cell>
          <cell r="F366" t="str">
            <v>549A</v>
          </cell>
          <cell r="G366">
            <v>-2231.21</v>
          </cell>
          <cell r="H366">
            <v>0</v>
          </cell>
        </row>
        <row r="367">
          <cell r="A367" t="str">
            <v>481003</v>
          </cell>
          <cell r="B367" t="str">
            <v>01991</v>
          </cell>
          <cell r="D367" t="str">
            <v>200</v>
          </cell>
          <cell r="E367" t="str">
            <v>2008-09-30</v>
          </cell>
          <cell r="F367" t="str">
            <v>549A</v>
          </cell>
          <cell r="G367">
            <v>-13.42</v>
          </cell>
          <cell r="H367">
            <v>0</v>
          </cell>
        </row>
        <row r="368">
          <cell r="A368" t="str">
            <v>481003</v>
          </cell>
          <cell r="B368" t="str">
            <v>01993</v>
          </cell>
          <cell r="D368" t="str">
            <v>200</v>
          </cell>
          <cell r="E368" t="str">
            <v>2008-09-30</v>
          </cell>
          <cell r="F368" t="str">
            <v>549A</v>
          </cell>
          <cell r="G368">
            <v>-886.53</v>
          </cell>
          <cell r="H368">
            <v>0</v>
          </cell>
        </row>
        <row r="369">
          <cell r="A369" t="str">
            <v>481003</v>
          </cell>
          <cell r="B369" t="str">
            <v>01954</v>
          </cell>
          <cell r="D369" t="str">
            <v>200</v>
          </cell>
          <cell r="E369" t="str">
            <v>2008-09-30</v>
          </cell>
          <cell r="F369" t="str">
            <v>549A</v>
          </cell>
          <cell r="G369">
            <v>-7.79</v>
          </cell>
          <cell r="H369">
            <v>0</v>
          </cell>
        </row>
        <row r="370">
          <cell r="A370" t="str">
            <v>481003</v>
          </cell>
          <cell r="B370" t="str">
            <v>01953</v>
          </cell>
          <cell r="D370" t="str">
            <v>200</v>
          </cell>
          <cell r="E370" t="str">
            <v>2008-09-30</v>
          </cell>
          <cell r="F370" t="str">
            <v>549A</v>
          </cell>
          <cell r="G370">
            <v>-13045.98</v>
          </cell>
          <cell r="H370">
            <v>0</v>
          </cell>
        </row>
        <row r="371">
          <cell r="A371" t="str">
            <v>481003</v>
          </cell>
          <cell r="B371" t="str">
            <v>01986</v>
          </cell>
          <cell r="D371" t="str">
            <v>200</v>
          </cell>
          <cell r="E371" t="str">
            <v>2008-09-30</v>
          </cell>
          <cell r="F371" t="str">
            <v>549A</v>
          </cell>
          <cell r="G371">
            <v>-2442.29</v>
          </cell>
          <cell r="H371">
            <v>0</v>
          </cell>
        </row>
        <row r="372">
          <cell r="A372" t="str">
            <v>481003</v>
          </cell>
          <cell r="B372" t="str">
            <v>01959</v>
          </cell>
          <cell r="D372" t="str">
            <v>200</v>
          </cell>
          <cell r="E372" t="str">
            <v>2008-09-30</v>
          </cell>
          <cell r="F372" t="str">
            <v>549A</v>
          </cell>
          <cell r="G372">
            <v>0</v>
          </cell>
          <cell r="H372">
            <v>0</v>
          </cell>
        </row>
        <row r="373">
          <cell r="A373" t="str">
            <v>481003</v>
          </cell>
          <cell r="B373" t="str">
            <v>01968</v>
          </cell>
          <cell r="D373" t="str">
            <v>200</v>
          </cell>
          <cell r="E373" t="str">
            <v>2008-10-31</v>
          </cell>
          <cell r="F373" t="str">
            <v>BINGV32977</v>
          </cell>
          <cell r="G373">
            <v>6366.01</v>
          </cell>
          <cell r="H373">
            <v>640.67999999999995</v>
          </cell>
        </row>
        <row r="374">
          <cell r="A374" t="str">
            <v>481003</v>
          </cell>
          <cell r="B374" t="str">
            <v>01979</v>
          </cell>
          <cell r="D374" t="str">
            <v>200</v>
          </cell>
          <cell r="E374" t="str">
            <v>2008-10-31</v>
          </cell>
          <cell r="F374" t="str">
            <v>BINGV32977</v>
          </cell>
          <cell r="G374">
            <v>446.26</v>
          </cell>
          <cell r="H374">
            <v>44.91</v>
          </cell>
        </row>
        <row r="375">
          <cell r="A375" t="str">
            <v>481003</v>
          </cell>
          <cell r="B375" t="str">
            <v>01994</v>
          </cell>
          <cell r="D375" t="str">
            <v>200</v>
          </cell>
          <cell r="E375" t="str">
            <v>2008-10-31</v>
          </cell>
          <cell r="F375" t="str">
            <v>BINGV32977</v>
          </cell>
          <cell r="G375">
            <v>24102.19</v>
          </cell>
          <cell r="H375">
            <v>2425.66</v>
          </cell>
        </row>
        <row r="376">
          <cell r="A376" t="str">
            <v>481003</v>
          </cell>
          <cell r="B376" t="str">
            <v>01995</v>
          </cell>
          <cell r="D376" t="str">
            <v>200</v>
          </cell>
          <cell r="E376" t="str">
            <v>2008-10-31</v>
          </cell>
          <cell r="F376" t="str">
            <v>BINGV32977</v>
          </cell>
          <cell r="G376">
            <v>12209.67</v>
          </cell>
          <cell r="H376">
            <v>1228.8</v>
          </cell>
        </row>
        <row r="377">
          <cell r="A377" t="str">
            <v>481003</v>
          </cell>
          <cell r="B377" t="str">
            <v>01976</v>
          </cell>
          <cell r="D377" t="str">
            <v>200</v>
          </cell>
          <cell r="E377" t="str">
            <v>2008-10-31</v>
          </cell>
          <cell r="F377" t="str">
            <v>BINGV32977</v>
          </cell>
          <cell r="G377">
            <v>20371.48</v>
          </cell>
          <cell r="H377">
            <v>2050.1999999999998</v>
          </cell>
        </row>
        <row r="378">
          <cell r="A378" t="str">
            <v>481003</v>
          </cell>
          <cell r="B378" t="str">
            <v>01980</v>
          </cell>
          <cell r="D378" t="str">
            <v>200</v>
          </cell>
          <cell r="E378" t="str">
            <v>2008-10-31</v>
          </cell>
          <cell r="F378" t="str">
            <v>BINGV32977</v>
          </cell>
          <cell r="G378">
            <v>72.73</v>
          </cell>
          <cell r="H378">
            <v>7.32</v>
          </cell>
        </row>
        <row r="379">
          <cell r="A379" t="str">
            <v>481003</v>
          </cell>
          <cell r="B379" t="str">
            <v>01987</v>
          </cell>
          <cell r="D379" t="str">
            <v>200</v>
          </cell>
          <cell r="E379" t="str">
            <v>2008-10-31</v>
          </cell>
          <cell r="F379" t="str">
            <v>BINGV32977</v>
          </cell>
          <cell r="G379">
            <v>31198.28</v>
          </cell>
          <cell r="H379">
            <v>3139.81</v>
          </cell>
        </row>
        <row r="380">
          <cell r="A380" t="str">
            <v>481003</v>
          </cell>
          <cell r="B380" t="str">
            <v>01978</v>
          </cell>
          <cell r="D380" t="str">
            <v>200</v>
          </cell>
          <cell r="E380" t="str">
            <v>2008-10-31</v>
          </cell>
          <cell r="F380" t="str">
            <v>BINGV32977</v>
          </cell>
          <cell r="G380">
            <v>12506.67</v>
          </cell>
          <cell r="H380">
            <v>1258.68</v>
          </cell>
        </row>
        <row r="381">
          <cell r="A381" t="str">
            <v>481003</v>
          </cell>
          <cell r="B381" t="str">
            <v>01970</v>
          </cell>
          <cell r="D381" t="str">
            <v>200</v>
          </cell>
          <cell r="E381" t="str">
            <v>2008-10-31</v>
          </cell>
          <cell r="F381" t="str">
            <v>BINGV32977</v>
          </cell>
          <cell r="G381">
            <v>4535.49</v>
          </cell>
          <cell r="H381">
            <v>456.46</v>
          </cell>
        </row>
        <row r="382">
          <cell r="A382" t="str">
            <v>481003</v>
          </cell>
          <cell r="B382" t="str">
            <v>01971</v>
          </cell>
          <cell r="D382" t="str">
            <v>200</v>
          </cell>
          <cell r="E382" t="str">
            <v>2008-10-31</v>
          </cell>
          <cell r="F382" t="str">
            <v>BINGV32977</v>
          </cell>
          <cell r="G382">
            <v>19453.37</v>
          </cell>
          <cell r="H382">
            <v>1957.8</v>
          </cell>
        </row>
        <row r="383">
          <cell r="A383" t="str">
            <v>481003</v>
          </cell>
          <cell r="B383" t="str">
            <v>01969</v>
          </cell>
          <cell r="D383" t="str">
            <v>200</v>
          </cell>
          <cell r="E383" t="str">
            <v>2008-10-31</v>
          </cell>
          <cell r="F383" t="str">
            <v>BINGV32977</v>
          </cell>
          <cell r="G383">
            <v>8602.89</v>
          </cell>
          <cell r="H383">
            <v>865.8</v>
          </cell>
        </row>
        <row r="384">
          <cell r="A384" t="str">
            <v>481003</v>
          </cell>
          <cell r="B384" t="str">
            <v>01974</v>
          </cell>
          <cell r="D384" t="str">
            <v>200</v>
          </cell>
          <cell r="E384" t="str">
            <v>2008-10-31</v>
          </cell>
          <cell r="F384" t="str">
            <v>BINGV32977</v>
          </cell>
          <cell r="G384">
            <v>-22056.2</v>
          </cell>
          <cell r="H384">
            <v>-2233.3200000000002</v>
          </cell>
        </row>
        <row r="385">
          <cell r="A385" t="str">
            <v>481003</v>
          </cell>
          <cell r="B385" t="str">
            <v>01977</v>
          </cell>
          <cell r="D385" t="str">
            <v>200</v>
          </cell>
          <cell r="E385" t="str">
            <v>2008-10-31</v>
          </cell>
          <cell r="F385" t="str">
            <v>BINGV32977</v>
          </cell>
          <cell r="G385">
            <v>14724.47</v>
          </cell>
          <cell r="H385">
            <v>1481.88</v>
          </cell>
        </row>
        <row r="386">
          <cell r="A386" t="str">
            <v>481003</v>
          </cell>
          <cell r="B386" t="str">
            <v>01992</v>
          </cell>
          <cell r="D386" t="str">
            <v>200</v>
          </cell>
          <cell r="E386" t="str">
            <v>2008-10-31</v>
          </cell>
          <cell r="F386" t="str">
            <v>BINGV32977</v>
          </cell>
          <cell r="G386">
            <v>32415.46</v>
          </cell>
          <cell r="H386">
            <v>3262.31</v>
          </cell>
        </row>
        <row r="387">
          <cell r="A387" t="str">
            <v>481003</v>
          </cell>
          <cell r="B387" t="str">
            <v>01973</v>
          </cell>
          <cell r="D387" t="str">
            <v>200</v>
          </cell>
          <cell r="E387" t="str">
            <v>2008-10-31</v>
          </cell>
          <cell r="F387" t="str">
            <v>BINGV32977</v>
          </cell>
          <cell r="G387">
            <v>45246.43</v>
          </cell>
          <cell r="H387">
            <v>4567.2</v>
          </cell>
        </row>
        <row r="388">
          <cell r="A388" t="str">
            <v>481003</v>
          </cell>
          <cell r="B388" t="str">
            <v>01952</v>
          </cell>
          <cell r="D388" t="str">
            <v>200</v>
          </cell>
          <cell r="E388" t="str">
            <v>2008-10-31</v>
          </cell>
          <cell r="F388" t="str">
            <v>BINGV32977</v>
          </cell>
          <cell r="G388">
            <v>42518.53</v>
          </cell>
          <cell r="H388">
            <v>4279.09</v>
          </cell>
        </row>
        <row r="389">
          <cell r="A389" t="str">
            <v>481003</v>
          </cell>
          <cell r="B389" t="str">
            <v>01989</v>
          </cell>
          <cell r="D389" t="str">
            <v>200</v>
          </cell>
          <cell r="E389" t="str">
            <v>2008-10-31</v>
          </cell>
          <cell r="F389" t="str">
            <v>BINGV32977</v>
          </cell>
          <cell r="G389">
            <v>2829.48</v>
          </cell>
          <cell r="H389">
            <v>284.76</v>
          </cell>
        </row>
        <row r="390">
          <cell r="A390" t="str">
            <v>481003</v>
          </cell>
          <cell r="B390" t="str">
            <v>01988</v>
          </cell>
          <cell r="D390" t="str">
            <v>200</v>
          </cell>
          <cell r="E390" t="str">
            <v>2008-10-31</v>
          </cell>
          <cell r="F390" t="str">
            <v>BINGV32977</v>
          </cell>
          <cell r="G390">
            <v>9781.06</v>
          </cell>
          <cell r="H390">
            <v>984.37</v>
          </cell>
        </row>
        <row r="391">
          <cell r="A391" t="str">
            <v>481003</v>
          </cell>
          <cell r="B391" t="str">
            <v>01986</v>
          </cell>
          <cell r="D391" t="str">
            <v>200</v>
          </cell>
          <cell r="E391" t="str">
            <v>2008-10-31</v>
          </cell>
          <cell r="F391" t="str">
            <v>BINGV32977</v>
          </cell>
          <cell r="G391">
            <v>46987.34</v>
          </cell>
          <cell r="H391">
            <v>4729</v>
          </cell>
        </row>
        <row r="392">
          <cell r="A392" t="str">
            <v>481003</v>
          </cell>
          <cell r="B392" t="str">
            <v>01953</v>
          </cell>
          <cell r="D392" t="str">
            <v>200</v>
          </cell>
          <cell r="E392" t="str">
            <v>2008-10-31</v>
          </cell>
          <cell r="F392" t="str">
            <v>470</v>
          </cell>
          <cell r="G392">
            <v>21455.45</v>
          </cell>
          <cell r="H392">
            <v>2942.33</v>
          </cell>
        </row>
        <row r="393">
          <cell r="A393" t="str">
            <v>481003</v>
          </cell>
          <cell r="B393" t="str">
            <v>01990</v>
          </cell>
          <cell r="D393" t="str">
            <v>200</v>
          </cell>
          <cell r="E393" t="str">
            <v>2008-10-31</v>
          </cell>
          <cell r="F393" t="str">
            <v>470</v>
          </cell>
          <cell r="G393">
            <v>10195.92</v>
          </cell>
          <cell r="H393">
            <v>1398.29</v>
          </cell>
        </row>
        <row r="394">
          <cell r="A394" t="str">
            <v>481003</v>
          </cell>
          <cell r="B394" t="str">
            <v>01986</v>
          </cell>
          <cell r="D394" t="str">
            <v>200</v>
          </cell>
          <cell r="E394" t="str">
            <v>2008-10-31</v>
          </cell>
          <cell r="F394" t="str">
            <v>470</v>
          </cell>
          <cell r="G394">
            <v>12280.44</v>
          </cell>
          <cell r="H394">
            <v>1684.14</v>
          </cell>
        </row>
        <row r="395">
          <cell r="A395" t="str">
            <v>481003</v>
          </cell>
          <cell r="B395" t="str">
            <v>01974</v>
          </cell>
          <cell r="D395" t="str">
            <v>200</v>
          </cell>
          <cell r="E395" t="str">
            <v>2008-10-31</v>
          </cell>
          <cell r="F395" t="str">
            <v>470</v>
          </cell>
          <cell r="G395">
            <v>25679.43</v>
          </cell>
          <cell r="H395">
            <v>3521.55</v>
          </cell>
        </row>
        <row r="396">
          <cell r="A396" t="str">
            <v>481003</v>
          </cell>
          <cell r="B396" t="str">
            <v>01988</v>
          </cell>
          <cell r="D396" t="str">
            <v>200</v>
          </cell>
          <cell r="E396" t="str">
            <v>2008-10-31</v>
          </cell>
          <cell r="F396" t="str">
            <v>470</v>
          </cell>
          <cell r="G396">
            <v>6481.25</v>
          </cell>
          <cell r="H396">
            <v>888.76</v>
          </cell>
        </row>
        <row r="397">
          <cell r="A397" t="str">
            <v>481003</v>
          </cell>
          <cell r="B397" t="str">
            <v>01993</v>
          </cell>
          <cell r="D397" t="str">
            <v>200</v>
          </cell>
          <cell r="E397" t="str">
            <v>2008-10-31</v>
          </cell>
          <cell r="F397" t="str">
            <v>470</v>
          </cell>
          <cell r="G397">
            <v>4237.76</v>
          </cell>
          <cell r="H397">
            <v>415.13</v>
          </cell>
        </row>
        <row r="398">
          <cell r="A398" t="str">
            <v>481003</v>
          </cell>
          <cell r="B398" t="str">
            <v>01943</v>
          </cell>
          <cell r="D398" t="str">
            <v>200</v>
          </cell>
          <cell r="E398" t="str">
            <v>2008-10-31</v>
          </cell>
          <cell r="F398" t="str">
            <v>470</v>
          </cell>
          <cell r="G398">
            <v>1842.14</v>
          </cell>
          <cell r="H398">
            <v>176.29</v>
          </cell>
        </row>
        <row r="399">
          <cell r="A399" t="str">
            <v>481003</v>
          </cell>
          <cell r="B399" t="str">
            <v>01991</v>
          </cell>
          <cell r="D399" t="str">
            <v>200</v>
          </cell>
          <cell r="E399" t="str">
            <v>2008-10-31</v>
          </cell>
          <cell r="F399" t="str">
            <v>472B</v>
          </cell>
          <cell r="G399">
            <v>13.5</v>
          </cell>
          <cell r="H399">
            <v>1.87</v>
          </cell>
        </row>
        <row r="400">
          <cell r="A400" t="str">
            <v>481003</v>
          </cell>
          <cell r="B400" t="str">
            <v>01959</v>
          </cell>
          <cell r="D400" t="str">
            <v>200</v>
          </cell>
          <cell r="E400" t="str">
            <v>2008-10-31</v>
          </cell>
          <cell r="F400" t="str">
            <v>549A</v>
          </cell>
          <cell r="G400">
            <v>0</v>
          </cell>
          <cell r="H400">
            <v>0</v>
          </cell>
        </row>
        <row r="401">
          <cell r="A401" t="str">
            <v>481003</v>
          </cell>
          <cell r="B401" t="str">
            <v>01943</v>
          </cell>
          <cell r="D401" t="str">
            <v>200</v>
          </cell>
          <cell r="E401" t="str">
            <v>2008-10-31</v>
          </cell>
          <cell r="F401" t="str">
            <v>549A</v>
          </cell>
          <cell r="G401">
            <v>-1138.3599999999999</v>
          </cell>
          <cell r="H401">
            <v>0</v>
          </cell>
        </row>
        <row r="402">
          <cell r="A402" t="str">
            <v>481003</v>
          </cell>
          <cell r="B402" t="str">
            <v>01990</v>
          </cell>
          <cell r="D402" t="str">
            <v>200</v>
          </cell>
          <cell r="E402" t="str">
            <v>2008-10-31</v>
          </cell>
          <cell r="F402" t="str">
            <v>549A</v>
          </cell>
          <cell r="G402">
            <v>-2132.39</v>
          </cell>
          <cell r="H402">
            <v>0</v>
          </cell>
        </row>
        <row r="403">
          <cell r="A403" t="str">
            <v>481003</v>
          </cell>
          <cell r="B403" t="str">
            <v>01991</v>
          </cell>
          <cell r="D403" t="str">
            <v>200</v>
          </cell>
          <cell r="E403" t="str">
            <v>2008-10-31</v>
          </cell>
          <cell r="F403" t="str">
            <v>549A</v>
          </cell>
          <cell r="G403">
            <v>-2.85</v>
          </cell>
          <cell r="H403">
            <v>0</v>
          </cell>
        </row>
        <row r="404">
          <cell r="A404" t="str">
            <v>481003</v>
          </cell>
          <cell r="B404" t="str">
            <v>01993</v>
          </cell>
          <cell r="D404" t="str">
            <v>200</v>
          </cell>
          <cell r="E404" t="str">
            <v>2008-10-31</v>
          </cell>
          <cell r="F404" t="str">
            <v>549A</v>
          </cell>
          <cell r="G404">
            <v>-633.07000000000005</v>
          </cell>
          <cell r="H404">
            <v>0</v>
          </cell>
        </row>
        <row r="405">
          <cell r="A405" t="str">
            <v>481003</v>
          </cell>
          <cell r="B405" t="str">
            <v>01954</v>
          </cell>
          <cell r="D405" t="str">
            <v>200</v>
          </cell>
          <cell r="E405" t="str">
            <v>2008-10-31</v>
          </cell>
          <cell r="F405" t="str">
            <v>549A</v>
          </cell>
          <cell r="G405">
            <v>-7.64</v>
          </cell>
          <cell r="H405">
            <v>0</v>
          </cell>
        </row>
        <row r="406">
          <cell r="A406" t="str">
            <v>481003</v>
          </cell>
          <cell r="B406" t="str">
            <v>01953</v>
          </cell>
          <cell r="D406" t="str">
            <v>200</v>
          </cell>
          <cell r="E406" t="str">
            <v>2008-10-31</v>
          </cell>
          <cell r="F406" t="str">
            <v>549A</v>
          </cell>
          <cell r="G406">
            <v>-10476.66</v>
          </cell>
          <cell r="H406">
            <v>0</v>
          </cell>
        </row>
        <row r="407">
          <cell r="A407" t="str">
            <v>481003</v>
          </cell>
          <cell r="B407" t="str">
            <v>01986</v>
          </cell>
          <cell r="D407" t="str">
            <v>200</v>
          </cell>
          <cell r="E407" t="str">
            <v>2008-10-31</v>
          </cell>
          <cell r="F407" t="str">
            <v>549A</v>
          </cell>
          <cell r="G407">
            <v>-2568.31</v>
          </cell>
          <cell r="H407">
            <v>0</v>
          </cell>
        </row>
        <row r="408">
          <cell r="A408" t="str">
            <v>481003</v>
          </cell>
          <cell r="B408" t="str">
            <v>01943</v>
          </cell>
          <cell r="D408" t="str">
            <v>200</v>
          </cell>
          <cell r="E408" t="str">
            <v>2008-10-31</v>
          </cell>
          <cell r="F408" t="str">
            <v>472B</v>
          </cell>
          <cell r="G408">
            <v>1606.92</v>
          </cell>
          <cell r="H408">
            <v>300.25</v>
          </cell>
        </row>
        <row r="409">
          <cell r="A409" t="str">
            <v>481003</v>
          </cell>
          <cell r="B409" t="str">
            <v>01953</v>
          </cell>
          <cell r="D409" t="str">
            <v>200</v>
          </cell>
          <cell r="E409" t="str">
            <v>2008-10-31</v>
          </cell>
          <cell r="F409" t="str">
            <v>472B</v>
          </cell>
          <cell r="G409">
            <v>28679.83</v>
          </cell>
          <cell r="H409">
            <v>3927.61</v>
          </cell>
        </row>
        <row r="410">
          <cell r="A410" t="str">
            <v>481003</v>
          </cell>
          <cell r="B410" t="str">
            <v>01954</v>
          </cell>
          <cell r="D410" t="str">
            <v>200</v>
          </cell>
          <cell r="E410" t="str">
            <v>2008-10-31</v>
          </cell>
          <cell r="F410" t="str">
            <v>472B</v>
          </cell>
          <cell r="G410">
            <v>36.31</v>
          </cell>
          <cell r="H410">
            <v>5.01</v>
          </cell>
        </row>
        <row r="411">
          <cell r="A411" t="str">
            <v>481003</v>
          </cell>
          <cell r="B411" t="str">
            <v>01959</v>
          </cell>
          <cell r="D411" t="str">
            <v>200</v>
          </cell>
          <cell r="E411" t="str">
            <v>2008-11-30</v>
          </cell>
          <cell r="F411" t="str">
            <v>549A</v>
          </cell>
          <cell r="G411">
            <v>0</v>
          </cell>
          <cell r="H411">
            <v>0</v>
          </cell>
        </row>
        <row r="412">
          <cell r="A412" t="str">
            <v>481003</v>
          </cell>
          <cell r="B412" t="str">
            <v>01943</v>
          </cell>
          <cell r="D412" t="str">
            <v>200</v>
          </cell>
          <cell r="E412" t="str">
            <v>2008-11-30</v>
          </cell>
          <cell r="F412" t="str">
            <v>549A</v>
          </cell>
          <cell r="G412">
            <v>-910.49</v>
          </cell>
          <cell r="H412">
            <v>0</v>
          </cell>
        </row>
        <row r="413">
          <cell r="A413" t="str">
            <v>481003</v>
          </cell>
          <cell r="B413" t="str">
            <v>01990</v>
          </cell>
          <cell r="D413" t="str">
            <v>200</v>
          </cell>
          <cell r="E413" t="str">
            <v>2008-11-30</v>
          </cell>
          <cell r="F413" t="str">
            <v>549A</v>
          </cell>
          <cell r="G413">
            <v>-1813.84</v>
          </cell>
          <cell r="H413">
            <v>0</v>
          </cell>
        </row>
        <row r="414">
          <cell r="A414" t="str">
            <v>481003</v>
          </cell>
          <cell r="B414" t="str">
            <v>01991</v>
          </cell>
          <cell r="D414" t="str">
            <v>200</v>
          </cell>
          <cell r="E414" t="str">
            <v>2008-11-30</v>
          </cell>
          <cell r="F414" t="str">
            <v>549A</v>
          </cell>
          <cell r="G414">
            <v>0</v>
          </cell>
          <cell r="H414">
            <v>0</v>
          </cell>
        </row>
        <row r="415">
          <cell r="A415" t="str">
            <v>481003</v>
          </cell>
          <cell r="B415" t="str">
            <v>01993</v>
          </cell>
          <cell r="D415" t="str">
            <v>200</v>
          </cell>
          <cell r="E415" t="str">
            <v>2008-11-30</v>
          </cell>
          <cell r="F415" t="str">
            <v>549A</v>
          </cell>
          <cell r="G415">
            <v>-603.58000000000004</v>
          </cell>
          <cell r="H415">
            <v>0</v>
          </cell>
        </row>
        <row r="416">
          <cell r="A416" t="str">
            <v>481003</v>
          </cell>
          <cell r="B416" t="str">
            <v>01954</v>
          </cell>
          <cell r="D416" t="str">
            <v>200</v>
          </cell>
          <cell r="E416" t="str">
            <v>2008-11-30</v>
          </cell>
          <cell r="F416" t="str">
            <v>549A</v>
          </cell>
          <cell r="G416">
            <v>-6.83</v>
          </cell>
          <cell r="H416">
            <v>0</v>
          </cell>
        </row>
        <row r="417">
          <cell r="A417" t="str">
            <v>481003</v>
          </cell>
          <cell r="B417" t="str">
            <v>01953</v>
          </cell>
          <cell r="D417" t="str">
            <v>200</v>
          </cell>
          <cell r="E417" t="str">
            <v>2008-11-30</v>
          </cell>
          <cell r="F417" t="str">
            <v>549A</v>
          </cell>
          <cell r="G417">
            <v>-8392.17</v>
          </cell>
          <cell r="H417">
            <v>0</v>
          </cell>
        </row>
        <row r="418">
          <cell r="A418" t="str">
            <v>481003</v>
          </cell>
          <cell r="B418" t="str">
            <v>01986</v>
          </cell>
          <cell r="D418" t="str">
            <v>200</v>
          </cell>
          <cell r="E418" t="str">
            <v>2008-11-30</v>
          </cell>
          <cell r="F418" t="str">
            <v>549A</v>
          </cell>
          <cell r="G418">
            <v>-2758.73</v>
          </cell>
          <cell r="H418">
            <v>0</v>
          </cell>
        </row>
        <row r="419">
          <cell r="A419" t="str">
            <v>481003</v>
          </cell>
          <cell r="B419" t="str">
            <v>01953</v>
          </cell>
          <cell r="D419" t="str">
            <v>200</v>
          </cell>
          <cell r="E419" t="str">
            <v>2008-11-30</v>
          </cell>
          <cell r="F419" t="str">
            <v>470</v>
          </cell>
          <cell r="G419">
            <v>15840.52</v>
          </cell>
          <cell r="H419">
            <v>2304.2800000000002</v>
          </cell>
        </row>
        <row r="420">
          <cell r="A420" t="str">
            <v>481003</v>
          </cell>
          <cell r="B420" t="str">
            <v>01990</v>
          </cell>
          <cell r="D420" t="str">
            <v>200</v>
          </cell>
          <cell r="E420" t="str">
            <v>2008-11-30</v>
          </cell>
          <cell r="F420" t="str">
            <v>470</v>
          </cell>
          <cell r="G420">
            <v>8146.56</v>
          </cell>
          <cell r="H420">
            <v>1189.4000000000001</v>
          </cell>
        </row>
        <row r="421">
          <cell r="A421" t="str">
            <v>481003</v>
          </cell>
          <cell r="B421" t="str">
            <v>01986</v>
          </cell>
          <cell r="D421" t="str">
            <v>200</v>
          </cell>
          <cell r="E421" t="str">
            <v>2008-11-30</v>
          </cell>
          <cell r="F421" t="str">
            <v>470</v>
          </cell>
          <cell r="G421">
            <v>12391.6</v>
          </cell>
          <cell r="H421">
            <v>1809.02</v>
          </cell>
        </row>
        <row r="422">
          <cell r="A422" t="str">
            <v>481003</v>
          </cell>
          <cell r="B422" t="str">
            <v>01974</v>
          </cell>
          <cell r="D422" t="str">
            <v>200</v>
          </cell>
          <cell r="E422" t="str">
            <v>2008-11-30</v>
          </cell>
          <cell r="F422" t="str">
            <v>470</v>
          </cell>
          <cell r="G422">
            <v>23948.7</v>
          </cell>
          <cell r="H422">
            <v>3491.59</v>
          </cell>
        </row>
        <row r="423">
          <cell r="A423" t="str">
            <v>481003</v>
          </cell>
          <cell r="B423" t="str">
            <v>01988</v>
          </cell>
          <cell r="D423" t="str">
            <v>200</v>
          </cell>
          <cell r="E423" t="str">
            <v>2008-11-30</v>
          </cell>
          <cell r="F423" t="str">
            <v>470</v>
          </cell>
          <cell r="G423">
            <v>4416.57</v>
          </cell>
          <cell r="H423">
            <v>634.39</v>
          </cell>
        </row>
        <row r="424">
          <cell r="A424" t="str">
            <v>481003</v>
          </cell>
          <cell r="B424" t="str">
            <v>01993</v>
          </cell>
          <cell r="D424" t="str">
            <v>200</v>
          </cell>
          <cell r="E424" t="str">
            <v>2008-11-30</v>
          </cell>
          <cell r="F424" t="str">
            <v>470</v>
          </cell>
          <cell r="G424">
            <v>3152.47</v>
          </cell>
          <cell r="H424">
            <v>395.79</v>
          </cell>
        </row>
        <row r="425">
          <cell r="A425" t="str">
            <v>481003</v>
          </cell>
          <cell r="B425" t="str">
            <v>01943</v>
          </cell>
          <cell r="D425" t="str">
            <v>200</v>
          </cell>
          <cell r="E425" t="str">
            <v>2008-11-30</v>
          </cell>
          <cell r="F425" t="str">
            <v>470</v>
          </cell>
          <cell r="G425">
            <v>1238.6600000000001</v>
          </cell>
          <cell r="H425">
            <v>143.46</v>
          </cell>
        </row>
        <row r="426">
          <cell r="A426" t="str">
            <v>481003</v>
          </cell>
          <cell r="B426" t="str">
            <v>01973</v>
          </cell>
          <cell r="D426" t="str">
            <v>200</v>
          </cell>
          <cell r="E426" t="str">
            <v>2008-11-30</v>
          </cell>
          <cell r="F426" t="str">
            <v>BINGV33552</v>
          </cell>
          <cell r="G426">
            <v>25059.85</v>
          </cell>
          <cell r="H426">
            <v>2522.04</v>
          </cell>
        </row>
        <row r="427">
          <cell r="A427" t="str">
            <v>481003</v>
          </cell>
          <cell r="B427" t="str">
            <v>01952</v>
          </cell>
          <cell r="D427" t="str">
            <v>200</v>
          </cell>
          <cell r="E427" t="str">
            <v>2008-11-30</v>
          </cell>
          <cell r="F427" t="str">
            <v>BINGV33552</v>
          </cell>
          <cell r="G427">
            <v>36886.75</v>
          </cell>
          <cell r="H427">
            <v>3712.31</v>
          </cell>
        </row>
        <row r="428">
          <cell r="A428" t="str">
            <v>481003</v>
          </cell>
          <cell r="B428" t="str">
            <v>01989</v>
          </cell>
          <cell r="D428" t="str">
            <v>200</v>
          </cell>
          <cell r="E428" t="str">
            <v>2008-11-30</v>
          </cell>
          <cell r="F428" t="str">
            <v>BINGV33552</v>
          </cell>
          <cell r="G428">
            <v>3571.13</v>
          </cell>
          <cell r="H428">
            <v>359.4</v>
          </cell>
        </row>
        <row r="429">
          <cell r="A429" t="str">
            <v>481003</v>
          </cell>
          <cell r="B429" t="str">
            <v>01988</v>
          </cell>
          <cell r="D429" t="str">
            <v>200</v>
          </cell>
          <cell r="E429" t="str">
            <v>2008-11-30</v>
          </cell>
          <cell r="F429" t="str">
            <v>BINGV33552</v>
          </cell>
          <cell r="G429">
            <v>9695.94</v>
          </cell>
          <cell r="H429">
            <v>975.81</v>
          </cell>
        </row>
        <row r="430">
          <cell r="A430" t="str">
            <v>481003</v>
          </cell>
          <cell r="B430" t="str">
            <v>01986</v>
          </cell>
          <cell r="D430" t="str">
            <v>200</v>
          </cell>
          <cell r="E430" t="str">
            <v>2008-11-30</v>
          </cell>
          <cell r="F430" t="str">
            <v>BINGV33552</v>
          </cell>
          <cell r="G430">
            <v>-165631.82999999999</v>
          </cell>
          <cell r="H430">
            <v>-14187.7</v>
          </cell>
        </row>
        <row r="431">
          <cell r="A431" t="str">
            <v>481003</v>
          </cell>
          <cell r="B431" t="str">
            <v>01968</v>
          </cell>
          <cell r="D431" t="str">
            <v>200</v>
          </cell>
          <cell r="E431" t="str">
            <v>2008-11-30</v>
          </cell>
          <cell r="F431" t="str">
            <v>BINGV33552</v>
          </cell>
          <cell r="G431">
            <v>7707.42</v>
          </cell>
          <cell r="H431">
            <v>775.68</v>
          </cell>
        </row>
        <row r="432">
          <cell r="A432" t="str">
            <v>481003</v>
          </cell>
          <cell r="B432" t="str">
            <v>01979</v>
          </cell>
          <cell r="D432" t="str">
            <v>200</v>
          </cell>
          <cell r="E432" t="str">
            <v>2008-11-30</v>
          </cell>
          <cell r="F432" t="str">
            <v>BINGV33552</v>
          </cell>
          <cell r="G432">
            <v>196.83</v>
          </cell>
          <cell r="H432">
            <v>19.809999999999999</v>
          </cell>
        </row>
        <row r="433">
          <cell r="A433" t="str">
            <v>481003</v>
          </cell>
          <cell r="B433" t="str">
            <v>01994</v>
          </cell>
          <cell r="D433" t="str">
            <v>200</v>
          </cell>
          <cell r="E433" t="str">
            <v>2008-11-30</v>
          </cell>
          <cell r="F433" t="str">
            <v>BINGV33552</v>
          </cell>
          <cell r="G433">
            <v>30448.79</v>
          </cell>
          <cell r="H433">
            <v>3064.39</v>
          </cell>
        </row>
        <row r="434">
          <cell r="A434" t="str">
            <v>481003</v>
          </cell>
          <cell r="B434" t="str">
            <v>01995</v>
          </cell>
          <cell r="D434" t="str">
            <v>200</v>
          </cell>
          <cell r="E434" t="str">
            <v>2008-11-30</v>
          </cell>
          <cell r="F434" t="str">
            <v>BINGV33552</v>
          </cell>
          <cell r="G434">
            <v>13968.5</v>
          </cell>
          <cell r="H434">
            <v>1408.8</v>
          </cell>
        </row>
        <row r="435">
          <cell r="A435" t="str">
            <v>481003</v>
          </cell>
          <cell r="B435" t="str">
            <v>01976</v>
          </cell>
          <cell r="D435" t="str">
            <v>200</v>
          </cell>
          <cell r="E435" t="str">
            <v>2008-11-30</v>
          </cell>
          <cell r="F435" t="str">
            <v>BINGV33552</v>
          </cell>
          <cell r="G435">
            <v>22998.27</v>
          </cell>
          <cell r="H435">
            <v>2314.56</v>
          </cell>
        </row>
        <row r="436">
          <cell r="A436" t="str">
            <v>481003</v>
          </cell>
          <cell r="B436" t="str">
            <v>01980</v>
          </cell>
          <cell r="D436" t="str">
            <v>200</v>
          </cell>
          <cell r="E436" t="str">
            <v>2008-11-30</v>
          </cell>
          <cell r="F436" t="str">
            <v>BINGV33552</v>
          </cell>
          <cell r="G436">
            <v>283.77</v>
          </cell>
          <cell r="H436">
            <v>28.56</v>
          </cell>
        </row>
        <row r="437">
          <cell r="A437" t="str">
            <v>481003</v>
          </cell>
          <cell r="B437" t="str">
            <v>01987</v>
          </cell>
          <cell r="D437" t="str">
            <v>200</v>
          </cell>
          <cell r="E437" t="str">
            <v>2008-11-30</v>
          </cell>
          <cell r="F437" t="str">
            <v>BINGV33552</v>
          </cell>
          <cell r="G437">
            <v>32694.94</v>
          </cell>
          <cell r="H437">
            <v>3290.44</v>
          </cell>
        </row>
        <row r="438">
          <cell r="A438" t="str">
            <v>481003</v>
          </cell>
          <cell r="B438" t="str">
            <v>01978</v>
          </cell>
          <cell r="D438" t="str">
            <v>200</v>
          </cell>
          <cell r="E438" t="str">
            <v>2008-11-30</v>
          </cell>
          <cell r="F438" t="str">
            <v>BINGV33552</v>
          </cell>
          <cell r="G438">
            <v>12450.64</v>
          </cell>
          <cell r="H438">
            <v>1253.04</v>
          </cell>
        </row>
        <row r="439">
          <cell r="A439" t="str">
            <v>481003</v>
          </cell>
          <cell r="B439" t="str">
            <v>01970</v>
          </cell>
          <cell r="D439" t="str">
            <v>200</v>
          </cell>
          <cell r="E439" t="str">
            <v>2008-11-30</v>
          </cell>
          <cell r="F439" t="str">
            <v>BINGV33552</v>
          </cell>
          <cell r="G439">
            <v>5669.05</v>
          </cell>
          <cell r="H439">
            <v>570.54</v>
          </cell>
        </row>
        <row r="440">
          <cell r="A440" t="str">
            <v>481003</v>
          </cell>
          <cell r="B440" t="str">
            <v>01971</v>
          </cell>
          <cell r="D440" t="str">
            <v>200</v>
          </cell>
          <cell r="E440" t="str">
            <v>2008-11-30</v>
          </cell>
          <cell r="F440" t="str">
            <v>BINGV33552</v>
          </cell>
          <cell r="G440">
            <v>18743.91</v>
          </cell>
          <cell r="H440">
            <v>1886.4</v>
          </cell>
        </row>
        <row r="441">
          <cell r="A441" t="str">
            <v>481003</v>
          </cell>
          <cell r="B441" t="str">
            <v>01969</v>
          </cell>
          <cell r="D441" t="str">
            <v>200</v>
          </cell>
          <cell r="E441" t="str">
            <v>2008-11-30</v>
          </cell>
          <cell r="F441" t="str">
            <v>BINGV33552</v>
          </cell>
          <cell r="G441">
            <v>10821.88</v>
          </cell>
          <cell r="H441">
            <v>1089.1199999999999</v>
          </cell>
        </row>
        <row r="442">
          <cell r="A442" t="str">
            <v>481003</v>
          </cell>
          <cell r="B442" t="str">
            <v>01977</v>
          </cell>
          <cell r="D442" t="str">
            <v>200</v>
          </cell>
          <cell r="E442" t="str">
            <v>2008-11-30</v>
          </cell>
          <cell r="F442" t="str">
            <v>BINGV33552</v>
          </cell>
          <cell r="G442">
            <v>15634.24</v>
          </cell>
          <cell r="H442">
            <v>1573.44</v>
          </cell>
        </row>
        <row r="443">
          <cell r="A443" t="str">
            <v>481003</v>
          </cell>
          <cell r="B443" t="str">
            <v>01992</v>
          </cell>
          <cell r="D443" t="str">
            <v>200</v>
          </cell>
          <cell r="E443" t="str">
            <v>2008-11-30</v>
          </cell>
          <cell r="F443" t="str">
            <v>BINGV33552</v>
          </cell>
          <cell r="G443">
            <v>34182.26</v>
          </cell>
          <cell r="H443">
            <v>3440.13</v>
          </cell>
        </row>
        <row r="444">
          <cell r="A444" t="str">
            <v>481003</v>
          </cell>
          <cell r="B444" t="str">
            <v>01943</v>
          </cell>
          <cell r="D444" t="str">
            <v>200</v>
          </cell>
          <cell r="E444" t="str">
            <v>2008-11-30</v>
          </cell>
          <cell r="F444" t="str">
            <v>472B</v>
          </cell>
          <cell r="G444">
            <v>1480.08</v>
          </cell>
          <cell r="H444">
            <v>237.69</v>
          </cell>
        </row>
        <row r="445">
          <cell r="A445" t="str">
            <v>481003</v>
          </cell>
          <cell r="B445" t="str">
            <v>01953</v>
          </cell>
          <cell r="D445" t="str">
            <v>200</v>
          </cell>
          <cell r="E445" t="str">
            <v>2008-11-30</v>
          </cell>
          <cell r="F445" t="str">
            <v>472B</v>
          </cell>
          <cell r="G445">
            <v>21316.32</v>
          </cell>
          <cell r="H445">
            <v>3198.78</v>
          </cell>
        </row>
        <row r="446">
          <cell r="A446" t="str">
            <v>481003</v>
          </cell>
          <cell r="B446" t="str">
            <v>01954</v>
          </cell>
          <cell r="D446" t="str">
            <v>200</v>
          </cell>
          <cell r="E446" t="str">
            <v>2008-11-30</v>
          </cell>
          <cell r="F446" t="str">
            <v>472B</v>
          </cell>
          <cell r="G446">
            <v>29.62</v>
          </cell>
          <cell r="H446">
            <v>4.4800000000000004</v>
          </cell>
        </row>
        <row r="447">
          <cell r="A447" t="str">
            <v>481003</v>
          </cell>
          <cell r="B447" t="str">
            <v>01953</v>
          </cell>
          <cell r="D447" t="str">
            <v>200</v>
          </cell>
          <cell r="E447" t="str">
            <v>2008-12-31</v>
          </cell>
          <cell r="F447" t="str">
            <v>472B</v>
          </cell>
          <cell r="G447">
            <v>689.32</v>
          </cell>
          <cell r="H447">
            <v>134.25</v>
          </cell>
        </row>
        <row r="448">
          <cell r="A448" t="str">
            <v>481003</v>
          </cell>
          <cell r="B448" t="str">
            <v>01954</v>
          </cell>
          <cell r="D448" t="str">
            <v>200</v>
          </cell>
          <cell r="E448" t="str">
            <v>2008-12-31</v>
          </cell>
          <cell r="F448" t="str">
            <v>472B</v>
          </cell>
          <cell r="G448">
            <v>159.41999999999999</v>
          </cell>
          <cell r="H448">
            <v>31.12</v>
          </cell>
        </row>
        <row r="449">
          <cell r="A449" t="str">
            <v>481003</v>
          </cell>
          <cell r="B449" t="str">
            <v>01943</v>
          </cell>
          <cell r="D449" t="str">
            <v>200</v>
          </cell>
          <cell r="E449" t="str">
            <v>2008-12-31</v>
          </cell>
          <cell r="F449" t="str">
            <v>472B</v>
          </cell>
          <cell r="G449">
            <v>-125.59</v>
          </cell>
          <cell r="H449">
            <v>0</v>
          </cell>
        </row>
        <row r="450">
          <cell r="A450" t="str">
            <v>481003</v>
          </cell>
          <cell r="B450" t="str">
            <v>01943</v>
          </cell>
          <cell r="D450" t="str">
            <v>200</v>
          </cell>
          <cell r="E450" t="str">
            <v>2008-12-31</v>
          </cell>
          <cell r="F450" t="str">
            <v>472B</v>
          </cell>
          <cell r="G450">
            <v>1110.97</v>
          </cell>
          <cell r="H450">
            <v>190.15</v>
          </cell>
        </row>
        <row r="451">
          <cell r="A451" t="str">
            <v>481003</v>
          </cell>
          <cell r="B451" t="str">
            <v>01952</v>
          </cell>
          <cell r="D451" t="str">
            <v>200</v>
          </cell>
          <cell r="E451" t="str">
            <v>2008-12-31</v>
          </cell>
          <cell r="F451" t="str">
            <v>472B</v>
          </cell>
          <cell r="G451">
            <v>58.78</v>
          </cell>
          <cell r="H451">
            <v>11.45</v>
          </cell>
        </row>
        <row r="452">
          <cell r="A452" t="str">
            <v>481003</v>
          </cell>
          <cell r="B452" t="str">
            <v>01953</v>
          </cell>
          <cell r="D452" t="str">
            <v>200</v>
          </cell>
          <cell r="E452" t="str">
            <v>2008-12-31</v>
          </cell>
          <cell r="F452" t="str">
            <v>GLCOR17A</v>
          </cell>
          <cell r="G452">
            <v>2491.8200000000002</v>
          </cell>
          <cell r="H452">
            <v>0</v>
          </cell>
        </row>
        <row r="453">
          <cell r="A453" t="str">
            <v>481003</v>
          </cell>
          <cell r="B453" t="str">
            <v>01954</v>
          </cell>
          <cell r="D453" t="str">
            <v>200</v>
          </cell>
          <cell r="E453" t="str">
            <v>2008-12-31</v>
          </cell>
          <cell r="F453" t="str">
            <v>GLCOR17A</v>
          </cell>
          <cell r="G453">
            <v>424.55</v>
          </cell>
          <cell r="H453">
            <v>0</v>
          </cell>
        </row>
        <row r="454">
          <cell r="A454" t="str">
            <v>481003</v>
          </cell>
          <cell r="B454" t="str">
            <v>01991</v>
          </cell>
          <cell r="D454" t="str">
            <v>200</v>
          </cell>
          <cell r="E454" t="str">
            <v>2008-12-31</v>
          </cell>
          <cell r="F454" t="str">
            <v>GLCOR17A</v>
          </cell>
          <cell r="G454">
            <v>114.97</v>
          </cell>
          <cell r="H454">
            <v>0</v>
          </cell>
        </row>
        <row r="455">
          <cell r="A455" t="str">
            <v>481003</v>
          </cell>
          <cell r="B455" t="str">
            <v>01943</v>
          </cell>
          <cell r="D455" t="str">
            <v>200</v>
          </cell>
          <cell r="E455" t="str">
            <v>2008-12-31</v>
          </cell>
          <cell r="F455" t="str">
            <v>GLCOR17A</v>
          </cell>
          <cell r="G455">
            <v>3769.96</v>
          </cell>
          <cell r="H455">
            <v>0</v>
          </cell>
        </row>
        <row r="456">
          <cell r="A456" t="str">
            <v>481003</v>
          </cell>
          <cell r="B456" t="str">
            <v>01952</v>
          </cell>
          <cell r="D456" t="str">
            <v>200</v>
          </cell>
          <cell r="E456" t="str">
            <v>2008-12-31</v>
          </cell>
          <cell r="F456" t="str">
            <v>GLCOR17A</v>
          </cell>
          <cell r="G456">
            <v>156.91999999999999</v>
          </cell>
          <cell r="H456">
            <v>0</v>
          </cell>
        </row>
        <row r="457">
          <cell r="A457" t="str">
            <v>481003</v>
          </cell>
          <cell r="B457" t="str">
            <v>01953</v>
          </cell>
          <cell r="D457" t="str">
            <v>200</v>
          </cell>
          <cell r="E457" t="str">
            <v>2008-12-31</v>
          </cell>
          <cell r="F457" t="str">
            <v>470</v>
          </cell>
          <cell r="G457">
            <v>9110.16</v>
          </cell>
          <cell r="H457">
            <v>1775.05</v>
          </cell>
        </row>
        <row r="458">
          <cell r="A458" t="str">
            <v>481003</v>
          </cell>
          <cell r="B458" t="str">
            <v>01990</v>
          </cell>
          <cell r="D458" t="str">
            <v>200</v>
          </cell>
          <cell r="E458" t="str">
            <v>2008-12-31</v>
          </cell>
          <cell r="F458" t="str">
            <v>470</v>
          </cell>
          <cell r="G458">
            <v>5598.83</v>
          </cell>
          <cell r="H458">
            <v>1090.7</v>
          </cell>
        </row>
        <row r="459">
          <cell r="A459" t="str">
            <v>481003</v>
          </cell>
          <cell r="B459" t="str">
            <v>01986</v>
          </cell>
          <cell r="D459" t="str">
            <v>200</v>
          </cell>
          <cell r="E459" t="str">
            <v>2008-12-31</v>
          </cell>
          <cell r="F459" t="str">
            <v>470</v>
          </cell>
          <cell r="G459">
            <v>8687.32</v>
          </cell>
          <cell r="H459">
            <v>1692.33</v>
          </cell>
        </row>
        <row r="460">
          <cell r="A460" t="str">
            <v>481003</v>
          </cell>
          <cell r="B460" t="str">
            <v>01974</v>
          </cell>
          <cell r="D460" t="str">
            <v>200</v>
          </cell>
          <cell r="E460" t="str">
            <v>2008-12-31</v>
          </cell>
          <cell r="F460" t="str">
            <v>470</v>
          </cell>
          <cell r="G460">
            <v>14373.07</v>
          </cell>
          <cell r="H460">
            <v>2799.89</v>
          </cell>
        </row>
        <row r="461">
          <cell r="A461" t="str">
            <v>481003</v>
          </cell>
          <cell r="B461" t="str">
            <v>01988</v>
          </cell>
          <cell r="D461" t="str">
            <v>200</v>
          </cell>
          <cell r="E461" t="str">
            <v>2008-12-31</v>
          </cell>
          <cell r="F461" t="str">
            <v>470</v>
          </cell>
          <cell r="G461">
            <v>274.77999999999997</v>
          </cell>
          <cell r="H461">
            <v>53.53</v>
          </cell>
        </row>
        <row r="462">
          <cell r="A462" t="str">
            <v>481003</v>
          </cell>
          <cell r="B462" t="str">
            <v>01993</v>
          </cell>
          <cell r="D462" t="str">
            <v>200</v>
          </cell>
          <cell r="E462" t="str">
            <v>2008-12-31</v>
          </cell>
          <cell r="F462" t="str">
            <v>470</v>
          </cell>
          <cell r="G462">
            <v>1487.57</v>
          </cell>
          <cell r="H462">
            <v>262.91000000000003</v>
          </cell>
        </row>
        <row r="463">
          <cell r="A463" t="str">
            <v>481003</v>
          </cell>
          <cell r="B463" t="str">
            <v>01943</v>
          </cell>
          <cell r="D463" t="str">
            <v>200</v>
          </cell>
          <cell r="E463" t="str">
            <v>2008-12-31</v>
          </cell>
          <cell r="F463" t="str">
            <v>470</v>
          </cell>
          <cell r="G463">
            <v>642.74</v>
          </cell>
          <cell r="H463">
            <v>110.03</v>
          </cell>
        </row>
        <row r="464">
          <cell r="A464" t="str">
            <v>481003</v>
          </cell>
          <cell r="B464" t="str">
            <v>01943</v>
          </cell>
          <cell r="D464" t="str">
            <v>200</v>
          </cell>
          <cell r="E464" t="str">
            <v>2008-12-31</v>
          </cell>
          <cell r="F464" t="str">
            <v>470</v>
          </cell>
          <cell r="G464">
            <v>-72.66</v>
          </cell>
          <cell r="H464">
            <v>0</v>
          </cell>
        </row>
        <row r="465">
          <cell r="A465" t="str">
            <v>481003</v>
          </cell>
          <cell r="B465" t="str">
            <v>01979</v>
          </cell>
          <cell r="D465" t="str">
            <v>200</v>
          </cell>
          <cell r="E465" t="str">
            <v>2008-12-31</v>
          </cell>
          <cell r="F465" t="str">
            <v>BINGV33782</v>
          </cell>
          <cell r="G465">
            <v>223.32</v>
          </cell>
          <cell r="H465">
            <v>24.01</v>
          </cell>
        </row>
        <row r="466">
          <cell r="A466" t="str">
            <v>481003</v>
          </cell>
          <cell r="B466" t="str">
            <v>01968</v>
          </cell>
          <cell r="D466" t="str">
            <v>200</v>
          </cell>
          <cell r="E466" t="str">
            <v>2008-12-31</v>
          </cell>
          <cell r="F466" t="str">
            <v>BINGV33782</v>
          </cell>
          <cell r="G466">
            <v>6320.58</v>
          </cell>
          <cell r="H466">
            <v>679.44</v>
          </cell>
        </row>
        <row r="467">
          <cell r="A467" t="str">
            <v>481003</v>
          </cell>
          <cell r="B467" t="str">
            <v>01995</v>
          </cell>
          <cell r="D467" t="str">
            <v>200</v>
          </cell>
          <cell r="E467" t="str">
            <v>2008-12-31</v>
          </cell>
          <cell r="F467" t="str">
            <v>BINGV33782</v>
          </cell>
          <cell r="G467">
            <v>13673.75</v>
          </cell>
          <cell r="H467">
            <v>1469.88</v>
          </cell>
        </row>
        <row r="468">
          <cell r="A468" t="str">
            <v>481003</v>
          </cell>
          <cell r="B468" t="str">
            <v>01994</v>
          </cell>
          <cell r="D468" t="str">
            <v>200</v>
          </cell>
          <cell r="E468" t="str">
            <v>2008-12-31</v>
          </cell>
          <cell r="F468" t="str">
            <v>BINGV33782</v>
          </cell>
          <cell r="G468">
            <v>26029.82</v>
          </cell>
          <cell r="H468">
            <v>2798.11</v>
          </cell>
        </row>
        <row r="469">
          <cell r="A469" t="str">
            <v>481003</v>
          </cell>
          <cell r="B469" t="str">
            <v>01976</v>
          </cell>
          <cell r="D469" t="str">
            <v>200</v>
          </cell>
          <cell r="E469" t="str">
            <v>2008-12-31</v>
          </cell>
          <cell r="F469" t="str">
            <v>BINGV33782</v>
          </cell>
          <cell r="G469">
            <v>18395.77</v>
          </cell>
          <cell r="H469">
            <v>1977.48</v>
          </cell>
        </row>
        <row r="470">
          <cell r="A470" t="str">
            <v>481003</v>
          </cell>
          <cell r="B470" t="str">
            <v>01980</v>
          </cell>
          <cell r="D470" t="str">
            <v>200</v>
          </cell>
          <cell r="E470" t="str">
            <v>2008-12-31</v>
          </cell>
          <cell r="F470" t="str">
            <v>BINGV33782</v>
          </cell>
          <cell r="G470">
            <v>309.22000000000003</v>
          </cell>
          <cell r="H470">
            <v>33.24</v>
          </cell>
        </row>
        <row r="471">
          <cell r="A471" t="str">
            <v>481003</v>
          </cell>
          <cell r="B471" t="str">
            <v>01987</v>
          </cell>
          <cell r="D471" t="str">
            <v>200</v>
          </cell>
          <cell r="E471" t="str">
            <v>2008-12-31</v>
          </cell>
          <cell r="F471" t="str">
            <v>BINGV33782</v>
          </cell>
          <cell r="G471">
            <v>25056.15</v>
          </cell>
          <cell r="H471">
            <v>2693.35</v>
          </cell>
        </row>
        <row r="472">
          <cell r="A472" t="str">
            <v>481003</v>
          </cell>
          <cell r="B472" t="str">
            <v>01978</v>
          </cell>
          <cell r="D472" t="str">
            <v>200</v>
          </cell>
          <cell r="E472" t="str">
            <v>2008-12-31</v>
          </cell>
          <cell r="F472" t="str">
            <v>BINGV33782</v>
          </cell>
          <cell r="G472">
            <v>14622.61</v>
          </cell>
          <cell r="H472">
            <v>1571.88</v>
          </cell>
        </row>
        <row r="473">
          <cell r="A473" t="str">
            <v>481003</v>
          </cell>
          <cell r="B473" t="str">
            <v>01970</v>
          </cell>
          <cell r="D473" t="str">
            <v>200</v>
          </cell>
          <cell r="E473" t="str">
            <v>2008-12-31</v>
          </cell>
          <cell r="F473" t="str">
            <v>BINGV33782</v>
          </cell>
          <cell r="G473">
            <v>4193.84</v>
          </cell>
          <cell r="H473">
            <v>450.82</v>
          </cell>
        </row>
        <row r="474">
          <cell r="A474" t="str">
            <v>481003</v>
          </cell>
          <cell r="B474" t="str">
            <v>01971</v>
          </cell>
          <cell r="D474" t="str">
            <v>200</v>
          </cell>
          <cell r="E474" t="str">
            <v>2008-12-31</v>
          </cell>
          <cell r="F474" t="str">
            <v>BINGV33782</v>
          </cell>
          <cell r="G474">
            <v>13275.23</v>
          </cell>
          <cell r="H474">
            <v>1427.04</v>
          </cell>
        </row>
        <row r="475">
          <cell r="A475" t="str">
            <v>481003</v>
          </cell>
          <cell r="B475" t="str">
            <v>01969</v>
          </cell>
          <cell r="D475" t="str">
            <v>200</v>
          </cell>
          <cell r="E475" t="str">
            <v>2008-12-31</v>
          </cell>
          <cell r="F475" t="str">
            <v>BINGV33782</v>
          </cell>
          <cell r="G475">
            <v>9478.64</v>
          </cell>
          <cell r="H475">
            <v>1018.92</v>
          </cell>
        </row>
        <row r="476">
          <cell r="A476" t="str">
            <v>481003</v>
          </cell>
          <cell r="B476" t="str">
            <v>01977</v>
          </cell>
          <cell r="D476" t="str">
            <v>200</v>
          </cell>
          <cell r="E476" t="str">
            <v>2008-12-31</v>
          </cell>
          <cell r="F476" t="str">
            <v>BINGV33782</v>
          </cell>
          <cell r="G476">
            <v>12526.18</v>
          </cell>
          <cell r="H476">
            <v>1346.52</v>
          </cell>
        </row>
        <row r="477">
          <cell r="A477" t="str">
            <v>481003</v>
          </cell>
          <cell r="B477" t="str">
            <v>01992</v>
          </cell>
          <cell r="D477" t="str">
            <v>200</v>
          </cell>
          <cell r="E477" t="str">
            <v>2008-12-31</v>
          </cell>
          <cell r="F477" t="str">
            <v>BINGV33782</v>
          </cell>
          <cell r="G477">
            <v>27924.03</v>
          </cell>
          <cell r="H477">
            <v>-3001.74</v>
          </cell>
        </row>
        <row r="478">
          <cell r="A478" t="str">
            <v>481003</v>
          </cell>
          <cell r="B478" t="str">
            <v>01973</v>
          </cell>
          <cell r="D478" t="str">
            <v>200</v>
          </cell>
          <cell r="E478" t="str">
            <v>2008-12-31</v>
          </cell>
          <cell r="F478" t="str">
            <v>BINGV33782</v>
          </cell>
          <cell r="G478">
            <v>19077.830000000002</v>
          </cell>
          <cell r="H478">
            <v>2050.8000000000002</v>
          </cell>
        </row>
        <row r="479">
          <cell r="A479" t="str">
            <v>481003</v>
          </cell>
          <cell r="B479" t="str">
            <v>01952</v>
          </cell>
          <cell r="D479" t="str">
            <v>200</v>
          </cell>
          <cell r="E479" t="str">
            <v>2008-12-31</v>
          </cell>
          <cell r="F479" t="str">
            <v>BINGV33782</v>
          </cell>
          <cell r="G479">
            <v>36705.68</v>
          </cell>
          <cell r="H479">
            <v>3945.73</v>
          </cell>
        </row>
        <row r="480">
          <cell r="A480" t="str">
            <v>481003</v>
          </cell>
          <cell r="B480" t="str">
            <v>01989</v>
          </cell>
          <cell r="D480" t="str">
            <v>200</v>
          </cell>
          <cell r="E480" t="str">
            <v>2008-12-31</v>
          </cell>
          <cell r="F480" t="str">
            <v>BINGV33782</v>
          </cell>
          <cell r="G480">
            <v>14198.42</v>
          </cell>
          <cell r="H480">
            <v>1526.28</v>
          </cell>
        </row>
        <row r="481">
          <cell r="A481" t="str">
            <v>481003</v>
          </cell>
          <cell r="B481" t="str">
            <v>01988</v>
          </cell>
          <cell r="D481" t="str">
            <v>200</v>
          </cell>
          <cell r="E481" t="str">
            <v>2008-12-31</v>
          </cell>
          <cell r="F481" t="str">
            <v>BINGV33782</v>
          </cell>
          <cell r="G481">
            <v>9596.0300000000007</v>
          </cell>
          <cell r="H481">
            <v>1031.54</v>
          </cell>
        </row>
        <row r="482">
          <cell r="A482" t="str">
            <v>481003</v>
          </cell>
          <cell r="B482" t="str">
            <v>01986</v>
          </cell>
          <cell r="D482" t="str">
            <v>200</v>
          </cell>
          <cell r="E482" t="str">
            <v>2008-12-31</v>
          </cell>
          <cell r="F482" t="str">
            <v>BINGV33782</v>
          </cell>
          <cell r="G482">
            <v>17944.849999999999</v>
          </cell>
          <cell r="H482">
            <v>1929</v>
          </cell>
        </row>
        <row r="483">
          <cell r="A483" t="str">
            <v>481003</v>
          </cell>
          <cell r="B483" t="str">
            <v>01989</v>
          </cell>
          <cell r="D483" t="str">
            <v>200</v>
          </cell>
          <cell r="E483" t="str">
            <v>2008-12-31</v>
          </cell>
          <cell r="F483" t="str">
            <v>BINGV33921</v>
          </cell>
          <cell r="G483">
            <v>-11163.19</v>
          </cell>
          <cell r="H483">
            <v>-1200</v>
          </cell>
        </row>
        <row r="484">
          <cell r="A484" t="str">
            <v>481003</v>
          </cell>
          <cell r="B484" t="str">
            <v>01974</v>
          </cell>
          <cell r="D484" t="str">
            <v>200</v>
          </cell>
          <cell r="E484" t="str">
            <v>2008-12-31</v>
          </cell>
          <cell r="F484" t="str">
            <v>GLCOR17B</v>
          </cell>
          <cell r="G484">
            <v>-26674.73</v>
          </cell>
          <cell r="H484">
            <v>0</v>
          </cell>
        </row>
        <row r="485">
          <cell r="A485" t="str">
            <v>481003</v>
          </cell>
          <cell r="B485" t="str">
            <v>01988</v>
          </cell>
          <cell r="D485" t="str">
            <v>200</v>
          </cell>
          <cell r="E485" t="str">
            <v>2008-12-31</v>
          </cell>
          <cell r="F485" t="str">
            <v>GLCOR17B</v>
          </cell>
          <cell r="G485">
            <v>-7955.99</v>
          </cell>
          <cell r="H485">
            <v>0</v>
          </cell>
        </row>
        <row r="486">
          <cell r="G486">
            <v>3044863.1599999997</v>
          </cell>
          <cell r="H486">
            <v>402027.17000000004</v>
          </cell>
        </row>
      </sheetData>
      <sheetData sheetId="6">
        <row r="3">
          <cell r="J3" t="str">
            <v>Account</v>
          </cell>
          <cell r="K3" t="str">
            <v>Dept</v>
          </cell>
          <cell r="L3" t="str">
            <v>Sum Amount</v>
          </cell>
          <cell r="M3" t="str">
            <v>Trans</v>
          </cell>
          <cell r="N3" t="str">
            <v>Product</v>
          </cell>
          <cell r="O3" t="str">
            <v>Sum Stat Amt</v>
          </cell>
          <cell r="P3" t="str">
            <v>Period</v>
          </cell>
          <cell r="Q3" t="str">
            <v>Date</v>
          </cell>
        </row>
        <row r="4">
          <cell r="M4">
            <v>202</v>
          </cell>
          <cell r="N4">
            <v>407</v>
          </cell>
          <cell r="Q4">
            <v>39478</v>
          </cell>
        </row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39478</v>
          </cell>
          <cell r="V90">
            <v>204</v>
          </cell>
          <cell r="W90">
            <v>406</v>
          </cell>
          <cell r="Z90">
            <v>39507</v>
          </cell>
          <cell r="AE90">
            <v>204</v>
          </cell>
          <cell r="AF90">
            <v>406</v>
          </cell>
          <cell r="AI90">
            <v>39538</v>
          </cell>
          <cell r="AN90">
            <v>204</v>
          </cell>
          <cell r="AO90">
            <v>406</v>
          </cell>
          <cell r="AR90">
            <v>39568</v>
          </cell>
          <cell r="AW90">
            <v>204</v>
          </cell>
          <cell r="AX90">
            <v>406</v>
          </cell>
          <cell r="BA90">
            <v>39599</v>
          </cell>
          <cell r="BF90">
            <v>204</v>
          </cell>
          <cell r="BG90">
            <v>406</v>
          </cell>
          <cell r="BJ90">
            <v>39629</v>
          </cell>
          <cell r="BO90">
            <v>204</v>
          </cell>
          <cell r="BP90">
            <v>406</v>
          </cell>
          <cell r="BS90">
            <v>39660</v>
          </cell>
          <cell r="BX90">
            <v>204</v>
          </cell>
          <cell r="BY90">
            <v>406</v>
          </cell>
          <cell r="CB90">
            <v>39691</v>
          </cell>
          <cell r="CG90">
            <v>204</v>
          </cell>
          <cell r="CH90">
            <v>406</v>
          </cell>
          <cell r="CK90">
            <v>39721</v>
          </cell>
          <cell r="CP90">
            <v>204</v>
          </cell>
          <cell r="CQ90">
            <v>406</v>
          </cell>
          <cell r="CT90">
            <v>39752</v>
          </cell>
          <cell r="CY90">
            <v>204</v>
          </cell>
          <cell r="CZ90">
            <v>406</v>
          </cell>
          <cell r="DC90">
            <v>39782</v>
          </cell>
          <cell r="DH90">
            <v>204</v>
          </cell>
          <cell r="DI90">
            <v>406</v>
          </cell>
          <cell r="DL90">
            <v>39813</v>
          </cell>
        </row>
        <row r="98">
          <cell r="J98" t="str">
            <v>Account</v>
          </cell>
          <cell r="K98" t="str">
            <v>Dept</v>
          </cell>
          <cell r="L98" t="str">
            <v>Sum Amount</v>
          </cell>
          <cell r="M98" t="str">
            <v>Trans</v>
          </cell>
          <cell r="N98" t="str">
            <v>Product</v>
          </cell>
          <cell r="O98" t="str">
            <v>Sum Stat Amt</v>
          </cell>
          <cell r="P98" t="str">
            <v>Period</v>
          </cell>
          <cell r="Q98" t="str">
            <v>Date</v>
          </cell>
          <cell r="S98" t="str">
            <v>Account</v>
          </cell>
          <cell r="T98" t="str">
            <v>Dept</v>
          </cell>
          <cell r="U98" t="str">
            <v>Sum Amount</v>
          </cell>
          <cell r="V98" t="str">
            <v>Trans</v>
          </cell>
          <cell r="W98" t="str">
            <v>Product</v>
          </cell>
          <cell r="X98" t="str">
            <v>Sum Stat Amt</v>
          </cell>
          <cell r="Y98" t="str">
            <v>Period</v>
          </cell>
          <cell r="Z98" t="str">
            <v>Date</v>
          </cell>
          <cell r="AB98" t="str">
            <v>Account</v>
          </cell>
          <cell r="AC98" t="str">
            <v>Dept</v>
          </cell>
          <cell r="AD98" t="str">
            <v>Sum Amount</v>
          </cell>
          <cell r="AE98" t="str">
            <v>Trans</v>
          </cell>
          <cell r="AF98" t="str">
            <v>Product</v>
          </cell>
          <cell r="AG98" t="str">
            <v>Sum Stat Amt</v>
          </cell>
          <cell r="AH98" t="str">
            <v>Period</v>
          </cell>
          <cell r="AI98" t="str">
            <v>Date</v>
          </cell>
          <cell r="AK98" t="str">
            <v>Account</v>
          </cell>
          <cell r="AL98" t="str">
            <v>Dept</v>
          </cell>
          <cell r="AM98" t="str">
            <v>Sum Amount</v>
          </cell>
          <cell r="AN98" t="str">
            <v>Trans</v>
          </cell>
          <cell r="AO98" t="str">
            <v>Product</v>
          </cell>
          <cell r="AP98" t="str">
            <v>Sum Stat Amt</v>
          </cell>
          <cell r="AQ98" t="str">
            <v>Period</v>
          </cell>
          <cell r="AR98" t="str">
            <v>Date</v>
          </cell>
          <cell r="AT98" t="str">
            <v>Account</v>
          </cell>
          <cell r="AU98" t="str">
            <v>Dept</v>
          </cell>
          <cell r="AV98" t="str">
            <v>Sum Amount</v>
          </cell>
          <cell r="AW98" t="str">
            <v>Trans</v>
          </cell>
          <cell r="AX98" t="str">
            <v>Product</v>
          </cell>
          <cell r="AY98" t="str">
            <v>Sum Stat Amt</v>
          </cell>
          <cell r="AZ98" t="str">
            <v>Period</v>
          </cell>
          <cell r="BA98" t="str">
            <v>Date</v>
          </cell>
          <cell r="BC98" t="str">
            <v>Account</v>
          </cell>
          <cell r="BD98" t="str">
            <v>Dept</v>
          </cell>
          <cell r="BE98" t="str">
            <v>Sum Amount</v>
          </cell>
          <cell r="BF98" t="str">
            <v>Trans</v>
          </cell>
          <cell r="BG98" t="str">
            <v>Product</v>
          </cell>
          <cell r="BH98" t="str">
            <v>Sum Stat Amt</v>
          </cell>
          <cell r="BI98" t="str">
            <v>Period</v>
          </cell>
          <cell r="BJ98" t="str">
            <v>Date</v>
          </cell>
          <cell r="BL98" t="str">
            <v>Account</v>
          </cell>
          <cell r="BM98" t="str">
            <v>Dept</v>
          </cell>
          <cell r="BN98" t="str">
            <v>Sum Amount</v>
          </cell>
          <cell r="BO98" t="str">
            <v>Trans</v>
          </cell>
          <cell r="BP98" t="str">
            <v>Product</v>
          </cell>
          <cell r="BQ98" t="str">
            <v>Sum Stat Amt</v>
          </cell>
          <cell r="BR98" t="str">
            <v>Period</v>
          </cell>
          <cell r="BS98" t="str">
            <v>Date</v>
          </cell>
          <cell r="BU98" t="str">
            <v>Account</v>
          </cell>
          <cell r="BV98" t="str">
            <v>Dept</v>
          </cell>
          <cell r="BW98" t="str">
            <v>Sum Amount</v>
          </cell>
          <cell r="BX98" t="str">
            <v>Trans</v>
          </cell>
          <cell r="BY98" t="str">
            <v>Product</v>
          </cell>
          <cell r="BZ98" t="str">
            <v>Sum Stat Amt</v>
          </cell>
          <cell r="CA98" t="str">
            <v>Period</v>
          </cell>
          <cell r="CB98" t="str">
            <v>Date</v>
          </cell>
          <cell r="CD98" t="str">
            <v>Account</v>
          </cell>
          <cell r="CE98" t="str">
            <v>Dept</v>
          </cell>
          <cell r="CF98" t="str">
            <v>Sum Amount</v>
          </cell>
          <cell r="CG98" t="str">
            <v>Trans</v>
          </cell>
          <cell r="CH98" t="str">
            <v>Product</v>
          </cell>
          <cell r="CI98" t="str">
            <v>Sum Stat Amt</v>
          </cell>
          <cell r="CJ98" t="str">
            <v>Period</v>
          </cell>
          <cell r="CK98" t="str">
            <v>Date</v>
          </cell>
          <cell r="CM98" t="str">
            <v>Account</v>
          </cell>
          <cell r="CN98" t="str">
            <v>Dept</v>
          </cell>
          <cell r="CO98" t="str">
            <v>Sum Amount</v>
          </cell>
          <cell r="CP98" t="str">
            <v>Trans</v>
          </cell>
          <cell r="CQ98" t="str">
            <v>Product</v>
          </cell>
          <cell r="CR98" t="str">
            <v>Sum Stat Amt</v>
          </cell>
          <cell r="CS98" t="str">
            <v>Period</v>
          </cell>
          <cell r="CT98" t="str">
            <v>Date</v>
          </cell>
          <cell r="CV98" t="str">
            <v>Account</v>
          </cell>
          <cell r="CW98" t="str">
            <v>Dept</v>
          </cell>
          <cell r="CX98" t="str">
            <v>Sum Amount</v>
          </cell>
          <cell r="CY98" t="str">
            <v>Trans</v>
          </cell>
          <cell r="CZ98" t="str">
            <v>Product</v>
          </cell>
          <cell r="DA98" t="str">
            <v>Sum Stat Amt</v>
          </cell>
          <cell r="DB98" t="str">
            <v>Period</v>
          </cell>
          <cell r="DC98" t="str">
            <v>Date</v>
          </cell>
          <cell r="DE98" t="str">
            <v>Account</v>
          </cell>
          <cell r="DF98" t="str">
            <v>Dept</v>
          </cell>
          <cell r="DG98" t="str">
            <v>Sum Amount</v>
          </cell>
          <cell r="DH98" t="str">
            <v>Trans</v>
          </cell>
          <cell r="DI98" t="str">
            <v>Product</v>
          </cell>
          <cell r="DJ98" t="str">
            <v>Sum Stat Amt</v>
          </cell>
          <cell r="DK98" t="str">
            <v>Period</v>
          </cell>
          <cell r="DL98" t="str">
            <v>Date</v>
          </cell>
        </row>
        <row r="99">
          <cell r="M99">
            <v>203</v>
          </cell>
          <cell r="N99">
            <v>416</v>
          </cell>
          <cell r="Q99">
            <v>39478</v>
          </cell>
          <cell r="V99">
            <v>203</v>
          </cell>
          <cell r="W99">
            <v>416</v>
          </cell>
          <cell r="Z99">
            <v>39507</v>
          </cell>
          <cell r="AE99">
            <v>203</v>
          </cell>
          <cell r="AF99">
            <v>416</v>
          </cell>
          <cell r="AI99">
            <v>39538</v>
          </cell>
          <cell r="AN99">
            <v>203</v>
          </cell>
          <cell r="AO99">
            <v>416</v>
          </cell>
          <cell r="AR99">
            <v>39568</v>
          </cell>
          <cell r="AW99">
            <v>203</v>
          </cell>
          <cell r="AX99">
            <v>416</v>
          </cell>
          <cell r="BA99">
            <v>39599</v>
          </cell>
          <cell r="BF99">
            <v>203</v>
          </cell>
          <cell r="BG99">
            <v>416</v>
          </cell>
          <cell r="BJ99">
            <v>39629</v>
          </cell>
          <cell r="BO99">
            <v>203</v>
          </cell>
          <cell r="BP99">
            <v>416</v>
          </cell>
          <cell r="BS99">
            <v>39660</v>
          </cell>
          <cell r="BX99">
            <v>203</v>
          </cell>
          <cell r="BY99">
            <v>416</v>
          </cell>
          <cell r="CB99">
            <v>39691</v>
          </cell>
          <cell r="CG99">
            <v>203</v>
          </cell>
          <cell r="CH99">
            <v>416</v>
          </cell>
          <cell r="CK99">
            <v>39721</v>
          </cell>
          <cell r="CP99">
            <v>203</v>
          </cell>
          <cell r="CQ99">
            <v>416</v>
          </cell>
          <cell r="CT99">
            <v>39752</v>
          </cell>
          <cell r="CY99">
            <v>203</v>
          </cell>
          <cell r="CZ99">
            <v>416</v>
          </cell>
          <cell r="DC99">
            <v>39782</v>
          </cell>
          <cell r="DH99">
            <v>203</v>
          </cell>
          <cell r="DI99">
            <v>416</v>
          </cell>
          <cell r="DL99">
            <v>39813</v>
          </cell>
        </row>
        <row r="104">
          <cell r="J104" t="str">
            <v>Account</v>
          </cell>
          <cell r="K104" t="str">
            <v>Dept</v>
          </cell>
          <cell r="L104" t="str">
            <v>Sum Amount</v>
          </cell>
          <cell r="M104" t="str">
            <v>Trans</v>
          </cell>
          <cell r="N104" t="str">
            <v>Product</v>
          </cell>
          <cell r="O104" t="str">
            <v>Sum Stat Amt</v>
          </cell>
          <cell r="P104" t="str">
            <v>Period</v>
          </cell>
          <cell r="Q104" t="str">
            <v>Date</v>
          </cell>
          <cell r="S104" t="str">
            <v>Account</v>
          </cell>
          <cell r="T104" t="str">
            <v>Dept</v>
          </cell>
          <cell r="U104" t="str">
            <v>Sum Amount</v>
          </cell>
          <cell r="V104" t="str">
            <v>Trans</v>
          </cell>
          <cell r="W104" t="str">
            <v>Product</v>
          </cell>
          <cell r="X104" t="str">
            <v>Sum Stat Amt</v>
          </cell>
          <cell r="Y104" t="str">
            <v>Period</v>
          </cell>
          <cell r="Z104" t="str">
            <v>Date</v>
          </cell>
          <cell r="AB104" t="str">
            <v>Account</v>
          </cell>
          <cell r="AC104" t="str">
            <v>Dept</v>
          </cell>
          <cell r="AD104" t="str">
            <v>Sum Amount</v>
          </cell>
          <cell r="AE104" t="str">
            <v>Trans</v>
          </cell>
          <cell r="AF104" t="str">
            <v>Product</v>
          </cell>
          <cell r="AG104" t="str">
            <v>Sum Stat Amt</v>
          </cell>
          <cell r="AH104" t="str">
            <v>Period</v>
          </cell>
          <cell r="AI104" t="str">
            <v>Date</v>
          </cell>
          <cell r="AK104" t="str">
            <v>Account</v>
          </cell>
          <cell r="AL104" t="str">
            <v>Dept</v>
          </cell>
          <cell r="AM104" t="str">
            <v>Sum Amount</v>
          </cell>
          <cell r="AN104" t="str">
            <v>Trans</v>
          </cell>
          <cell r="AO104" t="str">
            <v>Product</v>
          </cell>
          <cell r="AP104" t="str">
            <v>Sum Stat Amt</v>
          </cell>
          <cell r="AQ104" t="str">
            <v>Period</v>
          </cell>
          <cell r="AR104" t="str">
            <v>Date</v>
          </cell>
          <cell r="AT104" t="str">
            <v>Account</v>
          </cell>
          <cell r="AU104" t="str">
            <v>Dept</v>
          </cell>
          <cell r="AV104" t="str">
            <v>Sum Amount</v>
          </cell>
          <cell r="AW104" t="str">
            <v>Trans</v>
          </cell>
          <cell r="AX104" t="str">
            <v>Product</v>
          </cell>
          <cell r="AY104" t="str">
            <v>Sum Stat Amt</v>
          </cell>
          <cell r="AZ104" t="str">
            <v>Period</v>
          </cell>
          <cell r="BA104" t="str">
            <v>Date</v>
          </cell>
          <cell r="BC104" t="str">
            <v>Account</v>
          </cell>
          <cell r="BD104" t="str">
            <v>Dept</v>
          </cell>
          <cell r="BE104" t="str">
            <v>Sum Amount</v>
          </cell>
          <cell r="BF104" t="str">
            <v>Trans</v>
          </cell>
          <cell r="BG104" t="str">
            <v>Product</v>
          </cell>
          <cell r="BH104" t="str">
            <v>Sum Stat Amt</v>
          </cell>
          <cell r="BI104" t="str">
            <v>Period</v>
          </cell>
          <cell r="BJ104" t="str">
            <v>Date</v>
          </cell>
          <cell r="BL104" t="str">
            <v>Account</v>
          </cell>
          <cell r="BM104" t="str">
            <v>Dept</v>
          </cell>
          <cell r="BN104" t="str">
            <v>Sum Amount</v>
          </cell>
          <cell r="BO104" t="str">
            <v>Trans</v>
          </cell>
          <cell r="BP104" t="str">
            <v>Product</v>
          </cell>
          <cell r="BQ104" t="str">
            <v>Sum Stat Amt</v>
          </cell>
          <cell r="BR104" t="str">
            <v>Period</v>
          </cell>
          <cell r="BS104" t="str">
            <v>Date</v>
          </cell>
          <cell r="BU104" t="str">
            <v>Account</v>
          </cell>
          <cell r="BV104" t="str">
            <v>Dept</v>
          </cell>
          <cell r="BW104" t="str">
            <v>Sum Amount</v>
          </cell>
          <cell r="BX104" t="str">
            <v>Trans</v>
          </cell>
          <cell r="BY104" t="str">
            <v>Product</v>
          </cell>
          <cell r="BZ104" t="str">
            <v>Sum Stat Amt</v>
          </cell>
          <cell r="CA104" t="str">
            <v>Period</v>
          </cell>
          <cell r="CB104" t="str">
            <v>Date</v>
          </cell>
          <cell r="CD104" t="str">
            <v>Account</v>
          </cell>
          <cell r="CE104" t="str">
            <v>Dept</v>
          </cell>
          <cell r="CF104" t="str">
            <v>Sum Amount</v>
          </cell>
          <cell r="CG104" t="str">
            <v>Trans</v>
          </cell>
          <cell r="CH104" t="str">
            <v>Product</v>
          </cell>
          <cell r="CI104" t="str">
            <v>Sum Stat Amt</v>
          </cell>
          <cell r="CJ104" t="str">
            <v>Period</v>
          </cell>
          <cell r="CK104" t="str">
            <v>Date</v>
          </cell>
          <cell r="CM104" t="str">
            <v>Account</v>
          </cell>
          <cell r="CN104" t="str">
            <v>Dept</v>
          </cell>
          <cell r="CO104" t="str">
            <v>Sum Amount</v>
          </cell>
          <cell r="CP104" t="str">
            <v>Trans</v>
          </cell>
          <cell r="CQ104" t="str">
            <v>Product</v>
          </cell>
          <cell r="CR104" t="str">
            <v>Sum Stat Amt</v>
          </cell>
          <cell r="CS104" t="str">
            <v>Period</v>
          </cell>
          <cell r="CT104" t="str">
            <v>Date</v>
          </cell>
          <cell r="CV104" t="str">
            <v>Account</v>
          </cell>
          <cell r="CW104" t="str">
            <v>Dept</v>
          </cell>
          <cell r="CX104" t="str">
            <v>Sum Amount</v>
          </cell>
          <cell r="CY104" t="str">
            <v>Trans</v>
          </cell>
          <cell r="CZ104" t="str">
            <v>Product</v>
          </cell>
          <cell r="DA104" t="str">
            <v>Sum Stat Amt</v>
          </cell>
          <cell r="DB104" t="str">
            <v>Period</v>
          </cell>
          <cell r="DC104" t="str">
            <v>Date</v>
          </cell>
          <cell r="DE104" t="str">
            <v>Account</v>
          </cell>
          <cell r="DF104" t="str">
            <v>Dept</v>
          </cell>
          <cell r="DG104" t="str">
            <v>Sum Amount</v>
          </cell>
          <cell r="DH104" t="str">
            <v>Trans</v>
          </cell>
          <cell r="DI104" t="str">
            <v>Product</v>
          </cell>
          <cell r="DJ104" t="str">
            <v>Sum Stat Amt</v>
          </cell>
          <cell r="DK104" t="str">
            <v>Period</v>
          </cell>
          <cell r="DL104" t="str">
            <v>Date</v>
          </cell>
        </row>
        <row r="105">
          <cell r="M105">
            <v>204</v>
          </cell>
          <cell r="N105">
            <v>415</v>
          </cell>
          <cell r="Q105">
            <v>39478</v>
          </cell>
          <cell r="V105">
            <v>204</v>
          </cell>
          <cell r="W105">
            <v>415</v>
          </cell>
          <cell r="Z105">
            <v>39507</v>
          </cell>
          <cell r="AE105">
            <v>204</v>
          </cell>
          <cell r="AF105">
            <v>415</v>
          </cell>
          <cell r="AI105">
            <v>39538</v>
          </cell>
          <cell r="AN105">
            <v>204</v>
          </cell>
          <cell r="AO105">
            <v>415</v>
          </cell>
          <cell r="AR105">
            <v>39568</v>
          </cell>
          <cell r="AW105">
            <v>204</v>
          </cell>
          <cell r="AX105">
            <v>415</v>
          </cell>
          <cell r="BA105">
            <v>39599</v>
          </cell>
          <cell r="BF105">
            <v>204</v>
          </cell>
          <cell r="BG105">
            <v>415</v>
          </cell>
          <cell r="BJ105">
            <v>39629</v>
          </cell>
          <cell r="BO105">
            <v>204</v>
          </cell>
          <cell r="BP105">
            <v>415</v>
          </cell>
          <cell r="BS105">
            <v>39660</v>
          </cell>
          <cell r="BX105">
            <v>204</v>
          </cell>
          <cell r="BY105">
            <v>415</v>
          </cell>
          <cell r="CB105">
            <v>39691</v>
          </cell>
          <cell r="CG105">
            <v>204</v>
          </cell>
          <cell r="CH105">
            <v>415</v>
          </cell>
          <cell r="CK105">
            <v>39721</v>
          </cell>
          <cell r="CP105">
            <v>204</v>
          </cell>
          <cell r="CQ105">
            <v>415</v>
          </cell>
          <cell r="CT105">
            <v>39752</v>
          </cell>
          <cell r="CY105">
            <v>204</v>
          </cell>
          <cell r="CZ105">
            <v>415</v>
          </cell>
          <cell r="DC105">
            <v>39782</v>
          </cell>
          <cell r="DH105">
            <v>204</v>
          </cell>
          <cell r="DI105">
            <v>415</v>
          </cell>
          <cell r="DL105">
            <v>39813</v>
          </cell>
        </row>
        <row r="135">
          <cell r="J135" t="str">
            <v>Account</v>
          </cell>
          <cell r="K135" t="str">
            <v>Dept</v>
          </cell>
          <cell r="L135" t="str">
            <v>Sum Amount</v>
          </cell>
          <cell r="M135" t="str">
            <v>Trans</v>
          </cell>
          <cell r="N135" t="str">
            <v>Product</v>
          </cell>
          <cell r="O135" t="str">
            <v>Sum Stat Amt</v>
          </cell>
          <cell r="P135" t="str">
            <v>Period</v>
          </cell>
          <cell r="Q135" t="str">
            <v>Date</v>
          </cell>
          <cell r="S135" t="str">
            <v>Account</v>
          </cell>
          <cell r="T135" t="str">
            <v>Dept</v>
          </cell>
          <cell r="U135" t="str">
            <v>Sum Amount</v>
          </cell>
          <cell r="V135" t="str">
            <v>Trans</v>
          </cell>
          <cell r="W135" t="str">
            <v>Product</v>
          </cell>
          <cell r="X135" t="str">
            <v>Sum Stat Amt</v>
          </cell>
          <cell r="Y135" t="str">
            <v>Period</v>
          </cell>
          <cell r="Z135" t="str">
            <v>Date</v>
          </cell>
          <cell r="AB135" t="str">
            <v>Account</v>
          </cell>
          <cell r="AC135" t="str">
            <v>Dept</v>
          </cell>
          <cell r="AD135" t="str">
            <v>Sum Amount</v>
          </cell>
          <cell r="AE135" t="str">
            <v>Trans</v>
          </cell>
          <cell r="AF135" t="str">
            <v>Product</v>
          </cell>
          <cell r="AG135" t="str">
            <v>Sum Stat Amt</v>
          </cell>
          <cell r="AH135" t="str">
            <v>Period</v>
          </cell>
          <cell r="AI135" t="str">
            <v>Date</v>
          </cell>
          <cell r="AK135" t="str">
            <v>Account</v>
          </cell>
          <cell r="AL135" t="str">
            <v>Dept</v>
          </cell>
          <cell r="AM135" t="str">
            <v>Sum Amount</v>
          </cell>
          <cell r="AN135" t="str">
            <v>Trans</v>
          </cell>
          <cell r="AO135" t="str">
            <v>Product</v>
          </cell>
          <cell r="AP135" t="str">
            <v>Sum Stat Amt</v>
          </cell>
          <cell r="AQ135" t="str">
            <v>Period</v>
          </cell>
          <cell r="AR135" t="str">
            <v>Date</v>
          </cell>
          <cell r="AT135" t="str">
            <v>Account</v>
          </cell>
          <cell r="AU135" t="str">
            <v>Dept</v>
          </cell>
          <cell r="AV135" t="str">
            <v>Sum Amount</v>
          </cell>
          <cell r="AW135" t="str">
            <v>Trans</v>
          </cell>
          <cell r="AX135" t="str">
            <v>Product</v>
          </cell>
          <cell r="AY135" t="str">
            <v>Sum Stat Amt</v>
          </cell>
          <cell r="AZ135" t="str">
            <v>Period</v>
          </cell>
          <cell r="BA135" t="str">
            <v>Date</v>
          </cell>
          <cell r="BC135" t="str">
            <v>Account</v>
          </cell>
          <cell r="BD135" t="str">
            <v>Dept</v>
          </cell>
          <cell r="BE135" t="str">
            <v>Sum Amount</v>
          </cell>
          <cell r="BF135" t="str">
            <v>Trans</v>
          </cell>
          <cell r="BG135" t="str">
            <v>Product</v>
          </cell>
          <cell r="BH135" t="str">
            <v>Sum Stat Amt</v>
          </cell>
          <cell r="BI135" t="str">
            <v>Period</v>
          </cell>
          <cell r="BJ135" t="str">
            <v>Date</v>
          </cell>
          <cell r="BL135" t="str">
            <v>Account</v>
          </cell>
          <cell r="BM135" t="str">
            <v>Dept</v>
          </cell>
          <cell r="BN135" t="str">
            <v>Sum Amount</v>
          </cell>
          <cell r="BO135" t="str">
            <v>Trans</v>
          </cell>
          <cell r="BP135" t="str">
            <v>Product</v>
          </cell>
          <cell r="BQ135" t="str">
            <v>Sum Stat Amt</v>
          </cell>
          <cell r="BR135" t="str">
            <v>Period</v>
          </cell>
          <cell r="BS135" t="str">
            <v>Date</v>
          </cell>
          <cell r="BU135" t="str">
            <v>Account</v>
          </cell>
          <cell r="BV135" t="str">
            <v>Dept</v>
          </cell>
          <cell r="BW135" t="str">
            <v>Sum Amount</v>
          </cell>
          <cell r="BX135" t="str">
            <v>Trans</v>
          </cell>
          <cell r="BY135" t="str">
            <v>Product</v>
          </cell>
          <cell r="BZ135" t="str">
            <v>Sum Stat Amt</v>
          </cell>
          <cell r="CA135" t="str">
            <v>Period</v>
          </cell>
          <cell r="CB135" t="str">
            <v>Date</v>
          </cell>
          <cell r="CD135" t="str">
            <v>Account</v>
          </cell>
          <cell r="CE135" t="str">
            <v>Dept</v>
          </cell>
          <cell r="CF135" t="str">
            <v>Sum Amount</v>
          </cell>
          <cell r="CG135" t="str">
            <v>Trans</v>
          </cell>
          <cell r="CH135" t="str">
            <v>Product</v>
          </cell>
          <cell r="CI135" t="str">
            <v>Sum Stat Amt</v>
          </cell>
          <cell r="CJ135" t="str">
            <v>Period</v>
          </cell>
          <cell r="CK135" t="str">
            <v>Date</v>
          </cell>
          <cell r="CM135" t="str">
            <v>Account</v>
          </cell>
          <cell r="CN135" t="str">
            <v>Dept</v>
          </cell>
          <cell r="CO135" t="str">
            <v>Sum Amount</v>
          </cell>
          <cell r="CP135" t="str">
            <v>Trans</v>
          </cell>
          <cell r="CQ135" t="str">
            <v>Product</v>
          </cell>
          <cell r="CR135" t="str">
            <v>Sum Stat Amt</v>
          </cell>
          <cell r="CS135" t="str">
            <v>Period</v>
          </cell>
          <cell r="CT135" t="str">
            <v>Date</v>
          </cell>
          <cell r="CV135" t="str">
            <v>Account</v>
          </cell>
          <cell r="CW135" t="str">
            <v>Dept</v>
          </cell>
          <cell r="CX135" t="str">
            <v>Sum Amount</v>
          </cell>
          <cell r="CY135" t="str">
            <v>Trans</v>
          </cell>
          <cell r="CZ135" t="str">
            <v>Product</v>
          </cell>
          <cell r="DA135" t="str">
            <v>Sum Stat Amt</v>
          </cell>
          <cell r="DB135" t="str">
            <v>Period</v>
          </cell>
          <cell r="DC135" t="str">
            <v>Date</v>
          </cell>
          <cell r="DE135" t="str">
            <v>Account</v>
          </cell>
          <cell r="DF135" t="str">
            <v>Dept</v>
          </cell>
          <cell r="DG135" t="str">
            <v>Sum Amount</v>
          </cell>
          <cell r="DH135" t="str">
            <v>Trans</v>
          </cell>
          <cell r="DI135" t="str">
            <v>Product</v>
          </cell>
          <cell r="DJ135" t="str">
            <v>Sum Stat Amt</v>
          </cell>
          <cell r="DK135" t="str">
            <v>Period</v>
          </cell>
          <cell r="DL135" t="str">
            <v>Date</v>
          </cell>
        </row>
        <row r="136">
          <cell r="M136">
            <v>205</v>
          </cell>
          <cell r="N136">
            <v>455</v>
          </cell>
          <cell r="Q136">
            <v>39478</v>
          </cell>
          <cell r="V136">
            <v>205</v>
          </cell>
          <cell r="W136">
            <v>455</v>
          </cell>
          <cell r="Z136">
            <v>39507</v>
          </cell>
          <cell r="AE136">
            <v>205</v>
          </cell>
          <cell r="AF136">
            <v>455</v>
          </cell>
          <cell r="AI136">
            <v>39538</v>
          </cell>
          <cell r="AN136">
            <v>205</v>
          </cell>
          <cell r="AO136">
            <v>455</v>
          </cell>
          <cell r="AR136">
            <v>39568</v>
          </cell>
          <cell r="AW136">
            <v>205</v>
          </cell>
          <cell r="AX136">
            <v>455</v>
          </cell>
          <cell r="BA136">
            <v>39599</v>
          </cell>
          <cell r="BF136">
            <v>205</v>
          </cell>
          <cell r="BG136">
            <v>455</v>
          </cell>
          <cell r="BJ136">
            <v>39629</v>
          </cell>
          <cell r="BO136">
            <v>205</v>
          </cell>
          <cell r="BP136">
            <v>455</v>
          </cell>
          <cell r="BS136">
            <v>39660</v>
          </cell>
          <cell r="BX136">
            <v>205</v>
          </cell>
          <cell r="BY136">
            <v>455</v>
          </cell>
          <cell r="CB136">
            <v>39691</v>
          </cell>
          <cell r="CG136">
            <v>205</v>
          </cell>
          <cell r="CH136">
            <v>455</v>
          </cell>
          <cell r="CK136">
            <v>39721</v>
          </cell>
          <cell r="CP136">
            <v>205</v>
          </cell>
          <cell r="CQ136">
            <v>455</v>
          </cell>
          <cell r="CT136">
            <v>39752</v>
          </cell>
          <cell r="CY136">
            <v>205</v>
          </cell>
          <cell r="CZ136">
            <v>455</v>
          </cell>
          <cell r="DC136">
            <v>39782</v>
          </cell>
          <cell r="DH136">
            <v>205</v>
          </cell>
          <cell r="DI136">
            <v>455</v>
          </cell>
          <cell r="DL136">
            <v>39813</v>
          </cell>
        </row>
        <row r="163">
          <cell r="J163" t="str">
            <v>Account</v>
          </cell>
          <cell r="K163" t="str">
            <v>Dept</v>
          </cell>
          <cell r="L163" t="str">
            <v>Sum Amount</v>
          </cell>
          <cell r="M163" t="str">
            <v>Trans</v>
          </cell>
          <cell r="N163" t="str">
            <v>Product</v>
          </cell>
          <cell r="O163" t="str">
            <v>Sum Stat Amt</v>
          </cell>
          <cell r="P163" t="str">
            <v>Period</v>
          </cell>
          <cell r="Q163" t="str">
            <v>Date</v>
          </cell>
          <cell r="S163" t="str">
            <v>Account</v>
          </cell>
          <cell r="T163" t="str">
            <v>Dept</v>
          </cell>
          <cell r="U163" t="str">
            <v>Sum Amount</v>
          </cell>
          <cell r="V163" t="str">
            <v>Trans</v>
          </cell>
          <cell r="W163" t="str">
            <v>Product</v>
          </cell>
          <cell r="X163" t="str">
            <v>Sum Stat Amt</v>
          </cell>
          <cell r="Y163" t="str">
            <v>Period</v>
          </cell>
          <cell r="Z163" t="str">
            <v>Date</v>
          </cell>
          <cell r="AB163" t="str">
            <v>Account</v>
          </cell>
          <cell r="AC163" t="str">
            <v>Dept</v>
          </cell>
          <cell r="AD163" t="str">
            <v>Sum Amount</v>
          </cell>
          <cell r="AE163" t="str">
            <v>Trans</v>
          </cell>
          <cell r="AF163" t="str">
            <v>Product</v>
          </cell>
          <cell r="AG163" t="str">
            <v>Sum Stat Amt</v>
          </cell>
          <cell r="AH163" t="str">
            <v>Period</v>
          </cell>
          <cell r="AI163" t="str">
            <v>Date</v>
          </cell>
          <cell r="AK163" t="str">
            <v>Account</v>
          </cell>
          <cell r="AL163" t="str">
            <v>Dept</v>
          </cell>
          <cell r="AM163" t="str">
            <v>Sum Amount</v>
          </cell>
          <cell r="AN163" t="str">
            <v>Trans</v>
          </cell>
          <cell r="AO163" t="str">
            <v>Product</v>
          </cell>
          <cell r="AP163" t="str">
            <v>Sum Stat Amt</v>
          </cell>
          <cell r="AQ163" t="str">
            <v>Period</v>
          </cell>
          <cell r="AR163" t="str">
            <v>Date</v>
          </cell>
          <cell r="AT163" t="str">
            <v>Account</v>
          </cell>
          <cell r="AU163" t="str">
            <v>Dept</v>
          </cell>
          <cell r="AV163" t="str">
            <v>Sum Amount</v>
          </cell>
          <cell r="AW163" t="str">
            <v>Trans</v>
          </cell>
          <cell r="AX163" t="str">
            <v>Product</v>
          </cell>
          <cell r="AY163" t="str">
            <v>Sum Stat Amt</v>
          </cell>
          <cell r="AZ163" t="str">
            <v>Period</v>
          </cell>
          <cell r="BA163" t="str">
            <v>Date</v>
          </cell>
          <cell r="BC163" t="str">
            <v>Account</v>
          </cell>
          <cell r="BD163" t="str">
            <v>Dept</v>
          </cell>
          <cell r="BE163" t="str">
            <v>Sum Amount</v>
          </cell>
          <cell r="BF163" t="str">
            <v>Trans</v>
          </cell>
          <cell r="BG163" t="str">
            <v>Product</v>
          </cell>
          <cell r="BH163" t="str">
            <v>Sum Stat Amt</v>
          </cell>
          <cell r="BI163" t="str">
            <v>Period</v>
          </cell>
          <cell r="BJ163" t="str">
            <v>Date</v>
          </cell>
          <cell r="BL163" t="str">
            <v>Account</v>
          </cell>
          <cell r="BM163" t="str">
            <v>Dept</v>
          </cell>
          <cell r="BN163" t="str">
            <v>Sum Amount</v>
          </cell>
          <cell r="BO163" t="str">
            <v>Trans</v>
          </cell>
          <cell r="BP163" t="str">
            <v>Product</v>
          </cell>
          <cell r="BQ163" t="str">
            <v>Sum Stat Amt</v>
          </cell>
          <cell r="BR163" t="str">
            <v>Period</v>
          </cell>
          <cell r="BS163" t="str">
            <v>Date</v>
          </cell>
          <cell r="BU163" t="str">
            <v>Account</v>
          </cell>
          <cell r="BV163" t="str">
            <v>Dept</v>
          </cell>
          <cell r="BW163" t="str">
            <v>Sum Amount</v>
          </cell>
          <cell r="BX163" t="str">
            <v>Trans</v>
          </cell>
          <cell r="BY163" t="str">
            <v>Product</v>
          </cell>
          <cell r="BZ163" t="str">
            <v>Sum Stat Amt</v>
          </cell>
          <cell r="CA163" t="str">
            <v>Period</v>
          </cell>
          <cell r="CB163" t="str">
            <v>Date</v>
          </cell>
          <cell r="CD163" t="str">
            <v>Account</v>
          </cell>
          <cell r="CE163" t="str">
            <v>Dept</v>
          </cell>
          <cell r="CF163" t="str">
            <v>Sum Amount</v>
          </cell>
          <cell r="CG163" t="str">
            <v>Trans</v>
          </cell>
          <cell r="CH163" t="str">
            <v>Product</v>
          </cell>
          <cell r="CI163" t="str">
            <v>Sum Stat Amt</v>
          </cell>
          <cell r="CJ163" t="str">
            <v>Period</v>
          </cell>
          <cell r="CK163" t="str">
            <v>Date</v>
          </cell>
          <cell r="CM163" t="str">
            <v>Account</v>
          </cell>
          <cell r="CN163" t="str">
            <v>Dept</v>
          </cell>
          <cell r="CO163" t="str">
            <v>Sum Amount</v>
          </cell>
          <cell r="CP163" t="str">
            <v>Trans</v>
          </cell>
          <cell r="CQ163" t="str">
            <v>Product</v>
          </cell>
          <cell r="CR163" t="str">
            <v>Sum Stat Amt</v>
          </cell>
          <cell r="CS163" t="str">
            <v>Period</v>
          </cell>
          <cell r="CT163" t="str">
            <v>Date</v>
          </cell>
          <cell r="CV163" t="str">
            <v>Account</v>
          </cell>
          <cell r="CW163" t="str">
            <v>Dept</v>
          </cell>
          <cell r="CX163" t="str">
            <v>Sum Amount</v>
          </cell>
          <cell r="CY163" t="str">
            <v>Trans</v>
          </cell>
          <cell r="CZ163" t="str">
            <v>Product</v>
          </cell>
          <cell r="DA163" t="str">
            <v>Sum Stat Amt</v>
          </cell>
          <cell r="DB163" t="str">
            <v>Period</v>
          </cell>
          <cell r="DC163" t="str">
            <v>Date</v>
          </cell>
          <cell r="DE163" t="str">
            <v>Account</v>
          </cell>
          <cell r="DF163" t="str">
            <v>Dept</v>
          </cell>
          <cell r="DG163" t="str">
            <v>Sum Amount</v>
          </cell>
          <cell r="DH163" t="str">
            <v>Trans</v>
          </cell>
          <cell r="DI163" t="str">
            <v>Product</v>
          </cell>
          <cell r="DJ163" t="str">
            <v>Sum Stat Amt</v>
          </cell>
          <cell r="DK163" t="str">
            <v>Period</v>
          </cell>
          <cell r="DL163" t="str">
            <v>Date</v>
          </cell>
        </row>
        <row r="164">
          <cell r="M164" t="str">
            <v>215</v>
          </cell>
          <cell r="N164" t="str">
            <v>CET</v>
          </cell>
          <cell r="Q164">
            <v>39478</v>
          </cell>
          <cell r="V164" t="str">
            <v>215</v>
          </cell>
          <cell r="W164" t="str">
            <v>CET</v>
          </cell>
          <cell r="Z164">
            <v>39507</v>
          </cell>
          <cell r="AE164" t="str">
            <v>215</v>
          </cell>
          <cell r="AF164" t="str">
            <v>CET</v>
          </cell>
          <cell r="AI164">
            <v>39538</v>
          </cell>
          <cell r="AN164" t="str">
            <v>215</v>
          </cell>
          <cell r="AO164" t="str">
            <v>CET</v>
          </cell>
          <cell r="AR164">
            <v>39568</v>
          </cell>
          <cell r="AW164" t="str">
            <v>215</v>
          </cell>
          <cell r="AX164" t="str">
            <v>CET</v>
          </cell>
          <cell r="BA164">
            <v>39599</v>
          </cell>
          <cell r="BF164" t="str">
            <v>215</v>
          </cell>
          <cell r="BG164" t="str">
            <v>CET</v>
          </cell>
          <cell r="BJ164">
            <v>39629</v>
          </cell>
          <cell r="BO164" t="str">
            <v>215</v>
          </cell>
          <cell r="BP164" t="str">
            <v>CET</v>
          </cell>
          <cell r="BS164">
            <v>39660</v>
          </cell>
          <cell r="BX164" t="str">
            <v>215</v>
          </cell>
          <cell r="BY164" t="str">
            <v>CET</v>
          </cell>
          <cell r="CB164">
            <v>39691</v>
          </cell>
          <cell r="CG164" t="str">
            <v>215</v>
          </cell>
          <cell r="CH164" t="str">
            <v>CET</v>
          </cell>
          <cell r="CK164">
            <v>39721</v>
          </cell>
          <cell r="CP164" t="str">
            <v>215</v>
          </cell>
          <cell r="CQ164" t="str">
            <v>CET</v>
          </cell>
          <cell r="CT164">
            <v>39752</v>
          </cell>
          <cell r="CY164" t="str">
            <v>215</v>
          </cell>
          <cell r="CZ164" t="str">
            <v>CET</v>
          </cell>
          <cell r="DC164">
            <v>39782</v>
          </cell>
          <cell r="DH164" t="str">
            <v>215</v>
          </cell>
          <cell r="DI164" t="str">
            <v>CET</v>
          </cell>
          <cell r="DL164">
            <v>39813</v>
          </cell>
        </row>
        <row r="166">
          <cell r="J166" t="str">
            <v>Account</v>
          </cell>
          <cell r="K166" t="str">
            <v>Dept</v>
          </cell>
          <cell r="L166" t="str">
            <v>Sum Amount</v>
          </cell>
          <cell r="M166" t="str">
            <v>Trans</v>
          </cell>
          <cell r="N166" t="str">
            <v>Product</v>
          </cell>
          <cell r="O166" t="str">
            <v>Sum Stat Amt</v>
          </cell>
          <cell r="P166" t="str">
            <v>Period</v>
          </cell>
          <cell r="Q166" t="str">
            <v>Date</v>
          </cell>
          <cell r="S166" t="str">
            <v>Account</v>
          </cell>
          <cell r="T166" t="str">
            <v>Dept</v>
          </cell>
          <cell r="U166" t="str">
            <v>Sum Amount</v>
          </cell>
          <cell r="V166" t="str">
            <v>Trans</v>
          </cell>
          <cell r="W166" t="str">
            <v>Product</v>
          </cell>
          <cell r="X166" t="str">
            <v>Sum Stat Amt</v>
          </cell>
          <cell r="Y166" t="str">
            <v>Period</v>
          </cell>
          <cell r="Z166" t="str">
            <v>Date</v>
          </cell>
          <cell r="AB166" t="str">
            <v>Account</v>
          </cell>
          <cell r="AC166" t="str">
            <v>Dept</v>
          </cell>
          <cell r="AD166" t="str">
            <v>Sum Amount</v>
          </cell>
          <cell r="AE166" t="str">
            <v>Trans</v>
          </cell>
          <cell r="AF166" t="str">
            <v>Product</v>
          </cell>
          <cell r="AG166" t="str">
            <v>Sum Stat Amt</v>
          </cell>
          <cell r="AH166" t="str">
            <v>Period</v>
          </cell>
          <cell r="AI166" t="str">
            <v>Date</v>
          </cell>
          <cell r="AK166" t="str">
            <v>Account</v>
          </cell>
          <cell r="AL166" t="str">
            <v>Dept</v>
          </cell>
          <cell r="AM166" t="str">
            <v>Sum Amount</v>
          </cell>
          <cell r="AN166" t="str">
            <v>Trans</v>
          </cell>
          <cell r="AO166" t="str">
            <v>Product</v>
          </cell>
          <cell r="AP166" t="str">
            <v>Sum Stat Amt</v>
          </cell>
          <cell r="AQ166" t="str">
            <v>Period</v>
          </cell>
          <cell r="AR166" t="str">
            <v>Date</v>
          </cell>
          <cell r="AT166" t="str">
            <v>Account</v>
          </cell>
          <cell r="AU166" t="str">
            <v>Dept</v>
          </cell>
          <cell r="AV166" t="str">
            <v>Sum Amount</v>
          </cell>
          <cell r="AW166" t="str">
            <v>Trans</v>
          </cell>
          <cell r="AX166" t="str">
            <v>Product</v>
          </cell>
          <cell r="AY166" t="str">
            <v>Sum Stat Amt</v>
          </cell>
          <cell r="AZ166" t="str">
            <v>Period</v>
          </cell>
          <cell r="BA166" t="str">
            <v>Date</v>
          </cell>
          <cell r="BC166" t="str">
            <v>Account</v>
          </cell>
          <cell r="BD166" t="str">
            <v>Dept</v>
          </cell>
          <cell r="BE166" t="str">
            <v>Sum Amount</v>
          </cell>
          <cell r="BF166" t="str">
            <v>Trans</v>
          </cell>
          <cell r="BG166" t="str">
            <v>Product</v>
          </cell>
          <cell r="BH166" t="str">
            <v>Sum Stat Amt</v>
          </cell>
          <cell r="BI166" t="str">
            <v>Period</v>
          </cell>
          <cell r="BJ166" t="str">
            <v>Date</v>
          </cell>
          <cell r="BL166" t="str">
            <v>Account</v>
          </cell>
          <cell r="BM166" t="str">
            <v>Dept</v>
          </cell>
          <cell r="BN166" t="str">
            <v>Sum Amount</v>
          </cell>
          <cell r="BO166" t="str">
            <v>Trans</v>
          </cell>
          <cell r="BP166" t="str">
            <v>Product</v>
          </cell>
          <cell r="BQ166" t="str">
            <v>Sum Stat Amt</v>
          </cell>
          <cell r="BR166" t="str">
            <v>Period</v>
          </cell>
          <cell r="BS166" t="str">
            <v>Date</v>
          </cell>
          <cell r="BU166" t="str">
            <v>Account</v>
          </cell>
          <cell r="BV166" t="str">
            <v>Dept</v>
          </cell>
          <cell r="BW166" t="str">
            <v>Sum Amount</v>
          </cell>
          <cell r="BX166" t="str">
            <v>Trans</v>
          </cell>
          <cell r="BY166" t="str">
            <v>Product</v>
          </cell>
          <cell r="BZ166" t="str">
            <v>Sum Stat Amt</v>
          </cell>
          <cell r="CA166" t="str">
            <v>Period</v>
          </cell>
          <cell r="CB166" t="str">
            <v>Date</v>
          </cell>
          <cell r="CD166" t="str">
            <v>Account</v>
          </cell>
          <cell r="CE166" t="str">
            <v>Dept</v>
          </cell>
          <cell r="CF166" t="str">
            <v>Sum Amount</v>
          </cell>
          <cell r="CG166" t="str">
            <v>Trans</v>
          </cell>
          <cell r="CH166" t="str">
            <v>Product</v>
          </cell>
          <cell r="CI166" t="str">
            <v>Sum Stat Amt</v>
          </cell>
          <cell r="CJ166" t="str">
            <v>Period</v>
          </cell>
          <cell r="CK166" t="str">
            <v>Date</v>
          </cell>
          <cell r="CM166" t="str">
            <v>Account</v>
          </cell>
          <cell r="CN166" t="str">
            <v>Dept</v>
          </cell>
          <cell r="CO166" t="str">
            <v>Sum Amount</v>
          </cell>
          <cell r="CP166" t="str">
            <v>Trans</v>
          </cell>
          <cell r="CQ166" t="str">
            <v>Product</v>
          </cell>
          <cell r="CR166" t="str">
            <v>Sum Stat Amt</v>
          </cell>
          <cell r="CS166" t="str">
            <v>Period</v>
          </cell>
          <cell r="CT166" t="str">
            <v>Date</v>
          </cell>
          <cell r="CV166" t="str">
            <v>Account</v>
          </cell>
          <cell r="CW166" t="str">
            <v>Dept</v>
          </cell>
          <cell r="CX166" t="str">
            <v>Sum Amount</v>
          </cell>
          <cell r="CY166" t="str">
            <v>Trans</v>
          </cell>
          <cell r="CZ166" t="str">
            <v>Product</v>
          </cell>
          <cell r="DA166" t="str">
            <v>Sum Stat Amt</v>
          </cell>
          <cell r="DB166" t="str">
            <v>Period</v>
          </cell>
          <cell r="DC166" t="str">
            <v>Date</v>
          </cell>
          <cell r="DE166" t="str">
            <v>Account</v>
          </cell>
          <cell r="DF166" t="str">
            <v>Dept</v>
          </cell>
          <cell r="DG166" t="str">
            <v>Sum Amount</v>
          </cell>
          <cell r="DH166" t="str">
            <v>Trans</v>
          </cell>
          <cell r="DI166" t="str">
            <v>Product</v>
          </cell>
          <cell r="DJ166" t="str">
            <v>Sum Stat Amt</v>
          </cell>
          <cell r="DK166" t="str">
            <v>Period</v>
          </cell>
          <cell r="DL166" t="str">
            <v>Date</v>
          </cell>
        </row>
        <row r="167">
          <cell r="M167">
            <v>216</v>
          </cell>
          <cell r="Q167">
            <v>39478</v>
          </cell>
          <cell r="V167">
            <v>216</v>
          </cell>
          <cell r="Z167">
            <v>39507</v>
          </cell>
          <cell r="AE167">
            <v>216</v>
          </cell>
          <cell r="AI167">
            <v>39538</v>
          </cell>
          <cell r="AN167">
            <v>216</v>
          </cell>
          <cell r="AR167">
            <v>39568</v>
          </cell>
          <cell r="AW167">
            <v>216</v>
          </cell>
          <cell r="BA167">
            <v>39599</v>
          </cell>
          <cell r="BF167">
            <v>216</v>
          </cell>
          <cell r="BJ167">
            <v>39629</v>
          </cell>
          <cell r="BO167">
            <v>216</v>
          </cell>
          <cell r="BS167">
            <v>39660</v>
          </cell>
          <cell r="BX167">
            <v>216</v>
          </cell>
          <cell r="CB167">
            <v>39691</v>
          </cell>
          <cell r="CG167">
            <v>216</v>
          </cell>
          <cell r="CK167">
            <v>39721</v>
          </cell>
          <cell r="CP167">
            <v>216</v>
          </cell>
          <cell r="CT167">
            <v>39752</v>
          </cell>
          <cell r="CY167">
            <v>216</v>
          </cell>
          <cell r="DC167">
            <v>39782</v>
          </cell>
          <cell r="DH167">
            <v>216</v>
          </cell>
          <cell r="DL167">
            <v>39813</v>
          </cell>
        </row>
        <row r="169">
          <cell r="J169" t="str">
            <v>Account</v>
          </cell>
          <cell r="K169" t="str">
            <v>Dept</v>
          </cell>
          <cell r="L169" t="str">
            <v>Sum Amount</v>
          </cell>
          <cell r="M169" t="str">
            <v>Trans</v>
          </cell>
          <cell r="N169" t="str">
            <v>Product</v>
          </cell>
          <cell r="O169" t="str">
            <v>Sum Stat Amt</v>
          </cell>
          <cell r="P169" t="str">
            <v>Period</v>
          </cell>
          <cell r="Q169" t="str">
            <v>Date</v>
          </cell>
          <cell r="S169" t="str">
            <v>Account</v>
          </cell>
          <cell r="T169" t="str">
            <v>Dept</v>
          </cell>
          <cell r="U169" t="str">
            <v>Sum Amount</v>
          </cell>
          <cell r="V169" t="str">
            <v>Trans</v>
          </cell>
          <cell r="W169" t="str">
            <v>Product</v>
          </cell>
          <cell r="X169" t="str">
            <v>Sum Stat Amt</v>
          </cell>
          <cell r="Y169" t="str">
            <v>Period</v>
          </cell>
          <cell r="Z169" t="str">
            <v>Date</v>
          </cell>
          <cell r="AB169" t="str">
            <v>Account</v>
          </cell>
          <cell r="AC169" t="str">
            <v>Dept</v>
          </cell>
          <cell r="AD169" t="str">
            <v>Sum Amount</v>
          </cell>
          <cell r="AE169" t="str">
            <v>Trans</v>
          </cell>
          <cell r="AF169" t="str">
            <v>Product</v>
          </cell>
          <cell r="AG169" t="str">
            <v>Sum Stat Amt</v>
          </cell>
          <cell r="AH169" t="str">
            <v>Period</v>
          </cell>
          <cell r="AI169" t="str">
            <v>Date</v>
          </cell>
          <cell r="AK169" t="str">
            <v>Account</v>
          </cell>
          <cell r="AL169" t="str">
            <v>Dept</v>
          </cell>
          <cell r="AM169" t="str">
            <v>Sum Amount</v>
          </cell>
          <cell r="AN169" t="str">
            <v>Trans</v>
          </cell>
          <cell r="AO169" t="str">
            <v>Product</v>
          </cell>
          <cell r="AP169" t="str">
            <v>Sum Stat Amt</v>
          </cell>
          <cell r="AQ169" t="str">
            <v>Period</v>
          </cell>
          <cell r="AR169" t="str">
            <v>Date</v>
          </cell>
          <cell r="AT169" t="str">
            <v>Account</v>
          </cell>
          <cell r="AU169" t="str">
            <v>Dept</v>
          </cell>
          <cell r="AV169" t="str">
            <v>Sum Amount</v>
          </cell>
          <cell r="AW169" t="str">
            <v>Trans</v>
          </cell>
          <cell r="AX169" t="str">
            <v>Product</v>
          </cell>
          <cell r="AY169" t="str">
            <v>Sum Stat Amt</v>
          </cell>
          <cell r="AZ169" t="str">
            <v>Period</v>
          </cell>
          <cell r="BA169" t="str">
            <v>Date</v>
          </cell>
          <cell r="BC169" t="str">
            <v>Account</v>
          </cell>
          <cell r="BD169" t="str">
            <v>Dept</v>
          </cell>
          <cell r="BE169" t="str">
            <v>Sum Amount</v>
          </cell>
          <cell r="BF169" t="str">
            <v>Trans</v>
          </cell>
          <cell r="BG169" t="str">
            <v>Product</v>
          </cell>
          <cell r="BH169" t="str">
            <v>Sum Stat Amt</v>
          </cell>
          <cell r="BI169" t="str">
            <v>Period</v>
          </cell>
          <cell r="BJ169" t="str">
            <v>Date</v>
          </cell>
          <cell r="BL169" t="str">
            <v>Account</v>
          </cell>
          <cell r="BM169" t="str">
            <v>Dept</v>
          </cell>
          <cell r="BN169" t="str">
            <v>Sum Amount</v>
          </cell>
          <cell r="BO169" t="str">
            <v>Trans</v>
          </cell>
          <cell r="BP169" t="str">
            <v>Product</v>
          </cell>
          <cell r="BQ169" t="str">
            <v>Sum Stat Amt</v>
          </cell>
          <cell r="BR169" t="str">
            <v>Period</v>
          </cell>
          <cell r="BS169" t="str">
            <v>Date</v>
          </cell>
          <cell r="BU169" t="str">
            <v>Account</v>
          </cell>
          <cell r="BV169" t="str">
            <v>Dept</v>
          </cell>
          <cell r="BW169" t="str">
            <v>Sum Amount</v>
          </cell>
          <cell r="BX169" t="str">
            <v>Trans</v>
          </cell>
          <cell r="BY169" t="str">
            <v>Product</v>
          </cell>
          <cell r="BZ169" t="str">
            <v>Sum Stat Amt</v>
          </cell>
          <cell r="CA169" t="str">
            <v>Period</v>
          </cell>
          <cell r="CB169" t="str">
            <v>Date</v>
          </cell>
          <cell r="CD169" t="str">
            <v>Account</v>
          </cell>
          <cell r="CE169" t="str">
            <v>Dept</v>
          </cell>
          <cell r="CF169" t="str">
            <v>Sum Amount</v>
          </cell>
          <cell r="CG169" t="str">
            <v>Trans</v>
          </cell>
          <cell r="CH169" t="str">
            <v>Product</v>
          </cell>
          <cell r="CI169" t="str">
            <v>Sum Stat Amt</v>
          </cell>
          <cell r="CJ169" t="str">
            <v>Period</v>
          </cell>
          <cell r="CK169" t="str">
            <v>Date</v>
          </cell>
          <cell r="CM169" t="str">
            <v>Account</v>
          </cell>
          <cell r="CN169" t="str">
            <v>Dept</v>
          </cell>
          <cell r="CO169" t="str">
            <v>Sum Amount</v>
          </cell>
          <cell r="CP169" t="str">
            <v>Trans</v>
          </cell>
          <cell r="CQ169" t="str">
            <v>Product</v>
          </cell>
          <cell r="CR169" t="str">
            <v>Sum Stat Amt</v>
          </cell>
          <cell r="CS169" t="str">
            <v>Period</v>
          </cell>
          <cell r="CT169" t="str">
            <v>Date</v>
          </cell>
          <cell r="CV169" t="str">
            <v>Account</v>
          </cell>
          <cell r="CW169" t="str">
            <v>Dept</v>
          </cell>
          <cell r="CX169" t="str">
            <v>Sum Amount</v>
          </cell>
          <cell r="CY169" t="str">
            <v>Trans</v>
          </cell>
          <cell r="CZ169" t="str">
            <v>Product</v>
          </cell>
          <cell r="DA169" t="str">
            <v>Sum Stat Amt</v>
          </cell>
          <cell r="DB169" t="str">
            <v>Period</v>
          </cell>
          <cell r="DC169" t="str">
            <v>Date</v>
          </cell>
          <cell r="DE169" t="str">
            <v>Account</v>
          </cell>
          <cell r="DF169" t="str">
            <v>Dept</v>
          </cell>
          <cell r="DG169" t="str">
            <v>Sum Amount</v>
          </cell>
          <cell r="DH169" t="str">
            <v>Trans</v>
          </cell>
          <cell r="DI169" t="str">
            <v>Product</v>
          </cell>
          <cell r="DJ169" t="str">
            <v>Sum Stat Amt</v>
          </cell>
          <cell r="DK169" t="str">
            <v>Period</v>
          </cell>
          <cell r="DL169" t="str">
            <v>Date</v>
          </cell>
        </row>
        <row r="170">
          <cell r="M170">
            <v>200</v>
          </cell>
          <cell r="Q170">
            <v>39478</v>
          </cell>
          <cell r="V170">
            <v>200</v>
          </cell>
          <cell r="Z170">
            <v>39507</v>
          </cell>
          <cell r="AE170">
            <v>200</v>
          </cell>
          <cell r="AI170">
            <v>39538</v>
          </cell>
          <cell r="AN170">
            <v>200</v>
          </cell>
          <cell r="AR170">
            <v>39568</v>
          </cell>
          <cell r="AW170">
            <v>200</v>
          </cell>
          <cell r="BA170">
            <v>39599</v>
          </cell>
          <cell r="BF170">
            <v>200</v>
          </cell>
          <cell r="BJ170">
            <v>39629</v>
          </cell>
          <cell r="BO170">
            <v>200</v>
          </cell>
          <cell r="BS170">
            <v>39660</v>
          </cell>
          <cell r="BX170">
            <v>200</v>
          </cell>
          <cell r="CB170">
            <v>39691</v>
          </cell>
          <cell r="CG170">
            <v>200</v>
          </cell>
          <cell r="CK170">
            <v>39721</v>
          </cell>
          <cell r="CP170">
            <v>200</v>
          </cell>
          <cell r="CT170">
            <v>39752</v>
          </cell>
          <cell r="CY170">
            <v>200</v>
          </cell>
          <cell r="DC170">
            <v>39782</v>
          </cell>
          <cell r="DH170">
            <v>200</v>
          </cell>
          <cell r="DL170">
            <v>39813</v>
          </cell>
        </row>
        <row r="172">
          <cell r="J172" t="str">
            <v>Account</v>
          </cell>
          <cell r="K172" t="str">
            <v>Oper Unit</v>
          </cell>
          <cell r="L172" t="str">
            <v>Product</v>
          </cell>
          <cell r="M172" t="str">
            <v>Trans</v>
          </cell>
          <cell r="N172" t="str">
            <v>Date</v>
          </cell>
          <cell r="O172" t="str">
            <v>Journal ID</v>
          </cell>
          <cell r="P172" t="str">
            <v>Monetary Amount</v>
          </cell>
          <cell r="Q172" t="str">
            <v>Statistic Amount</v>
          </cell>
          <cell r="S172" t="str">
            <v>Account</v>
          </cell>
          <cell r="T172" t="str">
            <v>Oper Unit</v>
          </cell>
          <cell r="U172" t="str">
            <v>Product</v>
          </cell>
          <cell r="V172" t="str">
            <v>Trans</v>
          </cell>
          <cell r="W172" t="str">
            <v>Date</v>
          </cell>
          <cell r="X172" t="str">
            <v>Journal ID</v>
          </cell>
          <cell r="Y172" t="str">
            <v>Monetary Amount</v>
          </cell>
          <cell r="Z172" t="str">
            <v>Statistic Amount</v>
          </cell>
          <cell r="AB172" t="str">
            <v>Account</v>
          </cell>
          <cell r="AC172" t="str">
            <v>Oper Unit</v>
          </cell>
          <cell r="AD172" t="str">
            <v>Product</v>
          </cell>
          <cell r="AE172" t="str">
            <v>Trans</v>
          </cell>
          <cell r="AF172" t="str">
            <v>Date</v>
          </cell>
          <cell r="AG172" t="str">
            <v>Journal ID</v>
          </cell>
          <cell r="AH172" t="str">
            <v>Monetary Amount</v>
          </cell>
          <cell r="AI172" t="str">
            <v>Statistic Amount</v>
          </cell>
          <cell r="AK172" t="str">
            <v>Account</v>
          </cell>
          <cell r="AL172" t="str">
            <v>Oper Unit</v>
          </cell>
          <cell r="AM172" t="str">
            <v>Product</v>
          </cell>
          <cell r="AN172" t="str">
            <v>Trans</v>
          </cell>
          <cell r="AO172" t="str">
            <v>Date</v>
          </cell>
          <cell r="AP172" t="str">
            <v>Journal ID</v>
          </cell>
          <cell r="AQ172" t="str">
            <v>Monetary Amount</v>
          </cell>
          <cell r="AR172" t="str">
            <v>Statistic Amount</v>
          </cell>
          <cell r="AT172" t="str">
            <v>Account</v>
          </cell>
          <cell r="AU172" t="str">
            <v>Oper Unit</v>
          </cell>
          <cell r="AV172" t="str">
            <v>Product</v>
          </cell>
          <cell r="AW172" t="str">
            <v>Trans</v>
          </cell>
          <cell r="AX172" t="str">
            <v>Date</v>
          </cell>
          <cell r="AY172" t="str">
            <v>Journal ID</v>
          </cell>
          <cell r="AZ172" t="str">
            <v>Monetary Amount</v>
          </cell>
          <cell r="BA172" t="str">
            <v>Statistic Amount</v>
          </cell>
          <cell r="BC172" t="str">
            <v>Account</v>
          </cell>
          <cell r="BD172" t="str">
            <v>Oper Unit</v>
          </cell>
          <cell r="BE172" t="str">
            <v>Product</v>
          </cell>
          <cell r="BF172" t="str">
            <v>Trans</v>
          </cell>
          <cell r="BG172" t="str">
            <v>Date</v>
          </cell>
          <cell r="BH172" t="str">
            <v>Journal ID</v>
          </cell>
          <cell r="BI172" t="str">
            <v>Monetary Amount</v>
          </cell>
          <cell r="BJ172" t="str">
            <v>Statistic Amount</v>
          </cell>
          <cell r="BL172" t="str">
            <v>Account</v>
          </cell>
          <cell r="BM172" t="str">
            <v>Oper Unit</v>
          </cell>
          <cell r="BN172" t="str">
            <v>Product</v>
          </cell>
          <cell r="BO172" t="str">
            <v>Trans</v>
          </cell>
          <cell r="BP172" t="str">
            <v>Date</v>
          </cell>
          <cell r="BQ172" t="str">
            <v>Journal ID</v>
          </cell>
          <cell r="BR172" t="str">
            <v>Monetary Amount</v>
          </cell>
          <cell r="BS172" t="str">
            <v>Statistic Amount</v>
          </cell>
          <cell r="BU172" t="str">
            <v>Account</v>
          </cell>
          <cell r="BV172" t="str">
            <v>Oper Unit</v>
          </cell>
          <cell r="BW172" t="str">
            <v>Product</v>
          </cell>
          <cell r="BX172" t="str">
            <v>Trans</v>
          </cell>
          <cell r="BY172" t="str">
            <v>Date</v>
          </cell>
          <cell r="BZ172" t="str">
            <v>Journal ID</v>
          </cell>
          <cell r="CA172" t="str">
            <v>Monetary Amount</v>
          </cell>
          <cell r="CB172" t="str">
            <v>Statistic Amount</v>
          </cell>
          <cell r="CD172" t="str">
            <v>Account</v>
          </cell>
          <cell r="CE172" t="str">
            <v>Oper Unit</v>
          </cell>
          <cell r="CF172" t="str">
            <v>Product</v>
          </cell>
          <cell r="CG172" t="str">
            <v>Trans</v>
          </cell>
          <cell r="CH172" t="str">
            <v>Date</v>
          </cell>
          <cell r="CI172" t="str">
            <v>Journal ID</v>
          </cell>
          <cell r="CJ172" t="str">
            <v>Monetary Amount</v>
          </cell>
          <cell r="CK172" t="str">
            <v>Statistic Amount</v>
          </cell>
          <cell r="CM172" t="str">
            <v>Account</v>
          </cell>
          <cell r="CN172" t="str">
            <v>Oper Unit</v>
          </cell>
          <cell r="CO172" t="str">
            <v>Product</v>
          </cell>
          <cell r="CP172" t="str">
            <v>Trans</v>
          </cell>
          <cell r="CQ172" t="str">
            <v>Date</v>
          </cell>
          <cell r="CR172" t="str">
            <v>Journal ID</v>
          </cell>
          <cell r="CS172" t="str">
            <v>Monetary Amount</v>
          </cell>
          <cell r="CT172" t="str">
            <v>Statistic Amount</v>
          </cell>
          <cell r="CV172" t="str">
            <v>Account</v>
          </cell>
          <cell r="CW172" t="str">
            <v>Oper Unit</v>
          </cell>
          <cell r="CX172" t="str">
            <v>Product</v>
          </cell>
          <cell r="CY172" t="str">
            <v>Trans</v>
          </cell>
          <cell r="CZ172" t="str">
            <v>Date</v>
          </cell>
          <cell r="DA172" t="str">
            <v>Journal ID</v>
          </cell>
          <cell r="DB172" t="str">
            <v>Monetary Amount</v>
          </cell>
          <cell r="DC172" t="str">
            <v>Statistic Amount</v>
          </cell>
          <cell r="DE172" t="str">
            <v>Account</v>
          </cell>
          <cell r="DF172" t="str">
            <v>Oper Unit</v>
          </cell>
          <cell r="DG172" t="str">
            <v>Product</v>
          </cell>
          <cell r="DH172" t="str">
            <v>Trans</v>
          </cell>
          <cell r="DI172" t="str">
            <v>Date</v>
          </cell>
          <cell r="DJ172" t="str">
            <v>Journal ID</v>
          </cell>
          <cell r="DK172" t="str">
            <v>Monetary Amount</v>
          </cell>
          <cell r="DL172" t="str">
            <v>Statistic Amount</v>
          </cell>
        </row>
        <row r="173">
          <cell r="K173">
            <v>1993</v>
          </cell>
          <cell r="M173">
            <v>200</v>
          </cell>
          <cell r="N173">
            <v>39478</v>
          </cell>
          <cell r="T173">
            <v>1993</v>
          </cell>
          <cell r="V173">
            <v>200</v>
          </cell>
          <cell r="W173">
            <v>39507</v>
          </cell>
          <cell r="AC173">
            <v>1993</v>
          </cell>
          <cell r="AE173">
            <v>200</v>
          </cell>
          <cell r="AF173">
            <v>39538</v>
          </cell>
          <cell r="AL173">
            <v>1993</v>
          </cell>
          <cell r="AN173">
            <v>200</v>
          </cell>
          <cell r="AO173">
            <v>39568</v>
          </cell>
          <cell r="AU173">
            <v>1993</v>
          </cell>
          <cell r="AW173">
            <v>200</v>
          </cell>
          <cell r="AX173">
            <v>39599</v>
          </cell>
          <cell r="BD173">
            <v>1993</v>
          </cell>
          <cell r="BF173">
            <v>200</v>
          </cell>
          <cell r="BG173">
            <v>39629</v>
          </cell>
          <cell r="BM173">
            <v>1993</v>
          </cell>
          <cell r="BO173">
            <v>200</v>
          </cell>
          <cell r="BP173">
            <v>39660</v>
          </cell>
          <cell r="BV173">
            <v>1993</v>
          </cell>
          <cell r="BX173">
            <v>200</v>
          </cell>
          <cell r="BY173">
            <v>39691</v>
          </cell>
          <cell r="CE173">
            <v>1993</v>
          </cell>
          <cell r="CG173">
            <v>200</v>
          </cell>
          <cell r="CH173">
            <v>39721</v>
          </cell>
          <cell r="CN173">
            <v>1993</v>
          </cell>
          <cell r="CP173">
            <v>200</v>
          </cell>
          <cell r="CQ173">
            <v>39752</v>
          </cell>
          <cell r="CW173">
            <v>1993</v>
          </cell>
          <cell r="CY173">
            <v>200</v>
          </cell>
          <cell r="CZ173">
            <v>39782</v>
          </cell>
          <cell r="DF173">
            <v>1993</v>
          </cell>
          <cell r="DH173">
            <v>200</v>
          </cell>
          <cell r="DI173">
            <v>39813</v>
          </cell>
        </row>
        <row r="174">
          <cell r="K174">
            <v>1943</v>
          </cell>
          <cell r="M174">
            <v>200</v>
          </cell>
          <cell r="N174">
            <v>39478</v>
          </cell>
          <cell r="T174">
            <v>1943</v>
          </cell>
          <cell r="V174">
            <v>200</v>
          </cell>
          <cell r="W174">
            <v>39507</v>
          </cell>
          <cell r="AC174">
            <v>1943</v>
          </cell>
          <cell r="AE174">
            <v>200</v>
          </cell>
          <cell r="AF174">
            <v>39538</v>
          </cell>
          <cell r="AL174">
            <v>1943</v>
          </cell>
          <cell r="AN174">
            <v>200</v>
          </cell>
          <cell r="AO174">
            <v>39568</v>
          </cell>
          <cell r="AU174">
            <v>1943</v>
          </cell>
          <cell r="AW174">
            <v>200</v>
          </cell>
          <cell r="AX174">
            <v>39599</v>
          </cell>
          <cell r="BD174">
            <v>1943</v>
          </cell>
          <cell r="BF174">
            <v>200</v>
          </cell>
          <cell r="BG174">
            <v>39629</v>
          </cell>
          <cell r="BM174">
            <v>1943</v>
          </cell>
          <cell r="BO174">
            <v>200</v>
          </cell>
          <cell r="BP174">
            <v>39660</v>
          </cell>
          <cell r="BV174">
            <v>1943</v>
          </cell>
          <cell r="BX174">
            <v>200</v>
          </cell>
          <cell r="BY174">
            <v>39691</v>
          </cell>
          <cell r="CE174">
            <v>1943</v>
          </cell>
          <cell r="CG174">
            <v>200</v>
          </cell>
          <cell r="CH174">
            <v>39721</v>
          </cell>
          <cell r="CN174">
            <v>1943</v>
          </cell>
          <cell r="CP174">
            <v>200</v>
          </cell>
          <cell r="CQ174">
            <v>39752</v>
          </cell>
          <cell r="CW174">
            <v>1943</v>
          </cell>
          <cell r="CY174">
            <v>200</v>
          </cell>
          <cell r="CZ174">
            <v>39782</v>
          </cell>
          <cell r="DF174">
            <v>1943</v>
          </cell>
          <cell r="DH174">
            <v>200</v>
          </cell>
          <cell r="DI174">
            <v>39813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Bill Factor Data &amp; Summary"/>
      <sheetName val="Criteria"/>
      <sheetName val="Pivot"/>
    </sheetNames>
    <sheetDataSet>
      <sheetData sheetId="0" refreshError="1"/>
      <sheetData sheetId="1" refreshError="1"/>
      <sheetData sheetId="2" refreshError="1">
        <row r="2">
          <cell r="A2" t="str">
            <v>Mo</v>
          </cell>
          <cell r="B2" t="str">
            <v>St</v>
          </cell>
          <cell r="C2" t="str">
            <v>Rate</v>
          </cell>
          <cell r="E2" t="str">
            <v>Mo</v>
          </cell>
          <cell r="F2" t="str">
            <v>St</v>
          </cell>
          <cell r="G2" t="str">
            <v>Rate</v>
          </cell>
          <cell r="L2" t="str">
            <v>St</v>
          </cell>
          <cell r="M2" t="str">
            <v>Rate</v>
          </cell>
          <cell r="O2" t="str">
            <v>St</v>
          </cell>
          <cell r="P2" t="str">
            <v>Rate</v>
          </cell>
          <cell r="Q2" t="str">
            <v>St</v>
          </cell>
          <cell r="R2" t="str">
            <v>Rate</v>
          </cell>
        </row>
        <row r="3">
          <cell r="A3">
            <v>1</v>
          </cell>
          <cell r="B3" t="str">
            <v>UT</v>
          </cell>
          <cell r="C3" t="str">
            <v xml:space="preserve">GSR </v>
          </cell>
          <cell r="E3">
            <v>1</v>
          </cell>
          <cell r="F3" t="str">
            <v>UT</v>
          </cell>
          <cell r="G3" t="str">
            <v>F1</v>
          </cell>
          <cell r="L3" t="str">
            <v>UT</v>
          </cell>
          <cell r="M3" t="str">
            <v>I4</v>
          </cell>
          <cell r="O3" t="str">
            <v>WY</v>
          </cell>
          <cell r="P3" t="str">
            <v xml:space="preserve">GS </v>
          </cell>
          <cell r="Q3" t="str">
            <v>WY</v>
          </cell>
          <cell r="R3" t="str">
            <v>I2</v>
          </cell>
        </row>
        <row r="4">
          <cell r="A4">
            <v>2</v>
          </cell>
          <cell r="B4" t="str">
            <v>UT</v>
          </cell>
          <cell r="C4" t="str">
            <v xml:space="preserve">GSR </v>
          </cell>
          <cell r="E4">
            <v>2</v>
          </cell>
          <cell r="F4" t="str">
            <v>UT</v>
          </cell>
          <cell r="G4" t="str">
            <v>F1</v>
          </cell>
        </row>
        <row r="5">
          <cell r="A5">
            <v>3</v>
          </cell>
          <cell r="B5" t="str">
            <v>UT</v>
          </cell>
          <cell r="C5" t="str">
            <v xml:space="preserve">GSR </v>
          </cell>
          <cell r="E5">
            <v>3</v>
          </cell>
          <cell r="F5" t="str">
            <v>UT</v>
          </cell>
          <cell r="G5" t="str">
            <v>F1</v>
          </cell>
        </row>
        <row r="6">
          <cell r="A6">
            <v>11</v>
          </cell>
          <cell r="B6" t="str">
            <v>UT</v>
          </cell>
          <cell r="C6" t="str">
            <v xml:space="preserve">GSR </v>
          </cell>
          <cell r="E6">
            <v>11</v>
          </cell>
          <cell r="F6" t="str">
            <v>UT</v>
          </cell>
          <cell r="G6" t="str">
            <v>F1</v>
          </cell>
          <cell r="L6" t="str">
            <v>St</v>
          </cell>
          <cell r="M6" t="str">
            <v>Rate</v>
          </cell>
          <cell r="O6" t="str">
            <v>St</v>
          </cell>
          <cell r="P6" t="str">
            <v>Rate</v>
          </cell>
          <cell r="Q6" t="str">
            <v>St</v>
          </cell>
          <cell r="R6" t="str">
            <v>Rate</v>
          </cell>
        </row>
        <row r="7">
          <cell r="A7">
            <v>12</v>
          </cell>
          <cell r="B7" t="str">
            <v>UT</v>
          </cell>
          <cell r="C7" t="str">
            <v xml:space="preserve">GSR </v>
          </cell>
          <cell r="E7">
            <v>12</v>
          </cell>
          <cell r="F7" t="str">
            <v>UT</v>
          </cell>
          <cell r="G7" t="str">
            <v>F1</v>
          </cell>
          <cell r="L7" t="str">
            <v>UT</v>
          </cell>
          <cell r="M7" t="str">
            <v>IS2</v>
          </cell>
          <cell r="O7" t="str">
            <v>WY</v>
          </cell>
          <cell r="P7" t="str">
            <v>NGV</v>
          </cell>
          <cell r="Q7" t="str">
            <v>WY</v>
          </cell>
          <cell r="R7" t="str">
            <v>I4</v>
          </cell>
        </row>
        <row r="10">
          <cell r="A10" t="str">
            <v>Mo</v>
          </cell>
          <cell r="B10" t="str">
            <v>St</v>
          </cell>
          <cell r="C10" t="str">
            <v>Rate</v>
          </cell>
          <cell r="E10" t="str">
            <v>Mo</v>
          </cell>
          <cell r="F10" t="str">
            <v>St</v>
          </cell>
          <cell r="G10" t="str">
            <v>Rate</v>
          </cell>
          <cell r="L10" t="str">
            <v>St</v>
          </cell>
          <cell r="M10" t="str">
            <v>Rate</v>
          </cell>
          <cell r="O10" t="str">
            <v>St</v>
          </cell>
          <cell r="P10" t="str">
            <v>Rate</v>
          </cell>
          <cell r="Q10" t="str">
            <v>St</v>
          </cell>
          <cell r="R10" t="str">
            <v>Rate</v>
          </cell>
        </row>
        <row r="11">
          <cell r="A11">
            <v>4</v>
          </cell>
          <cell r="B11" t="str">
            <v>UT</v>
          </cell>
          <cell r="C11" t="str">
            <v xml:space="preserve">GSR </v>
          </cell>
          <cell r="E11">
            <v>4</v>
          </cell>
          <cell r="F11" t="str">
            <v>UT</v>
          </cell>
          <cell r="G11" t="str">
            <v>F1</v>
          </cell>
          <cell r="L11" t="str">
            <v>UT</v>
          </cell>
          <cell r="M11" t="str">
            <v>IS4</v>
          </cell>
          <cell r="O11" t="str">
            <v>WY</v>
          </cell>
          <cell r="P11" t="str">
            <v>F1</v>
          </cell>
          <cell r="Q11" t="str">
            <v>WY</v>
          </cell>
          <cell r="R11" t="str">
            <v xml:space="preserve">IC </v>
          </cell>
        </row>
        <row r="12">
          <cell r="A12">
            <v>5</v>
          </cell>
          <cell r="B12" t="str">
            <v>UT</v>
          </cell>
          <cell r="C12" t="str">
            <v xml:space="preserve">GSR </v>
          </cell>
          <cell r="E12">
            <v>5</v>
          </cell>
          <cell r="F12" t="str">
            <v>UT</v>
          </cell>
          <cell r="G12" t="str">
            <v>F1</v>
          </cell>
        </row>
        <row r="13">
          <cell r="A13">
            <v>6</v>
          </cell>
          <cell r="B13" t="str">
            <v>UT</v>
          </cell>
          <cell r="C13" t="str">
            <v xml:space="preserve">GSR </v>
          </cell>
          <cell r="E13">
            <v>6</v>
          </cell>
          <cell r="F13" t="str">
            <v>UT</v>
          </cell>
          <cell r="G13" t="str">
            <v>F1</v>
          </cell>
        </row>
        <row r="14">
          <cell r="A14">
            <v>7</v>
          </cell>
          <cell r="B14" t="str">
            <v>UT</v>
          </cell>
          <cell r="C14" t="str">
            <v xml:space="preserve">GSR </v>
          </cell>
          <cell r="E14">
            <v>7</v>
          </cell>
          <cell r="F14" t="str">
            <v>UT</v>
          </cell>
          <cell r="G14" t="str">
            <v>F1</v>
          </cell>
          <cell r="L14" t="str">
            <v>St</v>
          </cell>
          <cell r="M14" t="str">
            <v>Rate</v>
          </cell>
          <cell r="O14" t="str">
            <v>St</v>
          </cell>
          <cell r="P14" t="str">
            <v>Rate</v>
          </cell>
          <cell r="Q14" t="str">
            <v>St</v>
          </cell>
          <cell r="R14" t="str">
            <v>Rate</v>
          </cell>
        </row>
        <row r="15">
          <cell r="A15">
            <v>8</v>
          </cell>
          <cell r="B15" t="str">
            <v>UT</v>
          </cell>
          <cell r="C15" t="str">
            <v xml:space="preserve">GSR </v>
          </cell>
          <cell r="E15">
            <v>8</v>
          </cell>
          <cell r="F15" t="str">
            <v>UT</v>
          </cell>
          <cell r="G15" t="str">
            <v>F1</v>
          </cell>
          <cell r="L15" t="str">
            <v>UT</v>
          </cell>
          <cell r="M15" t="str">
            <v xml:space="preserve">IT  </v>
          </cell>
          <cell r="O15" t="str">
            <v>WY</v>
          </cell>
          <cell r="P15" t="str">
            <v>GSW</v>
          </cell>
          <cell r="Q15" t="str">
            <v>WY</v>
          </cell>
          <cell r="R15" t="str">
            <v xml:space="preserve">IC1 </v>
          </cell>
        </row>
        <row r="16">
          <cell r="A16">
            <v>9</v>
          </cell>
          <cell r="B16" t="str">
            <v>UT</v>
          </cell>
          <cell r="C16" t="str">
            <v xml:space="preserve">GSR </v>
          </cell>
          <cell r="E16">
            <v>9</v>
          </cell>
          <cell r="F16" t="str">
            <v>UT</v>
          </cell>
          <cell r="G16" t="str">
            <v>F1</v>
          </cell>
        </row>
        <row r="17">
          <cell r="A17">
            <v>10</v>
          </cell>
          <cell r="B17" t="str">
            <v>UT</v>
          </cell>
          <cell r="C17" t="str">
            <v xml:space="preserve">GSR </v>
          </cell>
          <cell r="E17">
            <v>10</v>
          </cell>
          <cell r="F17" t="str">
            <v>UT</v>
          </cell>
          <cell r="G17" t="str">
            <v>F1</v>
          </cell>
        </row>
        <row r="18">
          <cell r="Q18" t="str">
            <v>St</v>
          </cell>
          <cell r="R18" t="str">
            <v>Rate</v>
          </cell>
        </row>
        <row r="19">
          <cell r="Q19" t="str">
            <v>WY</v>
          </cell>
          <cell r="R19" t="str">
            <v xml:space="preserve">IC2 </v>
          </cell>
        </row>
        <row r="20">
          <cell r="A20" t="str">
            <v>Mo</v>
          </cell>
          <cell r="B20" t="str">
            <v>St</v>
          </cell>
          <cell r="C20" t="str">
            <v>Rate</v>
          </cell>
          <cell r="E20" t="str">
            <v>Mo</v>
          </cell>
          <cell r="F20" t="str">
            <v>St</v>
          </cell>
          <cell r="G20" t="str">
            <v>Rate</v>
          </cell>
        </row>
        <row r="21">
          <cell r="A21">
            <v>1</v>
          </cell>
          <cell r="B21" t="str">
            <v>UT</v>
          </cell>
          <cell r="C21" t="str">
            <v>GSS</v>
          </cell>
          <cell r="E21">
            <v>1</v>
          </cell>
          <cell r="F21" t="str">
            <v>UT</v>
          </cell>
          <cell r="G21" t="str">
            <v>F1E</v>
          </cell>
        </row>
        <row r="22">
          <cell r="A22">
            <v>2</v>
          </cell>
          <cell r="B22" t="str">
            <v>UT</v>
          </cell>
          <cell r="C22" t="str">
            <v>GSS</v>
          </cell>
          <cell r="E22">
            <v>2</v>
          </cell>
          <cell r="F22" t="str">
            <v>UT</v>
          </cell>
          <cell r="G22" t="str">
            <v>F1E</v>
          </cell>
          <cell r="L22" t="str">
            <v>St</v>
          </cell>
          <cell r="M22" t="str">
            <v>Rate</v>
          </cell>
          <cell r="Q22" t="str">
            <v>St</v>
          </cell>
          <cell r="R22" t="str">
            <v>Rate</v>
          </cell>
        </row>
        <row r="23">
          <cell r="A23">
            <v>3</v>
          </cell>
          <cell r="B23" t="str">
            <v>UT</v>
          </cell>
          <cell r="C23" t="str">
            <v>GSS</v>
          </cell>
          <cell r="E23">
            <v>3</v>
          </cell>
          <cell r="F23" t="str">
            <v>UT</v>
          </cell>
          <cell r="G23" t="str">
            <v>F1E</v>
          </cell>
          <cell r="L23" t="str">
            <v>UT</v>
          </cell>
          <cell r="M23" t="str">
            <v xml:space="preserve">ITS </v>
          </cell>
          <cell r="Q23" t="str">
            <v>WY</v>
          </cell>
          <cell r="R23" t="str">
            <v>IT</v>
          </cell>
        </row>
        <row r="24">
          <cell r="A24">
            <v>11</v>
          </cell>
          <cell r="B24" t="str">
            <v>UT</v>
          </cell>
          <cell r="C24" t="str">
            <v>GSS</v>
          </cell>
          <cell r="E24">
            <v>11</v>
          </cell>
          <cell r="F24" t="str">
            <v>UT</v>
          </cell>
          <cell r="G24" t="str">
            <v>F1E</v>
          </cell>
        </row>
        <row r="25">
          <cell r="A25">
            <v>12</v>
          </cell>
          <cell r="B25" t="str">
            <v>UT</v>
          </cell>
          <cell r="C25" t="str">
            <v>GSS</v>
          </cell>
          <cell r="E25">
            <v>12</v>
          </cell>
          <cell r="F25" t="str">
            <v>UT</v>
          </cell>
          <cell r="G25" t="str">
            <v>F1E</v>
          </cell>
        </row>
        <row r="26">
          <cell r="Q26" t="str">
            <v>St</v>
          </cell>
          <cell r="R26" t="str">
            <v>Rate</v>
          </cell>
        </row>
        <row r="27">
          <cell r="Q27" t="str">
            <v>CO</v>
          </cell>
          <cell r="R27" t="str">
            <v>I4</v>
          </cell>
        </row>
        <row r="28">
          <cell r="A28" t="str">
            <v>Mo</v>
          </cell>
          <cell r="B28" t="str">
            <v>St</v>
          </cell>
          <cell r="C28" t="str">
            <v>Rate</v>
          </cell>
          <cell r="E28" t="str">
            <v>Mo</v>
          </cell>
          <cell r="F28" t="str">
            <v>St</v>
          </cell>
          <cell r="G28" t="str">
            <v>Rate</v>
          </cell>
        </row>
        <row r="29">
          <cell r="A29">
            <v>4</v>
          </cell>
          <cell r="B29" t="str">
            <v>UT</v>
          </cell>
          <cell r="C29" t="str">
            <v>GSS</v>
          </cell>
          <cell r="E29">
            <v>4</v>
          </cell>
          <cell r="F29" t="str">
            <v>UT</v>
          </cell>
          <cell r="G29" t="str">
            <v>F1E</v>
          </cell>
        </row>
        <row r="30">
          <cell r="A30">
            <v>5</v>
          </cell>
          <cell r="B30" t="str">
            <v>UT</v>
          </cell>
          <cell r="C30" t="str">
            <v>GSS</v>
          </cell>
          <cell r="E30">
            <v>5</v>
          </cell>
          <cell r="F30" t="str">
            <v>UT</v>
          </cell>
          <cell r="G30" t="str">
            <v>F1E</v>
          </cell>
        </row>
        <row r="31">
          <cell r="A31">
            <v>6</v>
          </cell>
          <cell r="B31" t="str">
            <v>UT</v>
          </cell>
          <cell r="C31" t="str">
            <v>GSS</v>
          </cell>
          <cell r="E31">
            <v>6</v>
          </cell>
          <cell r="F31" t="str">
            <v>UT</v>
          </cell>
          <cell r="G31" t="str">
            <v>F1E</v>
          </cell>
        </row>
        <row r="32">
          <cell r="A32">
            <v>7</v>
          </cell>
          <cell r="B32" t="str">
            <v>UT</v>
          </cell>
          <cell r="C32" t="str">
            <v>GSS</v>
          </cell>
          <cell r="E32">
            <v>7</v>
          </cell>
          <cell r="F32" t="str">
            <v>UT</v>
          </cell>
          <cell r="G32" t="str">
            <v>F1E</v>
          </cell>
        </row>
        <row r="33">
          <cell r="A33">
            <v>8</v>
          </cell>
          <cell r="B33" t="str">
            <v>UT</v>
          </cell>
          <cell r="C33" t="str">
            <v>GSS</v>
          </cell>
          <cell r="E33">
            <v>8</v>
          </cell>
          <cell r="F33" t="str">
            <v>UT</v>
          </cell>
          <cell r="G33" t="str">
            <v>F1E</v>
          </cell>
        </row>
        <row r="34">
          <cell r="A34">
            <v>9</v>
          </cell>
          <cell r="B34" t="str">
            <v>UT</v>
          </cell>
          <cell r="C34" t="str">
            <v>GSS</v>
          </cell>
          <cell r="E34">
            <v>9</v>
          </cell>
          <cell r="F34" t="str">
            <v>UT</v>
          </cell>
          <cell r="G34" t="str">
            <v>F1E</v>
          </cell>
        </row>
        <row r="35">
          <cell r="A35">
            <v>10</v>
          </cell>
          <cell r="B35" t="str">
            <v>UT</v>
          </cell>
          <cell r="C35" t="str">
            <v>GSS</v>
          </cell>
          <cell r="E35">
            <v>10</v>
          </cell>
          <cell r="F35" t="str">
            <v>UT</v>
          </cell>
          <cell r="G35" t="str">
            <v>F1E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 SPLIT"/>
      <sheetName val="PROGRAM NO SPLIT"/>
      <sheetName val="EXPORT"/>
      <sheetName val="REVRUN INPUT"/>
      <sheetName val="CRITERIA"/>
      <sheetName val="USAGE"/>
      <sheetName val="Macro1"/>
      <sheetName val="Model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F7" t="str">
            <v>State</v>
          </cell>
          <cell r="G7" t="str">
            <v>Rate</v>
          </cell>
          <cell r="H7" t="str">
            <v>Type</v>
          </cell>
        </row>
        <row r="8">
          <cell r="F8" t="str">
            <v>UT</v>
          </cell>
          <cell r="G8" t="str">
            <v xml:space="preserve">GSR </v>
          </cell>
          <cell r="H8" t="str">
            <v xml:space="preserve">Dth      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 xml:space="preserve">GS  </v>
          </cell>
          <cell r="D11" t="str">
            <v>Customers</v>
          </cell>
        </row>
        <row r="13">
          <cell r="F13" t="str">
            <v>State</v>
          </cell>
          <cell r="G13" t="str">
            <v>Rate</v>
          </cell>
          <cell r="H13" t="str">
            <v>Type</v>
          </cell>
        </row>
        <row r="14">
          <cell r="F14" t="str">
            <v>UT</v>
          </cell>
          <cell r="G14" t="str">
            <v xml:space="preserve">GSR </v>
          </cell>
          <cell r="H14" t="str">
            <v xml:space="preserve">DNG      </v>
          </cell>
        </row>
        <row r="16">
          <cell r="F16" t="str">
            <v>State</v>
          </cell>
          <cell r="G16" t="str">
            <v>Rate</v>
          </cell>
          <cell r="H16" t="str">
            <v>Type</v>
          </cell>
        </row>
        <row r="17">
          <cell r="F17" t="str">
            <v>UT</v>
          </cell>
          <cell r="G17" t="str">
            <v xml:space="preserve">GSR </v>
          </cell>
          <cell r="H17" t="str">
            <v xml:space="preserve">SNG      </v>
          </cell>
        </row>
        <row r="19">
          <cell r="F19" t="str">
            <v>State</v>
          </cell>
          <cell r="G19" t="str">
            <v>Rate</v>
          </cell>
          <cell r="H19" t="str">
            <v>Type</v>
          </cell>
        </row>
        <row r="20">
          <cell r="F20" t="str">
            <v>UT</v>
          </cell>
          <cell r="G20" t="str">
            <v xml:space="preserve">GSR </v>
          </cell>
          <cell r="H20" t="str">
            <v>Commodity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 xml:space="preserve">GSC </v>
          </cell>
          <cell r="D24" t="str">
            <v xml:space="preserve">Dth      </v>
          </cell>
        </row>
        <row r="29">
          <cell r="B29" t="str">
            <v>State</v>
          </cell>
          <cell r="C29" t="str">
            <v>Rate</v>
          </cell>
          <cell r="D29" t="str">
            <v>Type</v>
          </cell>
        </row>
        <row r="30">
          <cell r="B30" t="str">
            <v>UT</v>
          </cell>
          <cell r="C30" t="str">
            <v xml:space="preserve">GSC </v>
          </cell>
          <cell r="D30" t="str">
            <v xml:space="preserve">DNG      </v>
          </cell>
        </row>
        <row r="32">
          <cell r="B32" t="str">
            <v>State</v>
          </cell>
          <cell r="C32" t="str">
            <v>Rate</v>
          </cell>
          <cell r="D32" t="str">
            <v>Type</v>
          </cell>
        </row>
        <row r="33">
          <cell r="B33" t="str">
            <v>UT</v>
          </cell>
          <cell r="C33" t="str">
            <v xml:space="preserve">GSC </v>
          </cell>
          <cell r="D33" t="str">
            <v xml:space="preserve">SNG      </v>
          </cell>
        </row>
        <row r="35">
          <cell r="B35" t="str">
            <v>State</v>
          </cell>
          <cell r="C35" t="str">
            <v>Rate</v>
          </cell>
          <cell r="D35" t="str">
            <v>Type</v>
          </cell>
        </row>
        <row r="36">
          <cell r="B36" t="str">
            <v>UT</v>
          </cell>
          <cell r="C36" t="str">
            <v xml:space="preserve">GSC </v>
          </cell>
          <cell r="D36" t="str">
            <v>Commodity</v>
          </cell>
        </row>
        <row r="42">
          <cell r="B42" t="str">
            <v>State</v>
          </cell>
          <cell r="C42" t="str">
            <v>Rate</v>
          </cell>
          <cell r="D42" t="str">
            <v>Type</v>
          </cell>
        </row>
        <row r="43">
          <cell r="B43" t="str">
            <v>UT</v>
          </cell>
          <cell r="C43" t="str">
            <v xml:space="preserve">GSS </v>
          </cell>
          <cell r="D43" t="str">
            <v>Customers</v>
          </cell>
        </row>
        <row r="61">
          <cell r="B61" t="str">
            <v>State</v>
          </cell>
          <cell r="C61" t="str">
            <v>Rate</v>
          </cell>
          <cell r="D61" t="str">
            <v>Type</v>
          </cell>
        </row>
        <row r="62">
          <cell r="B62" t="str">
            <v>UT</v>
          </cell>
          <cell r="C62" t="str">
            <v xml:space="preserve">FS  </v>
          </cell>
          <cell r="D62" t="str">
            <v>Customers</v>
          </cell>
        </row>
        <row r="63">
          <cell r="B63" t="str">
            <v>UT</v>
          </cell>
          <cell r="C63" t="str">
            <v xml:space="preserve">F1  </v>
          </cell>
          <cell r="D63" t="str">
            <v>Customers</v>
          </cell>
        </row>
        <row r="64">
          <cell r="B64" t="str">
            <v>UT</v>
          </cell>
          <cell r="C64" t="str">
            <v xml:space="preserve">F1B </v>
          </cell>
          <cell r="D64" t="str">
            <v>Customers</v>
          </cell>
        </row>
        <row r="65">
          <cell r="B65" t="str">
            <v>UT</v>
          </cell>
          <cell r="C65" t="str">
            <v xml:space="preserve">F1C </v>
          </cell>
          <cell r="D65" t="str">
            <v>Customers</v>
          </cell>
        </row>
        <row r="90">
          <cell r="B90" t="str">
            <v>State</v>
          </cell>
          <cell r="C90" t="str">
            <v>Rate</v>
          </cell>
          <cell r="D90" t="str">
            <v>Type</v>
          </cell>
        </row>
        <row r="91">
          <cell r="B91" t="str">
            <v>UT</v>
          </cell>
          <cell r="C91" t="str">
            <v xml:space="preserve">NGV </v>
          </cell>
          <cell r="D91" t="str">
            <v>Customers</v>
          </cell>
        </row>
        <row r="106">
          <cell r="B106" t="str">
            <v>State</v>
          </cell>
          <cell r="C106" t="str">
            <v>Rate</v>
          </cell>
          <cell r="D106" t="str">
            <v>Type</v>
          </cell>
        </row>
        <row r="107">
          <cell r="B107" t="str">
            <v>UT</v>
          </cell>
          <cell r="C107" t="str">
            <v xml:space="preserve">F3  </v>
          </cell>
          <cell r="D107" t="str">
            <v>Customers</v>
          </cell>
        </row>
        <row r="119">
          <cell r="B119" t="str">
            <v>State</v>
          </cell>
          <cell r="C119" t="str">
            <v>Rate</v>
          </cell>
          <cell r="D119" t="str">
            <v>Type</v>
          </cell>
        </row>
        <row r="120">
          <cell r="B120" t="str">
            <v>UT</v>
          </cell>
          <cell r="C120" t="str">
            <v xml:space="preserve">F4  </v>
          </cell>
          <cell r="D120" t="str">
            <v xml:space="preserve">Dth      </v>
          </cell>
        </row>
        <row r="122">
          <cell r="B122" t="str">
            <v>State</v>
          </cell>
          <cell r="C122" t="str">
            <v>Rate</v>
          </cell>
          <cell r="D122" t="str">
            <v>Type</v>
          </cell>
        </row>
        <row r="123">
          <cell r="B123" t="str">
            <v>UT</v>
          </cell>
          <cell r="C123" t="str">
            <v xml:space="preserve">F4  </v>
          </cell>
          <cell r="D123" t="str">
            <v>Customers</v>
          </cell>
        </row>
        <row r="125">
          <cell r="B125" t="str">
            <v>State</v>
          </cell>
          <cell r="C125" t="str">
            <v>Rate</v>
          </cell>
          <cell r="D125" t="str">
            <v>Type</v>
          </cell>
        </row>
        <row r="126">
          <cell r="B126" t="str">
            <v>UT</v>
          </cell>
          <cell r="C126" t="str">
            <v xml:space="preserve">F4  </v>
          </cell>
          <cell r="D126" t="str">
            <v xml:space="preserve">DNG      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 xml:space="preserve">F4  </v>
          </cell>
          <cell r="D129" t="str">
            <v xml:space="preserve">SNG      </v>
          </cell>
        </row>
        <row r="131">
          <cell r="B131" t="str">
            <v>State</v>
          </cell>
          <cell r="C131" t="str">
            <v>Rate</v>
          </cell>
          <cell r="D131" t="str">
            <v>Type</v>
          </cell>
        </row>
        <row r="132">
          <cell r="B132" t="str">
            <v>UT</v>
          </cell>
          <cell r="C132" t="str">
            <v xml:space="preserve">F4  </v>
          </cell>
          <cell r="D132" t="str">
            <v>Commodity</v>
          </cell>
        </row>
        <row r="139">
          <cell r="B139" t="str">
            <v>State</v>
          </cell>
          <cell r="C139" t="str">
            <v>Rate</v>
          </cell>
          <cell r="D139" t="str">
            <v>Type</v>
          </cell>
        </row>
        <row r="140">
          <cell r="B140" t="str">
            <v>UT</v>
          </cell>
          <cell r="C140" t="str">
            <v xml:space="preserve">I2  </v>
          </cell>
          <cell r="D140" t="str">
            <v>Customers</v>
          </cell>
        </row>
        <row r="159">
          <cell r="B159" t="str">
            <v>State</v>
          </cell>
          <cell r="C159" t="str">
            <v>Rate</v>
          </cell>
          <cell r="D159" t="str">
            <v>Type</v>
          </cell>
        </row>
        <row r="160">
          <cell r="B160" t="str">
            <v>UT</v>
          </cell>
          <cell r="C160" t="str">
            <v xml:space="preserve">IS2 </v>
          </cell>
          <cell r="D160" t="str">
            <v>Customers</v>
          </cell>
        </row>
        <row r="161">
          <cell r="B161" t="str">
            <v>UT</v>
          </cell>
          <cell r="C161" t="str">
            <v xml:space="preserve">IS2 </v>
          </cell>
          <cell r="D161" t="str">
            <v>Customers</v>
          </cell>
        </row>
        <row r="179">
          <cell r="B179" t="str">
            <v>State</v>
          </cell>
          <cell r="C179" t="str">
            <v>Rate</v>
          </cell>
          <cell r="D179" t="str">
            <v>Type</v>
          </cell>
        </row>
        <row r="180">
          <cell r="B180" t="str">
            <v>UT</v>
          </cell>
          <cell r="C180" t="str">
            <v xml:space="preserve">ISE </v>
          </cell>
          <cell r="D180" t="str">
            <v>Customers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 xml:space="preserve">IT  </v>
          </cell>
          <cell r="D214" t="str">
            <v>Customers</v>
          </cell>
        </row>
        <row r="215">
          <cell r="B215" t="str">
            <v>UT</v>
          </cell>
          <cell r="C215" t="str">
            <v xml:space="preserve">TS  </v>
          </cell>
          <cell r="D215" t="str">
            <v>Customers</v>
          </cell>
        </row>
        <row r="216">
          <cell r="B216" t="str">
            <v>UT</v>
          </cell>
          <cell r="C216" t="str">
            <v xml:space="preserve">ITB </v>
          </cell>
          <cell r="D216" t="str">
            <v>Customers</v>
          </cell>
        </row>
        <row r="237">
          <cell r="B237" t="str">
            <v>State</v>
          </cell>
          <cell r="C237" t="str">
            <v>Rate</v>
          </cell>
          <cell r="D237" t="str">
            <v>Type</v>
          </cell>
        </row>
        <row r="238">
          <cell r="B238" t="str">
            <v>UT</v>
          </cell>
          <cell r="C238" t="str">
            <v xml:space="preserve">TSE </v>
          </cell>
          <cell r="D238" t="str">
            <v>Customers</v>
          </cell>
        </row>
        <row r="254">
          <cell r="B254" t="str">
            <v>State</v>
          </cell>
          <cell r="C254" t="str">
            <v>Rate</v>
          </cell>
          <cell r="D254" t="str">
            <v>Type</v>
          </cell>
        </row>
        <row r="255">
          <cell r="B255" t="str">
            <v>UT</v>
          </cell>
          <cell r="C255" t="str">
            <v>FT</v>
          </cell>
          <cell r="D255" t="str">
            <v>Customers</v>
          </cell>
        </row>
        <row r="256">
          <cell r="B256" t="str">
            <v>UT</v>
          </cell>
          <cell r="C256" t="str">
            <v xml:space="preserve">FT1 </v>
          </cell>
          <cell r="D256" t="str">
            <v>Customers</v>
          </cell>
        </row>
        <row r="271">
          <cell r="B271" t="str">
            <v>State</v>
          </cell>
          <cell r="C271" t="str">
            <v>Rate</v>
          </cell>
          <cell r="D271" t="str">
            <v>Type</v>
          </cell>
        </row>
        <row r="272">
          <cell r="B272" t="str">
            <v>UT</v>
          </cell>
          <cell r="C272" t="str">
            <v>FT1L</v>
          </cell>
          <cell r="D272" t="str">
            <v xml:space="preserve">Dth      </v>
          </cell>
        </row>
        <row r="277">
          <cell r="B277" t="str">
            <v>State</v>
          </cell>
          <cell r="C277" t="str">
            <v>Rate</v>
          </cell>
          <cell r="D277" t="str">
            <v>Type</v>
          </cell>
        </row>
        <row r="278">
          <cell r="B278" t="str">
            <v>UT</v>
          </cell>
          <cell r="C278" t="str">
            <v>FT1L</v>
          </cell>
          <cell r="D278" t="str">
            <v xml:space="preserve">DNG      </v>
          </cell>
        </row>
        <row r="280">
          <cell r="B280" t="str">
            <v>State</v>
          </cell>
          <cell r="C280" t="str">
            <v>Rate</v>
          </cell>
          <cell r="D280" t="str">
            <v>Type</v>
          </cell>
        </row>
        <row r="281">
          <cell r="B281" t="str">
            <v>UT</v>
          </cell>
          <cell r="C281" t="str">
            <v>FT1L</v>
          </cell>
          <cell r="D281" t="str">
            <v xml:space="preserve">SNG      </v>
          </cell>
        </row>
        <row r="283">
          <cell r="B283" t="str">
            <v>State</v>
          </cell>
          <cell r="C283" t="str">
            <v>Rate</v>
          </cell>
          <cell r="D283" t="str">
            <v>Type</v>
          </cell>
        </row>
        <row r="284">
          <cell r="B284" t="str">
            <v>UT</v>
          </cell>
          <cell r="C284" t="str">
            <v>FT1L</v>
          </cell>
          <cell r="D284" t="str">
            <v>Commodity</v>
          </cell>
        </row>
        <row r="290">
          <cell r="B290" t="str">
            <v>State</v>
          </cell>
          <cell r="C290" t="str">
            <v>Rate</v>
          </cell>
          <cell r="D290" t="str">
            <v>Type</v>
          </cell>
        </row>
        <row r="291">
          <cell r="B291" t="str">
            <v>UT</v>
          </cell>
          <cell r="C291" t="str">
            <v xml:space="preserve">FT2 </v>
          </cell>
          <cell r="D291" t="str">
            <v>Customers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FT2C</v>
          </cell>
          <cell r="D304" t="str">
            <v xml:space="preserve">Dth      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FT2C</v>
          </cell>
          <cell r="D307" t="str">
            <v>Customers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FT2C</v>
          </cell>
          <cell r="D310" t="str">
            <v xml:space="preserve">DNG      </v>
          </cell>
        </row>
        <row r="312">
          <cell r="B312" t="str">
            <v>State</v>
          </cell>
          <cell r="C312" t="str">
            <v>Rate</v>
          </cell>
          <cell r="D312" t="str">
            <v>Type</v>
          </cell>
        </row>
        <row r="313">
          <cell r="B313" t="str">
            <v>UT</v>
          </cell>
          <cell r="C313" t="str">
            <v>FT2C</v>
          </cell>
          <cell r="D313" t="str">
            <v xml:space="preserve">SNG      </v>
          </cell>
        </row>
        <row r="315">
          <cell r="B315" t="str">
            <v>State</v>
          </cell>
          <cell r="C315" t="str">
            <v>Rate</v>
          </cell>
          <cell r="D315" t="str">
            <v>Type</v>
          </cell>
        </row>
        <row r="316">
          <cell r="B316" t="str">
            <v>UT</v>
          </cell>
          <cell r="C316" t="str">
            <v>FT2C</v>
          </cell>
          <cell r="D316" t="str">
            <v>Commodity</v>
          </cell>
        </row>
        <row r="322">
          <cell r="B322" t="str">
            <v>State</v>
          </cell>
          <cell r="C322" t="str">
            <v>Rate</v>
          </cell>
          <cell r="D322" t="str">
            <v>Type</v>
          </cell>
        </row>
        <row r="323">
          <cell r="B323" t="str">
            <v>UT</v>
          </cell>
          <cell r="C323" t="str">
            <v xml:space="preserve">FTE </v>
          </cell>
          <cell r="D323" t="str">
            <v>Customers</v>
          </cell>
        </row>
        <row r="338">
          <cell r="B338" t="str">
            <v>State</v>
          </cell>
          <cell r="C338" t="str">
            <v>Rate</v>
          </cell>
          <cell r="D338" t="str">
            <v>Type</v>
          </cell>
        </row>
        <row r="339">
          <cell r="B339" t="str">
            <v>UT</v>
          </cell>
          <cell r="C339" t="str">
            <v xml:space="preserve">MT  </v>
          </cell>
          <cell r="D339" t="str">
            <v>Customers</v>
          </cell>
        </row>
        <row r="354">
          <cell r="B354" t="str">
            <v>State</v>
          </cell>
          <cell r="C354" t="str">
            <v>Rate</v>
          </cell>
          <cell r="D354" t="str">
            <v>Type</v>
          </cell>
        </row>
        <row r="355">
          <cell r="B355" t="str">
            <v>UT</v>
          </cell>
          <cell r="C355" t="str">
            <v xml:space="preserve">E1  </v>
          </cell>
          <cell r="D355" t="str">
            <v>Customers</v>
          </cell>
        </row>
        <row r="370">
          <cell r="B370" t="str">
            <v>State</v>
          </cell>
          <cell r="C370" t="str">
            <v>Rate</v>
          </cell>
          <cell r="D370" t="str">
            <v>Type</v>
          </cell>
        </row>
        <row r="371">
          <cell r="B371" t="str">
            <v>UT</v>
          </cell>
          <cell r="C371" t="str">
            <v>P1</v>
          </cell>
          <cell r="D371" t="str">
            <v>Customers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UT</v>
          </cell>
          <cell r="C421" t="str">
            <v xml:space="preserve">I4  </v>
          </cell>
          <cell r="D421" t="str">
            <v>Customers</v>
          </cell>
        </row>
        <row r="422">
          <cell r="B422" t="str">
            <v>UT</v>
          </cell>
          <cell r="C422" t="str">
            <v xml:space="preserve">I4A </v>
          </cell>
          <cell r="D422" t="str">
            <v>Customers</v>
          </cell>
        </row>
        <row r="423">
          <cell r="B423" t="str">
            <v>UT</v>
          </cell>
          <cell r="C423" t="str">
            <v>I4</v>
          </cell>
          <cell r="D423" t="str">
            <v>Customers</v>
          </cell>
        </row>
        <row r="447">
          <cell r="B447" t="str">
            <v>State</v>
          </cell>
          <cell r="C447" t="str">
            <v>Rate</v>
          </cell>
          <cell r="D447" t="str">
            <v>Type</v>
          </cell>
        </row>
        <row r="448">
          <cell r="B448" t="str">
            <v>UT</v>
          </cell>
          <cell r="D448" t="str">
            <v>Customers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GS  </v>
          </cell>
          <cell r="D500" t="str">
            <v>Customers</v>
          </cell>
        </row>
        <row r="515">
          <cell r="B515" t="str">
            <v>State</v>
          </cell>
          <cell r="C515" t="str">
            <v>Rate</v>
          </cell>
          <cell r="D515" t="str">
            <v>Type</v>
          </cell>
        </row>
        <row r="516">
          <cell r="B516" t="str">
            <v>WY</v>
          </cell>
          <cell r="C516" t="str">
            <v xml:space="preserve">F1  </v>
          </cell>
          <cell r="D516" t="str">
            <v>Customers</v>
          </cell>
        </row>
        <row r="517">
          <cell r="B517" t="str">
            <v>WY</v>
          </cell>
          <cell r="C517" t="str">
            <v xml:space="preserve">F1A </v>
          </cell>
          <cell r="D517" t="str">
            <v>Customers</v>
          </cell>
        </row>
        <row r="518">
          <cell r="B518" t="str">
            <v>WY</v>
          </cell>
          <cell r="C518" t="str">
            <v xml:space="preserve">F1B </v>
          </cell>
          <cell r="D518" t="str">
            <v>Customers</v>
          </cell>
        </row>
        <row r="519">
          <cell r="B519" t="str">
            <v>WY</v>
          </cell>
          <cell r="C519" t="str">
            <v xml:space="preserve">F1C </v>
          </cell>
          <cell r="D519" t="str">
            <v>Customers</v>
          </cell>
        </row>
        <row r="537">
          <cell r="B537" t="str">
            <v>State</v>
          </cell>
          <cell r="C537" t="str">
            <v>Rate</v>
          </cell>
          <cell r="D537" t="str">
            <v>Type</v>
          </cell>
        </row>
        <row r="538">
          <cell r="B538" t="str">
            <v>WY</v>
          </cell>
          <cell r="C538" t="str">
            <v xml:space="preserve">NGV </v>
          </cell>
          <cell r="D538" t="str">
            <v>Customers</v>
          </cell>
        </row>
        <row r="550">
          <cell r="B550" t="str">
            <v>State</v>
          </cell>
          <cell r="C550" t="str">
            <v>Rate</v>
          </cell>
          <cell r="D550" t="str">
            <v>Type</v>
          </cell>
        </row>
        <row r="551">
          <cell r="B551" t="str">
            <v>WY</v>
          </cell>
          <cell r="C551" t="str">
            <v xml:space="preserve">GSW </v>
          </cell>
          <cell r="D551" t="str">
            <v>Customers</v>
          </cell>
        </row>
        <row r="589">
          <cell r="B589" t="str">
            <v>State</v>
          </cell>
          <cell r="C589" t="str">
            <v>Rate</v>
          </cell>
          <cell r="D589" t="str">
            <v>Type</v>
          </cell>
        </row>
        <row r="590">
          <cell r="B590" t="str">
            <v>WY</v>
          </cell>
          <cell r="C590" t="str">
            <v xml:space="preserve">I2  </v>
          </cell>
          <cell r="D590" t="str">
            <v>Customers</v>
          </cell>
        </row>
        <row r="606">
          <cell r="B606" t="str">
            <v>State</v>
          </cell>
          <cell r="C606" t="str">
            <v>Rate</v>
          </cell>
          <cell r="D606" t="str">
            <v>Type</v>
          </cell>
        </row>
        <row r="607">
          <cell r="B607" t="str">
            <v>WY</v>
          </cell>
          <cell r="C607" t="str">
            <v xml:space="preserve">I4  </v>
          </cell>
          <cell r="D607" t="str">
            <v>Customers</v>
          </cell>
        </row>
        <row r="608">
          <cell r="B608" t="str">
            <v>WY</v>
          </cell>
          <cell r="C608" t="str">
            <v xml:space="preserve">I4A </v>
          </cell>
          <cell r="D608" t="str">
            <v>Customers</v>
          </cell>
        </row>
        <row r="627">
          <cell r="B627" t="str">
            <v>State</v>
          </cell>
          <cell r="C627" t="str">
            <v>Rate</v>
          </cell>
          <cell r="D627" t="str">
            <v>Type</v>
          </cell>
        </row>
        <row r="628">
          <cell r="B628" t="str">
            <v>WY</v>
          </cell>
          <cell r="C628" t="str">
            <v>IT2</v>
          </cell>
          <cell r="D628" t="str">
            <v>Customers</v>
          </cell>
        </row>
        <row r="629">
          <cell r="B629" t="str">
            <v>WY</v>
          </cell>
          <cell r="C629" t="str">
            <v xml:space="preserve">IT  </v>
          </cell>
          <cell r="D629" t="str">
            <v>Customers</v>
          </cell>
        </row>
        <row r="647">
          <cell r="B647" t="str">
            <v>State</v>
          </cell>
          <cell r="C647" t="str">
            <v>Rate</v>
          </cell>
          <cell r="D647" t="str">
            <v>Type</v>
          </cell>
        </row>
        <row r="648">
          <cell r="B648" t="str">
            <v>WY</v>
          </cell>
          <cell r="C648" t="str">
            <v xml:space="preserve">IC  </v>
          </cell>
          <cell r="D648" t="str">
            <v>Customers</v>
          </cell>
        </row>
        <row r="649">
          <cell r="B649" t="str">
            <v>WY</v>
          </cell>
          <cell r="C649" t="str">
            <v xml:space="preserve">IC1 </v>
          </cell>
          <cell r="D649" t="str">
            <v>Customers</v>
          </cell>
        </row>
        <row r="650">
          <cell r="B650" t="str">
            <v>WY</v>
          </cell>
          <cell r="C650" t="str">
            <v xml:space="preserve">IC2 </v>
          </cell>
          <cell r="D650" t="str">
            <v>Customers</v>
          </cell>
        </row>
        <row r="651">
          <cell r="B651" t="str">
            <v>WY</v>
          </cell>
          <cell r="C651" t="str">
            <v xml:space="preserve">IC8 </v>
          </cell>
          <cell r="D651" t="str">
            <v>Customers</v>
          </cell>
        </row>
        <row r="652">
          <cell r="B652" t="str">
            <v>WY</v>
          </cell>
          <cell r="C652" t="str">
            <v xml:space="preserve">IC9 </v>
          </cell>
          <cell r="D652" t="str">
            <v>Customers</v>
          </cell>
        </row>
        <row r="677">
          <cell r="B677" t="str">
            <v>State</v>
          </cell>
          <cell r="C677" t="str">
            <v>Rate</v>
          </cell>
          <cell r="D677" t="str">
            <v>Type</v>
          </cell>
        </row>
        <row r="678">
          <cell r="B678" t="str">
            <v>WY</v>
          </cell>
          <cell r="D678" t="str">
            <v>CUSTOMERS</v>
          </cell>
        </row>
        <row r="685">
          <cell r="B685" t="str">
            <v>State</v>
          </cell>
          <cell r="C685" t="str">
            <v>Rate</v>
          </cell>
          <cell r="D685" t="str">
            <v>Type</v>
          </cell>
        </row>
        <row r="686">
          <cell r="B686" t="str">
            <v>CO</v>
          </cell>
          <cell r="C686" t="str">
            <v xml:space="preserve">I4  </v>
          </cell>
          <cell r="D686" t="str">
            <v>Customers</v>
          </cell>
        </row>
        <row r="699">
          <cell r="B699" t="str">
            <v>State</v>
          </cell>
          <cell r="C699" t="str">
            <v>Rate</v>
          </cell>
          <cell r="D699" t="str">
            <v>Type</v>
          </cell>
        </row>
        <row r="700">
          <cell r="B700" t="str">
            <v>CO</v>
          </cell>
          <cell r="C700" t="str">
            <v>IC</v>
          </cell>
          <cell r="D700" t="str">
            <v>Customers</v>
          </cell>
        </row>
        <row r="701">
          <cell r="B701" t="str">
            <v>CO</v>
          </cell>
          <cell r="C701" t="str">
            <v>IT</v>
          </cell>
          <cell r="D701" t="str">
            <v>Customers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GRAM"/>
      <sheetName val="EXPORT"/>
      <sheetName val="orig rev run no tie to grey bac"/>
      <sheetName val="new rev run input(wyocust=grey"/>
      <sheetName val="REVRUN INPUT"/>
      <sheetName val="CRITERIA"/>
      <sheetName val="U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 t="str">
            <v>State</v>
          </cell>
          <cell r="C7" t="str">
            <v>Rate</v>
          </cell>
          <cell r="D7" t="str">
            <v>Type</v>
          </cell>
        </row>
        <row r="8">
          <cell r="B8" t="str">
            <v>UT</v>
          </cell>
          <cell r="C8" t="str">
            <v>GS</v>
          </cell>
          <cell r="D8" t="str">
            <v>DTH</v>
          </cell>
        </row>
        <row r="10">
          <cell r="B10" t="str">
            <v>State</v>
          </cell>
          <cell r="C10" t="str">
            <v>Rate</v>
          </cell>
          <cell r="D10" t="str">
            <v>Type</v>
          </cell>
        </row>
        <row r="11">
          <cell r="B11" t="str">
            <v>UT</v>
          </cell>
          <cell r="C11" t="str">
            <v>GS</v>
          </cell>
          <cell r="D11" t="str">
            <v>CST</v>
          </cell>
        </row>
        <row r="13">
          <cell r="B13" t="str">
            <v>State</v>
          </cell>
          <cell r="C13" t="str">
            <v>Rate</v>
          </cell>
          <cell r="D13" t="str">
            <v>Type</v>
          </cell>
        </row>
        <row r="14">
          <cell r="B14" t="str">
            <v>UT</v>
          </cell>
          <cell r="C14" t="str">
            <v>GS</v>
          </cell>
          <cell r="D14" t="str">
            <v>DNG</v>
          </cell>
        </row>
        <row r="16">
          <cell r="B16" t="str">
            <v>State</v>
          </cell>
          <cell r="C16" t="str">
            <v>Rate</v>
          </cell>
          <cell r="D16" t="str">
            <v>Type</v>
          </cell>
        </row>
        <row r="17">
          <cell r="B17" t="str">
            <v>UT</v>
          </cell>
          <cell r="C17" t="str">
            <v>GS</v>
          </cell>
          <cell r="D17" t="str">
            <v>SNG</v>
          </cell>
        </row>
        <row r="19">
          <cell r="B19" t="str">
            <v>State</v>
          </cell>
          <cell r="C19" t="str">
            <v>Rate</v>
          </cell>
          <cell r="D19" t="str">
            <v>Type</v>
          </cell>
        </row>
        <row r="20">
          <cell r="B20" t="str">
            <v>UT</v>
          </cell>
          <cell r="C20" t="str">
            <v>GS</v>
          </cell>
          <cell r="D20" t="str">
            <v>COM</v>
          </cell>
        </row>
        <row r="23">
          <cell r="B23" t="str">
            <v>State</v>
          </cell>
          <cell r="C23" t="str">
            <v>Rate</v>
          </cell>
          <cell r="D23" t="str">
            <v>Type</v>
          </cell>
        </row>
        <row r="24">
          <cell r="B24" t="str">
            <v>UT</v>
          </cell>
          <cell r="C24" t="str">
            <v>GS</v>
          </cell>
          <cell r="D24" t="str">
            <v>SIF</v>
          </cell>
        </row>
        <row r="28">
          <cell r="B28" t="str">
            <v>State</v>
          </cell>
          <cell r="C28" t="str">
            <v>Rate</v>
          </cell>
          <cell r="D28" t="str">
            <v>Type</v>
          </cell>
        </row>
        <row r="29">
          <cell r="B29" t="str">
            <v>UT</v>
          </cell>
          <cell r="C29" t="str">
            <v>GSE</v>
          </cell>
          <cell r="D29" t="str">
            <v>DTH</v>
          </cell>
        </row>
        <row r="31">
          <cell r="B31" t="str">
            <v>State</v>
          </cell>
          <cell r="C31" t="str">
            <v>Rate</v>
          </cell>
          <cell r="D31" t="str">
            <v>Type</v>
          </cell>
        </row>
        <row r="32">
          <cell r="B32" t="str">
            <v>UT</v>
          </cell>
          <cell r="C32" t="str">
            <v>GSE</v>
          </cell>
          <cell r="D32" t="str">
            <v>CST</v>
          </cell>
        </row>
        <row r="34">
          <cell r="B34" t="str">
            <v>State</v>
          </cell>
          <cell r="C34" t="str">
            <v>Rate</v>
          </cell>
          <cell r="D34" t="str">
            <v>Type</v>
          </cell>
        </row>
        <row r="35">
          <cell r="B35" t="str">
            <v>UT</v>
          </cell>
          <cell r="C35" t="str">
            <v>GSE</v>
          </cell>
          <cell r="D35" t="str">
            <v>DNG</v>
          </cell>
        </row>
        <row r="37">
          <cell r="B37" t="str">
            <v>State</v>
          </cell>
          <cell r="C37" t="str">
            <v>Rate</v>
          </cell>
          <cell r="D37" t="str">
            <v>Type</v>
          </cell>
        </row>
        <row r="38">
          <cell r="B38" t="str">
            <v>UT</v>
          </cell>
          <cell r="C38" t="str">
            <v>GSE</v>
          </cell>
          <cell r="D38" t="str">
            <v>SNG</v>
          </cell>
        </row>
        <row r="40">
          <cell r="B40" t="str">
            <v>State</v>
          </cell>
          <cell r="C40" t="str">
            <v>Rate</v>
          </cell>
          <cell r="D40" t="str">
            <v>Type</v>
          </cell>
        </row>
        <row r="41">
          <cell r="B41" t="str">
            <v>UT</v>
          </cell>
          <cell r="C41" t="str">
            <v>GSE</v>
          </cell>
          <cell r="D41" t="str">
            <v>COM</v>
          </cell>
        </row>
        <row r="43">
          <cell r="B43" t="str">
            <v>State</v>
          </cell>
          <cell r="C43" t="str">
            <v>Rate</v>
          </cell>
          <cell r="D43" t="str">
            <v>Type</v>
          </cell>
        </row>
        <row r="44">
          <cell r="B44" t="str">
            <v>UT</v>
          </cell>
          <cell r="C44" t="str">
            <v>GSE</v>
          </cell>
          <cell r="D44" t="str">
            <v>SIF</v>
          </cell>
        </row>
        <row r="48">
          <cell r="B48" t="str">
            <v>State</v>
          </cell>
          <cell r="C48" t="str">
            <v>Rate</v>
          </cell>
          <cell r="D48" t="str">
            <v>Type</v>
          </cell>
        </row>
        <row r="49">
          <cell r="B49" t="str">
            <v>UT</v>
          </cell>
          <cell r="C49" t="str">
            <v>GSS</v>
          </cell>
          <cell r="D49" t="str">
            <v>DTH</v>
          </cell>
        </row>
        <row r="51">
          <cell r="B51" t="str">
            <v>State</v>
          </cell>
          <cell r="C51" t="str">
            <v>Rate</v>
          </cell>
          <cell r="D51" t="str">
            <v>Type</v>
          </cell>
        </row>
        <row r="52">
          <cell r="B52" t="str">
            <v>UT</v>
          </cell>
          <cell r="C52" t="str">
            <v>GSS</v>
          </cell>
          <cell r="D52" t="str">
            <v>CST</v>
          </cell>
        </row>
        <row r="54">
          <cell r="B54" t="str">
            <v>State</v>
          </cell>
          <cell r="C54" t="str">
            <v>Rate</v>
          </cell>
          <cell r="D54" t="str">
            <v>Type</v>
          </cell>
        </row>
        <row r="55">
          <cell r="B55" t="str">
            <v>UT</v>
          </cell>
          <cell r="C55" t="str">
            <v>GSS</v>
          </cell>
          <cell r="D55" t="str">
            <v>DNG</v>
          </cell>
        </row>
        <row r="57">
          <cell r="B57" t="str">
            <v>State</v>
          </cell>
          <cell r="C57" t="str">
            <v>Rate</v>
          </cell>
          <cell r="D57" t="str">
            <v>Type</v>
          </cell>
        </row>
        <row r="58">
          <cell r="B58" t="str">
            <v>UT</v>
          </cell>
          <cell r="C58" t="str">
            <v>GSS</v>
          </cell>
          <cell r="D58" t="str">
            <v>SNG</v>
          </cell>
        </row>
        <row r="60">
          <cell r="B60" t="str">
            <v>State</v>
          </cell>
          <cell r="C60" t="str">
            <v>Rate</v>
          </cell>
          <cell r="D60" t="str">
            <v>Type</v>
          </cell>
        </row>
        <row r="61">
          <cell r="B61" t="str">
            <v>UT</v>
          </cell>
          <cell r="C61" t="str">
            <v>GSS</v>
          </cell>
          <cell r="D61" t="str">
            <v>COM</v>
          </cell>
        </row>
        <row r="63">
          <cell r="B63" t="str">
            <v>State</v>
          </cell>
          <cell r="C63" t="str">
            <v>Rate</v>
          </cell>
          <cell r="D63" t="str">
            <v>Type</v>
          </cell>
        </row>
        <row r="64">
          <cell r="B64" t="str">
            <v>UT</v>
          </cell>
          <cell r="C64" t="str">
            <v>GSS</v>
          </cell>
          <cell r="D64" t="str">
            <v>SIF</v>
          </cell>
        </row>
        <row r="68">
          <cell r="B68" t="str">
            <v>State</v>
          </cell>
          <cell r="C68" t="str">
            <v>Rate</v>
          </cell>
          <cell r="D68" t="str">
            <v>Type</v>
          </cell>
        </row>
        <row r="69">
          <cell r="B69" t="str">
            <v>UT</v>
          </cell>
          <cell r="C69" t="str">
            <v>F1</v>
          </cell>
          <cell r="D69" t="str">
            <v>DTH</v>
          </cell>
        </row>
        <row r="71">
          <cell r="B71" t="str">
            <v>State</v>
          </cell>
          <cell r="C71" t="str">
            <v>Rate</v>
          </cell>
          <cell r="D71" t="str">
            <v>Type</v>
          </cell>
        </row>
        <row r="72">
          <cell r="B72" t="str">
            <v>UT</v>
          </cell>
          <cell r="C72" t="str">
            <v>F1</v>
          </cell>
          <cell r="D72" t="str">
            <v>DNG</v>
          </cell>
        </row>
        <row r="74">
          <cell r="B74" t="str">
            <v>State</v>
          </cell>
          <cell r="C74" t="str">
            <v>Rate</v>
          </cell>
          <cell r="D74" t="str">
            <v>Type</v>
          </cell>
        </row>
        <row r="75">
          <cell r="B75" t="str">
            <v>UT</v>
          </cell>
          <cell r="C75" t="str">
            <v>F1</v>
          </cell>
          <cell r="D75" t="str">
            <v>SNG</v>
          </cell>
        </row>
        <row r="77">
          <cell r="B77" t="str">
            <v>State</v>
          </cell>
          <cell r="C77" t="str">
            <v>Rate</v>
          </cell>
          <cell r="D77" t="str">
            <v>Type</v>
          </cell>
        </row>
        <row r="78">
          <cell r="B78" t="str">
            <v>UT</v>
          </cell>
          <cell r="C78" t="str">
            <v>F1</v>
          </cell>
          <cell r="D78" t="str">
            <v>COM</v>
          </cell>
        </row>
        <row r="85">
          <cell r="B85" t="str">
            <v>State</v>
          </cell>
          <cell r="C85" t="str">
            <v>Rate</v>
          </cell>
          <cell r="D85" t="str">
            <v>Type</v>
          </cell>
        </row>
        <row r="86">
          <cell r="B86" t="str">
            <v>UT</v>
          </cell>
          <cell r="C86" t="str">
            <v>NGV</v>
          </cell>
          <cell r="D86" t="str">
            <v>DTH</v>
          </cell>
        </row>
        <row r="88">
          <cell r="B88" t="str">
            <v>State</v>
          </cell>
          <cell r="C88" t="str">
            <v>Rate</v>
          </cell>
          <cell r="D88" t="str">
            <v>Type</v>
          </cell>
        </row>
        <row r="89">
          <cell r="B89" t="str">
            <v>UT</v>
          </cell>
          <cell r="C89" t="str">
            <v>NGV</v>
          </cell>
          <cell r="D89" t="str">
            <v>DNG</v>
          </cell>
        </row>
        <row r="91">
          <cell r="B91" t="str">
            <v>State</v>
          </cell>
          <cell r="C91" t="str">
            <v>Rate</v>
          </cell>
          <cell r="D91" t="str">
            <v>Type</v>
          </cell>
        </row>
        <row r="92">
          <cell r="B92" t="str">
            <v>UT</v>
          </cell>
          <cell r="C92" t="str">
            <v>NGV</v>
          </cell>
          <cell r="D92" t="str">
            <v>SNG</v>
          </cell>
        </row>
        <row r="94">
          <cell r="B94" t="str">
            <v>State</v>
          </cell>
          <cell r="C94" t="str">
            <v>Rate</v>
          </cell>
          <cell r="D94" t="str">
            <v>Type</v>
          </cell>
        </row>
        <row r="95">
          <cell r="B95" t="str">
            <v>UT</v>
          </cell>
          <cell r="C95" t="str">
            <v>NGV</v>
          </cell>
          <cell r="D95" t="str">
            <v>COM</v>
          </cell>
        </row>
        <row r="102">
          <cell r="B102" t="str">
            <v>State</v>
          </cell>
          <cell r="C102" t="str">
            <v>Rate</v>
          </cell>
          <cell r="D102" t="str">
            <v>Type</v>
          </cell>
        </row>
        <row r="103">
          <cell r="B103" t="str">
            <v>UT</v>
          </cell>
          <cell r="C103" t="str">
            <v>F3</v>
          </cell>
          <cell r="D103" t="str">
            <v>DTH</v>
          </cell>
        </row>
        <row r="105">
          <cell r="B105" t="str">
            <v>State</v>
          </cell>
          <cell r="C105" t="str">
            <v>Rate</v>
          </cell>
          <cell r="D105" t="str">
            <v>Type</v>
          </cell>
        </row>
        <row r="106">
          <cell r="B106" t="str">
            <v>UT</v>
          </cell>
          <cell r="C106" t="str">
            <v>F3</v>
          </cell>
          <cell r="D106" t="str">
            <v>DNG</v>
          </cell>
        </row>
        <row r="108">
          <cell r="B108" t="str">
            <v>State</v>
          </cell>
          <cell r="C108" t="str">
            <v>Rate</v>
          </cell>
          <cell r="D108" t="str">
            <v>Type</v>
          </cell>
        </row>
        <row r="109">
          <cell r="B109" t="str">
            <v>UT</v>
          </cell>
          <cell r="C109" t="str">
            <v>F3</v>
          </cell>
          <cell r="D109" t="str">
            <v>SNG</v>
          </cell>
        </row>
        <row r="111">
          <cell r="B111" t="str">
            <v>State</v>
          </cell>
          <cell r="C111" t="str">
            <v>Rate</v>
          </cell>
          <cell r="D111" t="str">
            <v>Type</v>
          </cell>
        </row>
        <row r="112">
          <cell r="B112" t="str">
            <v>UT</v>
          </cell>
          <cell r="C112" t="str">
            <v>F3</v>
          </cell>
          <cell r="D112" t="str">
            <v>COM</v>
          </cell>
        </row>
        <row r="128">
          <cell r="B128" t="str">
            <v>State</v>
          </cell>
          <cell r="C128" t="str">
            <v>Rate</v>
          </cell>
          <cell r="D128" t="str">
            <v>Type</v>
          </cell>
        </row>
        <row r="129">
          <cell r="B129" t="str">
            <v>UT</v>
          </cell>
          <cell r="C129" t="str">
            <v>I</v>
          </cell>
          <cell r="D129" t="str">
            <v xml:space="preserve">Dth      </v>
          </cell>
        </row>
        <row r="130">
          <cell r="B130" t="str">
            <v>UT</v>
          </cell>
          <cell r="C130" t="str">
            <v>I2</v>
          </cell>
          <cell r="D130" t="str">
            <v>DTH</v>
          </cell>
        </row>
        <row r="132">
          <cell r="B132" t="str">
            <v>State</v>
          </cell>
          <cell r="C132" t="str">
            <v>Rate</v>
          </cell>
          <cell r="D132" t="str">
            <v>Type</v>
          </cell>
        </row>
        <row r="133">
          <cell r="B133" t="str">
            <v>UT</v>
          </cell>
          <cell r="C133" t="str">
            <v>I</v>
          </cell>
          <cell r="D133" t="str">
            <v xml:space="preserve">DNG      </v>
          </cell>
        </row>
        <row r="134">
          <cell r="B134" t="str">
            <v>UT</v>
          </cell>
          <cell r="C134" t="str">
            <v>I2</v>
          </cell>
          <cell r="D134" t="str">
            <v>DNG</v>
          </cell>
        </row>
        <row r="136">
          <cell r="B136" t="str">
            <v>State</v>
          </cell>
          <cell r="C136" t="str">
            <v>Rate</v>
          </cell>
          <cell r="D136" t="str">
            <v>Type</v>
          </cell>
        </row>
        <row r="137">
          <cell r="B137" t="str">
            <v>UT</v>
          </cell>
          <cell r="C137" t="str">
            <v xml:space="preserve">I  </v>
          </cell>
          <cell r="D137" t="str">
            <v xml:space="preserve">SNG      </v>
          </cell>
        </row>
        <row r="138">
          <cell r="B138" t="str">
            <v>UT</v>
          </cell>
          <cell r="C138" t="str">
            <v>I2</v>
          </cell>
          <cell r="D138" t="str">
            <v>SNG</v>
          </cell>
        </row>
        <row r="140">
          <cell r="B140" t="str">
            <v>State</v>
          </cell>
          <cell r="C140" t="str">
            <v>Rate</v>
          </cell>
          <cell r="D140" t="str">
            <v>Type</v>
          </cell>
        </row>
        <row r="141">
          <cell r="B141" t="str">
            <v>UT</v>
          </cell>
          <cell r="C141" t="str">
            <v>I</v>
          </cell>
          <cell r="D141" t="str">
            <v>Commodity</v>
          </cell>
        </row>
        <row r="142">
          <cell r="B142" t="str">
            <v>UT</v>
          </cell>
          <cell r="C142" t="str">
            <v>I2</v>
          </cell>
          <cell r="D142" t="str">
            <v>COM</v>
          </cell>
        </row>
        <row r="145">
          <cell r="B145" t="str">
            <v>State</v>
          </cell>
          <cell r="C145" t="str">
            <v>Rate</v>
          </cell>
          <cell r="D145" t="str">
            <v>Type</v>
          </cell>
        </row>
        <row r="146">
          <cell r="B146" t="str">
            <v>UT</v>
          </cell>
          <cell r="C146" t="str">
            <v>IS</v>
          </cell>
          <cell r="D146" t="str">
            <v xml:space="preserve">Dth      </v>
          </cell>
        </row>
        <row r="147">
          <cell r="B147" t="str">
            <v>UT</v>
          </cell>
          <cell r="C147" t="str">
            <v>IS2</v>
          </cell>
          <cell r="D147" t="str">
            <v>DTH</v>
          </cell>
        </row>
        <row r="149">
          <cell r="B149" t="str">
            <v>State</v>
          </cell>
          <cell r="C149" t="str">
            <v>Rate</v>
          </cell>
          <cell r="D149" t="str">
            <v>Type</v>
          </cell>
        </row>
        <row r="150">
          <cell r="B150" t="str">
            <v>UT</v>
          </cell>
          <cell r="C150" t="str">
            <v>IS</v>
          </cell>
          <cell r="D150" t="str">
            <v xml:space="preserve">DNG      </v>
          </cell>
        </row>
        <row r="151">
          <cell r="B151" t="str">
            <v>UT</v>
          </cell>
          <cell r="C151" t="str">
            <v>IS2</v>
          </cell>
          <cell r="D151" t="str">
            <v>DNG</v>
          </cell>
        </row>
        <row r="153">
          <cell r="B153" t="str">
            <v>State</v>
          </cell>
          <cell r="C153" t="str">
            <v>Rate</v>
          </cell>
          <cell r="D153" t="str">
            <v>Type</v>
          </cell>
        </row>
        <row r="154">
          <cell r="B154" t="str">
            <v>UT</v>
          </cell>
          <cell r="C154" t="str">
            <v>IS</v>
          </cell>
          <cell r="D154" t="str">
            <v xml:space="preserve">SNG      </v>
          </cell>
        </row>
        <row r="155">
          <cell r="B155" t="str">
            <v>UT</v>
          </cell>
          <cell r="C155" t="str">
            <v>IS2</v>
          </cell>
          <cell r="D155" t="str">
            <v>SNG</v>
          </cell>
        </row>
        <row r="157">
          <cell r="B157" t="str">
            <v>State</v>
          </cell>
          <cell r="C157" t="str">
            <v>Rate</v>
          </cell>
          <cell r="D157" t="str">
            <v>Type</v>
          </cell>
        </row>
        <row r="158">
          <cell r="B158" t="str">
            <v>UT</v>
          </cell>
          <cell r="C158" t="str">
            <v xml:space="preserve">IS </v>
          </cell>
          <cell r="D158" t="str">
            <v>Commodity</v>
          </cell>
        </row>
        <row r="159">
          <cell r="B159" t="str">
            <v>UT</v>
          </cell>
          <cell r="C159" t="str">
            <v>IS2</v>
          </cell>
          <cell r="D159" t="str">
            <v>COM</v>
          </cell>
        </row>
        <row r="162">
          <cell r="B162" t="str">
            <v>State</v>
          </cell>
          <cell r="C162" t="str">
            <v>Rate</v>
          </cell>
          <cell r="D162" t="str">
            <v>Type</v>
          </cell>
        </row>
        <row r="163">
          <cell r="B163" t="str">
            <v>UT</v>
          </cell>
          <cell r="C163" t="str">
            <v>IS4</v>
          </cell>
          <cell r="D163" t="str">
            <v>DTH</v>
          </cell>
        </row>
        <row r="165">
          <cell r="B165" t="str">
            <v>State</v>
          </cell>
          <cell r="C165" t="str">
            <v>Rate</v>
          </cell>
          <cell r="D165" t="str">
            <v>Type</v>
          </cell>
        </row>
        <row r="166">
          <cell r="B166" t="str">
            <v>UT</v>
          </cell>
          <cell r="C166" t="str">
            <v>IS4</v>
          </cell>
          <cell r="D166" t="str">
            <v>DNG</v>
          </cell>
        </row>
        <row r="168">
          <cell r="B168" t="str">
            <v>State</v>
          </cell>
          <cell r="C168" t="str">
            <v>Rate</v>
          </cell>
          <cell r="D168" t="str">
            <v>Type</v>
          </cell>
        </row>
        <row r="169">
          <cell r="B169" t="str">
            <v>UT</v>
          </cell>
          <cell r="C169" t="str">
            <v>IS4</v>
          </cell>
          <cell r="D169" t="str">
            <v>SNG</v>
          </cell>
        </row>
        <row r="171">
          <cell r="B171" t="str">
            <v>State</v>
          </cell>
          <cell r="C171" t="str">
            <v>Rate</v>
          </cell>
          <cell r="D171" t="str">
            <v>Type</v>
          </cell>
        </row>
        <row r="172">
          <cell r="B172" t="str">
            <v>UT</v>
          </cell>
          <cell r="C172" t="str">
            <v>IS4</v>
          </cell>
          <cell r="D172" t="str">
            <v>COM</v>
          </cell>
        </row>
        <row r="175">
          <cell r="B175" t="str">
            <v>State</v>
          </cell>
          <cell r="C175" t="str">
            <v>Rate</v>
          </cell>
          <cell r="D175" t="str">
            <v>Type</v>
          </cell>
        </row>
        <row r="176">
          <cell r="B176" t="str">
            <v>UT</v>
          </cell>
          <cell r="C176" t="str">
            <v>F1E</v>
          </cell>
          <cell r="D176" t="str">
            <v>DTH</v>
          </cell>
        </row>
        <row r="178">
          <cell r="B178" t="str">
            <v>State</v>
          </cell>
          <cell r="C178" t="str">
            <v>Rate</v>
          </cell>
          <cell r="D178" t="str">
            <v>Type</v>
          </cell>
        </row>
        <row r="179">
          <cell r="B179" t="str">
            <v>UT</v>
          </cell>
          <cell r="C179" t="str">
            <v>F1E</v>
          </cell>
          <cell r="D179" t="str">
            <v>DNG</v>
          </cell>
        </row>
        <row r="181">
          <cell r="B181" t="str">
            <v>State</v>
          </cell>
          <cell r="C181" t="str">
            <v>Rate</v>
          </cell>
          <cell r="D181" t="str">
            <v>Type</v>
          </cell>
        </row>
        <row r="182">
          <cell r="B182" t="str">
            <v>UT</v>
          </cell>
          <cell r="C182" t="str">
            <v>F1E</v>
          </cell>
          <cell r="D182" t="str">
            <v>SNG</v>
          </cell>
        </row>
        <row r="184">
          <cell r="B184" t="str">
            <v>State</v>
          </cell>
          <cell r="C184" t="str">
            <v>Rate</v>
          </cell>
          <cell r="D184" t="str">
            <v>Type</v>
          </cell>
        </row>
        <row r="185">
          <cell r="B185" t="str">
            <v>UT</v>
          </cell>
          <cell r="C185" t="str">
            <v>F1E</v>
          </cell>
          <cell r="D185" t="str">
            <v>COM</v>
          </cell>
        </row>
        <row r="192">
          <cell r="B192" t="str">
            <v>State</v>
          </cell>
          <cell r="C192" t="str">
            <v>Rate</v>
          </cell>
          <cell r="D192" t="str">
            <v>Type</v>
          </cell>
        </row>
        <row r="193">
          <cell r="B193" t="str">
            <v>UT</v>
          </cell>
          <cell r="C193" t="str">
            <v>IT</v>
          </cell>
          <cell r="D193" t="str">
            <v>DTH</v>
          </cell>
        </row>
        <row r="194">
          <cell r="B194" t="str">
            <v>UT</v>
          </cell>
          <cell r="C194" t="str">
            <v>IT2</v>
          </cell>
          <cell r="D194" t="str">
            <v>DTH</v>
          </cell>
        </row>
        <row r="196">
          <cell r="B196" t="str">
            <v>State</v>
          </cell>
          <cell r="C196" t="str">
            <v>Rate</v>
          </cell>
          <cell r="D196" t="str">
            <v>Type</v>
          </cell>
        </row>
        <row r="197">
          <cell r="B197" t="str">
            <v>UT</v>
          </cell>
          <cell r="C197" t="str">
            <v>IT</v>
          </cell>
          <cell r="D197" t="str">
            <v>DNG</v>
          </cell>
        </row>
        <row r="198">
          <cell r="B198" t="str">
            <v>UT</v>
          </cell>
          <cell r="C198" t="str">
            <v>IT2</v>
          </cell>
          <cell r="D198" t="str">
            <v>DNG</v>
          </cell>
        </row>
        <row r="200">
          <cell r="B200" t="str">
            <v>State</v>
          </cell>
          <cell r="C200" t="str">
            <v>Rate</v>
          </cell>
          <cell r="D200" t="str">
            <v>Type</v>
          </cell>
        </row>
        <row r="201">
          <cell r="B201" t="str">
            <v>UT</v>
          </cell>
          <cell r="C201" t="str">
            <v>IT</v>
          </cell>
          <cell r="D201" t="str">
            <v>SNG</v>
          </cell>
        </row>
        <row r="202">
          <cell r="B202" t="str">
            <v>UT</v>
          </cell>
          <cell r="C202" t="str">
            <v>IT2</v>
          </cell>
          <cell r="D202" t="str">
            <v>SNG</v>
          </cell>
        </row>
        <row r="204">
          <cell r="B204" t="str">
            <v>State</v>
          </cell>
          <cell r="C204" t="str">
            <v>Rate</v>
          </cell>
          <cell r="D204" t="str">
            <v>Type</v>
          </cell>
        </row>
        <row r="205">
          <cell r="B205" t="str">
            <v>UT</v>
          </cell>
          <cell r="C205" t="str">
            <v>IT</v>
          </cell>
          <cell r="D205" t="str">
            <v>COM</v>
          </cell>
        </row>
        <row r="206">
          <cell r="B206" t="str">
            <v>UT</v>
          </cell>
          <cell r="C206" t="str">
            <v>IT2</v>
          </cell>
          <cell r="D206" t="str">
            <v>COM</v>
          </cell>
        </row>
        <row r="209">
          <cell r="B209" t="str">
            <v>State</v>
          </cell>
          <cell r="C209" t="str">
            <v>Rate</v>
          </cell>
          <cell r="D209" t="str">
            <v>Type</v>
          </cell>
        </row>
        <row r="210">
          <cell r="B210" t="str">
            <v>UT</v>
          </cell>
          <cell r="C210" t="str">
            <v>ITS</v>
          </cell>
          <cell r="D210" t="str">
            <v>Dth</v>
          </cell>
        </row>
        <row r="211">
          <cell r="B211" t="str">
            <v>UT</v>
          </cell>
          <cell r="C211" t="str">
            <v>ITS2</v>
          </cell>
          <cell r="D211" t="str">
            <v>Dth</v>
          </cell>
        </row>
        <row r="213">
          <cell r="B213" t="str">
            <v>State</v>
          </cell>
          <cell r="C213" t="str">
            <v>Rate</v>
          </cell>
          <cell r="D213" t="str">
            <v>Type</v>
          </cell>
        </row>
        <row r="214">
          <cell r="B214" t="str">
            <v>UT</v>
          </cell>
          <cell r="C214" t="str">
            <v>ITS</v>
          </cell>
          <cell r="D214" t="str">
            <v>DNG</v>
          </cell>
        </row>
        <row r="215">
          <cell r="B215" t="str">
            <v>UT</v>
          </cell>
          <cell r="C215" t="str">
            <v>ITS2</v>
          </cell>
          <cell r="D215" t="str">
            <v>DNG</v>
          </cell>
        </row>
        <row r="217">
          <cell r="B217" t="str">
            <v>State</v>
          </cell>
          <cell r="C217" t="str">
            <v>Rate</v>
          </cell>
          <cell r="D217" t="str">
            <v>Type</v>
          </cell>
        </row>
        <row r="218">
          <cell r="B218" t="str">
            <v>UT</v>
          </cell>
          <cell r="C218" t="str">
            <v>ITS</v>
          </cell>
          <cell r="D218" t="str">
            <v>SNG</v>
          </cell>
        </row>
        <row r="219">
          <cell r="B219" t="str">
            <v>UT</v>
          </cell>
          <cell r="C219" t="str">
            <v>ITS2</v>
          </cell>
          <cell r="D219" t="str">
            <v>SNG</v>
          </cell>
        </row>
        <row r="221">
          <cell r="B221" t="str">
            <v>State</v>
          </cell>
          <cell r="C221" t="str">
            <v>Rate</v>
          </cell>
          <cell r="D221" t="str">
            <v>Type</v>
          </cell>
        </row>
        <row r="222">
          <cell r="B222" t="str">
            <v>UT</v>
          </cell>
          <cell r="C222" t="str">
            <v>ITS</v>
          </cell>
          <cell r="D222" t="str">
            <v>Commodity</v>
          </cell>
        </row>
        <row r="223">
          <cell r="B223" t="str">
            <v>UT</v>
          </cell>
          <cell r="C223" t="str">
            <v>ITS2</v>
          </cell>
          <cell r="D223" t="str">
            <v>Commodity</v>
          </cell>
        </row>
        <row r="226">
          <cell r="B226" t="str">
            <v>State</v>
          </cell>
          <cell r="C226" t="str">
            <v>Rate</v>
          </cell>
          <cell r="D226" t="str">
            <v>Type</v>
          </cell>
        </row>
        <row r="227">
          <cell r="B227" t="str">
            <v>UT</v>
          </cell>
          <cell r="C227" t="str">
            <v>FT</v>
          </cell>
          <cell r="D227" t="str">
            <v xml:space="preserve">Dth      </v>
          </cell>
        </row>
        <row r="228">
          <cell r="B228" t="str">
            <v>UT</v>
          </cell>
          <cell r="C228" t="str">
            <v>FT1</v>
          </cell>
          <cell r="D228" t="str">
            <v>DTH</v>
          </cell>
        </row>
        <row r="230">
          <cell r="B230" t="str">
            <v>State</v>
          </cell>
          <cell r="C230" t="str">
            <v>Rate</v>
          </cell>
          <cell r="D230" t="str">
            <v>Type</v>
          </cell>
        </row>
        <row r="231">
          <cell r="B231" t="str">
            <v>UT</v>
          </cell>
          <cell r="C231" t="str">
            <v>FT</v>
          </cell>
          <cell r="D231" t="str">
            <v xml:space="preserve">DNG      </v>
          </cell>
        </row>
        <row r="232">
          <cell r="B232" t="str">
            <v>UT</v>
          </cell>
          <cell r="C232" t="str">
            <v>FT1</v>
          </cell>
          <cell r="D232" t="str">
            <v>DNG</v>
          </cell>
        </row>
        <row r="234">
          <cell r="B234" t="str">
            <v>State</v>
          </cell>
          <cell r="C234" t="str">
            <v>Rate</v>
          </cell>
          <cell r="D234" t="str">
            <v>Type</v>
          </cell>
        </row>
        <row r="235">
          <cell r="B235" t="str">
            <v>UT</v>
          </cell>
          <cell r="C235" t="str">
            <v>FT</v>
          </cell>
          <cell r="D235" t="str">
            <v xml:space="preserve">SNG      </v>
          </cell>
        </row>
        <row r="236">
          <cell r="B236" t="str">
            <v>UT</v>
          </cell>
          <cell r="C236" t="str">
            <v>FT1</v>
          </cell>
          <cell r="D236" t="str">
            <v>SNG</v>
          </cell>
        </row>
        <row r="238">
          <cell r="B238" t="str">
            <v>State</v>
          </cell>
          <cell r="C238" t="str">
            <v>Rate</v>
          </cell>
          <cell r="D238" t="str">
            <v>Type</v>
          </cell>
        </row>
        <row r="239">
          <cell r="B239" t="str">
            <v>UT</v>
          </cell>
          <cell r="C239" t="str">
            <v>FT</v>
          </cell>
          <cell r="D239" t="str">
            <v>Commodity</v>
          </cell>
        </row>
        <row r="240">
          <cell r="B240" t="str">
            <v>UT</v>
          </cell>
          <cell r="C240" t="str">
            <v>FT1</v>
          </cell>
          <cell r="D240" t="str">
            <v>COM</v>
          </cell>
        </row>
        <row r="243">
          <cell r="B243" t="str">
            <v>State</v>
          </cell>
          <cell r="C243" t="str">
            <v>Rate</v>
          </cell>
          <cell r="D243" t="str">
            <v>Type</v>
          </cell>
        </row>
        <row r="244">
          <cell r="B244" t="str">
            <v>UT</v>
          </cell>
          <cell r="C244" t="str">
            <v>FT2</v>
          </cell>
          <cell r="D244" t="str">
            <v>DTH</v>
          </cell>
        </row>
        <row r="246">
          <cell r="B246" t="str">
            <v>State</v>
          </cell>
          <cell r="C246" t="str">
            <v>Rate</v>
          </cell>
          <cell r="D246" t="str">
            <v>Type</v>
          </cell>
        </row>
        <row r="247">
          <cell r="B247" t="str">
            <v>UT</v>
          </cell>
          <cell r="C247" t="str">
            <v>FT2</v>
          </cell>
          <cell r="D247" t="str">
            <v>DNG</v>
          </cell>
        </row>
        <row r="249">
          <cell r="B249" t="str">
            <v>State</v>
          </cell>
          <cell r="C249" t="str">
            <v>Rate</v>
          </cell>
          <cell r="D249" t="str">
            <v>Type</v>
          </cell>
        </row>
        <row r="250">
          <cell r="B250" t="str">
            <v>UT</v>
          </cell>
          <cell r="C250" t="str">
            <v>FT2</v>
          </cell>
          <cell r="D250" t="str">
            <v>SNG</v>
          </cell>
        </row>
        <row r="252">
          <cell r="B252" t="str">
            <v>State</v>
          </cell>
          <cell r="C252" t="str">
            <v>Rate</v>
          </cell>
          <cell r="D252" t="str">
            <v>Type</v>
          </cell>
        </row>
        <row r="253">
          <cell r="B253" t="str">
            <v>UT</v>
          </cell>
          <cell r="C253" t="str">
            <v>FT2</v>
          </cell>
          <cell r="D253" t="str">
            <v>COM</v>
          </cell>
        </row>
        <row r="256">
          <cell r="B256" t="str">
            <v>State</v>
          </cell>
          <cell r="C256" t="str">
            <v>Rate</v>
          </cell>
          <cell r="D256" t="str">
            <v>Type</v>
          </cell>
        </row>
        <row r="257">
          <cell r="B257" t="str">
            <v>UT</v>
          </cell>
          <cell r="C257" t="str">
            <v>FTE</v>
          </cell>
          <cell r="D257" t="str">
            <v>DTH</v>
          </cell>
        </row>
        <row r="259">
          <cell r="B259" t="str">
            <v>State</v>
          </cell>
          <cell r="C259" t="str">
            <v>Rate</v>
          </cell>
          <cell r="D259" t="str">
            <v>Type</v>
          </cell>
        </row>
        <row r="260">
          <cell r="B260" t="str">
            <v>UT</v>
          </cell>
          <cell r="C260" t="str">
            <v>FTE</v>
          </cell>
          <cell r="D260" t="str">
            <v>DNG</v>
          </cell>
        </row>
        <row r="262">
          <cell r="B262" t="str">
            <v>State</v>
          </cell>
          <cell r="C262" t="str">
            <v>Rate</v>
          </cell>
          <cell r="D262" t="str">
            <v>Type</v>
          </cell>
        </row>
        <row r="263">
          <cell r="B263" t="str">
            <v>UT</v>
          </cell>
          <cell r="C263" t="str">
            <v>FTE</v>
          </cell>
          <cell r="D263" t="str">
            <v>SNG</v>
          </cell>
        </row>
        <row r="265">
          <cell r="B265" t="str">
            <v>State</v>
          </cell>
          <cell r="C265" t="str">
            <v>Rate</v>
          </cell>
          <cell r="D265" t="str">
            <v>Type</v>
          </cell>
        </row>
        <row r="266">
          <cell r="B266" t="str">
            <v>UT</v>
          </cell>
          <cell r="C266" t="str">
            <v>FTE</v>
          </cell>
          <cell r="D266" t="str">
            <v>COM</v>
          </cell>
        </row>
        <row r="269">
          <cell r="B269" t="str">
            <v>State</v>
          </cell>
          <cell r="C269" t="str">
            <v>Rate</v>
          </cell>
          <cell r="D269" t="str">
            <v>Type</v>
          </cell>
        </row>
        <row r="270">
          <cell r="B270" t="str">
            <v>UT</v>
          </cell>
          <cell r="C270" t="str">
            <v>MT</v>
          </cell>
          <cell r="D270" t="str">
            <v>DTH</v>
          </cell>
        </row>
        <row r="272">
          <cell r="B272" t="str">
            <v>State</v>
          </cell>
          <cell r="C272" t="str">
            <v>Rate</v>
          </cell>
          <cell r="D272" t="str">
            <v>Type</v>
          </cell>
        </row>
        <row r="273">
          <cell r="B273" t="str">
            <v>UT</v>
          </cell>
          <cell r="C273" t="str">
            <v>MT</v>
          </cell>
          <cell r="D273" t="str">
            <v>DNG</v>
          </cell>
        </row>
        <row r="275">
          <cell r="B275" t="str">
            <v>State</v>
          </cell>
          <cell r="C275" t="str">
            <v>Rate</v>
          </cell>
          <cell r="D275" t="str">
            <v>Type</v>
          </cell>
        </row>
        <row r="276">
          <cell r="B276" t="str">
            <v>UT</v>
          </cell>
          <cell r="C276" t="str">
            <v>MT</v>
          </cell>
          <cell r="D276" t="str">
            <v>SNG</v>
          </cell>
        </row>
        <row r="278">
          <cell r="B278" t="str">
            <v>State</v>
          </cell>
          <cell r="C278" t="str">
            <v>Rate</v>
          </cell>
          <cell r="D278" t="str">
            <v>Type</v>
          </cell>
        </row>
        <row r="279">
          <cell r="B279" t="str">
            <v>UT</v>
          </cell>
          <cell r="C279" t="str">
            <v>MT</v>
          </cell>
          <cell r="D279" t="str">
            <v>COM</v>
          </cell>
        </row>
        <row r="282">
          <cell r="B282" t="str">
            <v>State</v>
          </cell>
          <cell r="C282" t="str">
            <v>Rate</v>
          </cell>
          <cell r="D282" t="str">
            <v>Type</v>
          </cell>
        </row>
        <row r="283">
          <cell r="B283" t="str">
            <v>UT</v>
          </cell>
          <cell r="C283" t="str">
            <v>E1</v>
          </cell>
          <cell r="D283" t="str">
            <v>DTH</v>
          </cell>
        </row>
        <row r="285">
          <cell r="B285" t="str">
            <v>State</v>
          </cell>
          <cell r="C285" t="str">
            <v>Rate</v>
          </cell>
          <cell r="D285" t="str">
            <v>Type</v>
          </cell>
        </row>
        <row r="286">
          <cell r="B286" t="str">
            <v>UT</v>
          </cell>
          <cell r="C286" t="str">
            <v>E1</v>
          </cell>
          <cell r="D286" t="str">
            <v>DNG</v>
          </cell>
        </row>
        <row r="288">
          <cell r="B288" t="str">
            <v>State</v>
          </cell>
          <cell r="C288" t="str">
            <v>Rate</v>
          </cell>
          <cell r="D288" t="str">
            <v>Type</v>
          </cell>
        </row>
        <row r="289">
          <cell r="B289" t="str">
            <v>UT</v>
          </cell>
          <cell r="C289" t="str">
            <v>E1</v>
          </cell>
          <cell r="D289" t="str">
            <v>SNG</v>
          </cell>
        </row>
        <row r="291">
          <cell r="B291" t="str">
            <v>State</v>
          </cell>
          <cell r="C291" t="str">
            <v>Rate</v>
          </cell>
          <cell r="D291" t="str">
            <v>Type</v>
          </cell>
        </row>
        <row r="292">
          <cell r="B292" t="str">
            <v>UT</v>
          </cell>
          <cell r="C292" t="str">
            <v>E1</v>
          </cell>
          <cell r="D292" t="str">
            <v>COM</v>
          </cell>
        </row>
        <row r="300">
          <cell r="B300" t="str">
            <v>State</v>
          </cell>
          <cell r="C300" t="str">
            <v>Rate</v>
          </cell>
          <cell r="D300" t="str">
            <v>Type</v>
          </cell>
        </row>
        <row r="301">
          <cell r="B301" t="str">
            <v>UT</v>
          </cell>
          <cell r="C301" t="str">
            <v>P1</v>
          </cell>
          <cell r="D301" t="str">
            <v>Dth</v>
          </cell>
        </row>
        <row r="303">
          <cell r="B303" t="str">
            <v>State</v>
          </cell>
          <cell r="C303" t="str">
            <v>Rate</v>
          </cell>
          <cell r="D303" t="str">
            <v>Type</v>
          </cell>
        </row>
        <row r="304">
          <cell r="B304" t="str">
            <v>UT</v>
          </cell>
          <cell r="C304" t="str">
            <v>P1</v>
          </cell>
          <cell r="D304" t="str">
            <v>DNG</v>
          </cell>
        </row>
        <row r="306">
          <cell r="B306" t="str">
            <v>State</v>
          </cell>
          <cell r="C306" t="str">
            <v>Rate</v>
          </cell>
          <cell r="D306" t="str">
            <v>Type</v>
          </cell>
        </row>
        <row r="307">
          <cell r="B307" t="str">
            <v>UT</v>
          </cell>
          <cell r="C307" t="str">
            <v>P1</v>
          </cell>
          <cell r="D307" t="str">
            <v>SNG</v>
          </cell>
        </row>
        <row r="309">
          <cell r="B309" t="str">
            <v>State</v>
          </cell>
          <cell r="C309" t="str">
            <v>Rate</v>
          </cell>
          <cell r="D309" t="str">
            <v>Type</v>
          </cell>
        </row>
        <row r="310">
          <cell r="B310" t="str">
            <v>UT</v>
          </cell>
          <cell r="C310" t="str">
            <v>P1</v>
          </cell>
          <cell r="D310" t="str">
            <v>Commodity</v>
          </cell>
        </row>
        <row r="339">
          <cell r="B339" t="str">
            <v>State</v>
          </cell>
          <cell r="C339" t="str">
            <v>Rate</v>
          </cell>
          <cell r="D339" t="str">
            <v>Type</v>
          </cell>
        </row>
        <row r="340">
          <cell r="B340" t="str">
            <v>UT</v>
          </cell>
          <cell r="C340" t="str">
            <v>I4</v>
          </cell>
          <cell r="D340" t="str">
            <v>DTH</v>
          </cell>
        </row>
        <row r="342">
          <cell r="B342" t="str">
            <v>State</v>
          </cell>
          <cell r="C342" t="str">
            <v>Rate</v>
          </cell>
          <cell r="D342" t="str">
            <v>Type</v>
          </cell>
        </row>
        <row r="343">
          <cell r="B343" t="str">
            <v>UT</v>
          </cell>
          <cell r="C343" t="str">
            <v>I4</v>
          </cell>
          <cell r="D343" t="str">
            <v>DNG</v>
          </cell>
        </row>
        <row r="345">
          <cell r="B345" t="str">
            <v>State</v>
          </cell>
          <cell r="C345" t="str">
            <v>Rate</v>
          </cell>
          <cell r="D345" t="str">
            <v>Type</v>
          </cell>
        </row>
        <row r="346">
          <cell r="B346" t="str">
            <v>UT</v>
          </cell>
          <cell r="C346" t="str">
            <v>I4</v>
          </cell>
          <cell r="D346" t="str">
            <v>SNG</v>
          </cell>
        </row>
        <row r="348">
          <cell r="B348" t="str">
            <v>State</v>
          </cell>
          <cell r="C348" t="str">
            <v>Rate</v>
          </cell>
          <cell r="D348" t="str">
            <v>Type</v>
          </cell>
        </row>
        <row r="349">
          <cell r="B349" t="str">
            <v>UT</v>
          </cell>
          <cell r="C349" t="str">
            <v>I4</v>
          </cell>
          <cell r="D349" t="str">
            <v>COM</v>
          </cell>
        </row>
        <row r="359">
          <cell r="B359" t="str">
            <v>State</v>
          </cell>
          <cell r="C359" t="str">
            <v>Rate</v>
          </cell>
          <cell r="D359" t="str">
            <v>Type</v>
          </cell>
        </row>
        <row r="360">
          <cell r="B360" t="str">
            <v>ID</v>
          </cell>
          <cell r="C360" t="str">
            <v xml:space="preserve">GSS </v>
          </cell>
          <cell r="D360" t="str">
            <v>Dth</v>
          </cell>
        </row>
        <row r="362">
          <cell r="B362" t="str">
            <v>State</v>
          </cell>
          <cell r="C362" t="str">
            <v>Rate</v>
          </cell>
          <cell r="D362" t="str">
            <v>Type</v>
          </cell>
        </row>
        <row r="363">
          <cell r="B363" t="str">
            <v>ID</v>
          </cell>
          <cell r="C363" t="str">
            <v xml:space="preserve">GSS </v>
          </cell>
          <cell r="D363" t="str">
            <v>DNG</v>
          </cell>
        </row>
        <row r="365">
          <cell r="B365" t="str">
            <v>State</v>
          </cell>
          <cell r="C365" t="str">
            <v>Rate</v>
          </cell>
          <cell r="D365" t="str">
            <v>Type</v>
          </cell>
        </row>
        <row r="366">
          <cell r="B366" t="str">
            <v>ID</v>
          </cell>
          <cell r="C366" t="str">
            <v xml:space="preserve">GSS </v>
          </cell>
          <cell r="D366" t="str">
            <v>SNG</v>
          </cell>
        </row>
        <row r="368">
          <cell r="B368" t="str">
            <v>State</v>
          </cell>
          <cell r="C368" t="str">
            <v>Rate</v>
          </cell>
          <cell r="D368" t="str">
            <v>Type</v>
          </cell>
        </row>
        <row r="369">
          <cell r="B369" t="str">
            <v>ID</v>
          </cell>
          <cell r="C369" t="str">
            <v xml:space="preserve">GSS </v>
          </cell>
          <cell r="D369" t="str">
            <v>Commodity</v>
          </cell>
        </row>
        <row r="372">
          <cell r="B372" t="str">
            <v>State</v>
          </cell>
          <cell r="C372" t="str">
            <v>Rate</v>
          </cell>
          <cell r="D372" t="str">
            <v>Type</v>
          </cell>
        </row>
        <row r="373">
          <cell r="B373" t="str">
            <v>ID</v>
          </cell>
          <cell r="C373" t="str">
            <v xml:space="preserve">IS  </v>
          </cell>
          <cell r="D373" t="str">
            <v xml:space="preserve">Dth      </v>
          </cell>
        </row>
        <row r="374">
          <cell r="B374" t="str">
            <v>ID</v>
          </cell>
          <cell r="C374" t="str">
            <v xml:space="preserve">IS2 </v>
          </cell>
          <cell r="D374" t="str">
            <v xml:space="preserve">Dth      </v>
          </cell>
        </row>
        <row r="376">
          <cell r="B376" t="str">
            <v>State</v>
          </cell>
          <cell r="C376" t="str">
            <v>Rate</v>
          </cell>
          <cell r="D376" t="str">
            <v>Type</v>
          </cell>
        </row>
        <row r="377">
          <cell r="B377" t="str">
            <v>ID</v>
          </cell>
          <cell r="C377" t="str">
            <v xml:space="preserve">IS  </v>
          </cell>
          <cell r="D377" t="str">
            <v xml:space="preserve">DNG      </v>
          </cell>
        </row>
        <row r="378">
          <cell r="B378" t="str">
            <v>ID</v>
          </cell>
          <cell r="C378" t="str">
            <v xml:space="preserve">IS2 </v>
          </cell>
          <cell r="D378" t="str">
            <v xml:space="preserve">DNG      </v>
          </cell>
        </row>
        <row r="380">
          <cell r="B380" t="str">
            <v>State</v>
          </cell>
          <cell r="C380" t="str">
            <v>Rate</v>
          </cell>
          <cell r="D380" t="str">
            <v>Type</v>
          </cell>
        </row>
        <row r="381">
          <cell r="B381" t="str">
            <v>ID</v>
          </cell>
          <cell r="C381" t="str">
            <v xml:space="preserve">IS  </v>
          </cell>
          <cell r="D381" t="str">
            <v xml:space="preserve">SNG      </v>
          </cell>
        </row>
        <row r="382">
          <cell r="B382" t="str">
            <v>ID</v>
          </cell>
          <cell r="C382" t="str">
            <v xml:space="preserve">IS2 </v>
          </cell>
          <cell r="D382" t="str">
            <v xml:space="preserve">SNG      </v>
          </cell>
        </row>
        <row r="384">
          <cell r="B384" t="str">
            <v>State</v>
          </cell>
          <cell r="C384" t="str">
            <v>Rate</v>
          </cell>
          <cell r="D384" t="str">
            <v>Type</v>
          </cell>
        </row>
        <row r="385">
          <cell r="B385" t="str">
            <v>ID</v>
          </cell>
          <cell r="C385" t="str">
            <v xml:space="preserve">IS  </v>
          </cell>
          <cell r="D385" t="str">
            <v>Commodity</v>
          </cell>
        </row>
        <row r="386">
          <cell r="B386" t="str">
            <v>ID</v>
          </cell>
          <cell r="C386" t="str">
            <v xml:space="preserve">IS2 </v>
          </cell>
          <cell r="D386" t="str">
            <v>Commodity</v>
          </cell>
        </row>
        <row r="397">
          <cell r="B397" t="str">
            <v>State</v>
          </cell>
          <cell r="C397" t="str">
            <v>Rate</v>
          </cell>
          <cell r="D397" t="str">
            <v>Type</v>
          </cell>
        </row>
        <row r="398">
          <cell r="B398" t="str">
            <v>WY</v>
          </cell>
          <cell r="C398" t="str">
            <v>GS</v>
          </cell>
          <cell r="D398" t="str">
            <v>DTH</v>
          </cell>
        </row>
        <row r="400">
          <cell r="B400" t="str">
            <v>State</v>
          </cell>
          <cell r="C400" t="str">
            <v>Rate</v>
          </cell>
          <cell r="D400" t="str">
            <v>Type</v>
          </cell>
        </row>
        <row r="401">
          <cell r="B401" t="str">
            <v>WY</v>
          </cell>
          <cell r="C401" t="str">
            <v>GS</v>
          </cell>
          <cell r="D401" t="str">
            <v>DNG</v>
          </cell>
        </row>
        <row r="403">
          <cell r="B403" t="str">
            <v>State</v>
          </cell>
          <cell r="C403" t="str">
            <v>Rate</v>
          </cell>
          <cell r="D403" t="str">
            <v>Type</v>
          </cell>
        </row>
        <row r="404">
          <cell r="B404" t="str">
            <v>WY</v>
          </cell>
          <cell r="C404" t="str">
            <v>GS</v>
          </cell>
          <cell r="D404" t="str">
            <v>COM</v>
          </cell>
        </row>
        <row r="406">
          <cell r="B406" t="str">
            <v>State</v>
          </cell>
          <cell r="C406" t="str">
            <v>Rate</v>
          </cell>
          <cell r="D406" t="str">
            <v>Type</v>
          </cell>
        </row>
        <row r="407">
          <cell r="B407" t="str">
            <v>WY</v>
          </cell>
          <cell r="C407" t="str">
            <v>GS</v>
          </cell>
          <cell r="D407" t="str">
            <v>SIF</v>
          </cell>
        </row>
        <row r="410">
          <cell r="B410" t="str">
            <v>State</v>
          </cell>
          <cell r="C410" t="str">
            <v>Rate</v>
          </cell>
          <cell r="D410" t="str">
            <v>Type</v>
          </cell>
        </row>
        <row r="411">
          <cell r="B411" t="str">
            <v>WY</v>
          </cell>
          <cell r="C411" t="str">
            <v>F1</v>
          </cell>
          <cell r="D411" t="str">
            <v>DTH</v>
          </cell>
        </row>
        <row r="413">
          <cell r="B413" t="str">
            <v>State</v>
          </cell>
          <cell r="C413" t="str">
            <v>Rate</v>
          </cell>
          <cell r="D413" t="str">
            <v>Type</v>
          </cell>
        </row>
        <row r="414">
          <cell r="B414" t="str">
            <v>WY</v>
          </cell>
          <cell r="C414" t="str">
            <v>F1</v>
          </cell>
          <cell r="D414" t="str">
            <v>DNG</v>
          </cell>
        </row>
        <row r="416">
          <cell r="B416" t="str">
            <v>State</v>
          </cell>
          <cell r="C416" t="str">
            <v>Rate</v>
          </cell>
          <cell r="D416" t="str">
            <v>Type</v>
          </cell>
        </row>
        <row r="417">
          <cell r="B417" t="str">
            <v>WY</v>
          </cell>
          <cell r="C417" t="str">
            <v>F1</v>
          </cell>
          <cell r="D417" t="str">
            <v>COM</v>
          </cell>
        </row>
        <row r="420">
          <cell r="B420" t="str">
            <v>State</v>
          </cell>
          <cell r="C420" t="str">
            <v>Rate</v>
          </cell>
          <cell r="D420" t="str">
            <v>Type</v>
          </cell>
        </row>
        <row r="421">
          <cell r="B421" t="str">
            <v>WY</v>
          </cell>
          <cell r="C421" t="str">
            <v>NGV</v>
          </cell>
          <cell r="D421" t="str">
            <v>DTH</v>
          </cell>
        </row>
        <row r="423">
          <cell r="B423" t="str">
            <v>State</v>
          </cell>
          <cell r="C423" t="str">
            <v>Rate</v>
          </cell>
          <cell r="D423" t="str">
            <v>Type</v>
          </cell>
        </row>
        <row r="424">
          <cell r="B424" t="str">
            <v>WY</v>
          </cell>
          <cell r="C424" t="str">
            <v>NGV</v>
          </cell>
          <cell r="D424" t="str">
            <v>DNG</v>
          </cell>
        </row>
        <row r="426">
          <cell r="B426" t="str">
            <v>State</v>
          </cell>
          <cell r="C426" t="str">
            <v>Rate</v>
          </cell>
          <cell r="D426" t="str">
            <v>Type</v>
          </cell>
        </row>
        <row r="427">
          <cell r="B427" t="str">
            <v>WY</v>
          </cell>
          <cell r="C427" t="str">
            <v>NGV</v>
          </cell>
          <cell r="D427" t="str">
            <v>COM</v>
          </cell>
        </row>
        <row r="430">
          <cell r="B430" t="str">
            <v>State</v>
          </cell>
          <cell r="C430" t="str">
            <v>Rate</v>
          </cell>
          <cell r="D430" t="str">
            <v>Type</v>
          </cell>
        </row>
        <row r="431">
          <cell r="B431" t="str">
            <v>WY</v>
          </cell>
          <cell r="C431" t="str">
            <v>GSW</v>
          </cell>
          <cell r="D431" t="str">
            <v>DTH</v>
          </cell>
        </row>
        <row r="433">
          <cell r="B433" t="str">
            <v>State</v>
          </cell>
          <cell r="C433" t="str">
            <v>Rate</v>
          </cell>
          <cell r="D433" t="str">
            <v>Type</v>
          </cell>
        </row>
        <row r="434">
          <cell r="B434" t="str">
            <v>WY</v>
          </cell>
          <cell r="C434" t="str">
            <v>GSW</v>
          </cell>
          <cell r="D434" t="str">
            <v>DNG</v>
          </cell>
        </row>
        <row r="436">
          <cell r="B436" t="str">
            <v>State</v>
          </cell>
          <cell r="C436" t="str">
            <v>Rate</v>
          </cell>
          <cell r="D436" t="str">
            <v>Type</v>
          </cell>
        </row>
        <row r="437">
          <cell r="B437" t="str">
            <v>WY</v>
          </cell>
          <cell r="C437" t="str">
            <v>GSW</v>
          </cell>
          <cell r="D437" t="str">
            <v>COM</v>
          </cell>
        </row>
        <row r="450">
          <cell r="B450" t="str">
            <v>State</v>
          </cell>
          <cell r="C450" t="str">
            <v>Rate</v>
          </cell>
          <cell r="D450" t="str">
            <v>Type</v>
          </cell>
        </row>
        <row r="451">
          <cell r="B451" t="str">
            <v>WY</v>
          </cell>
          <cell r="C451" t="str">
            <v>IC</v>
          </cell>
          <cell r="D451" t="str">
            <v>DTH</v>
          </cell>
        </row>
        <row r="453">
          <cell r="B453" t="str">
            <v>State</v>
          </cell>
          <cell r="C453" t="str">
            <v>Rate</v>
          </cell>
          <cell r="D453" t="str">
            <v>Type</v>
          </cell>
        </row>
        <row r="454">
          <cell r="B454" t="str">
            <v>WY</v>
          </cell>
          <cell r="C454" t="str">
            <v>IC</v>
          </cell>
          <cell r="D454" t="str">
            <v>DNG</v>
          </cell>
        </row>
        <row r="456">
          <cell r="B456" t="str">
            <v>State</v>
          </cell>
          <cell r="C456" t="str">
            <v>Rate</v>
          </cell>
          <cell r="D456" t="str">
            <v>Type</v>
          </cell>
        </row>
        <row r="457">
          <cell r="B457" t="str">
            <v>WY</v>
          </cell>
          <cell r="C457" t="str">
            <v>IC</v>
          </cell>
          <cell r="D457" t="str">
            <v>COM</v>
          </cell>
        </row>
        <row r="460">
          <cell r="B460" t="str">
            <v>State</v>
          </cell>
          <cell r="C460" t="str">
            <v>Rate</v>
          </cell>
          <cell r="D460" t="str">
            <v>Type</v>
          </cell>
        </row>
        <row r="461">
          <cell r="B461" t="str">
            <v>WY</v>
          </cell>
          <cell r="C461" t="str">
            <v>I2</v>
          </cell>
          <cell r="D461" t="str">
            <v>DTH</v>
          </cell>
        </row>
        <row r="463">
          <cell r="B463" t="str">
            <v>State</v>
          </cell>
          <cell r="C463" t="str">
            <v>Rate</v>
          </cell>
          <cell r="D463" t="str">
            <v>Type</v>
          </cell>
        </row>
        <row r="464">
          <cell r="B464" t="str">
            <v>WY</v>
          </cell>
          <cell r="C464" t="str">
            <v>I2</v>
          </cell>
          <cell r="D464" t="str">
            <v>DNG</v>
          </cell>
        </row>
        <row r="466">
          <cell r="B466" t="str">
            <v>State</v>
          </cell>
          <cell r="C466" t="str">
            <v>Rate</v>
          </cell>
          <cell r="D466" t="str">
            <v>Type</v>
          </cell>
        </row>
        <row r="467">
          <cell r="B467" t="str">
            <v>WY</v>
          </cell>
          <cell r="C467" t="str">
            <v>I2</v>
          </cell>
          <cell r="D467" t="str">
            <v>SNG</v>
          </cell>
        </row>
        <row r="469">
          <cell r="B469" t="str">
            <v>State</v>
          </cell>
          <cell r="C469" t="str">
            <v>Rate</v>
          </cell>
          <cell r="D469" t="str">
            <v>Type</v>
          </cell>
        </row>
        <row r="470">
          <cell r="B470" t="str">
            <v>WY</v>
          </cell>
          <cell r="C470" t="str">
            <v>I2</v>
          </cell>
          <cell r="D470" t="str">
            <v>COM</v>
          </cell>
        </row>
        <row r="473">
          <cell r="B473" t="str">
            <v>State</v>
          </cell>
          <cell r="C473" t="str">
            <v>Rate</v>
          </cell>
          <cell r="D473" t="str">
            <v>Type</v>
          </cell>
        </row>
        <row r="474">
          <cell r="B474" t="str">
            <v>WY</v>
          </cell>
          <cell r="C474" t="str">
            <v>I4</v>
          </cell>
          <cell r="D474" t="str">
            <v>DTH</v>
          </cell>
        </row>
        <row r="476">
          <cell r="B476" t="str">
            <v>State</v>
          </cell>
          <cell r="C476" t="str">
            <v>Rate</v>
          </cell>
          <cell r="D476" t="str">
            <v>Type</v>
          </cell>
        </row>
        <row r="477">
          <cell r="B477" t="str">
            <v>WY</v>
          </cell>
          <cell r="C477" t="str">
            <v>I4</v>
          </cell>
          <cell r="D477" t="str">
            <v>DNG</v>
          </cell>
        </row>
        <row r="479">
          <cell r="B479" t="str">
            <v>State</v>
          </cell>
          <cell r="C479" t="str">
            <v>Rate</v>
          </cell>
          <cell r="D479" t="str">
            <v>Type</v>
          </cell>
        </row>
        <row r="480">
          <cell r="B480" t="str">
            <v>WY</v>
          </cell>
          <cell r="C480" t="str">
            <v>I4</v>
          </cell>
          <cell r="D480" t="str">
            <v>SNG</v>
          </cell>
        </row>
        <row r="482">
          <cell r="B482" t="str">
            <v>State</v>
          </cell>
          <cell r="C482" t="str">
            <v>Rate</v>
          </cell>
          <cell r="D482" t="str">
            <v>Type</v>
          </cell>
        </row>
        <row r="483">
          <cell r="B483" t="str">
            <v>WY</v>
          </cell>
          <cell r="C483" t="str">
            <v>I4</v>
          </cell>
          <cell r="D483" t="str">
            <v>COM</v>
          </cell>
        </row>
        <row r="486">
          <cell r="B486" t="str">
            <v>State</v>
          </cell>
          <cell r="C486" t="str">
            <v>Rate</v>
          </cell>
          <cell r="D486" t="str">
            <v>Type</v>
          </cell>
        </row>
        <row r="487">
          <cell r="B487" t="str">
            <v>WY</v>
          </cell>
          <cell r="C487" t="str">
            <v>IT2</v>
          </cell>
          <cell r="D487" t="str">
            <v xml:space="preserve">Dth      </v>
          </cell>
        </row>
        <row r="488">
          <cell r="B488" t="str">
            <v>WY</v>
          </cell>
          <cell r="C488" t="str">
            <v>IT</v>
          </cell>
          <cell r="D488" t="str">
            <v>DTH</v>
          </cell>
        </row>
        <row r="490">
          <cell r="B490" t="str">
            <v>State</v>
          </cell>
          <cell r="C490" t="str">
            <v>Rate</v>
          </cell>
          <cell r="D490" t="str">
            <v>Type</v>
          </cell>
        </row>
        <row r="491">
          <cell r="B491" t="str">
            <v>WY</v>
          </cell>
          <cell r="C491" t="str">
            <v xml:space="preserve">IT2 </v>
          </cell>
          <cell r="D491" t="str">
            <v xml:space="preserve">DNG      </v>
          </cell>
        </row>
        <row r="492">
          <cell r="B492" t="str">
            <v>WY</v>
          </cell>
          <cell r="C492" t="str">
            <v>IT</v>
          </cell>
          <cell r="D492" t="str">
            <v>DNG</v>
          </cell>
        </row>
        <row r="494">
          <cell r="B494" t="str">
            <v>State</v>
          </cell>
          <cell r="C494" t="str">
            <v>Rate</v>
          </cell>
          <cell r="D494" t="str">
            <v>Type</v>
          </cell>
        </row>
        <row r="495">
          <cell r="B495" t="str">
            <v>WY</v>
          </cell>
          <cell r="C495" t="str">
            <v>IT2</v>
          </cell>
          <cell r="D495" t="str">
            <v>Commodity</v>
          </cell>
        </row>
        <row r="496">
          <cell r="B496" t="str">
            <v>WY</v>
          </cell>
          <cell r="C496" t="str">
            <v>IT</v>
          </cell>
          <cell r="D496" t="str">
            <v>COM</v>
          </cell>
        </row>
        <row r="499">
          <cell r="B499" t="str">
            <v>State</v>
          </cell>
          <cell r="C499" t="str">
            <v>Rate</v>
          </cell>
          <cell r="D499" t="str">
            <v>Type</v>
          </cell>
        </row>
        <row r="500">
          <cell r="B500" t="str">
            <v>WY</v>
          </cell>
          <cell r="C500" t="str">
            <v xml:space="preserve">IC2 </v>
          </cell>
          <cell r="D500" t="str">
            <v xml:space="preserve">Dth      </v>
          </cell>
        </row>
        <row r="501">
          <cell r="B501" t="str">
            <v>WY</v>
          </cell>
          <cell r="C501" t="str">
            <v xml:space="preserve">IC3 </v>
          </cell>
          <cell r="D501" t="str">
            <v xml:space="preserve">Dth      </v>
          </cell>
        </row>
        <row r="502">
          <cell r="B502" t="str">
            <v>WY</v>
          </cell>
          <cell r="C502" t="str">
            <v xml:space="preserve">IC7 </v>
          </cell>
          <cell r="D502" t="str">
            <v xml:space="preserve">Dth      </v>
          </cell>
        </row>
        <row r="503">
          <cell r="B503" t="str">
            <v>WY</v>
          </cell>
          <cell r="C503" t="str">
            <v xml:space="preserve">IC8 </v>
          </cell>
          <cell r="D503" t="str">
            <v xml:space="preserve">Dth      </v>
          </cell>
        </row>
        <row r="504">
          <cell r="B504" t="str">
            <v>WY</v>
          </cell>
          <cell r="C504" t="str">
            <v xml:space="preserve">IC9 </v>
          </cell>
          <cell r="D504" t="str">
            <v xml:space="preserve">Dth      </v>
          </cell>
        </row>
        <row r="506">
          <cell r="B506" t="str">
            <v>State</v>
          </cell>
          <cell r="C506" t="str">
            <v>Rate</v>
          </cell>
          <cell r="D506" t="str">
            <v>Type</v>
          </cell>
        </row>
        <row r="507">
          <cell r="B507" t="str">
            <v>WY</v>
          </cell>
          <cell r="C507" t="str">
            <v xml:space="preserve">IC2 </v>
          </cell>
          <cell r="D507" t="str">
            <v xml:space="preserve">DNG      </v>
          </cell>
        </row>
        <row r="508">
          <cell r="B508" t="str">
            <v>WY</v>
          </cell>
          <cell r="C508" t="str">
            <v xml:space="preserve">IC3 </v>
          </cell>
          <cell r="D508" t="str">
            <v xml:space="preserve">DNG      </v>
          </cell>
        </row>
        <row r="509">
          <cell r="B509" t="str">
            <v>WY</v>
          </cell>
          <cell r="C509" t="str">
            <v xml:space="preserve">IC7 </v>
          </cell>
          <cell r="D509" t="str">
            <v xml:space="preserve">DNG      </v>
          </cell>
        </row>
        <row r="510">
          <cell r="B510" t="str">
            <v>WY</v>
          </cell>
          <cell r="C510" t="str">
            <v xml:space="preserve">IC8 </v>
          </cell>
          <cell r="D510" t="str">
            <v xml:space="preserve">DNG      </v>
          </cell>
        </row>
        <row r="511">
          <cell r="B511" t="str">
            <v>WY</v>
          </cell>
          <cell r="C511" t="str">
            <v xml:space="preserve">IC9 </v>
          </cell>
          <cell r="D511" t="str">
            <v xml:space="preserve">DNG      </v>
          </cell>
        </row>
        <row r="513">
          <cell r="B513" t="str">
            <v>State</v>
          </cell>
          <cell r="C513" t="str">
            <v>Rate</v>
          </cell>
          <cell r="D513" t="str">
            <v>Type</v>
          </cell>
        </row>
        <row r="514">
          <cell r="B514" t="str">
            <v>WY</v>
          </cell>
          <cell r="C514" t="str">
            <v xml:space="preserve">IC2 </v>
          </cell>
          <cell r="D514" t="str">
            <v>Commodity</v>
          </cell>
        </row>
        <row r="515">
          <cell r="B515" t="str">
            <v>WY</v>
          </cell>
          <cell r="C515" t="str">
            <v>IC3</v>
          </cell>
          <cell r="D515" t="str">
            <v>Commodity</v>
          </cell>
        </row>
        <row r="516">
          <cell r="B516" t="str">
            <v>WY</v>
          </cell>
          <cell r="C516" t="str">
            <v>IC5</v>
          </cell>
          <cell r="D516" t="str">
            <v>Commodity</v>
          </cell>
        </row>
        <row r="517">
          <cell r="B517" t="str">
            <v>WY</v>
          </cell>
          <cell r="C517" t="str">
            <v>IC6</v>
          </cell>
          <cell r="D517" t="str">
            <v>Commodity</v>
          </cell>
        </row>
        <row r="518">
          <cell r="B518" t="str">
            <v>WY</v>
          </cell>
          <cell r="C518" t="str">
            <v>IC7</v>
          </cell>
          <cell r="D518" t="str">
            <v>Commodity</v>
          </cell>
        </row>
        <row r="519">
          <cell r="B519" t="str">
            <v>WY</v>
          </cell>
          <cell r="C519" t="str">
            <v xml:space="preserve">IC8 </v>
          </cell>
          <cell r="D519" t="str">
            <v>Commodity</v>
          </cell>
        </row>
        <row r="520">
          <cell r="B520" t="str">
            <v>WY</v>
          </cell>
          <cell r="C520" t="str">
            <v>IC9</v>
          </cell>
          <cell r="D520" t="str">
            <v>Commodity</v>
          </cell>
        </row>
        <row r="530">
          <cell r="B530" t="str">
            <v>State</v>
          </cell>
          <cell r="C530" t="str">
            <v>Rate</v>
          </cell>
          <cell r="D530" t="str">
            <v>Type</v>
          </cell>
        </row>
        <row r="531">
          <cell r="B531" t="str">
            <v>CO</v>
          </cell>
          <cell r="C531" t="str">
            <v>I4</v>
          </cell>
          <cell r="D531" t="str">
            <v>DTH</v>
          </cell>
        </row>
        <row r="533">
          <cell r="B533" t="str">
            <v>State</v>
          </cell>
          <cell r="C533" t="str">
            <v>Rate</v>
          </cell>
          <cell r="D533" t="str">
            <v>Type</v>
          </cell>
        </row>
        <row r="534">
          <cell r="B534" t="str">
            <v>CO</v>
          </cell>
          <cell r="C534" t="str">
            <v>I4</v>
          </cell>
          <cell r="D534" t="str">
            <v>DNG</v>
          </cell>
        </row>
        <row r="536">
          <cell r="B536" t="str">
            <v>State</v>
          </cell>
          <cell r="C536" t="str">
            <v>Rate</v>
          </cell>
          <cell r="D536" t="str">
            <v>Type</v>
          </cell>
        </row>
        <row r="537">
          <cell r="B537" t="str">
            <v>CO</v>
          </cell>
          <cell r="C537" t="str">
            <v>I4</v>
          </cell>
          <cell r="D537" t="str">
            <v>COM</v>
          </cell>
        </row>
        <row r="540">
          <cell r="B540" t="str">
            <v>State</v>
          </cell>
          <cell r="C540" t="str">
            <v>Rate</v>
          </cell>
          <cell r="D540" t="str">
            <v>Type</v>
          </cell>
        </row>
        <row r="541">
          <cell r="B541" t="str">
            <v>CO</v>
          </cell>
          <cell r="C541" t="str">
            <v>IC</v>
          </cell>
          <cell r="D541" t="str">
            <v>Dth</v>
          </cell>
        </row>
        <row r="542">
          <cell r="B542" t="str">
            <v>CO</v>
          </cell>
          <cell r="C542" t="str">
            <v>IT</v>
          </cell>
          <cell r="D542" t="str">
            <v>Dth</v>
          </cell>
        </row>
        <row r="544">
          <cell r="B544" t="str">
            <v>State</v>
          </cell>
          <cell r="C544" t="str">
            <v>Rate</v>
          </cell>
          <cell r="D544" t="str">
            <v>Type</v>
          </cell>
        </row>
        <row r="545">
          <cell r="B545" t="str">
            <v>CO</v>
          </cell>
          <cell r="C545" t="str">
            <v>IC</v>
          </cell>
          <cell r="D545" t="str">
            <v>DNG</v>
          </cell>
        </row>
        <row r="546">
          <cell r="B546" t="str">
            <v>CO</v>
          </cell>
          <cell r="C546" t="str">
            <v>IT</v>
          </cell>
          <cell r="D546" t="str">
            <v>DNG</v>
          </cell>
        </row>
        <row r="548">
          <cell r="B548" t="str">
            <v>State</v>
          </cell>
          <cell r="C548" t="str">
            <v>Rate</v>
          </cell>
          <cell r="D548" t="str">
            <v>Type</v>
          </cell>
        </row>
        <row r="549">
          <cell r="B549" t="str">
            <v>CO</v>
          </cell>
          <cell r="C549" t="str">
            <v>IC</v>
          </cell>
          <cell r="D549" t="str">
            <v>Commodity</v>
          </cell>
        </row>
        <row r="550">
          <cell r="B550" t="str">
            <v>CO</v>
          </cell>
          <cell r="C550" t="str">
            <v>IT</v>
          </cell>
          <cell r="D550" t="str">
            <v>Commodity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</v>
          </cell>
          <cell r="B1" t="str">
            <v>Dept</v>
          </cell>
          <cell r="C1" t="str">
            <v>Sum Amount</v>
          </cell>
          <cell r="D1" t="str">
            <v>Trans</v>
          </cell>
          <cell r="E1" t="str">
            <v>Product</v>
          </cell>
          <cell r="F1" t="str">
            <v>Sum Stat Amt</v>
          </cell>
          <cell r="G1" t="str">
            <v>Period</v>
          </cell>
          <cell r="H1" t="str">
            <v>Date</v>
          </cell>
        </row>
        <row r="2">
          <cell r="A2" t="str">
            <v>481003</v>
          </cell>
          <cell r="B2" t="str">
            <v>1015</v>
          </cell>
          <cell r="C2">
            <v>-1604.99</v>
          </cell>
          <cell r="D2" t="str">
            <v>200</v>
          </cell>
          <cell r="F2">
            <v>-340.85</v>
          </cell>
          <cell r="G2">
            <v>6</v>
          </cell>
          <cell r="H2" t="str">
            <v>2010-06-30</v>
          </cell>
        </row>
        <row r="3">
          <cell r="A3" t="str">
            <v>481003</v>
          </cell>
          <cell r="B3" t="str">
            <v>1015</v>
          </cell>
          <cell r="C3">
            <v>-12334.23</v>
          </cell>
          <cell r="D3" t="str">
            <v>200</v>
          </cell>
          <cell r="F3">
            <v>-1551.7</v>
          </cell>
          <cell r="G3">
            <v>9</v>
          </cell>
          <cell r="H3" t="str">
            <v>2009-09-30</v>
          </cell>
        </row>
        <row r="4">
          <cell r="A4" t="str">
            <v>481003</v>
          </cell>
          <cell r="B4" t="str">
            <v>1015</v>
          </cell>
          <cell r="C4">
            <v>-1938.42</v>
          </cell>
          <cell r="D4" t="str">
            <v>200</v>
          </cell>
          <cell r="F4">
            <v>-314.85000000000002</v>
          </cell>
          <cell r="G4">
            <v>10</v>
          </cell>
          <cell r="H4" t="str">
            <v>2009-10-31</v>
          </cell>
        </row>
        <row r="5">
          <cell r="A5" t="str">
            <v>481003</v>
          </cell>
          <cell r="B5" t="str">
            <v>1015</v>
          </cell>
          <cell r="C5">
            <v>-50.28</v>
          </cell>
          <cell r="D5" t="str">
            <v>200</v>
          </cell>
          <cell r="F5">
            <v>-9.1199999999999992</v>
          </cell>
          <cell r="G5">
            <v>12</v>
          </cell>
          <cell r="H5" t="str">
            <v>2009-12-31</v>
          </cell>
        </row>
        <row r="6">
          <cell r="A6" t="str">
            <v>481003</v>
          </cell>
          <cell r="B6" t="str">
            <v>1015</v>
          </cell>
          <cell r="C6">
            <v>-43981.1</v>
          </cell>
          <cell r="D6" t="str">
            <v>200</v>
          </cell>
          <cell r="F6">
            <v>-5469.81</v>
          </cell>
          <cell r="G6">
            <v>12</v>
          </cell>
          <cell r="H6" t="str">
            <v>2009-12-31</v>
          </cell>
        </row>
        <row r="7">
          <cell r="A7" t="str">
            <v>481003</v>
          </cell>
          <cell r="B7" t="str">
            <v>1015</v>
          </cell>
          <cell r="C7">
            <v>-24897.119999999999</v>
          </cell>
          <cell r="D7" t="str">
            <v>200</v>
          </cell>
          <cell r="F7">
            <v>-3088.03</v>
          </cell>
          <cell r="G7">
            <v>12</v>
          </cell>
          <cell r="H7" t="str">
            <v>2009-12-31</v>
          </cell>
        </row>
        <row r="8">
          <cell r="A8" t="str">
            <v>481003</v>
          </cell>
          <cell r="B8" t="str">
            <v>1015</v>
          </cell>
          <cell r="C8">
            <v>-7913.46</v>
          </cell>
          <cell r="D8" t="str">
            <v>200</v>
          </cell>
          <cell r="F8">
            <v>-1434.52</v>
          </cell>
          <cell r="G8">
            <v>12</v>
          </cell>
          <cell r="H8" t="str">
            <v>2009-12-31</v>
          </cell>
        </row>
        <row r="9">
          <cell r="A9" t="str">
            <v>481003</v>
          </cell>
          <cell r="B9" t="str">
            <v>1015</v>
          </cell>
          <cell r="C9">
            <v>-1130.0899999999999</v>
          </cell>
          <cell r="D9" t="str">
            <v>200</v>
          </cell>
          <cell r="F9">
            <v>-188.2</v>
          </cell>
          <cell r="G9">
            <v>1</v>
          </cell>
          <cell r="H9" t="str">
            <v>2010-01-31</v>
          </cell>
        </row>
        <row r="10">
          <cell r="A10" t="str">
            <v>481003</v>
          </cell>
          <cell r="B10" t="str">
            <v>1015</v>
          </cell>
          <cell r="C10">
            <v>-16461.09</v>
          </cell>
          <cell r="D10" t="str">
            <v>200</v>
          </cell>
          <cell r="F10">
            <v>-2983.9</v>
          </cell>
          <cell r="G10">
            <v>5</v>
          </cell>
          <cell r="H10" t="str">
            <v>2010-05-31</v>
          </cell>
        </row>
        <row r="11">
          <cell r="A11" t="str">
            <v>481003</v>
          </cell>
          <cell r="B11" t="str">
            <v>1015</v>
          </cell>
          <cell r="C11">
            <v>-22578.45</v>
          </cell>
          <cell r="D11" t="str">
            <v>200</v>
          </cell>
          <cell r="F11">
            <v>-4092.73</v>
          </cell>
          <cell r="G11">
            <v>5</v>
          </cell>
          <cell r="H11" t="str">
            <v>2010-05-31</v>
          </cell>
        </row>
        <row r="12">
          <cell r="A12" t="str">
            <v>481003</v>
          </cell>
          <cell r="B12" t="str">
            <v>1015</v>
          </cell>
          <cell r="C12">
            <v>-2467.1</v>
          </cell>
          <cell r="D12" t="str">
            <v>200</v>
          </cell>
          <cell r="F12">
            <v>-416.27</v>
          </cell>
          <cell r="G12">
            <v>6</v>
          </cell>
          <cell r="H12" t="str">
            <v>2010-06-30</v>
          </cell>
        </row>
        <row r="13">
          <cell r="A13" t="str">
            <v>481003</v>
          </cell>
          <cell r="B13" t="str">
            <v>1015</v>
          </cell>
          <cell r="C13">
            <v>-7058.1</v>
          </cell>
          <cell r="D13" t="str">
            <v>200</v>
          </cell>
          <cell r="F13">
            <v>-706.68</v>
          </cell>
          <cell r="G13">
            <v>7</v>
          </cell>
          <cell r="H13" t="str">
            <v>2009-07-31</v>
          </cell>
        </row>
        <row r="14">
          <cell r="A14" t="str">
            <v>481003</v>
          </cell>
          <cell r="B14" t="str">
            <v>1015</v>
          </cell>
          <cell r="C14">
            <v>-15844.47</v>
          </cell>
          <cell r="D14" t="str">
            <v>200</v>
          </cell>
          <cell r="F14">
            <v>-1586.4</v>
          </cell>
          <cell r="G14">
            <v>8</v>
          </cell>
          <cell r="H14" t="str">
            <v>2009-08-31</v>
          </cell>
        </row>
        <row r="15">
          <cell r="A15" t="str">
            <v>481003</v>
          </cell>
          <cell r="B15" t="str">
            <v>1015</v>
          </cell>
          <cell r="C15">
            <v>-5863.17</v>
          </cell>
          <cell r="D15" t="str">
            <v>200</v>
          </cell>
          <cell r="F15">
            <v>-587.04</v>
          </cell>
          <cell r="G15">
            <v>9</v>
          </cell>
          <cell r="H15" t="str">
            <v>2009-09-30</v>
          </cell>
        </row>
        <row r="16">
          <cell r="A16" t="str">
            <v>481003</v>
          </cell>
          <cell r="B16" t="str">
            <v>1015</v>
          </cell>
          <cell r="C16">
            <v>-14588.42</v>
          </cell>
          <cell r="D16" t="str">
            <v>200</v>
          </cell>
          <cell r="F16">
            <v>-1460.64</v>
          </cell>
          <cell r="G16">
            <v>9</v>
          </cell>
          <cell r="H16" t="str">
            <v>2009-09-30</v>
          </cell>
        </row>
        <row r="17">
          <cell r="A17" t="str">
            <v>481003</v>
          </cell>
          <cell r="B17" t="str">
            <v>1015</v>
          </cell>
          <cell r="C17">
            <v>-11519</v>
          </cell>
          <cell r="D17" t="str">
            <v>200</v>
          </cell>
          <cell r="F17">
            <v>-1153.32</v>
          </cell>
          <cell r="G17">
            <v>10</v>
          </cell>
          <cell r="H17" t="str">
            <v>2009-10-31</v>
          </cell>
        </row>
        <row r="18">
          <cell r="A18" t="str">
            <v>481003</v>
          </cell>
          <cell r="B18" t="str">
            <v>1015</v>
          </cell>
          <cell r="C18">
            <v>-31321.119999999999</v>
          </cell>
          <cell r="D18" t="str">
            <v>200</v>
          </cell>
          <cell r="F18">
            <v>-3135.97</v>
          </cell>
          <cell r="G18">
            <v>10</v>
          </cell>
          <cell r="H18" t="str">
            <v>2009-10-31</v>
          </cell>
        </row>
        <row r="19">
          <cell r="A19" t="str">
            <v>481003</v>
          </cell>
          <cell r="B19" t="str">
            <v>1015</v>
          </cell>
          <cell r="C19">
            <v>-8622.16</v>
          </cell>
          <cell r="D19" t="str">
            <v>200</v>
          </cell>
          <cell r="F19">
            <v>-890.16</v>
          </cell>
          <cell r="G19">
            <v>11</v>
          </cell>
          <cell r="H19" t="str">
            <v>2009-11-30</v>
          </cell>
        </row>
        <row r="20">
          <cell r="A20" t="str">
            <v>481003</v>
          </cell>
          <cell r="B20" t="str">
            <v>1015</v>
          </cell>
          <cell r="C20">
            <v>-11601.21</v>
          </cell>
          <cell r="D20" t="str">
            <v>200</v>
          </cell>
          <cell r="F20">
            <v>-1197.72</v>
          </cell>
          <cell r="G20">
            <v>11</v>
          </cell>
          <cell r="H20" t="str">
            <v>2009-11-30</v>
          </cell>
        </row>
        <row r="21">
          <cell r="A21" t="str">
            <v>481003</v>
          </cell>
          <cell r="B21" t="str">
            <v>1015</v>
          </cell>
          <cell r="C21">
            <v>-18656.939999999999</v>
          </cell>
          <cell r="D21" t="str">
            <v>200</v>
          </cell>
          <cell r="F21">
            <v>-1926.12</v>
          </cell>
          <cell r="G21">
            <v>11</v>
          </cell>
          <cell r="H21" t="str">
            <v>2009-11-30</v>
          </cell>
        </row>
        <row r="22">
          <cell r="A22" t="str">
            <v>481003</v>
          </cell>
          <cell r="B22" t="str">
            <v>1015</v>
          </cell>
          <cell r="C22">
            <v>-3598.23</v>
          </cell>
          <cell r="D22" t="str">
            <v>200</v>
          </cell>
          <cell r="F22">
            <v>-371.52</v>
          </cell>
          <cell r="G22">
            <v>11</v>
          </cell>
          <cell r="H22" t="str">
            <v>2009-11-30</v>
          </cell>
        </row>
        <row r="23">
          <cell r="A23" t="str">
            <v>481003</v>
          </cell>
          <cell r="B23" t="str">
            <v>1015</v>
          </cell>
          <cell r="C23">
            <v>-11940.88</v>
          </cell>
          <cell r="D23" t="str">
            <v>200</v>
          </cell>
          <cell r="F23">
            <v>-1232.76</v>
          </cell>
          <cell r="G23">
            <v>12</v>
          </cell>
          <cell r="H23" t="str">
            <v>2009-12-31</v>
          </cell>
        </row>
        <row r="24">
          <cell r="A24" t="str">
            <v>481003</v>
          </cell>
          <cell r="B24" t="str">
            <v>1015</v>
          </cell>
          <cell r="C24">
            <v>-10899.17</v>
          </cell>
          <cell r="D24" t="str">
            <v>200</v>
          </cell>
          <cell r="F24">
            <v>-1125.24</v>
          </cell>
          <cell r="G24">
            <v>1</v>
          </cell>
          <cell r="H24" t="str">
            <v>2010-01-31</v>
          </cell>
        </row>
        <row r="25">
          <cell r="A25" t="str">
            <v>481003</v>
          </cell>
          <cell r="B25" t="str">
            <v>1015</v>
          </cell>
          <cell r="C25">
            <v>-16894.46</v>
          </cell>
          <cell r="D25" t="str">
            <v>200</v>
          </cell>
          <cell r="F25">
            <v>-1744.2</v>
          </cell>
          <cell r="G25">
            <v>1</v>
          </cell>
          <cell r="H25" t="str">
            <v>2010-01-31</v>
          </cell>
        </row>
        <row r="26">
          <cell r="A26" t="str">
            <v>481003</v>
          </cell>
          <cell r="B26" t="str">
            <v>1015</v>
          </cell>
          <cell r="C26">
            <v>-3550.58</v>
          </cell>
          <cell r="D26" t="str">
            <v>200</v>
          </cell>
          <cell r="F26">
            <v>-366.6</v>
          </cell>
          <cell r="G26">
            <v>1</v>
          </cell>
          <cell r="H26" t="str">
            <v>2010-01-31</v>
          </cell>
        </row>
        <row r="27">
          <cell r="A27" t="str">
            <v>481003</v>
          </cell>
          <cell r="B27" t="str">
            <v>1015</v>
          </cell>
          <cell r="C27">
            <v>-3635.43</v>
          </cell>
          <cell r="D27" t="str">
            <v>200</v>
          </cell>
          <cell r="F27">
            <v>-375.36</v>
          </cell>
          <cell r="G27">
            <v>2</v>
          </cell>
          <cell r="H27" t="str">
            <v>2010-02-28</v>
          </cell>
        </row>
        <row r="28">
          <cell r="A28" t="str">
            <v>481003</v>
          </cell>
          <cell r="B28" t="str">
            <v>1015</v>
          </cell>
          <cell r="C28">
            <v>-3385.53</v>
          </cell>
          <cell r="D28" t="str">
            <v>200</v>
          </cell>
          <cell r="F28">
            <v>-349.56</v>
          </cell>
          <cell r="G28">
            <v>3</v>
          </cell>
          <cell r="H28" t="str">
            <v>2010-03-31</v>
          </cell>
        </row>
        <row r="29">
          <cell r="A29" t="str">
            <v>481003</v>
          </cell>
          <cell r="B29" t="str">
            <v>1015</v>
          </cell>
          <cell r="C29">
            <v>-2789.8</v>
          </cell>
          <cell r="D29" t="str">
            <v>200</v>
          </cell>
          <cell r="F29">
            <v>-288.02</v>
          </cell>
          <cell r="G29">
            <v>4</v>
          </cell>
          <cell r="H29" t="str">
            <v>2010-04-30</v>
          </cell>
        </row>
        <row r="30">
          <cell r="A30" t="str">
            <v>481003</v>
          </cell>
          <cell r="B30" t="str">
            <v>1015</v>
          </cell>
          <cell r="C30">
            <v>-41765.99</v>
          </cell>
          <cell r="D30" t="str">
            <v>200</v>
          </cell>
          <cell r="F30">
            <v>-4311.96</v>
          </cell>
          <cell r="G30">
            <v>5</v>
          </cell>
          <cell r="H30" t="str">
            <v>2010-05-31</v>
          </cell>
        </row>
        <row r="31">
          <cell r="A31" t="str">
            <v>481003</v>
          </cell>
          <cell r="B31" t="str">
            <v>1015</v>
          </cell>
          <cell r="C31">
            <v>-4058.51</v>
          </cell>
          <cell r="D31" t="str">
            <v>200</v>
          </cell>
          <cell r="F31">
            <v>-419.04</v>
          </cell>
          <cell r="G31">
            <v>5</v>
          </cell>
          <cell r="H31" t="str">
            <v>2010-05-31</v>
          </cell>
        </row>
        <row r="32">
          <cell r="A32" t="str">
            <v>481003</v>
          </cell>
          <cell r="B32" t="str">
            <v>1015</v>
          </cell>
          <cell r="C32">
            <v>-10638.81</v>
          </cell>
          <cell r="D32" t="str">
            <v>200</v>
          </cell>
          <cell r="F32">
            <v>-1098.3599999999999</v>
          </cell>
          <cell r="G32">
            <v>6</v>
          </cell>
          <cell r="H32" t="str">
            <v>2010-06-30</v>
          </cell>
        </row>
        <row r="33">
          <cell r="A33" t="str">
            <v>481003</v>
          </cell>
          <cell r="B33" t="str">
            <v>1015</v>
          </cell>
          <cell r="C33">
            <v>-23.51</v>
          </cell>
          <cell r="D33" t="str">
            <v>200</v>
          </cell>
          <cell r="F33">
            <v>-6.62</v>
          </cell>
          <cell r="G33">
            <v>7</v>
          </cell>
          <cell r="H33" t="str">
            <v>2009-07-31</v>
          </cell>
        </row>
        <row r="34">
          <cell r="A34" t="str">
            <v>481003</v>
          </cell>
          <cell r="B34" t="str">
            <v>1015</v>
          </cell>
          <cell r="C34">
            <v>-15.47</v>
          </cell>
          <cell r="D34" t="str">
            <v>200</v>
          </cell>
          <cell r="F34">
            <v>-4.3600000000000003</v>
          </cell>
          <cell r="G34">
            <v>7</v>
          </cell>
          <cell r="H34" t="str">
            <v>2009-07-31</v>
          </cell>
        </row>
        <row r="35">
          <cell r="A35" t="str">
            <v>481003</v>
          </cell>
          <cell r="B35" t="str">
            <v>1015</v>
          </cell>
          <cell r="C35">
            <v>-12626.82</v>
          </cell>
          <cell r="D35" t="str">
            <v>200</v>
          </cell>
          <cell r="F35">
            <v>-2185.16</v>
          </cell>
          <cell r="G35">
            <v>8</v>
          </cell>
          <cell r="H35" t="str">
            <v>2009-08-31</v>
          </cell>
        </row>
        <row r="36">
          <cell r="A36" t="str">
            <v>481003</v>
          </cell>
          <cell r="B36" t="str">
            <v>1015</v>
          </cell>
          <cell r="C36">
            <v>-9725.68</v>
          </cell>
          <cell r="D36" t="str">
            <v>200</v>
          </cell>
          <cell r="F36">
            <v>-1775.34</v>
          </cell>
          <cell r="G36">
            <v>12</v>
          </cell>
          <cell r="H36" t="str">
            <v>2009-12-31</v>
          </cell>
        </row>
        <row r="37">
          <cell r="A37" t="str">
            <v>481003</v>
          </cell>
          <cell r="B37" t="str">
            <v>1015</v>
          </cell>
          <cell r="C37">
            <v>-29.41</v>
          </cell>
          <cell r="D37" t="str">
            <v>200</v>
          </cell>
          <cell r="F37">
            <v>-8.2899999999999991</v>
          </cell>
          <cell r="G37">
            <v>12</v>
          </cell>
          <cell r="H37" t="str">
            <v>2009-12-31</v>
          </cell>
        </row>
        <row r="38">
          <cell r="A38" t="str">
            <v>481003</v>
          </cell>
          <cell r="B38" t="str">
            <v>1015</v>
          </cell>
          <cell r="C38">
            <v>-1375.02</v>
          </cell>
          <cell r="D38" t="str">
            <v>200</v>
          </cell>
          <cell r="F38">
            <v>-299.3</v>
          </cell>
          <cell r="G38">
            <v>1</v>
          </cell>
          <cell r="H38" t="str">
            <v>2010-01-31</v>
          </cell>
        </row>
        <row r="39">
          <cell r="A39" t="str">
            <v>481003</v>
          </cell>
          <cell r="B39" t="str">
            <v>1015</v>
          </cell>
          <cell r="C39">
            <v>-9668.34</v>
          </cell>
          <cell r="D39" t="str">
            <v>200</v>
          </cell>
          <cell r="F39">
            <v>-1764.66</v>
          </cell>
          <cell r="G39">
            <v>4</v>
          </cell>
          <cell r="H39" t="str">
            <v>2010-04-30</v>
          </cell>
        </row>
        <row r="40">
          <cell r="A40" t="str">
            <v>481003</v>
          </cell>
          <cell r="B40" t="str">
            <v>1015</v>
          </cell>
          <cell r="C40">
            <v>-51.11</v>
          </cell>
          <cell r="D40" t="str">
            <v>200</v>
          </cell>
          <cell r="F40">
            <v>-14.39</v>
          </cell>
          <cell r="G40">
            <v>4</v>
          </cell>
          <cell r="H40" t="str">
            <v>2010-04-30</v>
          </cell>
        </row>
        <row r="41">
          <cell r="A41" t="str">
            <v>481003</v>
          </cell>
          <cell r="B41" t="str">
            <v>1015</v>
          </cell>
          <cell r="C41">
            <v>-1934.54</v>
          </cell>
          <cell r="D41" t="str">
            <v>200</v>
          </cell>
          <cell r="F41">
            <v>-326.87</v>
          </cell>
          <cell r="G41">
            <v>7</v>
          </cell>
          <cell r="H41" t="str">
            <v>2009-07-31</v>
          </cell>
        </row>
        <row r="42">
          <cell r="A42" t="str">
            <v>481003</v>
          </cell>
          <cell r="B42" t="str">
            <v>1015</v>
          </cell>
          <cell r="C42">
            <v>-29809.37</v>
          </cell>
          <cell r="D42" t="str">
            <v>200</v>
          </cell>
          <cell r="F42">
            <v>-3236.56</v>
          </cell>
          <cell r="G42">
            <v>8</v>
          </cell>
          <cell r="H42" t="str">
            <v>2009-08-31</v>
          </cell>
        </row>
        <row r="43">
          <cell r="A43" t="str">
            <v>481003</v>
          </cell>
          <cell r="B43" t="str">
            <v>1015</v>
          </cell>
          <cell r="C43">
            <v>-38102.400000000001</v>
          </cell>
          <cell r="D43" t="str">
            <v>200</v>
          </cell>
          <cell r="F43">
            <v>-4237.01</v>
          </cell>
          <cell r="G43">
            <v>8</v>
          </cell>
          <cell r="H43" t="str">
            <v>2009-08-31</v>
          </cell>
        </row>
        <row r="44">
          <cell r="A44" t="str">
            <v>481003</v>
          </cell>
          <cell r="B44" t="str">
            <v>1015</v>
          </cell>
          <cell r="C44">
            <v>-28579.18</v>
          </cell>
          <cell r="D44" t="str">
            <v>200</v>
          </cell>
          <cell r="F44">
            <v>-3475.71</v>
          </cell>
          <cell r="G44">
            <v>10</v>
          </cell>
          <cell r="H44" t="str">
            <v>2009-10-31</v>
          </cell>
        </row>
        <row r="45">
          <cell r="A45" t="str">
            <v>481003</v>
          </cell>
          <cell r="B45" t="str">
            <v>1015</v>
          </cell>
          <cell r="C45">
            <v>-11032.71</v>
          </cell>
          <cell r="D45" t="str">
            <v>200</v>
          </cell>
          <cell r="F45">
            <v>-1999.85</v>
          </cell>
          <cell r="G45">
            <v>11</v>
          </cell>
          <cell r="H45" t="str">
            <v>2009-11-30</v>
          </cell>
        </row>
        <row r="46">
          <cell r="A46" t="str">
            <v>481003</v>
          </cell>
          <cell r="B46" t="str">
            <v>1015</v>
          </cell>
          <cell r="C46">
            <v>-11384.38</v>
          </cell>
          <cell r="D46" t="str">
            <v>200</v>
          </cell>
          <cell r="F46">
            <v>-2063.61</v>
          </cell>
          <cell r="G46">
            <v>11</v>
          </cell>
          <cell r="H46" t="str">
            <v>2009-11-30</v>
          </cell>
        </row>
        <row r="47">
          <cell r="A47" t="str">
            <v>481003</v>
          </cell>
          <cell r="B47" t="str">
            <v>1015</v>
          </cell>
          <cell r="C47">
            <v>-1337.16</v>
          </cell>
          <cell r="D47" t="str">
            <v>200</v>
          </cell>
          <cell r="F47">
            <v>-218.02</v>
          </cell>
          <cell r="G47">
            <v>12</v>
          </cell>
          <cell r="H47" t="str">
            <v>2009-12-31</v>
          </cell>
        </row>
        <row r="48">
          <cell r="A48" t="str">
            <v>481003</v>
          </cell>
          <cell r="B48" t="str">
            <v>1015</v>
          </cell>
          <cell r="C48">
            <v>-15305.8</v>
          </cell>
          <cell r="D48" t="str">
            <v>200</v>
          </cell>
          <cell r="F48">
            <v>-2774.23</v>
          </cell>
          <cell r="G48">
            <v>1</v>
          </cell>
          <cell r="H48" t="str">
            <v>2010-01-31</v>
          </cell>
        </row>
        <row r="49">
          <cell r="A49" t="str">
            <v>481003</v>
          </cell>
          <cell r="B49" t="str">
            <v>1015</v>
          </cell>
          <cell r="C49">
            <v>-13135.13</v>
          </cell>
          <cell r="D49" t="str">
            <v>200</v>
          </cell>
          <cell r="F49">
            <v>-2380.9899999999998</v>
          </cell>
          <cell r="G49">
            <v>2</v>
          </cell>
          <cell r="H49" t="str">
            <v>2010-02-28</v>
          </cell>
        </row>
        <row r="50">
          <cell r="A50" t="str">
            <v>481003</v>
          </cell>
          <cell r="B50" t="str">
            <v>1015</v>
          </cell>
          <cell r="C50">
            <v>-10535.76</v>
          </cell>
          <cell r="D50" t="str">
            <v>200</v>
          </cell>
          <cell r="F50">
            <v>-1909.77</v>
          </cell>
          <cell r="G50">
            <v>2</v>
          </cell>
          <cell r="H50" t="str">
            <v>2010-02-28</v>
          </cell>
        </row>
        <row r="51">
          <cell r="A51" t="str">
            <v>481003</v>
          </cell>
          <cell r="B51" t="str">
            <v>1015</v>
          </cell>
          <cell r="C51">
            <v>-20375.73</v>
          </cell>
          <cell r="D51" t="str">
            <v>200</v>
          </cell>
          <cell r="F51">
            <v>-2519.37</v>
          </cell>
          <cell r="G51">
            <v>3</v>
          </cell>
          <cell r="H51" t="str">
            <v>2010-03-31</v>
          </cell>
        </row>
        <row r="52">
          <cell r="A52" t="str">
            <v>481003</v>
          </cell>
          <cell r="B52" t="str">
            <v>1015</v>
          </cell>
          <cell r="C52">
            <v>-19794.43</v>
          </cell>
          <cell r="D52" t="str">
            <v>200</v>
          </cell>
          <cell r="F52">
            <v>-3588.03</v>
          </cell>
          <cell r="G52">
            <v>4</v>
          </cell>
          <cell r="H52" t="str">
            <v>2010-04-30</v>
          </cell>
        </row>
        <row r="53">
          <cell r="A53" t="str">
            <v>481003</v>
          </cell>
          <cell r="B53" t="str">
            <v>1015</v>
          </cell>
          <cell r="C53">
            <v>-12116.74</v>
          </cell>
          <cell r="D53" t="str">
            <v>200</v>
          </cell>
          <cell r="F53">
            <v>-2196.37</v>
          </cell>
          <cell r="G53">
            <v>5</v>
          </cell>
          <cell r="H53" t="str">
            <v>2010-05-31</v>
          </cell>
        </row>
        <row r="54">
          <cell r="A54" t="str">
            <v>481003</v>
          </cell>
          <cell r="B54" t="str">
            <v>1015</v>
          </cell>
          <cell r="C54">
            <v>-14640.11</v>
          </cell>
          <cell r="D54" t="str">
            <v>200</v>
          </cell>
          <cell r="F54">
            <v>-2653.75</v>
          </cell>
          <cell r="G54">
            <v>5</v>
          </cell>
          <cell r="H54" t="str">
            <v>2010-05-31</v>
          </cell>
        </row>
        <row r="55">
          <cell r="A55" t="str">
            <v>481003</v>
          </cell>
          <cell r="B55" t="str">
            <v>1015</v>
          </cell>
          <cell r="C55">
            <v>-20323.29</v>
          </cell>
          <cell r="D55" t="str">
            <v>200</v>
          </cell>
          <cell r="F55">
            <v>-2413.02</v>
          </cell>
          <cell r="G55">
            <v>6</v>
          </cell>
          <cell r="H55" t="str">
            <v>2010-06-30</v>
          </cell>
        </row>
        <row r="56">
          <cell r="A56" t="str">
            <v>481003</v>
          </cell>
          <cell r="B56" t="str">
            <v>1015</v>
          </cell>
          <cell r="C56">
            <v>-8111.59</v>
          </cell>
          <cell r="D56" t="str">
            <v>200</v>
          </cell>
          <cell r="F56">
            <v>-1419.2</v>
          </cell>
          <cell r="G56">
            <v>6</v>
          </cell>
          <cell r="H56" t="str">
            <v>2010-06-30</v>
          </cell>
        </row>
        <row r="57">
          <cell r="A57" t="str">
            <v>481003</v>
          </cell>
          <cell r="B57" t="str">
            <v>1015</v>
          </cell>
          <cell r="C57">
            <v>-27839.95</v>
          </cell>
          <cell r="D57" t="str">
            <v>200</v>
          </cell>
          <cell r="F57">
            <v>-2787.43</v>
          </cell>
          <cell r="G57">
            <v>7</v>
          </cell>
          <cell r="H57" t="str">
            <v>2009-07-31</v>
          </cell>
        </row>
        <row r="58">
          <cell r="A58" t="str">
            <v>481003</v>
          </cell>
          <cell r="B58" t="str">
            <v>1015</v>
          </cell>
          <cell r="C58">
            <v>-5217.17</v>
          </cell>
          <cell r="D58" t="str">
            <v>200</v>
          </cell>
          <cell r="F58">
            <v>-522.36</v>
          </cell>
          <cell r="G58">
            <v>7</v>
          </cell>
          <cell r="H58" t="str">
            <v>2009-07-31</v>
          </cell>
        </row>
        <row r="59">
          <cell r="A59" t="str">
            <v>481003</v>
          </cell>
          <cell r="B59" t="str">
            <v>1015</v>
          </cell>
          <cell r="C59">
            <v>-33200.050000000003</v>
          </cell>
          <cell r="D59" t="str">
            <v>200</v>
          </cell>
          <cell r="F59">
            <v>-3324.1</v>
          </cell>
          <cell r="G59">
            <v>8</v>
          </cell>
          <cell r="H59" t="str">
            <v>2009-08-31</v>
          </cell>
        </row>
        <row r="60">
          <cell r="A60" t="str">
            <v>481003</v>
          </cell>
          <cell r="B60" t="str">
            <v>1015</v>
          </cell>
          <cell r="C60">
            <v>-28532.66</v>
          </cell>
          <cell r="D60" t="str">
            <v>200</v>
          </cell>
          <cell r="F60">
            <v>-2856.78</v>
          </cell>
          <cell r="G60">
            <v>9</v>
          </cell>
          <cell r="H60" t="str">
            <v>2009-09-30</v>
          </cell>
        </row>
        <row r="61">
          <cell r="A61" t="str">
            <v>481003</v>
          </cell>
          <cell r="B61" t="str">
            <v>1015</v>
          </cell>
          <cell r="C61">
            <v>-61.13</v>
          </cell>
          <cell r="D61" t="str">
            <v>200</v>
          </cell>
          <cell r="F61">
            <v>-6.12</v>
          </cell>
          <cell r="G61">
            <v>10</v>
          </cell>
          <cell r="H61" t="str">
            <v>2009-10-31</v>
          </cell>
        </row>
        <row r="62">
          <cell r="A62" t="str">
            <v>481003</v>
          </cell>
          <cell r="B62" t="str">
            <v>1015</v>
          </cell>
          <cell r="C62">
            <v>-10151.49</v>
          </cell>
          <cell r="D62" t="str">
            <v>200</v>
          </cell>
          <cell r="F62">
            <v>-1016.4</v>
          </cell>
          <cell r="G62">
            <v>10</v>
          </cell>
          <cell r="H62" t="str">
            <v>2009-10-31</v>
          </cell>
        </row>
        <row r="63">
          <cell r="A63" t="str">
            <v>481003</v>
          </cell>
          <cell r="B63" t="str">
            <v>1015</v>
          </cell>
          <cell r="C63">
            <v>-14060.7</v>
          </cell>
          <cell r="D63" t="str">
            <v>200</v>
          </cell>
          <cell r="F63">
            <v>-1451.64</v>
          </cell>
          <cell r="G63">
            <v>11</v>
          </cell>
          <cell r="H63" t="str">
            <v>2009-11-30</v>
          </cell>
        </row>
        <row r="64">
          <cell r="A64" t="str">
            <v>481003</v>
          </cell>
          <cell r="B64" t="str">
            <v>1015</v>
          </cell>
          <cell r="C64">
            <v>-269.38</v>
          </cell>
          <cell r="D64" t="str">
            <v>200</v>
          </cell>
          <cell r="F64">
            <v>-30</v>
          </cell>
          <cell r="G64">
            <v>12</v>
          </cell>
          <cell r="H64" t="str">
            <v>2009-12-31</v>
          </cell>
        </row>
        <row r="65">
          <cell r="A65" t="str">
            <v>481003</v>
          </cell>
          <cell r="B65" t="str">
            <v>1015</v>
          </cell>
          <cell r="C65">
            <v>-3772.58</v>
          </cell>
          <cell r="D65" t="str">
            <v>200</v>
          </cell>
          <cell r="F65">
            <v>-389.52</v>
          </cell>
          <cell r="G65">
            <v>12</v>
          </cell>
          <cell r="H65" t="str">
            <v>2009-12-31</v>
          </cell>
        </row>
        <row r="66">
          <cell r="A66" t="str">
            <v>481003</v>
          </cell>
          <cell r="B66" t="str">
            <v>1015</v>
          </cell>
          <cell r="C66">
            <v>-25319.02</v>
          </cell>
          <cell r="D66" t="str">
            <v>200</v>
          </cell>
          <cell r="F66">
            <v>-2613.96</v>
          </cell>
          <cell r="G66">
            <v>1</v>
          </cell>
          <cell r="H66" t="str">
            <v>2010-01-31</v>
          </cell>
        </row>
        <row r="67">
          <cell r="A67" t="str">
            <v>481003</v>
          </cell>
          <cell r="B67" t="str">
            <v>1015</v>
          </cell>
          <cell r="C67">
            <v>-14214.13</v>
          </cell>
          <cell r="D67" t="str">
            <v>200</v>
          </cell>
          <cell r="F67">
            <v>-1467.48</v>
          </cell>
          <cell r="G67">
            <v>2</v>
          </cell>
          <cell r="H67" t="str">
            <v>2010-02-28</v>
          </cell>
        </row>
        <row r="68">
          <cell r="A68" t="str">
            <v>481003</v>
          </cell>
          <cell r="B68" t="str">
            <v>1015</v>
          </cell>
          <cell r="C68">
            <v>-12856.8</v>
          </cell>
          <cell r="D68" t="str">
            <v>200</v>
          </cell>
          <cell r="F68">
            <v>-1327.37</v>
          </cell>
          <cell r="G68">
            <v>2</v>
          </cell>
          <cell r="H68" t="str">
            <v>2010-02-28</v>
          </cell>
        </row>
        <row r="69">
          <cell r="A69" t="str">
            <v>481003</v>
          </cell>
          <cell r="B69" t="str">
            <v>1015</v>
          </cell>
          <cell r="C69">
            <v>-9328.86</v>
          </cell>
          <cell r="D69" t="str">
            <v>200</v>
          </cell>
          <cell r="F69">
            <v>-963.12</v>
          </cell>
          <cell r="G69">
            <v>2</v>
          </cell>
          <cell r="H69" t="str">
            <v>2010-02-28</v>
          </cell>
        </row>
        <row r="70">
          <cell r="A70" t="str">
            <v>481003</v>
          </cell>
          <cell r="B70" t="str">
            <v>1015</v>
          </cell>
          <cell r="C70">
            <v>-133.18</v>
          </cell>
          <cell r="D70" t="str">
            <v>200</v>
          </cell>
          <cell r="F70">
            <v>-14.83</v>
          </cell>
          <cell r="G70">
            <v>4</v>
          </cell>
          <cell r="H70" t="str">
            <v>2010-04-30</v>
          </cell>
        </row>
        <row r="71">
          <cell r="A71" t="str">
            <v>481003</v>
          </cell>
          <cell r="B71" t="str">
            <v>1015</v>
          </cell>
          <cell r="C71">
            <v>-2142.17</v>
          </cell>
          <cell r="D71" t="str">
            <v>200</v>
          </cell>
          <cell r="F71">
            <v>-221.16</v>
          </cell>
          <cell r="G71">
            <v>5</v>
          </cell>
          <cell r="H71" t="str">
            <v>2010-05-31</v>
          </cell>
        </row>
        <row r="72">
          <cell r="A72" t="str">
            <v>481003</v>
          </cell>
          <cell r="B72" t="str">
            <v>1015</v>
          </cell>
          <cell r="C72">
            <v>-3450.62</v>
          </cell>
          <cell r="D72" t="str">
            <v>200</v>
          </cell>
          <cell r="F72">
            <v>-356.28</v>
          </cell>
          <cell r="G72">
            <v>6</v>
          </cell>
          <cell r="H72" t="str">
            <v>2010-06-30</v>
          </cell>
        </row>
        <row r="73">
          <cell r="A73" t="str">
            <v>481003</v>
          </cell>
          <cell r="B73" t="str">
            <v>1015</v>
          </cell>
          <cell r="C73">
            <v>-555.02</v>
          </cell>
          <cell r="D73" t="str">
            <v>200</v>
          </cell>
          <cell r="F73">
            <v>0</v>
          </cell>
          <cell r="G73">
            <v>7</v>
          </cell>
          <cell r="H73" t="str">
            <v>2009-07-31</v>
          </cell>
        </row>
        <row r="74">
          <cell r="A74" t="str">
            <v>481003</v>
          </cell>
          <cell r="B74" t="str">
            <v>1015</v>
          </cell>
          <cell r="C74">
            <v>-158430.1</v>
          </cell>
          <cell r="D74" t="str">
            <v>200</v>
          </cell>
          <cell r="F74">
            <v>0</v>
          </cell>
          <cell r="G74">
            <v>10</v>
          </cell>
          <cell r="H74" t="str">
            <v>2009-10-31</v>
          </cell>
        </row>
        <row r="75">
          <cell r="A75" t="str">
            <v>481003</v>
          </cell>
          <cell r="B75" t="str">
            <v>1015</v>
          </cell>
          <cell r="C75">
            <v>-1349.22</v>
          </cell>
          <cell r="D75" t="str">
            <v>200</v>
          </cell>
          <cell r="F75">
            <v>0</v>
          </cell>
          <cell r="G75">
            <v>1</v>
          </cell>
          <cell r="H75" t="str">
            <v>2010-01-31</v>
          </cell>
        </row>
        <row r="76">
          <cell r="A76" t="str">
            <v>481003</v>
          </cell>
          <cell r="B76" t="str">
            <v>1015</v>
          </cell>
          <cell r="C76">
            <v>-210900.6</v>
          </cell>
          <cell r="D76" t="str">
            <v>200</v>
          </cell>
          <cell r="F76">
            <v>0</v>
          </cell>
          <cell r="G76">
            <v>1</v>
          </cell>
          <cell r="H76" t="str">
            <v>2010-01-31</v>
          </cell>
        </row>
        <row r="77">
          <cell r="A77" t="str">
            <v>481003</v>
          </cell>
          <cell r="B77" t="str">
            <v>1015</v>
          </cell>
          <cell r="C77">
            <v>-8.3699999999999992</v>
          </cell>
          <cell r="D77" t="str">
            <v>200</v>
          </cell>
          <cell r="F77">
            <v>-2.36</v>
          </cell>
          <cell r="G77">
            <v>8</v>
          </cell>
          <cell r="H77" t="str">
            <v>2009-08-31</v>
          </cell>
        </row>
        <row r="78">
          <cell r="A78" t="str">
            <v>481003</v>
          </cell>
          <cell r="B78" t="str">
            <v>1015</v>
          </cell>
          <cell r="C78">
            <v>-27.45</v>
          </cell>
          <cell r="D78" t="str">
            <v>200</v>
          </cell>
          <cell r="F78">
            <v>-7.73</v>
          </cell>
          <cell r="G78">
            <v>9</v>
          </cell>
          <cell r="H78" t="str">
            <v>2009-09-30</v>
          </cell>
        </row>
        <row r="79">
          <cell r="A79" t="str">
            <v>481003</v>
          </cell>
          <cell r="B79" t="str">
            <v>1015</v>
          </cell>
          <cell r="C79">
            <v>-29.71</v>
          </cell>
          <cell r="D79" t="str">
            <v>200</v>
          </cell>
          <cell r="F79">
            <v>-8.3699999999999992</v>
          </cell>
          <cell r="G79">
            <v>1</v>
          </cell>
          <cell r="H79" t="str">
            <v>2010-01-31</v>
          </cell>
        </row>
        <row r="80">
          <cell r="A80" t="str">
            <v>481003</v>
          </cell>
          <cell r="B80" t="str">
            <v>1015</v>
          </cell>
          <cell r="C80">
            <v>-25.12</v>
          </cell>
          <cell r="D80" t="str">
            <v>200</v>
          </cell>
          <cell r="F80">
            <v>-7.08</v>
          </cell>
          <cell r="G80">
            <v>2</v>
          </cell>
          <cell r="H80" t="str">
            <v>2010-02-28</v>
          </cell>
        </row>
        <row r="81">
          <cell r="A81" t="str">
            <v>481003</v>
          </cell>
          <cell r="B81" t="str">
            <v>1015</v>
          </cell>
          <cell r="C81">
            <v>-10136.469999999999</v>
          </cell>
          <cell r="D81" t="str">
            <v>200</v>
          </cell>
          <cell r="F81">
            <v>-1848.74</v>
          </cell>
          <cell r="G81">
            <v>2</v>
          </cell>
          <cell r="H81" t="str">
            <v>2010-02-28</v>
          </cell>
        </row>
        <row r="82">
          <cell r="A82" t="str">
            <v>481003</v>
          </cell>
          <cell r="B82" t="str">
            <v>1015</v>
          </cell>
          <cell r="C82">
            <v>-9.91</v>
          </cell>
          <cell r="D82" t="str">
            <v>200</v>
          </cell>
          <cell r="F82">
            <v>-2.81</v>
          </cell>
          <cell r="G82">
            <v>5</v>
          </cell>
          <cell r="H82" t="str">
            <v>2010-05-31</v>
          </cell>
        </row>
        <row r="83">
          <cell r="A83" t="str">
            <v>481003</v>
          </cell>
          <cell r="B83" t="str">
            <v>1015</v>
          </cell>
          <cell r="C83">
            <v>-13.39</v>
          </cell>
          <cell r="D83" t="str">
            <v>200</v>
          </cell>
          <cell r="F83">
            <v>-3.82</v>
          </cell>
          <cell r="G83">
            <v>6</v>
          </cell>
          <cell r="H83" t="str">
            <v>2010-06-30</v>
          </cell>
        </row>
        <row r="84">
          <cell r="A84" t="str">
            <v>481003</v>
          </cell>
          <cell r="B84" t="str">
            <v>1015</v>
          </cell>
          <cell r="C84">
            <v>-10474.379999999999</v>
          </cell>
          <cell r="D84" t="str">
            <v>200</v>
          </cell>
          <cell r="F84">
            <v>-1048.71</v>
          </cell>
          <cell r="G84">
            <v>8</v>
          </cell>
          <cell r="H84" t="str">
            <v>2009-08-31</v>
          </cell>
        </row>
        <row r="85">
          <cell r="A85" t="str">
            <v>481003</v>
          </cell>
          <cell r="B85" t="str">
            <v>1015</v>
          </cell>
          <cell r="C85">
            <v>-10878.08</v>
          </cell>
          <cell r="D85" t="str">
            <v>200</v>
          </cell>
          <cell r="F85">
            <v>-1867.48</v>
          </cell>
          <cell r="G85">
            <v>8</v>
          </cell>
          <cell r="H85" t="str">
            <v>2009-08-31</v>
          </cell>
        </row>
        <row r="86">
          <cell r="A86" t="str">
            <v>481003</v>
          </cell>
          <cell r="B86" t="str">
            <v>1015</v>
          </cell>
          <cell r="C86">
            <v>-7790.41</v>
          </cell>
          <cell r="D86" t="str">
            <v>200</v>
          </cell>
          <cell r="F86">
            <v>-1337.77</v>
          </cell>
          <cell r="G86">
            <v>8</v>
          </cell>
          <cell r="H86" t="str">
            <v>2009-08-31</v>
          </cell>
        </row>
        <row r="87">
          <cell r="A87" t="str">
            <v>481003</v>
          </cell>
          <cell r="B87" t="str">
            <v>1015</v>
          </cell>
          <cell r="C87">
            <v>-11564.7</v>
          </cell>
          <cell r="D87" t="str">
            <v>200</v>
          </cell>
          <cell r="F87">
            <v>-2076.2600000000002</v>
          </cell>
          <cell r="G87">
            <v>10</v>
          </cell>
          <cell r="H87" t="str">
            <v>2009-10-31</v>
          </cell>
        </row>
        <row r="88">
          <cell r="A88" t="str">
            <v>481003</v>
          </cell>
          <cell r="B88" t="str">
            <v>1015</v>
          </cell>
          <cell r="C88">
            <v>-22289.26</v>
          </cell>
          <cell r="D88" t="str">
            <v>200</v>
          </cell>
          <cell r="F88">
            <v>-2766.37</v>
          </cell>
          <cell r="G88">
            <v>1</v>
          </cell>
          <cell r="H88" t="str">
            <v>2010-01-31</v>
          </cell>
        </row>
        <row r="89">
          <cell r="A89" t="str">
            <v>481003</v>
          </cell>
          <cell r="B89" t="str">
            <v>1015</v>
          </cell>
          <cell r="C89">
            <v>-7703.57</v>
          </cell>
          <cell r="D89" t="str">
            <v>200</v>
          </cell>
          <cell r="F89">
            <v>-1396.39</v>
          </cell>
          <cell r="G89">
            <v>1</v>
          </cell>
          <cell r="H89" t="str">
            <v>2010-01-31</v>
          </cell>
        </row>
        <row r="90">
          <cell r="A90" t="str">
            <v>481003</v>
          </cell>
          <cell r="B90" t="str">
            <v>1015</v>
          </cell>
          <cell r="C90">
            <v>-12765.61</v>
          </cell>
          <cell r="D90" t="str">
            <v>200</v>
          </cell>
          <cell r="F90">
            <v>-2313.9899999999998</v>
          </cell>
          <cell r="G90">
            <v>1</v>
          </cell>
          <cell r="H90" t="str">
            <v>2010-01-31</v>
          </cell>
        </row>
        <row r="91">
          <cell r="A91" t="str">
            <v>481003</v>
          </cell>
          <cell r="B91" t="str">
            <v>1015</v>
          </cell>
          <cell r="C91">
            <v>-7872.7</v>
          </cell>
          <cell r="D91" t="str">
            <v>200</v>
          </cell>
          <cell r="F91">
            <v>-1427.09</v>
          </cell>
          <cell r="G91">
            <v>1</v>
          </cell>
          <cell r="H91" t="str">
            <v>2010-01-31</v>
          </cell>
        </row>
        <row r="92">
          <cell r="A92" t="str">
            <v>481003</v>
          </cell>
          <cell r="B92" t="str">
            <v>1015</v>
          </cell>
          <cell r="C92">
            <v>-11708.21</v>
          </cell>
          <cell r="D92" t="str">
            <v>200</v>
          </cell>
          <cell r="F92">
            <v>-2122.3000000000002</v>
          </cell>
          <cell r="G92">
            <v>3</v>
          </cell>
          <cell r="H92" t="str">
            <v>2010-03-31</v>
          </cell>
        </row>
        <row r="93">
          <cell r="A93" t="str">
            <v>481003</v>
          </cell>
          <cell r="B93" t="str">
            <v>1015</v>
          </cell>
          <cell r="C93">
            <v>-12843.99</v>
          </cell>
          <cell r="D93" t="str">
            <v>200</v>
          </cell>
          <cell r="F93">
            <v>-2328.15</v>
          </cell>
          <cell r="G93">
            <v>3</v>
          </cell>
          <cell r="H93" t="str">
            <v>2010-03-31</v>
          </cell>
        </row>
        <row r="94">
          <cell r="A94" t="str">
            <v>481003</v>
          </cell>
          <cell r="B94" t="str">
            <v>1015</v>
          </cell>
          <cell r="C94">
            <v>-17168.34</v>
          </cell>
          <cell r="D94" t="str">
            <v>200</v>
          </cell>
          <cell r="F94">
            <v>-3089.59</v>
          </cell>
          <cell r="G94">
            <v>3</v>
          </cell>
          <cell r="H94" t="str">
            <v>2010-03-31</v>
          </cell>
        </row>
        <row r="95">
          <cell r="A95" t="str">
            <v>481003</v>
          </cell>
          <cell r="B95" t="str">
            <v>1015</v>
          </cell>
          <cell r="C95">
            <v>-14321.49</v>
          </cell>
          <cell r="D95" t="str">
            <v>200</v>
          </cell>
          <cell r="F95">
            <v>-2596</v>
          </cell>
          <cell r="G95">
            <v>4</v>
          </cell>
          <cell r="H95" t="str">
            <v>2010-04-30</v>
          </cell>
        </row>
        <row r="96">
          <cell r="A96" t="str">
            <v>481003</v>
          </cell>
          <cell r="B96" t="str">
            <v>1015</v>
          </cell>
          <cell r="C96">
            <v>-8558.76</v>
          </cell>
          <cell r="D96" t="str">
            <v>200</v>
          </cell>
          <cell r="F96">
            <v>-1551.45</v>
          </cell>
          <cell r="G96">
            <v>5</v>
          </cell>
          <cell r="H96" t="str">
            <v>2010-05-31</v>
          </cell>
        </row>
        <row r="97">
          <cell r="A97" t="str">
            <v>481003</v>
          </cell>
          <cell r="B97" t="str">
            <v>1015</v>
          </cell>
          <cell r="C97">
            <v>-13825.19</v>
          </cell>
          <cell r="D97" t="str">
            <v>200</v>
          </cell>
          <cell r="F97">
            <v>-2506.09</v>
          </cell>
          <cell r="G97">
            <v>5</v>
          </cell>
          <cell r="H97" t="str">
            <v>2010-05-31</v>
          </cell>
        </row>
        <row r="98">
          <cell r="A98" t="str">
            <v>481003</v>
          </cell>
          <cell r="B98" t="str">
            <v>1015</v>
          </cell>
          <cell r="C98">
            <v>-20327.55</v>
          </cell>
          <cell r="D98" t="str">
            <v>200</v>
          </cell>
          <cell r="F98">
            <v>-3560.42</v>
          </cell>
          <cell r="G98">
            <v>6</v>
          </cell>
          <cell r="H98" t="str">
            <v>2010-06-30</v>
          </cell>
        </row>
        <row r="99">
          <cell r="A99" t="str">
            <v>481003</v>
          </cell>
          <cell r="B99" t="str">
            <v>1015</v>
          </cell>
          <cell r="C99">
            <v>-3176.75</v>
          </cell>
          <cell r="D99" t="str">
            <v>200</v>
          </cell>
          <cell r="F99">
            <v>-327.97</v>
          </cell>
          <cell r="G99">
            <v>6</v>
          </cell>
          <cell r="H99" t="str">
            <v>2010-06-30</v>
          </cell>
        </row>
        <row r="100">
          <cell r="A100" t="str">
            <v>481003</v>
          </cell>
          <cell r="B100" t="str">
            <v>1015</v>
          </cell>
          <cell r="C100">
            <v>-20846.97</v>
          </cell>
          <cell r="D100" t="str">
            <v>200</v>
          </cell>
          <cell r="F100">
            <v>-3649.52</v>
          </cell>
          <cell r="G100">
            <v>6</v>
          </cell>
          <cell r="H100" t="str">
            <v>2010-06-30</v>
          </cell>
        </row>
        <row r="101">
          <cell r="A101" t="str">
            <v>481003</v>
          </cell>
          <cell r="B101" t="str">
            <v>1015</v>
          </cell>
          <cell r="C101">
            <v>-36497.660000000003</v>
          </cell>
          <cell r="D101" t="str">
            <v>200</v>
          </cell>
          <cell r="F101">
            <v>-3654.26</v>
          </cell>
          <cell r="G101">
            <v>7</v>
          </cell>
          <cell r="H101" t="str">
            <v>2009-07-31</v>
          </cell>
        </row>
        <row r="102">
          <cell r="A102" t="str">
            <v>481003</v>
          </cell>
          <cell r="B102" t="str">
            <v>1015</v>
          </cell>
          <cell r="C102">
            <v>-8774.3799999999992</v>
          </cell>
          <cell r="D102" t="str">
            <v>200</v>
          </cell>
          <cell r="F102">
            <v>-878.52</v>
          </cell>
          <cell r="G102">
            <v>8</v>
          </cell>
          <cell r="H102" t="str">
            <v>2009-08-31</v>
          </cell>
        </row>
        <row r="103">
          <cell r="A103" t="str">
            <v>481003</v>
          </cell>
          <cell r="B103" t="str">
            <v>1015</v>
          </cell>
          <cell r="C103">
            <v>-16267.55</v>
          </cell>
          <cell r="D103" t="str">
            <v>200</v>
          </cell>
          <cell r="F103">
            <v>-1628.76</v>
          </cell>
          <cell r="G103">
            <v>8</v>
          </cell>
          <cell r="H103" t="str">
            <v>2009-08-31</v>
          </cell>
        </row>
        <row r="104">
          <cell r="A104" t="str">
            <v>481003</v>
          </cell>
          <cell r="B104" t="str">
            <v>1015</v>
          </cell>
          <cell r="C104">
            <v>-12293.25</v>
          </cell>
          <cell r="D104" t="str">
            <v>200</v>
          </cell>
          <cell r="F104">
            <v>-1230.8399999999999</v>
          </cell>
          <cell r="G104">
            <v>9</v>
          </cell>
          <cell r="H104" t="str">
            <v>2009-09-30</v>
          </cell>
        </row>
        <row r="105">
          <cell r="A105" t="str">
            <v>481003</v>
          </cell>
          <cell r="B105" t="str">
            <v>1015</v>
          </cell>
          <cell r="C105">
            <v>-7573.47</v>
          </cell>
          <cell r="D105" t="str">
            <v>200</v>
          </cell>
          <cell r="F105">
            <v>-758.28</v>
          </cell>
          <cell r="G105">
            <v>9</v>
          </cell>
          <cell r="H105" t="str">
            <v>2009-09-30</v>
          </cell>
        </row>
        <row r="106">
          <cell r="A106" t="str">
            <v>481003</v>
          </cell>
          <cell r="B106" t="str">
            <v>1015</v>
          </cell>
          <cell r="C106">
            <v>-18038.97</v>
          </cell>
          <cell r="D106" t="str">
            <v>200</v>
          </cell>
          <cell r="F106">
            <v>-1806.12</v>
          </cell>
          <cell r="G106">
            <v>9</v>
          </cell>
          <cell r="H106" t="str">
            <v>2009-09-30</v>
          </cell>
        </row>
        <row r="107">
          <cell r="A107" t="str">
            <v>481003</v>
          </cell>
          <cell r="B107" t="str">
            <v>1015</v>
          </cell>
          <cell r="C107">
            <v>-15730.67</v>
          </cell>
          <cell r="D107" t="str">
            <v>200</v>
          </cell>
          <cell r="F107">
            <v>-1575</v>
          </cell>
          <cell r="G107">
            <v>9</v>
          </cell>
          <cell r="H107" t="str">
            <v>2009-09-30</v>
          </cell>
        </row>
        <row r="108">
          <cell r="A108" t="str">
            <v>481003</v>
          </cell>
          <cell r="B108" t="str">
            <v>1015</v>
          </cell>
          <cell r="C108">
            <v>-3591.63</v>
          </cell>
          <cell r="D108" t="str">
            <v>200</v>
          </cell>
          <cell r="F108">
            <v>-359.64</v>
          </cell>
          <cell r="G108">
            <v>10</v>
          </cell>
          <cell r="H108" t="str">
            <v>2009-10-31</v>
          </cell>
        </row>
        <row r="109">
          <cell r="A109" t="str">
            <v>481003</v>
          </cell>
          <cell r="B109" t="str">
            <v>1015</v>
          </cell>
          <cell r="C109">
            <v>-7535.38</v>
          </cell>
          <cell r="D109" t="str">
            <v>200</v>
          </cell>
          <cell r="F109">
            <v>-777.96</v>
          </cell>
          <cell r="G109">
            <v>11</v>
          </cell>
          <cell r="H109" t="str">
            <v>2009-11-30</v>
          </cell>
        </row>
        <row r="110">
          <cell r="A110" t="str">
            <v>481003</v>
          </cell>
          <cell r="B110" t="str">
            <v>1015</v>
          </cell>
          <cell r="C110">
            <v>-6842.63</v>
          </cell>
          <cell r="D110" t="str">
            <v>200</v>
          </cell>
          <cell r="F110">
            <v>-706.44</v>
          </cell>
          <cell r="G110">
            <v>11</v>
          </cell>
          <cell r="H110" t="str">
            <v>2009-11-30</v>
          </cell>
        </row>
        <row r="111">
          <cell r="A111" t="str">
            <v>481003</v>
          </cell>
          <cell r="B111" t="str">
            <v>1015</v>
          </cell>
          <cell r="C111">
            <v>-12382.3</v>
          </cell>
          <cell r="D111" t="str">
            <v>200</v>
          </cell>
          <cell r="F111">
            <v>-1278.3599999999999</v>
          </cell>
          <cell r="G111">
            <v>12</v>
          </cell>
          <cell r="H111" t="str">
            <v>2009-12-31</v>
          </cell>
        </row>
        <row r="112">
          <cell r="A112" t="str">
            <v>481003</v>
          </cell>
          <cell r="B112" t="str">
            <v>1015</v>
          </cell>
          <cell r="C112">
            <v>-4099.34</v>
          </cell>
          <cell r="D112" t="str">
            <v>200</v>
          </cell>
          <cell r="F112">
            <v>-423.21</v>
          </cell>
          <cell r="G112">
            <v>12</v>
          </cell>
          <cell r="H112" t="str">
            <v>2009-12-31</v>
          </cell>
        </row>
        <row r="113">
          <cell r="A113" t="str">
            <v>481003</v>
          </cell>
          <cell r="B113" t="str">
            <v>1015</v>
          </cell>
          <cell r="C113">
            <v>-17078.47</v>
          </cell>
          <cell r="D113" t="str">
            <v>200</v>
          </cell>
          <cell r="F113">
            <v>-1763.16</v>
          </cell>
          <cell r="G113">
            <v>12</v>
          </cell>
          <cell r="H113" t="str">
            <v>2009-12-31</v>
          </cell>
        </row>
        <row r="114">
          <cell r="A114" t="str">
            <v>481003</v>
          </cell>
          <cell r="B114" t="str">
            <v>1015</v>
          </cell>
          <cell r="C114">
            <v>-9048.93</v>
          </cell>
          <cell r="D114" t="str">
            <v>200</v>
          </cell>
          <cell r="F114">
            <v>-934.2</v>
          </cell>
          <cell r="G114">
            <v>3</v>
          </cell>
          <cell r="H114" t="str">
            <v>2010-03-31</v>
          </cell>
        </row>
        <row r="115">
          <cell r="A115" t="str">
            <v>481003</v>
          </cell>
          <cell r="B115" t="str">
            <v>1015</v>
          </cell>
          <cell r="C115">
            <v>-7326.16</v>
          </cell>
          <cell r="D115" t="str">
            <v>200</v>
          </cell>
          <cell r="F115">
            <v>-756.36</v>
          </cell>
          <cell r="G115">
            <v>3</v>
          </cell>
          <cell r="H115" t="str">
            <v>2010-03-31</v>
          </cell>
        </row>
        <row r="116">
          <cell r="A116" t="str">
            <v>481003</v>
          </cell>
          <cell r="B116" t="str">
            <v>1015</v>
          </cell>
          <cell r="C116">
            <v>-22548.03</v>
          </cell>
          <cell r="D116" t="str">
            <v>200</v>
          </cell>
          <cell r="F116">
            <v>-2327.88</v>
          </cell>
          <cell r="G116">
            <v>4</v>
          </cell>
          <cell r="H116" t="str">
            <v>2010-04-30</v>
          </cell>
        </row>
        <row r="117">
          <cell r="A117" t="str">
            <v>481003</v>
          </cell>
          <cell r="B117" t="str">
            <v>1015</v>
          </cell>
          <cell r="C117">
            <v>-17633.7</v>
          </cell>
          <cell r="D117" t="str">
            <v>200</v>
          </cell>
          <cell r="F117">
            <v>-1820.52</v>
          </cell>
          <cell r="G117">
            <v>6</v>
          </cell>
          <cell r="H117" t="str">
            <v>2010-06-30</v>
          </cell>
        </row>
        <row r="118">
          <cell r="A118" t="str">
            <v>481003</v>
          </cell>
          <cell r="B118" t="str">
            <v>1015</v>
          </cell>
          <cell r="C118">
            <v>-1720.39</v>
          </cell>
          <cell r="D118" t="str">
            <v>200</v>
          </cell>
          <cell r="F118">
            <v>-357.32</v>
          </cell>
          <cell r="G118">
            <v>11</v>
          </cell>
          <cell r="H118" t="str">
            <v>2009-11-30</v>
          </cell>
        </row>
        <row r="119">
          <cell r="A119" t="str">
            <v>481003</v>
          </cell>
          <cell r="B119" t="str">
            <v>1015</v>
          </cell>
          <cell r="C119">
            <v>-11762.47</v>
          </cell>
          <cell r="D119" t="str">
            <v>200</v>
          </cell>
          <cell r="F119">
            <v>-2146.0100000000002</v>
          </cell>
          <cell r="G119">
            <v>11</v>
          </cell>
          <cell r="H119" t="str">
            <v>2009-11-30</v>
          </cell>
        </row>
        <row r="120">
          <cell r="A120" t="str">
            <v>481003</v>
          </cell>
          <cell r="B120" t="str">
            <v>1015</v>
          </cell>
          <cell r="C120">
            <v>-9624.64</v>
          </cell>
          <cell r="D120" t="str">
            <v>200</v>
          </cell>
          <cell r="F120">
            <v>-1756.74</v>
          </cell>
          <cell r="G120">
            <v>1</v>
          </cell>
          <cell r="H120" t="str">
            <v>2010-01-31</v>
          </cell>
        </row>
        <row r="121">
          <cell r="A121" t="str">
            <v>481003</v>
          </cell>
          <cell r="B121" t="str">
            <v>1015</v>
          </cell>
          <cell r="C121">
            <v>-956.72</v>
          </cell>
          <cell r="D121" t="str">
            <v>200</v>
          </cell>
          <cell r="F121">
            <v>-213.95</v>
          </cell>
          <cell r="G121">
            <v>2</v>
          </cell>
          <cell r="H121" t="str">
            <v>2010-02-28</v>
          </cell>
        </row>
        <row r="122">
          <cell r="A122" t="str">
            <v>481003</v>
          </cell>
          <cell r="B122" t="str">
            <v>1015</v>
          </cell>
          <cell r="C122">
            <v>-27.99</v>
          </cell>
          <cell r="D122" t="str">
            <v>200</v>
          </cell>
          <cell r="F122">
            <v>-7.88</v>
          </cell>
          <cell r="G122">
            <v>3</v>
          </cell>
          <cell r="H122" t="str">
            <v>2010-03-31</v>
          </cell>
        </row>
        <row r="123">
          <cell r="A123" t="str">
            <v>481003</v>
          </cell>
          <cell r="B123" t="str">
            <v>1015</v>
          </cell>
          <cell r="C123">
            <v>-25.27</v>
          </cell>
          <cell r="D123" t="str">
            <v>200</v>
          </cell>
          <cell r="F123">
            <v>-7.11</v>
          </cell>
          <cell r="G123">
            <v>4</v>
          </cell>
          <cell r="H123" t="str">
            <v>2010-04-30</v>
          </cell>
        </row>
        <row r="124">
          <cell r="A124" t="str">
            <v>481003</v>
          </cell>
          <cell r="B124" t="str">
            <v>1015</v>
          </cell>
          <cell r="C124">
            <v>-15790.63</v>
          </cell>
          <cell r="D124" t="str">
            <v>200</v>
          </cell>
          <cell r="F124">
            <v>-2711.14</v>
          </cell>
          <cell r="G124">
            <v>7</v>
          </cell>
          <cell r="H124" t="str">
            <v>2009-07-31</v>
          </cell>
        </row>
        <row r="125">
          <cell r="A125" t="str">
            <v>481003</v>
          </cell>
          <cell r="B125" t="str">
            <v>1015</v>
          </cell>
          <cell r="C125">
            <v>-19647.41</v>
          </cell>
          <cell r="D125" t="str">
            <v>200</v>
          </cell>
          <cell r="F125">
            <v>-3533.63</v>
          </cell>
          <cell r="G125">
            <v>10</v>
          </cell>
          <cell r="H125" t="str">
            <v>2009-10-31</v>
          </cell>
        </row>
        <row r="126">
          <cell r="A126" t="str">
            <v>481003</v>
          </cell>
          <cell r="B126" t="str">
            <v>1015</v>
          </cell>
          <cell r="C126">
            <v>-17287.02</v>
          </cell>
          <cell r="D126" t="str">
            <v>200</v>
          </cell>
          <cell r="F126">
            <v>-2424.3000000000002</v>
          </cell>
          <cell r="G126">
            <v>11</v>
          </cell>
          <cell r="H126" t="str">
            <v>2009-11-30</v>
          </cell>
        </row>
        <row r="127">
          <cell r="A127" t="str">
            <v>481003</v>
          </cell>
          <cell r="B127" t="str">
            <v>1015</v>
          </cell>
          <cell r="C127">
            <v>-8763.4699999999993</v>
          </cell>
          <cell r="D127" t="str">
            <v>200</v>
          </cell>
          <cell r="F127">
            <v>-1588.54</v>
          </cell>
          <cell r="G127">
            <v>12</v>
          </cell>
          <cell r="H127" t="str">
            <v>2009-12-31</v>
          </cell>
        </row>
        <row r="128">
          <cell r="A128" t="str">
            <v>481003</v>
          </cell>
          <cell r="B128" t="str">
            <v>1015</v>
          </cell>
          <cell r="C128">
            <v>-2553.81</v>
          </cell>
          <cell r="D128" t="str">
            <v>200</v>
          </cell>
          <cell r="F128">
            <v>-462.85</v>
          </cell>
          <cell r="G128">
            <v>12</v>
          </cell>
          <cell r="H128" t="str">
            <v>2009-12-31</v>
          </cell>
        </row>
        <row r="129">
          <cell r="A129" t="str">
            <v>481003</v>
          </cell>
          <cell r="B129" t="str">
            <v>1015</v>
          </cell>
          <cell r="C129">
            <v>-3027.68</v>
          </cell>
          <cell r="D129" t="str">
            <v>200</v>
          </cell>
          <cell r="F129">
            <v>-548.77</v>
          </cell>
          <cell r="G129">
            <v>1</v>
          </cell>
          <cell r="H129" t="str">
            <v>2010-01-31</v>
          </cell>
        </row>
        <row r="130">
          <cell r="A130" t="str">
            <v>481003</v>
          </cell>
          <cell r="B130" t="str">
            <v>1015</v>
          </cell>
          <cell r="C130">
            <v>-4777.9399999999996</v>
          </cell>
          <cell r="D130" t="str">
            <v>200</v>
          </cell>
          <cell r="F130">
            <v>-866.11</v>
          </cell>
          <cell r="G130">
            <v>2</v>
          </cell>
          <cell r="H130" t="str">
            <v>2010-02-28</v>
          </cell>
        </row>
        <row r="131">
          <cell r="A131" t="str">
            <v>481003</v>
          </cell>
          <cell r="B131" t="str">
            <v>1015</v>
          </cell>
          <cell r="C131">
            <v>-3033.82</v>
          </cell>
          <cell r="D131" t="str">
            <v>200</v>
          </cell>
          <cell r="F131">
            <v>-549.84</v>
          </cell>
          <cell r="G131">
            <v>3</v>
          </cell>
          <cell r="H131" t="str">
            <v>2010-03-31</v>
          </cell>
        </row>
        <row r="132">
          <cell r="A132" t="str">
            <v>481003</v>
          </cell>
          <cell r="B132" t="str">
            <v>1015</v>
          </cell>
          <cell r="C132">
            <v>-15207.05</v>
          </cell>
          <cell r="D132" t="str">
            <v>200</v>
          </cell>
          <cell r="F132">
            <v>-2756.58</v>
          </cell>
          <cell r="G132">
            <v>4</v>
          </cell>
          <cell r="H132" t="str">
            <v>2010-04-30</v>
          </cell>
        </row>
        <row r="133">
          <cell r="A133" t="str">
            <v>481003</v>
          </cell>
          <cell r="B133" t="str">
            <v>1015</v>
          </cell>
          <cell r="C133">
            <v>-13650.49</v>
          </cell>
          <cell r="D133" t="str">
            <v>200</v>
          </cell>
          <cell r="F133">
            <v>-1671.49</v>
          </cell>
          <cell r="G133">
            <v>5</v>
          </cell>
          <cell r="H133" t="str">
            <v>2010-05-31</v>
          </cell>
        </row>
        <row r="134">
          <cell r="A134" t="str">
            <v>481003</v>
          </cell>
          <cell r="B134" t="str">
            <v>1015</v>
          </cell>
          <cell r="C134">
            <v>-3939.85</v>
          </cell>
          <cell r="D134" t="str">
            <v>200</v>
          </cell>
          <cell r="F134">
            <v>-714.07</v>
          </cell>
          <cell r="G134">
            <v>5</v>
          </cell>
          <cell r="H134" t="str">
            <v>2010-05-31</v>
          </cell>
        </row>
        <row r="135">
          <cell r="A135" t="str">
            <v>481003</v>
          </cell>
          <cell r="B135" t="str">
            <v>1015</v>
          </cell>
          <cell r="C135">
            <v>-14944.74</v>
          </cell>
          <cell r="D135" t="str">
            <v>200</v>
          </cell>
          <cell r="F135">
            <v>-2617.94</v>
          </cell>
          <cell r="G135">
            <v>6</v>
          </cell>
          <cell r="H135" t="str">
            <v>2010-06-30</v>
          </cell>
        </row>
        <row r="136">
          <cell r="A136" t="str">
            <v>481003</v>
          </cell>
          <cell r="B136" t="str">
            <v>1015</v>
          </cell>
          <cell r="C136">
            <v>-386.45</v>
          </cell>
          <cell r="D136" t="str">
            <v>200</v>
          </cell>
          <cell r="F136">
            <v>-41.55</v>
          </cell>
          <cell r="G136">
            <v>7</v>
          </cell>
          <cell r="H136" t="str">
            <v>2009-07-31</v>
          </cell>
        </row>
        <row r="137">
          <cell r="A137" t="str">
            <v>481003</v>
          </cell>
          <cell r="B137" t="str">
            <v>1015</v>
          </cell>
          <cell r="C137">
            <v>-375.83</v>
          </cell>
          <cell r="D137" t="str">
            <v>200</v>
          </cell>
          <cell r="F137">
            <v>-40.5</v>
          </cell>
          <cell r="G137">
            <v>9</v>
          </cell>
          <cell r="H137" t="str">
            <v>2009-09-30</v>
          </cell>
        </row>
        <row r="138">
          <cell r="A138" t="str">
            <v>481003</v>
          </cell>
          <cell r="B138" t="str">
            <v>1015</v>
          </cell>
          <cell r="C138">
            <v>-13373.12</v>
          </cell>
          <cell r="D138" t="str">
            <v>200</v>
          </cell>
          <cell r="F138">
            <v>-1338.96</v>
          </cell>
          <cell r="G138">
            <v>9</v>
          </cell>
          <cell r="H138" t="str">
            <v>2009-09-30</v>
          </cell>
        </row>
        <row r="139">
          <cell r="A139" t="str">
            <v>481003</v>
          </cell>
          <cell r="B139" t="str">
            <v>1015</v>
          </cell>
          <cell r="C139">
            <v>-31176.1</v>
          </cell>
          <cell r="D139" t="str">
            <v>200</v>
          </cell>
          <cell r="F139">
            <v>-3121.45</v>
          </cell>
          <cell r="G139">
            <v>10</v>
          </cell>
          <cell r="H139" t="str">
            <v>2009-10-31</v>
          </cell>
        </row>
        <row r="140">
          <cell r="A140" t="str">
            <v>481003</v>
          </cell>
          <cell r="B140" t="str">
            <v>1015</v>
          </cell>
          <cell r="C140">
            <v>-32197.69</v>
          </cell>
          <cell r="D140" t="str">
            <v>200</v>
          </cell>
          <cell r="F140">
            <v>-3324.12</v>
          </cell>
          <cell r="G140">
            <v>11</v>
          </cell>
          <cell r="H140" t="str">
            <v>2009-11-30</v>
          </cell>
        </row>
        <row r="141">
          <cell r="A141" t="str">
            <v>481003</v>
          </cell>
          <cell r="B141" t="str">
            <v>1015</v>
          </cell>
          <cell r="C141">
            <v>-9284.8799999999992</v>
          </cell>
          <cell r="D141" t="str">
            <v>200</v>
          </cell>
          <cell r="F141">
            <v>-958.56</v>
          </cell>
          <cell r="G141">
            <v>12</v>
          </cell>
          <cell r="H141" t="str">
            <v>2009-12-31</v>
          </cell>
        </row>
        <row r="142">
          <cell r="A142" t="str">
            <v>481003</v>
          </cell>
          <cell r="B142" t="str">
            <v>1015</v>
          </cell>
          <cell r="C142">
            <v>-12070.79</v>
          </cell>
          <cell r="D142" t="str">
            <v>200</v>
          </cell>
          <cell r="F142">
            <v>-1246.2</v>
          </cell>
          <cell r="G142">
            <v>1</v>
          </cell>
          <cell r="H142" t="str">
            <v>2010-01-31</v>
          </cell>
        </row>
        <row r="143">
          <cell r="A143" t="str">
            <v>481003</v>
          </cell>
          <cell r="B143" t="str">
            <v>1015</v>
          </cell>
          <cell r="C143">
            <v>-9953.0300000000007</v>
          </cell>
          <cell r="D143" t="str">
            <v>200</v>
          </cell>
          <cell r="F143">
            <v>-1027.56</v>
          </cell>
          <cell r="G143">
            <v>1</v>
          </cell>
          <cell r="H143" t="str">
            <v>2010-01-31</v>
          </cell>
        </row>
        <row r="144">
          <cell r="A144" t="str">
            <v>481003</v>
          </cell>
          <cell r="B144" t="str">
            <v>1015</v>
          </cell>
          <cell r="C144">
            <v>-8694.2199999999993</v>
          </cell>
          <cell r="D144" t="str">
            <v>200</v>
          </cell>
          <cell r="F144">
            <v>-897.6</v>
          </cell>
          <cell r="G144">
            <v>2</v>
          </cell>
          <cell r="H144" t="str">
            <v>2010-02-28</v>
          </cell>
        </row>
        <row r="145">
          <cell r="A145" t="str">
            <v>481003</v>
          </cell>
          <cell r="B145" t="str">
            <v>1015</v>
          </cell>
          <cell r="C145">
            <v>-17412.86</v>
          </cell>
          <cell r="D145" t="str">
            <v>200</v>
          </cell>
          <cell r="F145">
            <v>-1797.72</v>
          </cell>
          <cell r="G145">
            <v>3</v>
          </cell>
          <cell r="H145" t="str">
            <v>2010-03-31</v>
          </cell>
        </row>
        <row r="146">
          <cell r="A146" t="str">
            <v>481003</v>
          </cell>
          <cell r="B146" t="str">
            <v>1015</v>
          </cell>
          <cell r="C146">
            <v>-10118.08</v>
          </cell>
          <cell r="D146" t="str">
            <v>200</v>
          </cell>
          <cell r="F146">
            <v>-1044.5999999999999</v>
          </cell>
          <cell r="G146">
            <v>3</v>
          </cell>
          <cell r="H146" t="str">
            <v>2010-03-31</v>
          </cell>
        </row>
        <row r="147">
          <cell r="A147" t="str">
            <v>481003</v>
          </cell>
          <cell r="B147" t="str">
            <v>1015</v>
          </cell>
          <cell r="C147">
            <v>-10555.11</v>
          </cell>
          <cell r="D147" t="str">
            <v>200</v>
          </cell>
          <cell r="F147">
            <v>-1089.72</v>
          </cell>
          <cell r="G147">
            <v>4</v>
          </cell>
          <cell r="H147" t="str">
            <v>2010-04-30</v>
          </cell>
        </row>
        <row r="148">
          <cell r="A148" t="str">
            <v>481003</v>
          </cell>
          <cell r="B148" t="str">
            <v>1015</v>
          </cell>
          <cell r="C148">
            <v>-4771</v>
          </cell>
          <cell r="D148" t="str">
            <v>200</v>
          </cell>
          <cell r="F148">
            <v>-492.55</v>
          </cell>
          <cell r="G148">
            <v>4</v>
          </cell>
          <cell r="H148" t="str">
            <v>2010-04-30</v>
          </cell>
        </row>
        <row r="149">
          <cell r="A149" t="str">
            <v>481003</v>
          </cell>
          <cell r="B149" t="str">
            <v>1015</v>
          </cell>
          <cell r="C149">
            <v>-14173.45</v>
          </cell>
          <cell r="D149" t="str">
            <v>200</v>
          </cell>
          <cell r="F149">
            <v>-1463.28</v>
          </cell>
          <cell r="G149">
            <v>4</v>
          </cell>
          <cell r="H149" t="str">
            <v>2010-04-30</v>
          </cell>
        </row>
        <row r="150">
          <cell r="A150" t="str">
            <v>481003</v>
          </cell>
          <cell r="B150" t="str">
            <v>1015</v>
          </cell>
          <cell r="C150">
            <v>-12228.87</v>
          </cell>
          <cell r="D150" t="str">
            <v>200</v>
          </cell>
          <cell r="F150">
            <v>-1262.52</v>
          </cell>
          <cell r="G150">
            <v>4</v>
          </cell>
          <cell r="H150" t="str">
            <v>2010-04-30</v>
          </cell>
        </row>
        <row r="151">
          <cell r="A151" t="str">
            <v>481003</v>
          </cell>
          <cell r="B151" t="str">
            <v>1015</v>
          </cell>
          <cell r="C151">
            <v>-19237.71</v>
          </cell>
          <cell r="D151" t="str">
            <v>200</v>
          </cell>
          <cell r="F151">
            <v>-1986.12</v>
          </cell>
          <cell r="G151">
            <v>5</v>
          </cell>
          <cell r="H151" t="str">
            <v>2010-05-31</v>
          </cell>
        </row>
        <row r="152">
          <cell r="A152" t="str">
            <v>481003</v>
          </cell>
          <cell r="B152" t="str">
            <v>1015</v>
          </cell>
          <cell r="C152">
            <v>-11674.44</v>
          </cell>
          <cell r="D152" t="str">
            <v>200</v>
          </cell>
          <cell r="F152">
            <v>-1205.28</v>
          </cell>
          <cell r="G152">
            <v>5</v>
          </cell>
          <cell r="H152" t="str">
            <v>2010-05-31</v>
          </cell>
        </row>
        <row r="153">
          <cell r="A153" t="str">
            <v>481003</v>
          </cell>
          <cell r="B153" t="str">
            <v>1015</v>
          </cell>
          <cell r="C153">
            <v>-106180.49</v>
          </cell>
          <cell r="D153" t="str">
            <v>200</v>
          </cell>
          <cell r="F153">
            <v>0</v>
          </cell>
          <cell r="G153">
            <v>7</v>
          </cell>
          <cell r="H153" t="str">
            <v>2009-07-31</v>
          </cell>
        </row>
        <row r="154">
          <cell r="A154" t="str">
            <v>481003</v>
          </cell>
          <cell r="B154" t="str">
            <v>1015</v>
          </cell>
          <cell r="C154">
            <v>-1014.06</v>
          </cell>
          <cell r="D154" t="str">
            <v>200</v>
          </cell>
          <cell r="F154">
            <v>0</v>
          </cell>
          <cell r="G154">
            <v>10</v>
          </cell>
          <cell r="H154" t="str">
            <v>2009-10-31</v>
          </cell>
        </row>
        <row r="155">
          <cell r="A155" t="str">
            <v>481003</v>
          </cell>
          <cell r="B155" t="str">
            <v>1015</v>
          </cell>
          <cell r="C155">
            <v>-12215.03</v>
          </cell>
          <cell r="D155" t="str">
            <v>200</v>
          </cell>
          <cell r="F155">
            <v>-2113.0100000000002</v>
          </cell>
          <cell r="G155">
            <v>7</v>
          </cell>
          <cell r="H155" t="str">
            <v>2009-07-31</v>
          </cell>
        </row>
        <row r="156">
          <cell r="A156" t="str">
            <v>481003</v>
          </cell>
          <cell r="B156" t="str">
            <v>1015</v>
          </cell>
          <cell r="C156">
            <v>-29.52</v>
          </cell>
          <cell r="D156" t="str">
            <v>200</v>
          </cell>
          <cell r="F156">
            <v>-8.32</v>
          </cell>
          <cell r="G156">
            <v>10</v>
          </cell>
          <cell r="H156" t="str">
            <v>2009-10-31</v>
          </cell>
        </row>
        <row r="157">
          <cell r="A157" t="str">
            <v>481003</v>
          </cell>
          <cell r="B157" t="str">
            <v>1015</v>
          </cell>
          <cell r="C157">
            <v>-49.22</v>
          </cell>
          <cell r="D157" t="str">
            <v>200</v>
          </cell>
          <cell r="F157">
            <v>-13.87</v>
          </cell>
          <cell r="G157">
            <v>11</v>
          </cell>
          <cell r="H157" t="str">
            <v>2009-11-30</v>
          </cell>
        </row>
        <row r="158">
          <cell r="A158" t="str">
            <v>481003</v>
          </cell>
          <cell r="B158" t="str">
            <v>1015</v>
          </cell>
          <cell r="C158">
            <v>-1529.99</v>
          </cell>
          <cell r="D158" t="str">
            <v>200</v>
          </cell>
          <cell r="F158">
            <v>-327.79</v>
          </cell>
          <cell r="G158">
            <v>12</v>
          </cell>
          <cell r="H158" t="str">
            <v>2009-12-31</v>
          </cell>
        </row>
        <row r="159">
          <cell r="A159" t="str">
            <v>481003</v>
          </cell>
          <cell r="B159" t="str">
            <v>1015</v>
          </cell>
          <cell r="C159">
            <v>-1521.54</v>
          </cell>
          <cell r="D159" t="str">
            <v>200</v>
          </cell>
          <cell r="F159">
            <v>-360.28</v>
          </cell>
          <cell r="G159">
            <v>4</v>
          </cell>
          <cell r="H159" t="str">
            <v>2010-04-30</v>
          </cell>
        </row>
        <row r="160">
          <cell r="A160" t="str">
            <v>481003</v>
          </cell>
          <cell r="B160" t="str">
            <v>1015</v>
          </cell>
          <cell r="C160">
            <v>-1711.51</v>
          </cell>
          <cell r="D160" t="str">
            <v>200</v>
          </cell>
          <cell r="F160">
            <v>-393.7</v>
          </cell>
          <cell r="G160">
            <v>5</v>
          </cell>
          <cell r="H160" t="str">
            <v>2010-05-31</v>
          </cell>
        </row>
        <row r="161">
          <cell r="A161" t="str">
            <v>481003</v>
          </cell>
          <cell r="B161" t="str">
            <v>1015</v>
          </cell>
          <cell r="C161">
            <v>-10004.56</v>
          </cell>
          <cell r="D161" t="str">
            <v>200</v>
          </cell>
          <cell r="F161">
            <v>-1825.55</v>
          </cell>
          <cell r="G161">
            <v>5</v>
          </cell>
          <cell r="H161" t="str">
            <v>2010-05-31</v>
          </cell>
        </row>
        <row r="162">
          <cell r="A162" t="str">
            <v>481003</v>
          </cell>
          <cell r="B162" t="str">
            <v>1015</v>
          </cell>
          <cell r="C162">
            <v>-9099.18</v>
          </cell>
          <cell r="D162" t="str">
            <v>200</v>
          </cell>
          <cell r="F162">
            <v>-1597.76</v>
          </cell>
          <cell r="G162">
            <v>6</v>
          </cell>
          <cell r="H162" t="str">
            <v>2010-06-30</v>
          </cell>
        </row>
        <row r="163">
          <cell r="A163" t="str">
            <v>481003</v>
          </cell>
          <cell r="B163" t="str">
            <v>1015</v>
          </cell>
          <cell r="C163">
            <v>-9745.4599999999991</v>
          </cell>
          <cell r="D163" t="str">
            <v>200</v>
          </cell>
          <cell r="F163">
            <v>-975.78</v>
          </cell>
          <cell r="G163">
            <v>8</v>
          </cell>
          <cell r="H163" t="str">
            <v>2009-08-31</v>
          </cell>
        </row>
        <row r="164">
          <cell r="A164" t="str">
            <v>481003</v>
          </cell>
          <cell r="B164" t="str">
            <v>1015</v>
          </cell>
          <cell r="C164">
            <v>-11404.52</v>
          </cell>
          <cell r="D164" t="str">
            <v>200</v>
          </cell>
          <cell r="F164">
            <v>-1957.89</v>
          </cell>
          <cell r="G164">
            <v>7</v>
          </cell>
          <cell r="H164" t="str">
            <v>2009-07-31</v>
          </cell>
        </row>
        <row r="165">
          <cell r="A165" t="str">
            <v>481003</v>
          </cell>
          <cell r="B165" t="str">
            <v>1015</v>
          </cell>
          <cell r="C165">
            <v>-8445.01</v>
          </cell>
          <cell r="D165" t="str">
            <v>200</v>
          </cell>
          <cell r="F165">
            <v>-1449.8</v>
          </cell>
          <cell r="G165">
            <v>7</v>
          </cell>
          <cell r="H165" t="str">
            <v>2009-07-31</v>
          </cell>
        </row>
        <row r="166">
          <cell r="A166" t="str">
            <v>481003</v>
          </cell>
          <cell r="B166" t="str">
            <v>1015</v>
          </cell>
          <cell r="C166">
            <v>-27373.87</v>
          </cell>
          <cell r="D166" t="str">
            <v>200</v>
          </cell>
          <cell r="F166">
            <v>-3390.06</v>
          </cell>
          <cell r="G166">
            <v>9</v>
          </cell>
          <cell r="H166" t="str">
            <v>2009-09-30</v>
          </cell>
        </row>
        <row r="167">
          <cell r="A167" t="str">
            <v>481003</v>
          </cell>
          <cell r="B167" t="str">
            <v>1015</v>
          </cell>
          <cell r="C167">
            <v>-7484.72</v>
          </cell>
          <cell r="D167" t="str">
            <v>200</v>
          </cell>
          <cell r="F167">
            <v>-1285.2</v>
          </cell>
          <cell r="G167">
            <v>9</v>
          </cell>
          <cell r="H167" t="str">
            <v>2009-09-30</v>
          </cell>
        </row>
        <row r="168">
          <cell r="A168" t="str">
            <v>481003</v>
          </cell>
          <cell r="B168" t="str">
            <v>1015</v>
          </cell>
          <cell r="C168">
            <v>-12943.15</v>
          </cell>
          <cell r="D168" t="str">
            <v>200</v>
          </cell>
          <cell r="F168">
            <v>-1659.7</v>
          </cell>
          <cell r="G168">
            <v>10</v>
          </cell>
          <cell r="H168" t="str">
            <v>2009-10-31</v>
          </cell>
        </row>
        <row r="169">
          <cell r="A169" t="str">
            <v>481003</v>
          </cell>
          <cell r="B169" t="str">
            <v>1015</v>
          </cell>
          <cell r="C169">
            <v>-1563.72</v>
          </cell>
          <cell r="D169" t="str">
            <v>200</v>
          </cell>
          <cell r="F169">
            <v>-254.97</v>
          </cell>
          <cell r="G169">
            <v>11</v>
          </cell>
          <cell r="H169" t="str">
            <v>2009-11-30</v>
          </cell>
        </row>
        <row r="170">
          <cell r="A170" t="str">
            <v>481003</v>
          </cell>
          <cell r="B170" t="str">
            <v>1015</v>
          </cell>
          <cell r="C170">
            <v>-2730.78</v>
          </cell>
          <cell r="D170" t="str">
            <v>200</v>
          </cell>
          <cell r="F170">
            <v>-494.96</v>
          </cell>
          <cell r="G170">
            <v>11</v>
          </cell>
          <cell r="H170" t="str">
            <v>2009-11-30</v>
          </cell>
        </row>
        <row r="171">
          <cell r="A171" t="str">
            <v>481003</v>
          </cell>
          <cell r="B171" t="str">
            <v>1015</v>
          </cell>
          <cell r="C171">
            <v>-2912.54</v>
          </cell>
          <cell r="D171" t="str">
            <v>200</v>
          </cell>
          <cell r="F171">
            <v>-527.96</v>
          </cell>
          <cell r="G171">
            <v>1</v>
          </cell>
          <cell r="H171" t="str">
            <v>2010-01-31</v>
          </cell>
        </row>
        <row r="172">
          <cell r="A172" t="str">
            <v>481003</v>
          </cell>
          <cell r="B172" t="str">
            <v>1015</v>
          </cell>
          <cell r="C172">
            <v>-22379.75</v>
          </cell>
          <cell r="D172" t="str">
            <v>200</v>
          </cell>
          <cell r="F172">
            <v>-2760.2</v>
          </cell>
          <cell r="G172">
            <v>2</v>
          </cell>
          <cell r="H172" t="str">
            <v>2010-02-28</v>
          </cell>
        </row>
        <row r="173">
          <cell r="A173" t="str">
            <v>481003</v>
          </cell>
          <cell r="B173" t="str">
            <v>1015</v>
          </cell>
          <cell r="C173">
            <v>-17058.53</v>
          </cell>
          <cell r="D173" t="str">
            <v>200</v>
          </cell>
          <cell r="F173">
            <v>-3091.89</v>
          </cell>
          <cell r="G173">
            <v>3</v>
          </cell>
          <cell r="H173" t="str">
            <v>2010-03-31</v>
          </cell>
        </row>
        <row r="174">
          <cell r="A174" t="str">
            <v>481003</v>
          </cell>
          <cell r="B174" t="str">
            <v>1015</v>
          </cell>
          <cell r="C174">
            <v>-18974.23</v>
          </cell>
          <cell r="D174" t="str">
            <v>200</v>
          </cell>
          <cell r="F174">
            <v>-3439.1</v>
          </cell>
          <cell r="G174">
            <v>4</v>
          </cell>
          <cell r="H174" t="str">
            <v>2010-04-30</v>
          </cell>
        </row>
        <row r="175">
          <cell r="A175" t="str">
            <v>481003</v>
          </cell>
          <cell r="B175" t="str">
            <v>1015</v>
          </cell>
          <cell r="C175">
            <v>-3722.17</v>
          </cell>
          <cell r="D175" t="str">
            <v>200</v>
          </cell>
          <cell r="F175">
            <v>-674.6</v>
          </cell>
          <cell r="G175">
            <v>4</v>
          </cell>
          <cell r="H175" t="str">
            <v>2010-04-30</v>
          </cell>
        </row>
        <row r="176">
          <cell r="A176" t="str">
            <v>481003</v>
          </cell>
          <cell r="B176" t="str">
            <v>1015</v>
          </cell>
          <cell r="C176">
            <v>-6743.03</v>
          </cell>
          <cell r="D176" t="str">
            <v>200</v>
          </cell>
          <cell r="F176">
            <v>-1222.29</v>
          </cell>
          <cell r="G176">
            <v>4</v>
          </cell>
          <cell r="H176" t="str">
            <v>2010-04-30</v>
          </cell>
        </row>
        <row r="177">
          <cell r="A177" t="str">
            <v>481003</v>
          </cell>
          <cell r="B177" t="str">
            <v>1015</v>
          </cell>
          <cell r="C177">
            <v>-4191.3100000000004</v>
          </cell>
          <cell r="D177" t="str">
            <v>200</v>
          </cell>
          <cell r="F177">
            <v>-734.56</v>
          </cell>
          <cell r="G177">
            <v>6</v>
          </cell>
          <cell r="H177" t="str">
            <v>2010-06-30</v>
          </cell>
        </row>
        <row r="178">
          <cell r="A178" t="str">
            <v>481003</v>
          </cell>
          <cell r="B178" t="str">
            <v>1015</v>
          </cell>
          <cell r="C178">
            <v>-16168.08</v>
          </cell>
          <cell r="D178" t="str">
            <v>200</v>
          </cell>
          <cell r="F178">
            <v>-1618.8</v>
          </cell>
          <cell r="G178">
            <v>7</v>
          </cell>
          <cell r="H178" t="str">
            <v>2009-07-31</v>
          </cell>
        </row>
        <row r="179">
          <cell r="A179" t="str">
            <v>481003</v>
          </cell>
          <cell r="B179" t="str">
            <v>1015</v>
          </cell>
          <cell r="C179">
            <v>-17413.34</v>
          </cell>
          <cell r="D179" t="str">
            <v>200</v>
          </cell>
          <cell r="F179">
            <v>-1743.48</v>
          </cell>
          <cell r="G179">
            <v>7</v>
          </cell>
          <cell r="H179" t="str">
            <v>2009-07-31</v>
          </cell>
        </row>
        <row r="180">
          <cell r="A180" t="str">
            <v>481003</v>
          </cell>
          <cell r="B180" t="str">
            <v>1015</v>
          </cell>
          <cell r="C180">
            <v>-14550.07</v>
          </cell>
          <cell r="D180" t="str">
            <v>200</v>
          </cell>
          <cell r="F180">
            <v>-1456.8</v>
          </cell>
          <cell r="G180">
            <v>7</v>
          </cell>
          <cell r="H180" t="str">
            <v>2009-07-31</v>
          </cell>
        </row>
        <row r="181">
          <cell r="A181" t="str">
            <v>481003</v>
          </cell>
          <cell r="B181" t="str">
            <v>1015</v>
          </cell>
          <cell r="C181">
            <v>-24897.32</v>
          </cell>
          <cell r="D181" t="str">
            <v>200</v>
          </cell>
          <cell r="F181">
            <v>-2492.87</v>
          </cell>
          <cell r="G181">
            <v>7</v>
          </cell>
          <cell r="H181" t="str">
            <v>2009-07-31</v>
          </cell>
        </row>
        <row r="182">
          <cell r="A182" t="str">
            <v>481003</v>
          </cell>
          <cell r="B182" t="str">
            <v>1015</v>
          </cell>
          <cell r="C182">
            <v>-17363</v>
          </cell>
          <cell r="D182" t="str">
            <v>200</v>
          </cell>
          <cell r="F182">
            <v>-1738.44</v>
          </cell>
          <cell r="G182">
            <v>10</v>
          </cell>
          <cell r="H182" t="str">
            <v>2009-10-31</v>
          </cell>
        </row>
        <row r="183">
          <cell r="A183" t="str">
            <v>481003</v>
          </cell>
          <cell r="B183" t="str">
            <v>1015</v>
          </cell>
          <cell r="C183">
            <v>-31577.360000000001</v>
          </cell>
          <cell r="D183" t="str">
            <v>200</v>
          </cell>
          <cell r="F183">
            <v>-3260.08</v>
          </cell>
          <cell r="G183">
            <v>11</v>
          </cell>
          <cell r="H183" t="str">
            <v>2009-11-30</v>
          </cell>
        </row>
        <row r="184">
          <cell r="A184" t="str">
            <v>481003</v>
          </cell>
          <cell r="B184" t="str">
            <v>1015</v>
          </cell>
          <cell r="C184">
            <v>-4030.52</v>
          </cell>
          <cell r="D184" t="str">
            <v>200</v>
          </cell>
          <cell r="F184">
            <v>-416.13</v>
          </cell>
          <cell r="G184">
            <v>11</v>
          </cell>
          <cell r="H184" t="str">
            <v>2009-11-30</v>
          </cell>
        </row>
        <row r="185">
          <cell r="A185" t="str">
            <v>481003</v>
          </cell>
          <cell r="B185" t="str">
            <v>1015</v>
          </cell>
          <cell r="C185">
            <v>-16059.91</v>
          </cell>
          <cell r="D185" t="str">
            <v>200</v>
          </cell>
          <cell r="F185">
            <v>-1658.04</v>
          </cell>
          <cell r="G185">
            <v>12</v>
          </cell>
          <cell r="H185" t="str">
            <v>2009-12-31</v>
          </cell>
        </row>
        <row r="186">
          <cell r="A186" t="str">
            <v>481003</v>
          </cell>
          <cell r="B186" t="str">
            <v>1015</v>
          </cell>
          <cell r="C186">
            <v>-3889.94</v>
          </cell>
          <cell r="D186" t="str">
            <v>200</v>
          </cell>
          <cell r="F186">
            <v>-401.62</v>
          </cell>
          <cell r="G186">
            <v>1</v>
          </cell>
          <cell r="H186" t="str">
            <v>2010-01-31</v>
          </cell>
        </row>
        <row r="187">
          <cell r="A187" t="str">
            <v>481003</v>
          </cell>
          <cell r="B187" t="str">
            <v>1015</v>
          </cell>
          <cell r="C187">
            <v>-8483.84</v>
          </cell>
          <cell r="D187" t="str">
            <v>200</v>
          </cell>
          <cell r="F187">
            <v>-875.88</v>
          </cell>
          <cell r="G187">
            <v>1</v>
          </cell>
          <cell r="H187" t="str">
            <v>2010-01-31</v>
          </cell>
        </row>
        <row r="188">
          <cell r="A188" t="str">
            <v>481003</v>
          </cell>
          <cell r="B188" t="str">
            <v>1015</v>
          </cell>
          <cell r="C188">
            <v>-12889.07</v>
          </cell>
          <cell r="D188" t="str">
            <v>200</v>
          </cell>
          <cell r="F188">
            <v>-1330.68</v>
          </cell>
          <cell r="G188">
            <v>2</v>
          </cell>
          <cell r="H188" t="str">
            <v>2010-02-28</v>
          </cell>
        </row>
        <row r="189">
          <cell r="A189" t="str">
            <v>481003</v>
          </cell>
          <cell r="B189" t="str">
            <v>1015</v>
          </cell>
          <cell r="C189">
            <v>-6596.22</v>
          </cell>
          <cell r="D189" t="str">
            <v>200</v>
          </cell>
          <cell r="F189">
            <v>-681</v>
          </cell>
          <cell r="G189">
            <v>2</v>
          </cell>
          <cell r="H189" t="str">
            <v>2010-02-28</v>
          </cell>
        </row>
        <row r="190">
          <cell r="A190" t="str">
            <v>481003</v>
          </cell>
          <cell r="B190" t="str">
            <v>1015</v>
          </cell>
          <cell r="C190">
            <v>-31398.01</v>
          </cell>
          <cell r="D190" t="str">
            <v>200</v>
          </cell>
          <cell r="F190">
            <v>-3241.56</v>
          </cell>
          <cell r="G190">
            <v>2</v>
          </cell>
          <cell r="H190" t="str">
            <v>2010-02-28</v>
          </cell>
        </row>
        <row r="191">
          <cell r="A191" t="str">
            <v>481003</v>
          </cell>
          <cell r="B191" t="str">
            <v>1015</v>
          </cell>
          <cell r="C191">
            <v>-11558.21</v>
          </cell>
          <cell r="D191" t="str">
            <v>200</v>
          </cell>
          <cell r="F191">
            <v>-1193.28</v>
          </cell>
          <cell r="G191">
            <v>3</v>
          </cell>
          <cell r="H191" t="str">
            <v>2010-03-31</v>
          </cell>
        </row>
        <row r="192">
          <cell r="A192" t="str">
            <v>481003</v>
          </cell>
          <cell r="B192" t="str">
            <v>1015</v>
          </cell>
          <cell r="C192">
            <v>-17995.07</v>
          </cell>
          <cell r="D192" t="str">
            <v>200</v>
          </cell>
          <cell r="F192">
            <v>-1856.15</v>
          </cell>
          <cell r="G192">
            <v>3</v>
          </cell>
          <cell r="H192" t="str">
            <v>2010-03-31</v>
          </cell>
        </row>
        <row r="193">
          <cell r="A193" t="str">
            <v>481003</v>
          </cell>
          <cell r="B193" t="str">
            <v>1015</v>
          </cell>
          <cell r="C193">
            <v>-8317.6299999999992</v>
          </cell>
          <cell r="D193" t="str">
            <v>200</v>
          </cell>
          <cell r="F193">
            <v>-858.72</v>
          </cell>
          <cell r="G193">
            <v>4</v>
          </cell>
          <cell r="H193" t="str">
            <v>2010-04-30</v>
          </cell>
        </row>
        <row r="194">
          <cell r="A194" t="str">
            <v>481003</v>
          </cell>
          <cell r="B194" t="str">
            <v>1015</v>
          </cell>
          <cell r="C194">
            <v>-410.86</v>
          </cell>
          <cell r="D194" t="str">
            <v>200</v>
          </cell>
          <cell r="F194">
            <v>-45.77</v>
          </cell>
          <cell r="G194">
            <v>5</v>
          </cell>
          <cell r="H194" t="str">
            <v>2010-05-31</v>
          </cell>
        </row>
        <row r="195">
          <cell r="A195" t="str">
            <v>481003</v>
          </cell>
          <cell r="B195" t="str">
            <v>1015</v>
          </cell>
          <cell r="C195">
            <v>-12540.37</v>
          </cell>
          <cell r="D195" t="str">
            <v>200</v>
          </cell>
          <cell r="F195">
            <v>-1294.68</v>
          </cell>
          <cell r="G195">
            <v>5</v>
          </cell>
          <cell r="H195" t="str">
            <v>2010-05-31</v>
          </cell>
        </row>
        <row r="196">
          <cell r="A196" t="str">
            <v>481003</v>
          </cell>
          <cell r="B196" t="str">
            <v>1015</v>
          </cell>
          <cell r="C196">
            <v>-23566.23</v>
          </cell>
          <cell r="D196" t="str">
            <v>200</v>
          </cell>
          <cell r="F196">
            <v>-2433</v>
          </cell>
          <cell r="G196">
            <v>5</v>
          </cell>
          <cell r="H196" t="str">
            <v>2010-05-31</v>
          </cell>
        </row>
        <row r="197">
          <cell r="A197" t="str">
            <v>481003</v>
          </cell>
          <cell r="B197" t="str">
            <v>1015</v>
          </cell>
          <cell r="C197">
            <v>-9031.2999999999993</v>
          </cell>
          <cell r="D197" t="str">
            <v>200</v>
          </cell>
          <cell r="F197">
            <v>-932.4</v>
          </cell>
          <cell r="G197">
            <v>5</v>
          </cell>
          <cell r="H197" t="str">
            <v>2010-05-31</v>
          </cell>
        </row>
        <row r="198">
          <cell r="A198" t="str">
            <v>481003</v>
          </cell>
          <cell r="B198" t="str">
            <v>1015</v>
          </cell>
          <cell r="C198">
            <v>-17004.88</v>
          </cell>
          <cell r="D198" t="str">
            <v>200</v>
          </cell>
          <cell r="F198">
            <v>-1755.6</v>
          </cell>
          <cell r="G198">
            <v>6</v>
          </cell>
          <cell r="H198" t="str">
            <v>2010-06-30</v>
          </cell>
        </row>
        <row r="199">
          <cell r="A199" t="str">
            <v>481003</v>
          </cell>
          <cell r="B199" t="str">
            <v>1015</v>
          </cell>
          <cell r="C199">
            <v>-5977.06</v>
          </cell>
          <cell r="D199" t="str">
            <v>200</v>
          </cell>
          <cell r="F199">
            <v>-617.1</v>
          </cell>
          <cell r="G199">
            <v>6</v>
          </cell>
          <cell r="H199" t="str">
            <v>2010-06-30</v>
          </cell>
        </row>
        <row r="200">
          <cell r="A200" t="str">
            <v>481003</v>
          </cell>
          <cell r="B200" t="str">
            <v>1015</v>
          </cell>
          <cell r="C200">
            <v>-9883.2900000000009</v>
          </cell>
          <cell r="D200" t="str">
            <v>200</v>
          </cell>
          <cell r="F200">
            <v>-1020.36</v>
          </cell>
          <cell r="G200">
            <v>6</v>
          </cell>
          <cell r="H200" t="str">
            <v>2010-06-30</v>
          </cell>
        </row>
        <row r="201">
          <cell r="A201" t="str">
            <v>481003</v>
          </cell>
          <cell r="B201" t="str">
            <v>1015</v>
          </cell>
          <cell r="C201">
            <v>-8318.7900000000009</v>
          </cell>
          <cell r="D201" t="str">
            <v>200</v>
          </cell>
          <cell r="F201">
            <v>-858.84</v>
          </cell>
          <cell r="G201">
            <v>6</v>
          </cell>
          <cell r="H201" t="str">
            <v>2010-06-30</v>
          </cell>
        </row>
        <row r="202">
          <cell r="A202" t="str">
            <v>481003</v>
          </cell>
          <cell r="B202" t="str">
            <v>1015</v>
          </cell>
          <cell r="C202">
            <v>-2218.61</v>
          </cell>
          <cell r="D202" t="str">
            <v>200</v>
          </cell>
          <cell r="F202">
            <v>-502.09</v>
          </cell>
          <cell r="G202">
            <v>7</v>
          </cell>
          <cell r="H202" t="str">
            <v>2009-07-31</v>
          </cell>
        </row>
        <row r="203">
          <cell r="A203" t="str">
            <v>481003</v>
          </cell>
          <cell r="B203" t="str">
            <v>1015</v>
          </cell>
          <cell r="C203">
            <v>-18591.47</v>
          </cell>
          <cell r="D203" t="str">
            <v>200</v>
          </cell>
          <cell r="F203">
            <v>-3215.77</v>
          </cell>
          <cell r="G203">
            <v>9</v>
          </cell>
          <cell r="H203" t="str">
            <v>2009-09-30</v>
          </cell>
        </row>
        <row r="204">
          <cell r="A204" t="str">
            <v>481003</v>
          </cell>
          <cell r="B204" t="str">
            <v>1015</v>
          </cell>
          <cell r="C204">
            <v>25.27</v>
          </cell>
          <cell r="D204" t="str">
            <v>200</v>
          </cell>
          <cell r="F204">
            <v>7.11</v>
          </cell>
          <cell r="G204">
            <v>2</v>
          </cell>
          <cell r="H204" t="str">
            <v>2010-02-28</v>
          </cell>
        </row>
        <row r="205">
          <cell r="A205" t="str">
            <v>481003</v>
          </cell>
          <cell r="B205" t="str">
            <v>1015</v>
          </cell>
          <cell r="C205">
            <v>-23.67</v>
          </cell>
          <cell r="D205" t="str">
            <v>200</v>
          </cell>
          <cell r="F205">
            <v>-6.67</v>
          </cell>
          <cell r="G205">
            <v>3</v>
          </cell>
          <cell r="H205" t="str">
            <v>2010-03-31</v>
          </cell>
        </row>
        <row r="206">
          <cell r="A206" t="str">
            <v>481003</v>
          </cell>
          <cell r="B206" t="str">
            <v>1015</v>
          </cell>
          <cell r="C206">
            <v>-975.75</v>
          </cell>
          <cell r="D206" t="str">
            <v>200</v>
          </cell>
          <cell r="F206">
            <v>-226.41</v>
          </cell>
          <cell r="G206">
            <v>3</v>
          </cell>
          <cell r="H206" t="str">
            <v>2010-03-31</v>
          </cell>
        </row>
        <row r="207">
          <cell r="A207" t="str">
            <v>481003</v>
          </cell>
          <cell r="B207" t="str">
            <v>1015</v>
          </cell>
          <cell r="C207">
            <v>-25.25</v>
          </cell>
          <cell r="D207" t="str">
            <v>200</v>
          </cell>
          <cell r="F207">
            <v>-7.11</v>
          </cell>
          <cell r="G207">
            <v>5</v>
          </cell>
          <cell r="H207" t="str">
            <v>2010-05-31</v>
          </cell>
        </row>
        <row r="208">
          <cell r="A208" t="str">
            <v>481003</v>
          </cell>
          <cell r="B208" t="str">
            <v>1015</v>
          </cell>
          <cell r="C208">
            <v>-28891.94</v>
          </cell>
          <cell r="D208" t="str">
            <v>200</v>
          </cell>
          <cell r="F208">
            <v>-3450.44</v>
          </cell>
          <cell r="G208">
            <v>7</v>
          </cell>
          <cell r="H208" t="str">
            <v>2009-07-31</v>
          </cell>
        </row>
        <row r="209">
          <cell r="A209" t="str">
            <v>481003</v>
          </cell>
          <cell r="B209" t="str">
            <v>1015</v>
          </cell>
          <cell r="C209">
            <v>-16573.12</v>
          </cell>
          <cell r="D209" t="str">
            <v>200</v>
          </cell>
          <cell r="F209">
            <v>-2845.14</v>
          </cell>
          <cell r="G209">
            <v>8</v>
          </cell>
          <cell r="H209" t="str">
            <v>2009-08-31</v>
          </cell>
        </row>
        <row r="210">
          <cell r="A210" t="str">
            <v>481003</v>
          </cell>
          <cell r="B210" t="str">
            <v>1015</v>
          </cell>
          <cell r="C210">
            <v>-2652.9</v>
          </cell>
          <cell r="D210" t="str">
            <v>200</v>
          </cell>
          <cell r="F210">
            <v>-421.65</v>
          </cell>
          <cell r="G210">
            <v>9</v>
          </cell>
          <cell r="H210" t="str">
            <v>2009-09-30</v>
          </cell>
        </row>
        <row r="211">
          <cell r="A211" t="str">
            <v>481003</v>
          </cell>
          <cell r="B211" t="str">
            <v>1015</v>
          </cell>
          <cell r="C211">
            <v>-40221.85</v>
          </cell>
          <cell r="D211" t="str">
            <v>200</v>
          </cell>
          <cell r="F211">
            <v>-5605.31</v>
          </cell>
          <cell r="G211">
            <v>9</v>
          </cell>
          <cell r="H211" t="str">
            <v>2009-09-30</v>
          </cell>
        </row>
        <row r="212">
          <cell r="A212" t="str">
            <v>481003</v>
          </cell>
          <cell r="B212" t="str">
            <v>1015</v>
          </cell>
          <cell r="C212">
            <v>-7751.68</v>
          </cell>
          <cell r="D212" t="str">
            <v>200</v>
          </cell>
          <cell r="F212">
            <v>-824.66</v>
          </cell>
          <cell r="G212">
            <v>10</v>
          </cell>
          <cell r="H212" t="str">
            <v>2009-10-31</v>
          </cell>
        </row>
        <row r="213">
          <cell r="A213" t="str">
            <v>481003</v>
          </cell>
          <cell r="B213" t="str">
            <v>1015</v>
          </cell>
          <cell r="C213">
            <v>-8713.66</v>
          </cell>
          <cell r="D213" t="str">
            <v>200</v>
          </cell>
          <cell r="F213">
            <v>-1579.54</v>
          </cell>
          <cell r="G213">
            <v>11</v>
          </cell>
          <cell r="H213" t="str">
            <v>2009-11-30</v>
          </cell>
        </row>
        <row r="214">
          <cell r="A214" t="str">
            <v>481003</v>
          </cell>
          <cell r="B214" t="str">
            <v>1015</v>
          </cell>
          <cell r="C214">
            <v>-16197.21</v>
          </cell>
          <cell r="D214" t="str">
            <v>200</v>
          </cell>
          <cell r="F214">
            <v>-2935.73</v>
          </cell>
          <cell r="G214">
            <v>12</v>
          </cell>
          <cell r="H214" t="str">
            <v>2009-12-31</v>
          </cell>
        </row>
        <row r="215">
          <cell r="A215" t="str">
            <v>481003</v>
          </cell>
          <cell r="B215" t="str">
            <v>1015</v>
          </cell>
          <cell r="C215">
            <v>-16542.43</v>
          </cell>
          <cell r="D215" t="str">
            <v>200</v>
          </cell>
          <cell r="F215">
            <v>-2998.59</v>
          </cell>
          <cell r="G215">
            <v>12</v>
          </cell>
          <cell r="H215" t="str">
            <v>2009-12-31</v>
          </cell>
        </row>
        <row r="216">
          <cell r="A216" t="str">
            <v>481003</v>
          </cell>
          <cell r="B216" t="str">
            <v>1015</v>
          </cell>
          <cell r="C216">
            <v>-8218.7000000000007</v>
          </cell>
          <cell r="D216" t="str">
            <v>200</v>
          </cell>
          <cell r="F216">
            <v>-1489.74</v>
          </cell>
          <cell r="G216">
            <v>1</v>
          </cell>
          <cell r="H216" t="str">
            <v>2010-01-31</v>
          </cell>
        </row>
        <row r="217">
          <cell r="A217" t="str">
            <v>481003</v>
          </cell>
          <cell r="B217" t="str">
            <v>1015</v>
          </cell>
          <cell r="C217">
            <v>-3096.33</v>
          </cell>
          <cell r="D217" t="str">
            <v>200</v>
          </cell>
          <cell r="F217">
            <v>-561.19000000000005</v>
          </cell>
          <cell r="G217">
            <v>2</v>
          </cell>
          <cell r="H217" t="str">
            <v>2010-02-28</v>
          </cell>
        </row>
        <row r="218">
          <cell r="A218" t="str">
            <v>481003</v>
          </cell>
          <cell r="B218" t="str">
            <v>1015</v>
          </cell>
          <cell r="C218">
            <v>-24418.44</v>
          </cell>
          <cell r="D218" t="str">
            <v>200</v>
          </cell>
          <cell r="F218">
            <v>-2948.86</v>
          </cell>
          <cell r="G218">
            <v>4</v>
          </cell>
          <cell r="H218" t="str">
            <v>2010-04-30</v>
          </cell>
        </row>
        <row r="219">
          <cell r="A219" t="str">
            <v>481003</v>
          </cell>
          <cell r="B219" t="str">
            <v>1015</v>
          </cell>
          <cell r="C219">
            <v>-8939.3799999999992</v>
          </cell>
          <cell r="D219" t="str">
            <v>200</v>
          </cell>
          <cell r="F219">
            <v>-1620.46</v>
          </cell>
          <cell r="G219">
            <v>4</v>
          </cell>
          <cell r="H219" t="str">
            <v>2010-04-30</v>
          </cell>
        </row>
        <row r="220">
          <cell r="A220" t="str">
            <v>481003</v>
          </cell>
          <cell r="B220" t="str">
            <v>1015</v>
          </cell>
          <cell r="C220">
            <v>-9099.9599999999991</v>
          </cell>
          <cell r="D220" t="str">
            <v>200</v>
          </cell>
          <cell r="F220">
            <v>-1649.49</v>
          </cell>
          <cell r="G220">
            <v>4</v>
          </cell>
          <cell r="H220" t="str">
            <v>2010-04-30</v>
          </cell>
        </row>
        <row r="221">
          <cell r="A221" t="str">
            <v>481003</v>
          </cell>
          <cell r="B221" t="str">
            <v>1015</v>
          </cell>
          <cell r="C221">
            <v>-12197.65</v>
          </cell>
          <cell r="D221" t="str">
            <v>200</v>
          </cell>
          <cell r="F221">
            <v>-2211.0300000000002</v>
          </cell>
          <cell r="G221">
            <v>4</v>
          </cell>
          <cell r="H221" t="str">
            <v>2010-04-30</v>
          </cell>
        </row>
        <row r="222">
          <cell r="A222" t="str">
            <v>481003</v>
          </cell>
          <cell r="B222" t="str">
            <v>1015</v>
          </cell>
          <cell r="C222">
            <v>-2060.3000000000002</v>
          </cell>
          <cell r="D222" t="str">
            <v>200</v>
          </cell>
          <cell r="F222">
            <v>-365.2</v>
          </cell>
          <cell r="G222">
            <v>5</v>
          </cell>
          <cell r="H222" t="str">
            <v>2010-05-31</v>
          </cell>
        </row>
        <row r="223">
          <cell r="A223" t="str">
            <v>481003</v>
          </cell>
          <cell r="B223" t="str">
            <v>1015</v>
          </cell>
          <cell r="C223">
            <v>-9160.23</v>
          </cell>
          <cell r="D223" t="str">
            <v>200</v>
          </cell>
          <cell r="F223">
            <v>-1604.7</v>
          </cell>
          <cell r="G223">
            <v>6</v>
          </cell>
          <cell r="H223" t="str">
            <v>2010-06-30</v>
          </cell>
        </row>
        <row r="224">
          <cell r="A224" t="str">
            <v>481003</v>
          </cell>
          <cell r="B224" t="str">
            <v>1015</v>
          </cell>
          <cell r="C224">
            <v>-16569.32</v>
          </cell>
          <cell r="D224" t="str">
            <v>200</v>
          </cell>
          <cell r="F224">
            <v>-2900.62</v>
          </cell>
          <cell r="G224">
            <v>6</v>
          </cell>
          <cell r="H224" t="str">
            <v>2010-06-30</v>
          </cell>
        </row>
        <row r="225">
          <cell r="A225" t="str">
            <v>481003</v>
          </cell>
          <cell r="B225" t="str">
            <v>1015</v>
          </cell>
          <cell r="C225">
            <v>-29384.84</v>
          </cell>
          <cell r="D225" t="str">
            <v>200</v>
          </cell>
          <cell r="F225">
            <v>-2942.11</v>
          </cell>
          <cell r="G225">
            <v>7</v>
          </cell>
          <cell r="H225" t="str">
            <v>2009-07-31</v>
          </cell>
        </row>
        <row r="226">
          <cell r="A226" t="str">
            <v>481003</v>
          </cell>
          <cell r="B226" t="str">
            <v>1015</v>
          </cell>
          <cell r="C226">
            <v>-5915.9</v>
          </cell>
          <cell r="D226" t="str">
            <v>200</v>
          </cell>
          <cell r="F226">
            <v>-592.32000000000005</v>
          </cell>
          <cell r="G226">
            <v>8</v>
          </cell>
          <cell r="H226" t="str">
            <v>2009-08-31</v>
          </cell>
        </row>
        <row r="227">
          <cell r="A227" t="str">
            <v>481003</v>
          </cell>
          <cell r="B227" t="str">
            <v>1015</v>
          </cell>
          <cell r="C227">
            <v>-17340.23</v>
          </cell>
          <cell r="D227" t="str">
            <v>200</v>
          </cell>
          <cell r="F227">
            <v>-1736.16</v>
          </cell>
          <cell r="G227">
            <v>8</v>
          </cell>
          <cell r="H227" t="str">
            <v>2009-08-31</v>
          </cell>
        </row>
        <row r="228">
          <cell r="A228" t="str">
            <v>481003</v>
          </cell>
          <cell r="B228" t="str">
            <v>1015</v>
          </cell>
          <cell r="C228">
            <v>-7741.26</v>
          </cell>
          <cell r="D228" t="str">
            <v>200</v>
          </cell>
          <cell r="F228">
            <v>-775.08</v>
          </cell>
          <cell r="G228">
            <v>8</v>
          </cell>
          <cell r="H228" t="str">
            <v>2009-08-31</v>
          </cell>
        </row>
        <row r="229">
          <cell r="A229" t="str">
            <v>481003</v>
          </cell>
          <cell r="B229" t="str">
            <v>1015</v>
          </cell>
          <cell r="C229">
            <v>-3240.47</v>
          </cell>
          <cell r="D229" t="str">
            <v>200</v>
          </cell>
          <cell r="F229">
            <v>-324.48</v>
          </cell>
          <cell r="G229">
            <v>8</v>
          </cell>
          <cell r="H229" t="str">
            <v>2009-08-31</v>
          </cell>
        </row>
        <row r="230">
          <cell r="A230" t="str">
            <v>481003</v>
          </cell>
          <cell r="B230" t="str">
            <v>1015</v>
          </cell>
          <cell r="C230">
            <v>-14685.5</v>
          </cell>
          <cell r="D230" t="str">
            <v>200</v>
          </cell>
          <cell r="F230">
            <v>-1470.36</v>
          </cell>
          <cell r="G230">
            <v>9</v>
          </cell>
          <cell r="H230" t="str">
            <v>2009-09-30</v>
          </cell>
        </row>
        <row r="231">
          <cell r="A231" t="str">
            <v>481003</v>
          </cell>
          <cell r="B231" t="str">
            <v>1015</v>
          </cell>
          <cell r="C231">
            <v>-27488.44</v>
          </cell>
          <cell r="D231" t="str">
            <v>200</v>
          </cell>
          <cell r="F231">
            <v>-2752.23</v>
          </cell>
          <cell r="G231">
            <v>9</v>
          </cell>
          <cell r="H231" t="str">
            <v>2009-09-30</v>
          </cell>
        </row>
        <row r="232">
          <cell r="A232" t="str">
            <v>481003</v>
          </cell>
          <cell r="B232" t="str">
            <v>1015</v>
          </cell>
          <cell r="C232">
            <v>-20853.09</v>
          </cell>
          <cell r="D232" t="str">
            <v>200</v>
          </cell>
          <cell r="F232">
            <v>-2087.88</v>
          </cell>
          <cell r="G232">
            <v>10</v>
          </cell>
          <cell r="H232" t="str">
            <v>2009-10-31</v>
          </cell>
        </row>
        <row r="233">
          <cell r="A233" t="str">
            <v>481003</v>
          </cell>
          <cell r="B233" t="str">
            <v>1015</v>
          </cell>
          <cell r="C233">
            <v>-15335.78</v>
          </cell>
          <cell r="D233" t="str">
            <v>200</v>
          </cell>
          <cell r="F233">
            <v>-1583.28</v>
          </cell>
          <cell r="G233">
            <v>12</v>
          </cell>
          <cell r="H233" t="str">
            <v>2009-12-31</v>
          </cell>
        </row>
        <row r="234">
          <cell r="A234" t="str">
            <v>481003</v>
          </cell>
          <cell r="B234" t="str">
            <v>1015</v>
          </cell>
          <cell r="C234">
            <v>-26872.04</v>
          </cell>
          <cell r="D234" t="str">
            <v>200</v>
          </cell>
          <cell r="F234">
            <v>-2774.26</v>
          </cell>
          <cell r="G234">
            <v>12</v>
          </cell>
          <cell r="H234" t="str">
            <v>2009-12-31</v>
          </cell>
        </row>
        <row r="235">
          <cell r="A235" t="str">
            <v>481003</v>
          </cell>
          <cell r="B235" t="str">
            <v>1015</v>
          </cell>
          <cell r="C235">
            <v>-156.62</v>
          </cell>
          <cell r="D235" t="str">
            <v>200</v>
          </cell>
          <cell r="F235">
            <v>-17.55</v>
          </cell>
          <cell r="G235">
            <v>2</v>
          </cell>
          <cell r="H235" t="str">
            <v>2010-02-28</v>
          </cell>
        </row>
        <row r="236">
          <cell r="A236" t="str">
            <v>481003</v>
          </cell>
          <cell r="B236" t="str">
            <v>1015</v>
          </cell>
          <cell r="C236">
            <v>-33167.08</v>
          </cell>
          <cell r="D236" t="str">
            <v>200</v>
          </cell>
          <cell r="F236">
            <v>-3424.2</v>
          </cell>
          <cell r="G236">
            <v>3</v>
          </cell>
          <cell r="H236" t="str">
            <v>2010-03-31</v>
          </cell>
        </row>
        <row r="237">
          <cell r="A237" t="str">
            <v>481003</v>
          </cell>
          <cell r="B237" t="str">
            <v>1015</v>
          </cell>
          <cell r="C237">
            <v>-16799.150000000001</v>
          </cell>
          <cell r="D237" t="str">
            <v>200</v>
          </cell>
          <cell r="F237">
            <v>-1734.36</v>
          </cell>
          <cell r="G237">
            <v>4</v>
          </cell>
          <cell r="H237" t="str">
            <v>2010-04-30</v>
          </cell>
        </row>
        <row r="238">
          <cell r="A238" t="str">
            <v>481003</v>
          </cell>
          <cell r="B238" t="str">
            <v>1015</v>
          </cell>
          <cell r="C238">
            <v>-5346.42</v>
          </cell>
          <cell r="D238" t="str">
            <v>200</v>
          </cell>
          <cell r="F238">
            <v>-551.99</v>
          </cell>
          <cell r="G238">
            <v>5</v>
          </cell>
          <cell r="H238" t="str">
            <v>2010-05-31</v>
          </cell>
        </row>
        <row r="239">
          <cell r="A239" t="str">
            <v>481003</v>
          </cell>
          <cell r="B239" t="str">
            <v>1015</v>
          </cell>
          <cell r="C239">
            <v>-147.82</v>
          </cell>
          <cell r="D239" t="str">
            <v>200</v>
          </cell>
          <cell r="F239">
            <v>-16.47</v>
          </cell>
          <cell r="G239">
            <v>6</v>
          </cell>
          <cell r="H239" t="str">
            <v>2010-06-30</v>
          </cell>
        </row>
        <row r="240">
          <cell r="A240" t="str">
            <v>481003</v>
          </cell>
          <cell r="B240" t="str">
            <v>1015</v>
          </cell>
          <cell r="C240">
            <v>-13167.72</v>
          </cell>
          <cell r="D240" t="str">
            <v>200</v>
          </cell>
          <cell r="F240">
            <v>-1359.45</v>
          </cell>
          <cell r="G240">
            <v>6</v>
          </cell>
          <cell r="H240" t="str">
            <v>2010-06-30</v>
          </cell>
        </row>
        <row r="241">
          <cell r="A241" t="str">
            <v>481003</v>
          </cell>
          <cell r="B241" t="str">
            <v>1015</v>
          </cell>
          <cell r="C241">
            <v>-1992.72</v>
          </cell>
          <cell r="D241" t="str">
            <v>200</v>
          </cell>
          <cell r="F241">
            <v>-412.42</v>
          </cell>
          <cell r="G241">
            <v>8</v>
          </cell>
          <cell r="H241" t="str">
            <v>2009-08-31</v>
          </cell>
        </row>
        <row r="242">
          <cell r="A242" t="str">
            <v>481003</v>
          </cell>
          <cell r="B242" t="str">
            <v>1015</v>
          </cell>
          <cell r="C242">
            <v>-2074.3200000000002</v>
          </cell>
          <cell r="D242" t="str">
            <v>200</v>
          </cell>
          <cell r="F242">
            <v>-437.28</v>
          </cell>
          <cell r="G242">
            <v>10</v>
          </cell>
          <cell r="H242" t="str">
            <v>2009-10-31</v>
          </cell>
        </row>
        <row r="243">
          <cell r="A243" t="str">
            <v>481003</v>
          </cell>
          <cell r="B243" t="str">
            <v>1015</v>
          </cell>
          <cell r="C243">
            <v>-6.95</v>
          </cell>
          <cell r="D243" t="str">
            <v>200</v>
          </cell>
          <cell r="F243">
            <v>-1.96</v>
          </cell>
          <cell r="G243">
            <v>1</v>
          </cell>
          <cell r="H243" t="str">
            <v>2010-01-31</v>
          </cell>
        </row>
        <row r="244">
          <cell r="A244" t="str">
            <v>481003</v>
          </cell>
          <cell r="B244" t="str">
            <v>1015</v>
          </cell>
          <cell r="C244">
            <v>-11048.11</v>
          </cell>
          <cell r="D244" t="str">
            <v>200</v>
          </cell>
          <cell r="F244">
            <v>-1318.36</v>
          </cell>
          <cell r="G244">
            <v>7</v>
          </cell>
          <cell r="H244" t="str">
            <v>2009-07-31</v>
          </cell>
        </row>
        <row r="245">
          <cell r="A245" t="str">
            <v>481003</v>
          </cell>
          <cell r="B245" t="str">
            <v>1015</v>
          </cell>
          <cell r="C245">
            <v>-17460.060000000001</v>
          </cell>
          <cell r="D245" t="str">
            <v>200</v>
          </cell>
          <cell r="F245">
            <v>-2997.35</v>
          </cell>
          <cell r="G245">
            <v>9</v>
          </cell>
          <cell r="H245" t="str">
            <v>2009-09-30</v>
          </cell>
        </row>
        <row r="246">
          <cell r="A246" t="str">
            <v>481003</v>
          </cell>
          <cell r="B246" t="str">
            <v>1015</v>
          </cell>
          <cell r="C246">
            <v>-11335.68</v>
          </cell>
          <cell r="D246" t="str">
            <v>200</v>
          </cell>
          <cell r="F246">
            <v>-2035.16</v>
          </cell>
          <cell r="G246">
            <v>10</v>
          </cell>
          <cell r="H246" t="str">
            <v>2009-10-31</v>
          </cell>
        </row>
        <row r="247">
          <cell r="A247" t="str">
            <v>481003</v>
          </cell>
          <cell r="B247" t="str">
            <v>1015</v>
          </cell>
          <cell r="C247">
            <v>-12472.28</v>
          </cell>
          <cell r="D247" t="str">
            <v>200</v>
          </cell>
          <cell r="F247">
            <v>-2260.79</v>
          </cell>
          <cell r="G247">
            <v>12</v>
          </cell>
          <cell r="H247" t="str">
            <v>2009-12-31</v>
          </cell>
        </row>
        <row r="248">
          <cell r="A248" t="str">
            <v>481003</v>
          </cell>
          <cell r="B248" t="str">
            <v>1015</v>
          </cell>
          <cell r="C248">
            <v>-14671.8</v>
          </cell>
          <cell r="D248" t="str">
            <v>200</v>
          </cell>
          <cell r="F248">
            <v>-2659.51</v>
          </cell>
          <cell r="G248">
            <v>2</v>
          </cell>
          <cell r="H248" t="str">
            <v>2010-02-28</v>
          </cell>
        </row>
        <row r="249">
          <cell r="A249" t="str">
            <v>481003</v>
          </cell>
          <cell r="B249" t="str">
            <v>1015</v>
          </cell>
          <cell r="C249">
            <v>-18362.2</v>
          </cell>
          <cell r="D249" t="str">
            <v>200</v>
          </cell>
          <cell r="F249">
            <v>-3328.49</v>
          </cell>
          <cell r="G249">
            <v>2</v>
          </cell>
          <cell r="H249" t="str">
            <v>2010-02-28</v>
          </cell>
        </row>
        <row r="250">
          <cell r="A250" t="str">
            <v>481003</v>
          </cell>
          <cell r="B250" t="str">
            <v>1015</v>
          </cell>
          <cell r="C250">
            <v>-13255.53</v>
          </cell>
          <cell r="D250" t="str">
            <v>200</v>
          </cell>
          <cell r="F250">
            <v>-2402.81</v>
          </cell>
          <cell r="G250">
            <v>3</v>
          </cell>
          <cell r="H250" t="str">
            <v>2010-03-31</v>
          </cell>
        </row>
        <row r="251">
          <cell r="A251" t="str">
            <v>481003</v>
          </cell>
          <cell r="B251" t="str">
            <v>1015</v>
          </cell>
          <cell r="C251">
            <v>-9278.39</v>
          </cell>
          <cell r="D251" t="str">
            <v>200</v>
          </cell>
          <cell r="F251">
            <v>-1681.87</v>
          </cell>
          <cell r="G251">
            <v>3</v>
          </cell>
          <cell r="H251" t="str">
            <v>2010-03-31</v>
          </cell>
        </row>
        <row r="252">
          <cell r="A252" t="str">
            <v>481003</v>
          </cell>
          <cell r="B252" t="str">
            <v>1015</v>
          </cell>
          <cell r="C252">
            <v>-5351.29</v>
          </cell>
          <cell r="D252" t="str">
            <v>200</v>
          </cell>
          <cell r="F252">
            <v>-970.01</v>
          </cell>
          <cell r="G252">
            <v>3</v>
          </cell>
          <cell r="H252" t="str">
            <v>2010-03-31</v>
          </cell>
        </row>
        <row r="253">
          <cell r="A253" t="str">
            <v>481003</v>
          </cell>
          <cell r="B253" t="str">
            <v>1015</v>
          </cell>
          <cell r="C253">
            <v>-1791.01</v>
          </cell>
          <cell r="D253" t="str">
            <v>200</v>
          </cell>
          <cell r="F253">
            <v>-317.48</v>
          </cell>
          <cell r="G253">
            <v>4</v>
          </cell>
          <cell r="H253" t="str">
            <v>2010-04-30</v>
          </cell>
        </row>
        <row r="254">
          <cell r="A254" t="str">
            <v>481003</v>
          </cell>
          <cell r="B254" t="str">
            <v>1015</v>
          </cell>
          <cell r="C254">
            <v>-22155.279999999999</v>
          </cell>
          <cell r="D254" t="str">
            <v>200</v>
          </cell>
          <cell r="F254">
            <v>-2655.42</v>
          </cell>
          <cell r="G254">
            <v>5</v>
          </cell>
          <cell r="H254" t="str">
            <v>2010-05-31</v>
          </cell>
        </row>
        <row r="255">
          <cell r="A255" t="str">
            <v>481003</v>
          </cell>
          <cell r="B255" t="str">
            <v>1015</v>
          </cell>
          <cell r="C255">
            <v>-7648.13</v>
          </cell>
          <cell r="D255" t="str">
            <v>200</v>
          </cell>
          <cell r="F255">
            <v>-1386.35</v>
          </cell>
          <cell r="G255">
            <v>5</v>
          </cell>
          <cell r="H255" t="str">
            <v>2010-05-31</v>
          </cell>
        </row>
        <row r="256">
          <cell r="A256" t="str">
            <v>481003</v>
          </cell>
          <cell r="B256" t="str">
            <v>1015</v>
          </cell>
          <cell r="C256">
            <v>-18605.38</v>
          </cell>
          <cell r="D256" t="str">
            <v>200</v>
          </cell>
          <cell r="F256">
            <v>-1862.85</v>
          </cell>
          <cell r="G256">
            <v>7</v>
          </cell>
          <cell r="H256" t="str">
            <v>2009-07-31</v>
          </cell>
        </row>
        <row r="257">
          <cell r="A257" t="str">
            <v>481003</v>
          </cell>
          <cell r="B257" t="str">
            <v>1015</v>
          </cell>
          <cell r="C257">
            <v>-4012.31</v>
          </cell>
          <cell r="D257" t="str">
            <v>200</v>
          </cell>
          <cell r="F257">
            <v>-401.76</v>
          </cell>
          <cell r="G257">
            <v>7</v>
          </cell>
          <cell r="H257" t="str">
            <v>2009-07-31</v>
          </cell>
        </row>
        <row r="258">
          <cell r="A258" t="str">
            <v>481003</v>
          </cell>
          <cell r="B258" t="str">
            <v>1015</v>
          </cell>
          <cell r="C258">
            <v>-10328.870000000001</v>
          </cell>
          <cell r="D258" t="str">
            <v>200</v>
          </cell>
          <cell r="F258">
            <v>-1034.1600000000001</v>
          </cell>
          <cell r="G258">
            <v>7</v>
          </cell>
          <cell r="H258" t="str">
            <v>2009-07-31</v>
          </cell>
        </row>
        <row r="259">
          <cell r="A259" t="str">
            <v>481003</v>
          </cell>
          <cell r="B259" t="str">
            <v>1015</v>
          </cell>
          <cell r="C259">
            <v>-377.18</v>
          </cell>
          <cell r="D259" t="str">
            <v>200</v>
          </cell>
          <cell r="F259">
            <v>-40.65</v>
          </cell>
          <cell r="G259">
            <v>8</v>
          </cell>
          <cell r="H259" t="str">
            <v>2009-08-31</v>
          </cell>
        </row>
        <row r="260">
          <cell r="A260" t="str">
            <v>481003</v>
          </cell>
          <cell r="B260" t="str">
            <v>1015</v>
          </cell>
          <cell r="C260">
            <v>-12538.94</v>
          </cell>
          <cell r="D260" t="str">
            <v>200</v>
          </cell>
          <cell r="F260">
            <v>-1255.44</v>
          </cell>
          <cell r="G260">
            <v>8</v>
          </cell>
          <cell r="H260" t="str">
            <v>2009-08-31</v>
          </cell>
        </row>
        <row r="261">
          <cell r="A261" t="str">
            <v>481003</v>
          </cell>
          <cell r="B261" t="str">
            <v>1015</v>
          </cell>
          <cell r="C261">
            <v>-4325.54</v>
          </cell>
          <cell r="D261" t="str">
            <v>200</v>
          </cell>
          <cell r="F261">
            <v>-433.1</v>
          </cell>
          <cell r="G261">
            <v>9</v>
          </cell>
          <cell r="H261" t="str">
            <v>2009-09-30</v>
          </cell>
        </row>
        <row r="262">
          <cell r="A262" t="str">
            <v>481003</v>
          </cell>
          <cell r="B262" t="str">
            <v>1015</v>
          </cell>
          <cell r="C262">
            <v>-3314.77</v>
          </cell>
          <cell r="D262" t="str">
            <v>200</v>
          </cell>
          <cell r="F262">
            <v>-331.92</v>
          </cell>
          <cell r="G262">
            <v>9</v>
          </cell>
          <cell r="H262" t="str">
            <v>2009-09-30</v>
          </cell>
        </row>
        <row r="263">
          <cell r="A263" t="str">
            <v>481003</v>
          </cell>
          <cell r="B263" t="str">
            <v>1015</v>
          </cell>
          <cell r="C263">
            <v>-386.4</v>
          </cell>
          <cell r="D263" t="str">
            <v>200</v>
          </cell>
          <cell r="F263">
            <v>-41.64</v>
          </cell>
          <cell r="G263">
            <v>10</v>
          </cell>
          <cell r="H263" t="str">
            <v>2009-10-31</v>
          </cell>
        </row>
        <row r="264">
          <cell r="A264" t="str">
            <v>481003</v>
          </cell>
          <cell r="B264" t="str">
            <v>1015</v>
          </cell>
          <cell r="C264">
            <v>-14994.72</v>
          </cell>
          <cell r="D264" t="str">
            <v>200</v>
          </cell>
          <cell r="F264">
            <v>-1501.32</v>
          </cell>
          <cell r="G264">
            <v>10</v>
          </cell>
          <cell r="H264" t="str">
            <v>2009-10-31</v>
          </cell>
        </row>
        <row r="265">
          <cell r="A265" t="str">
            <v>481003</v>
          </cell>
          <cell r="B265" t="str">
            <v>1015</v>
          </cell>
          <cell r="C265">
            <v>-13712.31</v>
          </cell>
          <cell r="D265" t="str">
            <v>200</v>
          </cell>
          <cell r="F265">
            <v>-1415.54</v>
          </cell>
          <cell r="G265">
            <v>12</v>
          </cell>
          <cell r="H265" t="str">
            <v>2009-12-31</v>
          </cell>
        </row>
        <row r="266">
          <cell r="A266" t="str">
            <v>481003</v>
          </cell>
          <cell r="B266" t="str">
            <v>1015</v>
          </cell>
          <cell r="C266">
            <v>-17168.77</v>
          </cell>
          <cell r="D266" t="str">
            <v>200</v>
          </cell>
          <cell r="F266">
            <v>-1772.52</v>
          </cell>
          <cell r="G266">
            <v>1</v>
          </cell>
          <cell r="H266" t="str">
            <v>2010-01-31</v>
          </cell>
        </row>
        <row r="267">
          <cell r="A267" t="str">
            <v>481003</v>
          </cell>
          <cell r="B267" t="str">
            <v>1015</v>
          </cell>
          <cell r="C267">
            <v>-19006.41</v>
          </cell>
          <cell r="D267" t="str">
            <v>200</v>
          </cell>
          <cell r="F267">
            <v>-1962.24</v>
          </cell>
          <cell r="G267">
            <v>2</v>
          </cell>
          <cell r="H267" t="str">
            <v>2010-02-28</v>
          </cell>
        </row>
        <row r="268">
          <cell r="A268" t="str">
            <v>481003</v>
          </cell>
          <cell r="B268" t="str">
            <v>1015</v>
          </cell>
          <cell r="C268">
            <v>-99.72</v>
          </cell>
          <cell r="D268" t="str">
            <v>200</v>
          </cell>
          <cell r="F268">
            <v>-11.17</v>
          </cell>
          <cell r="G268">
            <v>3</v>
          </cell>
          <cell r="H268" t="str">
            <v>2010-03-31</v>
          </cell>
        </row>
        <row r="269">
          <cell r="A269" t="str">
            <v>481003</v>
          </cell>
          <cell r="B269" t="str">
            <v>1015</v>
          </cell>
          <cell r="C269">
            <v>-9448.0300000000007</v>
          </cell>
          <cell r="D269" t="str">
            <v>200</v>
          </cell>
          <cell r="F269">
            <v>-975.42</v>
          </cell>
          <cell r="G269">
            <v>5</v>
          </cell>
          <cell r="H269" t="str">
            <v>2010-05-31</v>
          </cell>
        </row>
        <row r="270">
          <cell r="A270" t="str">
            <v>481003</v>
          </cell>
          <cell r="B270" t="str">
            <v>1015</v>
          </cell>
          <cell r="C270">
            <v>-33480.9</v>
          </cell>
          <cell r="D270" t="str">
            <v>200</v>
          </cell>
          <cell r="F270">
            <v>-3456.6</v>
          </cell>
          <cell r="G270">
            <v>6</v>
          </cell>
          <cell r="H270" t="str">
            <v>2010-06-30</v>
          </cell>
        </row>
        <row r="271">
          <cell r="A271" t="str">
            <v>481003</v>
          </cell>
          <cell r="B271" t="str">
            <v>1015</v>
          </cell>
          <cell r="C271">
            <v>-30.94</v>
          </cell>
          <cell r="D271" t="str">
            <v>200</v>
          </cell>
          <cell r="F271">
            <v>-8.7100000000000009</v>
          </cell>
          <cell r="G271">
            <v>8</v>
          </cell>
          <cell r="H271" t="str">
            <v>2009-08-31</v>
          </cell>
        </row>
        <row r="272">
          <cell r="A272" t="str">
            <v>481003</v>
          </cell>
          <cell r="B272" t="str">
            <v>1015</v>
          </cell>
          <cell r="C272">
            <v>-22.82</v>
          </cell>
          <cell r="D272" t="str">
            <v>200</v>
          </cell>
          <cell r="F272">
            <v>-6.43</v>
          </cell>
          <cell r="G272">
            <v>9</v>
          </cell>
          <cell r="H272" t="str">
            <v>2009-09-30</v>
          </cell>
        </row>
        <row r="273">
          <cell r="A273" t="str">
            <v>481003</v>
          </cell>
          <cell r="B273" t="str">
            <v>1015</v>
          </cell>
          <cell r="C273">
            <v>-2158.7399999999998</v>
          </cell>
          <cell r="D273" t="str">
            <v>200</v>
          </cell>
          <cell r="F273">
            <v>-452.36</v>
          </cell>
          <cell r="G273">
            <v>9</v>
          </cell>
          <cell r="H273" t="str">
            <v>2009-09-30</v>
          </cell>
        </row>
        <row r="274">
          <cell r="A274" t="str">
            <v>481003</v>
          </cell>
          <cell r="B274" t="str">
            <v>1015</v>
          </cell>
          <cell r="C274">
            <v>-16.399999999999999</v>
          </cell>
          <cell r="D274" t="str">
            <v>200</v>
          </cell>
          <cell r="F274">
            <v>-4.62</v>
          </cell>
          <cell r="G274">
            <v>10</v>
          </cell>
          <cell r="H274" t="str">
            <v>2009-10-31</v>
          </cell>
        </row>
        <row r="275">
          <cell r="A275" t="str">
            <v>481003</v>
          </cell>
          <cell r="B275" t="str">
            <v>1015</v>
          </cell>
          <cell r="C275">
            <v>-14477.1</v>
          </cell>
          <cell r="D275" t="str">
            <v>200</v>
          </cell>
          <cell r="F275">
            <v>-2616.3000000000002</v>
          </cell>
          <cell r="G275">
            <v>10</v>
          </cell>
          <cell r="H275" t="str">
            <v>2009-10-31</v>
          </cell>
        </row>
        <row r="276">
          <cell r="A276" t="str">
            <v>481003</v>
          </cell>
          <cell r="B276" t="str">
            <v>1015</v>
          </cell>
          <cell r="C276">
            <v>-26.39</v>
          </cell>
          <cell r="D276" t="str">
            <v>200</v>
          </cell>
          <cell r="F276">
            <v>-7.43</v>
          </cell>
          <cell r="G276">
            <v>11</v>
          </cell>
          <cell r="H276" t="str">
            <v>2009-11-30</v>
          </cell>
        </row>
        <row r="277">
          <cell r="A277" t="str">
            <v>481003</v>
          </cell>
          <cell r="B277" t="str">
            <v>1015</v>
          </cell>
          <cell r="C277">
            <v>-27.16</v>
          </cell>
          <cell r="D277" t="str">
            <v>200</v>
          </cell>
          <cell r="F277">
            <v>-7.65</v>
          </cell>
          <cell r="G277">
            <v>12</v>
          </cell>
          <cell r="H277" t="str">
            <v>2009-12-31</v>
          </cell>
        </row>
        <row r="278">
          <cell r="A278" t="str">
            <v>481003</v>
          </cell>
          <cell r="B278" t="str">
            <v>1015</v>
          </cell>
          <cell r="C278">
            <v>-9028.2800000000007</v>
          </cell>
          <cell r="D278" t="str">
            <v>200</v>
          </cell>
          <cell r="F278">
            <v>-1649.43</v>
          </cell>
          <cell r="G278">
            <v>3</v>
          </cell>
          <cell r="H278" t="str">
            <v>2010-03-31</v>
          </cell>
        </row>
        <row r="279">
          <cell r="A279" t="str">
            <v>481003</v>
          </cell>
          <cell r="B279" t="str">
            <v>1015</v>
          </cell>
          <cell r="C279">
            <v>10.41</v>
          </cell>
          <cell r="D279" t="str">
            <v>200</v>
          </cell>
          <cell r="F279">
            <v>2.93</v>
          </cell>
          <cell r="G279">
            <v>6</v>
          </cell>
          <cell r="H279" t="str">
            <v>2010-06-30</v>
          </cell>
        </row>
        <row r="280">
          <cell r="A280" t="str">
            <v>481003</v>
          </cell>
          <cell r="B280" t="str">
            <v>1015</v>
          </cell>
          <cell r="C280">
            <v>-30151.439999999999</v>
          </cell>
          <cell r="D280" t="str">
            <v>200</v>
          </cell>
          <cell r="F280">
            <v>-3652.52</v>
          </cell>
          <cell r="G280">
            <v>8</v>
          </cell>
          <cell r="H280" t="str">
            <v>2009-08-31</v>
          </cell>
        </row>
        <row r="281">
          <cell r="A281" t="str">
            <v>481003</v>
          </cell>
          <cell r="B281" t="str">
            <v>1015</v>
          </cell>
          <cell r="C281">
            <v>-2505.8200000000002</v>
          </cell>
          <cell r="D281" t="str">
            <v>200</v>
          </cell>
          <cell r="F281">
            <v>-398.28</v>
          </cell>
          <cell r="G281">
            <v>8</v>
          </cell>
          <cell r="H281" t="str">
            <v>2009-08-31</v>
          </cell>
        </row>
        <row r="282">
          <cell r="A282" t="str">
            <v>481003</v>
          </cell>
          <cell r="B282" t="str">
            <v>1015</v>
          </cell>
          <cell r="C282">
            <v>-14569.48</v>
          </cell>
          <cell r="D282" t="str">
            <v>200</v>
          </cell>
          <cell r="F282">
            <v>-1750.87</v>
          </cell>
          <cell r="G282">
            <v>8</v>
          </cell>
          <cell r="H282" t="str">
            <v>2009-08-31</v>
          </cell>
        </row>
        <row r="283">
          <cell r="A283" t="str">
            <v>481003</v>
          </cell>
          <cell r="B283" t="str">
            <v>1015</v>
          </cell>
          <cell r="C283">
            <v>-30603.51</v>
          </cell>
          <cell r="D283" t="str">
            <v>200</v>
          </cell>
          <cell r="F283">
            <v>-4121.24</v>
          </cell>
          <cell r="G283">
            <v>9</v>
          </cell>
          <cell r="H283" t="str">
            <v>2009-09-30</v>
          </cell>
        </row>
        <row r="284">
          <cell r="A284" t="str">
            <v>481003</v>
          </cell>
          <cell r="B284" t="str">
            <v>1015</v>
          </cell>
          <cell r="C284">
            <v>-12777.91</v>
          </cell>
          <cell r="D284" t="str">
            <v>200</v>
          </cell>
          <cell r="F284">
            <v>-2193.69</v>
          </cell>
          <cell r="G284">
            <v>9</v>
          </cell>
          <cell r="H284" t="str">
            <v>2009-09-30</v>
          </cell>
        </row>
        <row r="285">
          <cell r="A285" t="str">
            <v>481003</v>
          </cell>
          <cell r="B285" t="str">
            <v>1015</v>
          </cell>
          <cell r="C285">
            <v>-16466.490000000002</v>
          </cell>
          <cell r="D285" t="str">
            <v>200</v>
          </cell>
          <cell r="F285">
            <v>-2957.68</v>
          </cell>
          <cell r="G285">
            <v>10</v>
          </cell>
          <cell r="H285" t="str">
            <v>2009-10-31</v>
          </cell>
        </row>
        <row r="286">
          <cell r="A286" t="str">
            <v>481003</v>
          </cell>
          <cell r="B286" t="str">
            <v>1015</v>
          </cell>
          <cell r="C286">
            <v>-6168.26</v>
          </cell>
          <cell r="D286" t="str">
            <v>200</v>
          </cell>
          <cell r="F286">
            <v>-1107.45</v>
          </cell>
          <cell r="G286">
            <v>10</v>
          </cell>
          <cell r="H286" t="str">
            <v>2009-10-31</v>
          </cell>
        </row>
        <row r="287">
          <cell r="A287" t="str">
            <v>481003</v>
          </cell>
          <cell r="B287" t="str">
            <v>1015</v>
          </cell>
          <cell r="C287">
            <v>-24753.07</v>
          </cell>
          <cell r="D287" t="str">
            <v>200</v>
          </cell>
          <cell r="F287">
            <v>-3144.41</v>
          </cell>
          <cell r="G287">
            <v>11</v>
          </cell>
          <cell r="H287" t="str">
            <v>2009-11-30</v>
          </cell>
        </row>
        <row r="288">
          <cell r="A288" t="str">
            <v>481003</v>
          </cell>
          <cell r="B288" t="str">
            <v>1015</v>
          </cell>
          <cell r="C288">
            <v>-21295.59</v>
          </cell>
          <cell r="D288" t="str">
            <v>200</v>
          </cell>
          <cell r="F288">
            <v>-3859.88</v>
          </cell>
          <cell r="G288">
            <v>11</v>
          </cell>
          <cell r="H288" t="str">
            <v>2009-11-30</v>
          </cell>
        </row>
        <row r="289">
          <cell r="A289" t="str">
            <v>481003</v>
          </cell>
          <cell r="B289" t="str">
            <v>1015</v>
          </cell>
          <cell r="C289">
            <v>-17618.89</v>
          </cell>
          <cell r="D289" t="str">
            <v>200</v>
          </cell>
          <cell r="F289">
            <v>-3193.69</v>
          </cell>
          <cell r="G289">
            <v>11</v>
          </cell>
          <cell r="H289" t="str">
            <v>2009-11-30</v>
          </cell>
        </row>
        <row r="290">
          <cell r="A290" t="str">
            <v>481003</v>
          </cell>
          <cell r="B290" t="str">
            <v>1015</v>
          </cell>
          <cell r="C290">
            <v>-7909.69</v>
          </cell>
          <cell r="D290" t="str">
            <v>200</v>
          </cell>
          <cell r="F290">
            <v>-1370.4</v>
          </cell>
          <cell r="G290">
            <v>12</v>
          </cell>
          <cell r="H290" t="str">
            <v>2009-12-31</v>
          </cell>
        </row>
        <row r="291">
          <cell r="A291" t="str">
            <v>481003</v>
          </cell>
          <cell r="B291" t="str">
            <v>1015</v>
          </cell>
          <cell r="C291">
            <v>-15242.04</v>
          </cell>
          <cell r="D291" t="str">
            <v>200</v>
          </cell>
          <cell r="F291">
            <v>-2762.88</v>
          </cell>
          <cell r="G291">
            <v>1</v>
          </cell>
          <cell r="H291" t="str">
            <v>2010-01-31</v>
          </cell>
        </row>
        <row r="292">
          <cell r="A292" t="str">
            <v>481003</v>
          </cell>
          <cell r="B292" t="str">
            <v>1015</v>
          </cell>
          <cell r="C292">
            <v>-23991.52</v>
          </cell>
          <cell r="D292" t="str">
            <v>200</v>
          </cell>
          <cell r="F292">
            <v>-3884.12</v>
          </cell>
          <cell r="G292">
            <v>1</v>
          </cell>
          <cell r="H292" t="str">
            <v>2010-01-31</v>
          </cell>
        </row>
        <row r="293">
          <cell r="A293" t="str">
            <v>481003</v>
          </cell>
          <cell r="B293" t="str">
            <v>1015</v>
          </cell>
          <cell r="C293">
            <v>-1167.23</v>
          </cell>
          <cell r="D293" t="str">
            <v>200</v>
          </cell>
          <cell r="F293">
            <v>-206.9</v>
          </cell>
          <cell r="G293">
            <v>2</v>
          </cell>
          <cell r="H293" t="str">
            <v>2010-02-28</v>
          </cell>
        </row>
        <row r="294">
          <cell r="A294" t="str">
            <v>481003</v>
          </cell>
          <cell r="B294" t="str">
            <v>1015</v>
          </cell>
          <cell r="C294">
            <v>-9250.58</v>
          </cell>
          <cell r="D294" t="str">
            <v>200</v>
          </cell>
          <cell r="F294">
            <v>-1676.82</v>
          </cell>
          <cell r="G294">
            <v>2</v>
          </cell>
          <cell r="H294" t="str">
            <v>2010-02-28</v>
          </cell>
        </row>
        <row r="295">
          <cell r="A295" t="str">
            <v>481003</v>
          </cell>
          <cell r="B295" t="str">
            <v>1015</v>
          </cell>
          <cell r="C295">
            <v>-9856.49</v>
          </cell>
          <cell r="D295" t="str">
            <v>200</v>
          </cell>
          <cell r="F295">
            <v>-1786.72</v>
          </cell>
          <cell r="G295">
            <v>2</v>
          </cell>
          <cell r="H295" t="str">
            <v>2010-02-28</v>
          </cell>
        </row>
        <row r="296">
          <cell r="A296" t="str">
            <v>481003</v>
          </cell>
          <cell r="B296" t="str">
            <v>1015</v>
          </cell>
          <cell r="C296">
            <v>-17658.25</v>
          </cell>
          <cell r="D296" t="str">
            <v>200</v>
          </cell>
          <cell r="F296">
            <v>-3200.51</v>
          </cell>
          <cell r="G296">
            <v>2</v>
          </cell>
          <cell r="H296" t="str">
            <v>2010-02-28</v>
          </cell>
        </row>
        <row r="297">
          <cell r="A297" t="str">
            <v>481003</v>
          </cell>
          <cell r="B297" t="str">
            <v>1015</v>
          </cell>
          <cell r="C297">
            <v>-1609.15</v>
          </cell>
          <cell r="D297" t="str">
            <v>200</v>
          </cell>
          <cell r="F297">
            <v>-285.25</v>
          </cell>
          <cell r="G297">
            <v>3</v>
          </cell>
          <cell r="H297" t="str">
            <v>2010-03-31</v>
          </cell>
        </row>
        <row r="298">
          <cell r="A298" t="str">
            <v>481003</v>
          </cell>
          <cell r="B298" t="str">
            <v>1015</v>
          </cell>
          <cell r="C298">
            <v>-8394.91</v>
          </cell>
          <cell r="D298" t="str">
            <v>200</v>
          </cell>
          <cell r="F298">
            <v>-1521.72</v>
          </cell>
          <cell r="G298">
            <v>3</v>
          </cell>
          <cell r="H298" t="str">
            <v>2010-03-31</v>
          </cell>
        </row>
        <row r="299">
          <cell r="A299" t="str">
            <v>481003</v>
          </cell>
          <cell r="B299" t="str">
            <v>1015</v>
          </cell>
          <cell r="C299">
            <v>-20365.97</v>
          </cell>
          <cell r="D299" t="str">
            <v>200</v>
          </cell>
          <cell r="F299">
            <v>-3691.31</v>
          </cell>
          <cell r="G299">
            <v>5</v>
          </cell>
          <cell r="H299" t="str">
            <v>2010-05-31</v>
          </cell>
        </row>
        <row r="300">
          <cell r="A300" t="str">
            <v>481003</v>
          </cell>
          <cell r="B300" t="str">
            <v>1015</v>
          </cell>
          <cell r="C300">
            <v>-11102.15</v>
          </cell>
          <cell r="D300" t="str">
            <v>200</v>
          </cell>
          <cell r="F300">
            <v>-1951.38</v>
          </cell>
          <cell r="G300">
            <v>6</v>
          </cell>
          <cell r="H300" t="str">
            <v>2010-06-30</v>
          </cell>
        </row>
        <row r="301">
          <cell r="A301" t="str">
            <v>481003</v>
          </cell>
          <cell r="B301" t="str">
            <v>1015</v>
          </cell>
          <cell r="C301">
            <v>-13748.87</v>
          </cell>
          <cell r="D301" t="str">
            <v>200</v>
          </cell>
          <cell r="F301">
            <v>-2408.12</v>
          </cell>
          <cell r="G301">
            <v>6</v>
          </cell>
          <cell r="H301" t="str">
            <v>2010-06-30</v>
          </cell>
        </row>
        <row r="302">
          <cell r="A302" t="str">
            <v>481003</v>
          </cell>
          <cell r="B302" t="str">
            <v>1015</v>
          </cell>
          <cell r="C302">
            <v>-14240.85</v>
          </cell>
          <cell r="D302" t="str">
            <v>200</v>
          </cell>
          <cell r="F302">
            <v>-1425.84</v>
          </cell>
          <cell r="G302">
            <v>7</v>
          </cell>
          <cell r="H302" t="str">
            <v>2009-07-31</v>
          </cell>
        </row>
        <row r="303">
          <cell r="A303" t="str">
            <v>481003</v>
          </cell>
          <cell r="B303" t="str">
            <v>1015</v>
          </cell>
          <cell r="C303">
            <v>-30149.57</v>
          </cell>
          <cell r="D303" t="str">
            <v>200</v>
          </cell>
          <cell r="F303">
            <v>-3018.67</v>
          </cell>
          <cell r="G303">
            <v>8</v>
          </cell>
          <cell r="H303" t="str">
            <v>2009-08-31</v>
          </cell>
        </row>
        <row r="304">
          <cell r="A304" t="str">
            <v>481003</v>
          </cell>
          <cell r="B304" t="str">
            <v>1015</v>
          </cell>
          <cell r="C304">
            <v>-3869.22</v>
          </cell>
          <cell r="D304" t="str">
            <v>200</v>
          </cell>
          <cell r="F304">
            <v>-387.42</v>
          </cell>
          <cell r="G304">
            <v>10</v>
          </cell>
          <cell r="H304" t="str">
            <v>2009-10-31</v>
          </cell>
        </row>
        <row r="305">
          <cell r="A305" t="str">
            <v>481003</v>
          </cell>
          <cell r="B305" t="str">
            <v>1015</v>
          </cell>
          <cell r="C305">
            <v>-9294.5499999999993</v>
          </cell>
          <cell r="D305" t="str">
            <v>200</v>
          </cell>
          <cell r="F305">
            <v>-930.6</v>
          </cell>
          <cell r="G305">
            <v>10</v>
          </cell>
          <cell r="H305" t="str">
            <v>2009-10-31</v>
          </cell>
        </row>
        <row r="306">
          <cell r="A306" t="str">
            <v>481003</v>
          </cell>
          <cell r="B306" t="str">
            <v>1015</v>
          </cell>
          <cell r="C306">
            <v>-415.36</v>
          </cell>
          <cell r="D306" t="str">
            <v>200</v>
          </cell>
          <cell r="F306">
            <v>-46.54</v>
          </cell>
          <cell r="G306">
            <v>11</v>
          </cell>
          <cell r="H306" t="str">
            <v>2009-11-30</v>
          </cell>
        </row>
        <row r="307">
          <cell r="A307" t="str">
            <v>481003</v>
          </cell>
          <cell r="B307" t="str">
            <v>1015</v>
          </cell>
          <cell r="C307">
            <v>-15242.79</v>
          </cell>
          <cell r="D307" t="str">
            <v>200</v>
          </cell>
          <cell r="F307">
            <v>-1573.68</v>
          </cell>
          <cell r="G307">
            <v>11</v>
          </cell>
          <cell r="H307" t="str">
            <v>2009-11-30</v>
          </cell>
        </row>
        <row r="308">
          <cell r="A308" t="str">
            <v>481003</v>
          </cell>
          <cell r="B308" t="str">
            <v>1015</v>
          </cell>
          <cell r="C308">
            <v>-131.22</v>
          </cell>
          <cell r="D308" t="str">
            <v>200</v>
          </cell>
          <cell r="F308">
            <v>-14.62</v>
          </cell>
          <cell r="G308">
            <v>1</v>
          </cell>
          <cell r="H308" t="str">
            <v>2010-01-31</v>
          </cell>
        </row>
        <row r="309">
          <cell r="A309" t="str">
            <v>481003</v>
          </cell>
          <cell r="B309" t="str">
            <v>1015</v>
          </cell>
          <cell r="C309">
            <v>-17758.07</v>
          </cell>
          <cell r="D309" t="str">
            <v>200</v>
          </cell>
          <cell r="F309">
            <v>-1833.36</v>
          </cell>
          <cell r="G309">
            <v>1</v>
          </cell>
          <cell r="H309" t="str">
            <v>2010-01-31</v>
          </cell>
        </row>
        <row r="310">
          <cell r="A310" t="str">
            <v>481003</v>
          </cell>
          <cell r="B310" t="str">
            <v>1015</v>
          </cell>
          <cell r="C310">
            <v>-14964.14</v>
          </cell>
          <cell r="D310" t="str">
            <v>200</v>
          </cell>
          <cell r="F310">
            <v>-1544.88</v>
          </cell>
          <cell r="G310">
            <v>2</v>
          </cell>
          <cell r="H310" t="str">
            <v>2010-02-28</v>
          </cell>
        </row>
        <row r="311">
          <cell r="A311" t="str">
            <v>481003</v>
          </cell>
          <cell r="B311" t="str">
            <v>1015</v>
          </cell>
          <cell r="C311">
            <v>6093.15</v>
          </cell>
          <cell r="D311" t="str">
            <v>200</v>
          </cell>
          <cell r="F311">
            <v>629.08000000000004</v>
          </cell>
          <cell r="G311">
            <v>3</v>
          </cell>
          <cell r="H311" t="str">
            <v>2010-03-31</v>
          </cell>
        </row>
        <row r="312">
          <cell r="A312" t="str">
            <v>481003</v>
          </cell>
          <cell r="B312" t="str">
            <v>1015</v>
          </cell>
          <cell r="C312">
            <v>-15513.61</v>
          </cell>
          <cell r="D312" t="str">
            <v>200</v>
          </cell>
          <cell r="F312">
            <v>-1601.64</v>
          </cell>
          <cell r="G312">
            <v>3</v>
          </cell>
          <cell r="H312" t="str">
            <v>2010-03-31</v>
          </cell>
        </row>
        <row r="313">
          <cell r="A313" t="str">
            <v>481003</v>
          </cell>
          <cell r="B313" t="str">
            <v>1015</v>
          </cell>
          <cell r="C313">
            <v>-39397.160000000003</v>
          </cell>
          <cell r="D313" t="str">
            <v>200</v>
          </cell>
          <cell r="F313">
            <v>-4067.4</v>
          </cell>
          <cell r="G313">
            <v>4</v>
          </cell>
          <cell r="H313" t="str">
            <v>2010-04-30</v>
          </cell>
        </row>
        <row r="314">
          <cell r="A314" t="str">
            <v>481003</v>
          </cell>
          <cell r="B314" t="str">
            <v>1015</v>
          </cell>
          <cell r="C314">
            <v>-18244.89</v>
          </cell>
          <cell r="D314" t="str">
            <v>200</v>
          </cell>
          <cell r="F314">
            <v>-1883.52</v>
          </cell>
          <cell r="G314">
            <v>4</v>
          </cell>
          <cell r="H314" t="str">
            <v>2010-04-30</v>
          </cell>
        </row>
        <row r="315">
          <cell r="A315" t="str">
            <v>481003</v>
          </cell>
          <cell r="B315" t="str">
            <v>1015</v>
          </cell>
          <cell r="C315">
            <v>-4281.68</v>
          </cell>
          <cell r="D315" t="str">
            <v>200</v>
          </cell>
          <cell r="F315">
            <v>-442.08</v>
          </cell>
          <cell r="G315">
            <v>4</v>
          </cell>
          <cell r="H315" t="str">
            <v>2010-04-30</v>
          </cell>
        </row>
        <row r="316">
          <cell r="A316" t="str">
            <v>481003</v>
          </cell>
          <cell r="B316" t="str">
            <v>1015</v>
          </cell>
          <cell r="C316">
            <v>-11974.57</v>
          </cell>
          <cell r="D316" t="str">
            <v>200</v>
          </cell>
          <cell r="F316">
            <v>-1236.24</v>
          </cell>
          <cell r="G316">
            <v>6</v>
          </cell>
          <cell r="H316" t="str">
            <v>2010-06-30</v>
          </cell>
        </row>
        <row r="317">
          <cell r="A317" t="str">
            <v>481004</v>
          </cell>
          <cell r="B317" t="str">
            <v>1015</v>
          </cell>
          <cell r="C317">
            <v>-247223</v>
          </cell>
          <cell r="D317" t="str">
            <v>202</v>
          </cell>
          <cell r="E317" t="str">
            <v>402</v>
          </cell>
          <cell r="F317">
            <v>-374183</v>
          </cell>
          <cell r="G317">
            <v>7</v>
          </cell>
          <cell r="H317" t="str">
            <v>2009-07-31</v>
          </cell>
        </row>
        <row r="318">
          <cell r="A318" t="str">
            <v>481000</v>
          </cell>
          <cell r="B318" t="str">
            <v>1015</v>
          </cell>
          <cell r="C318">
            <v>-177046.08</v>
          </cell>
          <cell r="D318" t="str">
            <v>202</v>
          </cell>
          <cell r="E318" t="str">
            <v>402</v>
          </cell>
          <cell r="F318">
            <v>-277508.94</v>
          </cell>
          <cell r="G318">
            <v>1</v>
          </cell>
          <cell r="H318" t="str">
            <v>2010-01-31</v>
          </cell>
        </row>
        <row r="319">
          <cell r="A319" t="str">
            <v>481004</v>
          </cell>
          <cell r="B319" t="str">
            <v>1015</v>
          </cell>
          <cell r="C319">
            <v>-188324.63</v>
          </cell>
          <cell r="D319" t="str">
            <v>202</v>
          </cell>
          <cell r="E319" t="str">
            <v>402</v>
          </cell>
          <cell r="F319">
            <v>-278099.09000000003</v>
          </cell>
          <cell r="G319">
            <v>6</v>
          </cell>
          <cell r="H319" t="str">
            <v>2010-06-30</v>
          </cell>
        </row>
        <row r="320">
          <cell r="A320" t="str">
            <v>481004</v>
          </cell>
          <cell r="B320" t="str">
            <v>1015</v>
          </cell>
          <cell r="C320">
            <v>-299</v>
          </cell>
          <cell r="D320" t="str">
            <v>202</v>
          </cell>
          <cell r="E320" t="str">
            <v>402</v>
          </cell>
          <cell r="F320">
            <v>-419</v>
          </cell>
          <cell r="G320">
            <v>10</v>
          </cell>
          <cell r="H320" t="str">
            <v>2009-10-31</v>
          </cell>
        </row>
        <row r="321">
          <cell r="A321" t="str">
            <v>481000</v>
          </cell>
          <cell r="B321" t="str">
            <v>1015</v>
          </cell>
          <cell r="C321">
            <v>-26005</v>
          </cell>
          <cell r="D321" t="str">
            <v>202</v>
          </cell>
          <cell r="E321" t="str">
            <v>402</v>
          </cell>
          <cell r="F321">
            <v>-43192</v>
          </cell>
          <cell r="G321">
            <v>11</v>
          </cell>
          <cell r="H321" t="str">
            <v>2009-11-30</v>
          </cell>
        </row>
        <row r="322">
          <cell r="A322" t="str">
            <v>481000</v>
          </cell>
          <cell r="B322" t="str">
            <v>1015</v>
          </cell>
          <cell r="C322">
            <v>-144084.79999999999</v>
          </cell>
          <cell r="D322" t="str">
            <v>202</v>
          </cell>
          <cell r="E322" t="str">
            <v>402</v>
          </cell>
          <cell r="F322">
            <v>-232594.67</v>
          </cell>
          <cell r="G322">
            <v>4</v>
          </cell>
          <cell r="H322" t="str">
            <v>2010-04-30</v>
          </cell>
        </row>
        <row r="323">
          <cell r="A323" t="str">
            <v>481000</v>
          </cell>
          <cell r="B323" t="str">
            <v>1015</v>
          </cell>
          <cell r="C323">
            <v>-16548</v>
          </cell>
          <cell r="D323" t="str">
            <v>202</v>
          </cell>
          <cell r="E323" t="str">
            <v>402</v>
          </cell>
          <cell r="F323">
            <v>-30070</v>
          </cell>
          <cell r="G323">
            <v>9</v>
          </cell>
          <cell r="H323" t="str">
            <v>2009-09-30</v>
          </cell>
        </row>
        <row r="324">
          <cell r="A324" t="str">
            <v>481004</v>
          </cell>
          <cell r="B324" t="str">
            <v>1015</v>
          </cell>
          <cell r="C324">
            <v>-524629</v>
          </cell>
          <cell r="D324" t="str">
            <v>202</v>
          </cell>
          <cell r="E324" t="str">
            <v>402</v>
          </cell>
          <cell r="F324">
            <v>-822193</v>
          </cell>
          <cell r="G324">
            <v>12</v>
          </cell>
          <cell r="H324" t="str">
            <v>2009-12-31</v>
          </cell>
        </row>
        <row r="325">
          <cell r="A325" t="str">
            <v>481004</v>
          </cell>
          <cell r="B325" t="str">
            <v>1015</v>
          </cell>
          <cell r="C325">
            <v>-322086.23</v>
          </cell>
          <cell r="D325" t="str">
            <v>202</v>
          </cell>
          <cell r="E325" t="str">
            <v>402</v>
          </cell>
          <cell r="F325">
            <v>-414209.2</v>
          </cell>
          <cell r="G325">
            <v>1</v>
          </cell>
          <cell r="H325" t="str">
            <v>2010-01-31</v>
          </cell>
        </row>
        <row r="326">
          <cell r="A326" t="str">
            <v>481004</v>
          </cell>
          <cell r="B326" t="str">
            <v>1015</v>
          </cell>
          <cell r="C326">
            <v>-310456.89</v>
          </cell>
          <cell r="D326" t="str">
            <v>202</v>
          </cell>
          <cell r="E326" t="str">
            <v>402</v>
          </cell>
          <cell r="F326">
            <v>-445211.58</v>
          </cell>
          <cell r="G326">
            <v>2</v>
          </cell>
          <cell r="H326" t="str">
            <v>2010-02-28</v>
          </cell>
        </row>
        <row r="327">
          <cell r="A327" t="str">
            <v>481000</v>
          </cell>
          <cell r="B327" t="str">
            <v>1015</v>
          </cell>
          <cell r="C327">
            <v>-147954.22</v>
          </cell>
          <cell r="D327" t="str">
            <v>202</v>
          </cell>
          <cell r="E327" t="str">
            <v>402</v>
          </cell>
          <cell r="F327">
            <v>-225378.32</v>
          </cell>
          <cell r="G327">
            <v>2</v>
          </cell>
          <cell r="H327" t="str">
            <v>2010-02-28</v>
          </cell>
        </row>
        <row r="328">
          <cell r="A328" t="str">
            <v>481004</v>
          </cell>
          <cell r="B328" t="str">
            <v>1015</v>
          </cell>
          <cell r="C328">
            <v>-321148.95</v>
          </cell>
          <cell r="D328" t="str">
            <v>202</v>
          </cell>
          <cell r="E328" t="str">
            <v>402</v>
          </cell>
          <cell r="F328">
            <v>-474833.2</v>
          </cell>
          <cell r="G328">
            <v>3</v>
          </cell>
          <cell r="H328" t="str">
            <v>2010-03-31</v>
          </cell>
        </row>
        <row r="329">
          <cell r="A329" t="str">
            <v>481004</v>
          </cell>
          <cell r="B329" t="str">
            <v>1015</v>
          </cell>
          <cell r="C329">
            <v>-183.16</v>
          </cell>
          <cell r="D329" t="str">
            <v>202</v>
          </cell>
          <cell r="E329" t="str">
            <v>402</v>
          </cell>
          <cell r="F329">
            <v>-207.42</v>
          </cell>
          <cell r="G329">
            <v>6</v>
          </cell>
          <cell r="H329" t="str">
            <v>2010-06-30</v>
          </cell>
        </row>
        <row r="330">
          <cell r="A330" t="str">
            <v>481000</v>
          </cell>
          <cell r="B330" t="str">
            <v>1015</v>
          </cell>
          <cell r="C330">
            <v>-118779.57</v>
          </cell>
          <cell r="D330" t="str">
            <v>202</v>
          </cell>
          <cell r="E330" t="str">
            <v>402</v>
          </cell>
          <cell r="F330">
            <v>-200917.67</v>
          </cell>
          <cell r="G330">
            <v>6</v>
          </cell>
          <cell r="H330" t="str">
            <v>2010-06-30</v>
          </cell>
        </row>
        <row r="331">
          <cell r="A331" t="str">
            <v>481004</v>
          </cell>
          <cell r="B331" t="str">
            <v>1015</v>
          </cell>
          <cell r="C331">
            <v>-291363</v>
          </cell>
          <cell r="D331" t="str">
            <v>202</v>
          </cell>
          <cell r="E331" t="str">
            <v>402</v>
          </cell>
          <cell r="F331">
            <v>-468752</v>
          </cell>
          <cell r="G331">
            <v>8</v>
          </cell>
          <cell r="H331" t="str">
            <v>2009-08-31</v>
          </cell>
        </row>
        <row r="332">
          <cell r="A332" t="str">
            <v>481004</v>
          </cell>
          <cell r="B332" t="str">
            <v>1015</v>
          </cell>
          <cell r="C332">
            <v>-381609</v>
          </cell>
          <cell r="D332" t="str">
            <v>202</v>
          </cell>
          <cell r="E332" t="str">
            <v>402</v>
          </cell>
          <cell r="F332">
            <v>-655581</v>
          </cell>
          <cell r="G332">
            <v>10</v>
          </cell>
          <cell r="H332" t="str">
            <v>2009-10-31</v>
          </cell>
        </row>
        <row r="333">
          <cell r="A333" t="str">
            <v>481000</v>
          </cell>
          <cell r="B333" t="str">
            <v>1015</v>
          </cell>
          <cell r="C333">
            <v>-118422.55</v>
          </cell>
          <cell r="D333" t="str">
            <v>202</v>
          </cell>
          <cell r="E333" t="str">
            <v>402</v>
          </cell>
          <cell r="F333">
            <v>-198808.56</v>
          </cell>
          <cell r="G333">
            <v>5</v>
          </cell>
          <cell r="H333" t="str">
            <v>2010-05-31</v>
          </cell>
        </row>
        <row r="334">
          <cell r="A334" t="str">
            <v>481000</v>
          </cell>
          <cell r="B334" t="str">
            <v>1015</v>
          </cell>
          <cell r="C334">
            <v>-21937</v>
          </cell>
          <cell r="D334" t="str">
            <v>202</v>
          </cell>
          <cell r="E334" t="str">
            <v>402</v>
          </cell>
          <cell r="F334">
            <v>-41551</v>
          </cell>
          <cell r="G334">
            <v>10</v>
          </cell>
          <cell r="H334" t="str">
            <v>2009-10-31</v>
          </cell>
        </row>
        <row r="335">
          <cell r="A335" t="str">
            <v>481004</v>
          </cell>
          <cell r="B335" t="str">
            <v>1015</v>
          </cell>
          <cell r="C335">
            <v>-415050</v>
          </cell>
          <cell r="D335" t="str">
            <v>202</v>
          </cell>
          <cell r="E335" t="str">
            <v>402</v>
          </cell>
          <cell r="F335">
            <v>-624193</v>
          </cell>
          <cell r="G335">
            <v>11</v>
          </cell>
          <cell r="H335" t="str">
            <v>2009-11-30</v>
          </cell>
        </row>
        <row r="336">
          <cell r="A336" t="str">
            <v>481000</v>
          </cell>
          <cell r="B336" t="str">
            <v>1015</v>
          </cell>
          <cell r="C336">
            <v>-148230.79</v>
          </cell>
          <cell r="D336" t="str">
            <v>202</v>
          </cell>
          <cell r="E336" t="str">
            <v>402</v>
          </cell>
          <cell r="F336">
            <v>-226066.72</v>
          </cell>
          <cell r="G336">
            <v>3</v>
          </cell>
          <cell r="H336" t="str">
            <v>2010-03-31</v>
          </cell>
        </row>
        <row r="337">
          <cell r="A337" t="str">
            <v>481004</v>
          </cell>
          <cell r="B337" t="str">
            <v>1015</v>
          </cell>
          <cell r="C337">
            <v>-410</v>
          </cell>
          <cell r="D337" t="str">
            <v>202</v>
          </cell>
          <cell r="E337" t="str">
            <v>402</v>
          </cell>
          <cell r="F337">
            <v>-553</v>
          </cell>
          <cell r="G337">
            <v>12</v>
          </cell>
          <cell r="H337" t="str">
            <v>2009-12-31</v>
          </cell>
        </row>
        <row r="338">
          <cell r="A338" t="str">
            <v>481004</v>
          </cell>
          <cell r="B338" t="str">
            <v>1015</v>
          </cell>
          <cell r="C338">
            <v>-357.38</v>
          </cell>
          <cell r="D338" t="str">
            <v>202</v>
          </cell>
          <cell r="E338" t="str">
            <v>402</v>
          </cell>
          <cell r="F338">
            <v>-701.12</v>
          </cell>
          <cell r="G338">
            <v>1</v>
          </cell>
          <cell r="H338" t="str">
            <v>2010-01-31</v>
          </cell>
        </row>
        <row r="339">
          <cell r="A339" t="str">
            <v>481004</v>
          </cell>
          <cell r="B339" t="str">
            <v>1015</v>
          </cell>
          <cell r="C339">
            <v>-330.5</v>
          </cell>
          <cell r="D339" t="str">
            <v>202</v>
          </cell>
          <cell r="E339" t="str">
            <v>402</v>
          </cell>
          <cell r="F339">
            <v>-498.42</v>
          </cell>
          <cell r="G339">
            <v>4</v>
          </cell>
          <cell r="H339" t="str">
            <v>2010-04-30</v>
          </cell>
        </row>
        <row r="340">
          <cell r="A340" t="str">
            <v>481000</v>
          </cell>
          <cell r="B340" t="str">
            <v>1015</v>
          </cell>
          <cell r="C340">
            <v>-15964</v>
          </cell>
          <cell r="D340" t="str">
            <v>202</v>
          </cell>
          <cell r="E340" t="str">
            <v>402</v>
          </cell>
          <cell r="F340">
            <v>-28763</v>
          </cell>
          <cell r="G340">
            <v>8</v>
          </cell>
          <cell r="H340" t="str">
            <v>2009-08-31</v>
          </cell>
        </row>
        <row r="341">
          <cell r="A341" t="str">
            <v>481004</v>
          </cell>
          <cell r="B341" t="str">
            <v>1015</v>
          </cell>
          <cell r="C341">
            <v>-212</v>
          </cell>
          <cell r="D341" t="str">
            <v>202</v>
          </cell>
          <cell r="E341" t="str">
            <v>402</v>
          </cell>
          <cell r="F341">
            <v>-250</v>
          </cell>
          <cell r="G341">
            <v>8</v>
          </cell>
          <cell r="H341" t="str">
            <v>2009-08-31</v>
          </cell>
        </row>
        <row r="342">
          <cell r="A342" t="str">
            <v>481004</v>
          </cell>
          <cell r="B342" t="str">
            <v>1015</v>
          </cell>
          <cell r="C342">
            <v>-274393</v>
          </cell>
          <cell r="D342" t="str">
            <v>202</v>
          </cell>
          <cell r="E342" t="str">
            <v>402</v>
          </cell>
          <cell r="F342">
            <v>-434822</v>
          </cell>
          <cell r="G342">
            <v>9</v>
          </cell>
          <cell r="H342" t="str">
            <v>2009-09-30</v>
          </cell>
        </row>
        <row r="343">
          <cell r="A343" t="str">
            <v>481004</v>
          </cell>
          <cell r="B343" t="str">
            <v>1015</v>
          </cell>
          <cell r="C343">
            <v>-214</v>
          </cell>
          <cell r="D343" t="str">
            <v>202</v>
          </cell>
          <cell r="E343" t="str">
            <v>402</v>
          </cell>
          <cell r="F343">
            <v>-253</v>
          </cell>
          <cell r="G343">
            <v>9</v>
          </cell>
          <cell r="H343" t="str">
            <v>2009-09-30</v>
          </cell>
        </row>
        <row r="344">
          <cell r="A344" t="str">
            <v>481004</v>
          </cell>
          <cell r="B344" t="str">
            <v>1015</v>
          </cell>
          <cell r="C344">
            <v>-334.45</v>
          </cell>
          <cell r="D344" t="str">
            <v>202</v>
          </cell>
          <cell r="E344" t="str">
            <v>402</v>
          </cell>
          <cell r="F344">
            <v>-424.47</v>
          </cell>
          <cell r="G344">
            <v>2</v>
          </cell>
          <cell r="H344" t="str">
            <v>2010-02-28</v>
          </cell>
        </row>
        <row r="345">
          <cell r="A345" t="str">
            <v>481004</v>
          </cell>
          <cell r="B345" t="str">
            <v>1015</v>
          </cell>
          <cell r="C345">
            <v>-270597.67</v>
          </cell>
          <cell r="D345" t="str">
            <v>202</v>
          </cell>
          <cell r="E345" t="str">
            <v>402</v>
          </cell>
          <cell r="F345">
            <v>-465855.44</v>
          </cell>
          <cell r="G345">
            <v>4</v>
          </cell>
          <cell r="H345" t="str">
            <v>2010-04-30</v>
          </cell>
        </row>
        <row r="346">
          <cell r="A346" t="str">
            <v>481004</v>
          </cell>
          <cell r="B346" t="str">
            <v>1015</v>
          </cell>
          <cell r="C346">
            <v>329365.43</v>
          </cell>
          <cell r="D346" t="str">
            <v>202</v>
          </cell>
          <cell r="E346" t="str">
            <v>402</v>
          </cell>
          <cell r="F346">
            <v>-372410.62</v>
          </cell>
          <cell r="G346">
            <v>5</v>
          </cell>
          <cell r="H346" t="str">
            <v>2010-05-31</v>
          </cell>
        </row>
        <row r="347">
          <cell r="A347" t="str">
            <v>481000</v>
          </cell>
          <cell r="B347" t="str">
            <v>1015</v>
          </cell>
          <cell r="C347">
            <v>-15086</v>
          </cell>
          <cell r="D347" t="str">
            <v>202</v>
          </cell>
          <cell r="E347" t="str">
            <v>402</v>
          </cell>
          <cell r="F347">
            <v>-26868</v>
          </cell>
          <cell r="G347">
            <v>7</v>
          </cell>
          <cell r="H347" t="str">
            <v>2009-07-31</v>
          </cell>
        </row>
        <row r="348">
          <cell r="A348" t="str">
            <v>481004</v>
          </cell>
          <cell r="B348" t="str">
            <v>1015</v>
          </cell>
          <cell r="C348">
            <v>-229</v>
          </cell>
          <cell r="D348" t="str">
            <v>202</v>
          </cell>
          <cell r="E348" t="str">
            <v>402</v>
          </cell>
          <cell r="F348">
            <v>-282</v>
          </cell>
          <cell r="G348">
            <v>7</v>
          </cell>
          <cell r="H348" t="str">
            <v>2009-07-31</v>
          </cell>
        </row>
        <row r="349">
          <cell r="A349" t="str">
            <v>481004</v>
          </cell>
          <cell r="B349" t="str">
            <v>1015</v>
          </cell>
          <cell r="C349">
            <v>-412</v>
          </cell>
          <cell r="D349" t="str">
            <v>202</v>
          </cell>
          <cell r="E349" t="str">
            <v>402</v>
          </cell>
          <cell r="F349">
            <v>-557</v>
          </cell>
          <cell r="G349">
            <v>11</v>
          </cell>
          <cell r="H349" t="str">
            <v>2009-11-30</v>
          </cell>
        </row>
        <row r="350">
          <cell r="A350" t="str">
            <v>481000</v>
          </cell>
          <cell r="B350" t="str">
            <v>1015</v>
          </cell>
          <cell r="C350">
            <v>-35016</v>
          </cell>
          <cell r="D350" t="str">
            <v>202</v>
          </cell>
          <cell r="E350" t="str">
            <v>402</v>
          </cell>
          <cell r="F350">
            <v>-58875</v>
          </cell>
          <cell r="G350">
            <v>12</v>
          </cell>
          <cell r="H350" t="str">
            <v>2009-12-31</v>
          </cell>
        </row>
        <row r="351">
          <cell r="A351" t="str">
            <v>481004</v>
          </cell>
          <cell r="B351" t="str">
            <v>1015</v>
          </cell>
          <cell r="C351">
            <v>-356.68</v>
          </cell>
          <cell r="D351" t="str">
            <v>202</v>
          </cell>
          <cell r="E351" t="str">
            <v>402</v>
          </cell>
          <cell r="F351">
            <v>-464.24</v>
          </cell>
          <cell r="G351">
            <v>3</v>
          </cell>
          <cell r="H351" t="str">
            <v>2010-03-31</v>
          </cell>
        </row>
        <row r="352">
          <cell r="A352" t="str">
            <v>481004</v>
          </cell>
          <cell r="B352" t="str">
            <v>1015</v>
          </cell>
          <cell r="C352">
            <v>-154.97999999999999</v>
          </cell>
          <cell r="D352" t="str">
            <v>202</v>
          </cell>
          <cell r="E352" t="str">
            <v>402</v>
          </cell>
          <cell r="F352">
            <v>-457.96</v>
          </cell>
          <cell r="G352">
            <v>5</v>
          </cell>
          <cell r="H352" t="str">
            <v>2010-05-31</v>
          </cell>
        </row>
        <row r="353">
          <cell r="A353" t="str">
            <v>481006</v>
          </cell>
          <cell r="B353" t="str">
            <v>1015</v>
          </cell>
          <cell r="C353">
            <v>-727.13</v>
          </cell>
          <cell r="D353" t="str">
            <v>202</v>
          </cell>
          <cell r="E353" t="str">
            <v>407</v>
          </cell>
          <cell r="F353">
            <v>-405.12</v>
          </cell>
          <cell r="G353">
            <v>8</v>
          </cell>
          <cell r="H353" t="str">
            <v>2009-08-31</v>
          </cell>
        </row>
        <row r="354">
          <cell r="A354" t="str">
            <v>480001</v>
          </cell>
          <cell r="B354" t="str">
            <v>1015</v>
          </cell>
          <cell r="C354">
            <v>447.82</v>
          </cell>
          <cell r="D354" t="str">
            <v>202</v>
          </cell>
          <cell r="E354" t="str">
            <v>407</v>
          </cell>
          <cell r="F354">
            <v>307.57</v>
          </cell>
          <cell r="G354">
            <v>9</v>
          </cell>
          <cell r="H354" t="str">
            <v>2009-09-30</v>
          </cell>
        </row>
        <row r="355">
          <cell r="A355" t="str">
            <v>481006</v>
          </cell>
          <cell r="B355" t="str">
            <v>1015</v>
          </cell>
          <cell r="C355">
            <v>-1060085.42</v>
          </cell>
          <cell r="D355" t="str">
            <v>202</v>
          </cell>
          <cell r="E355" t="str">
            <v>407</v>
          </cell>
          <cell r="F355">
            <v>-645222.81000000006</v>
          </cell>
          <cell r="G355">
            <v>11</v>
          </cell>
          <cell r="H355" t="str">
            <v>2009-11-30</v>
          </cell>
        </row>
        <row r="356">
          <cell r="A356" t="str">
            <v>481006</v>
          </cell>
          <cell r="B356" t="str">
            <v>1015</v>
          </cell>
          <cell r="C356">
            <v>-951.2</v>
          </cell>
          <cell r="D356" t="str">
            <v>202</v>
          </cell>
          <cell r="E356" t="str">
            <v>407</v>
          </cell>
          <cell r="F356">
            <v>-2010.71</v>
          </cell>
          <cell r="G356">
            <v>12</v>
          </cell>
          <cell r="H356" t="str">
            <v>2009-12-31</v>
          </cell>
        </row>
        <row r="357">
          <cell r="A357" t="str">
            <v>481006</v>
          </cell>
          <cell r="B357" t="str">
            <v>1015</v>
          </cell>
          <cell r="C357">
            <v>3313.08</v>
          </cell>
          <cell r="D357" t="str">
            <v>202</v>
          </cell>
          <cell r="E357" t="str">
            <v>407</v>
          </cell>
          <cell r="F357">
            <v>737</v>
          </cell>
          <cell r="G357">
            <v>1</v>
          </cell>
          <cell r="H357" t="str">
            <v>2010-01-31</v>
          </cell>
        </row>
        <row r="358">
          <cell r="A358" t="str">
            <v>481006</v>
          </cell>
          <cell r="B358" t="str">
            <v>1015</v>
          </cell>
          <cell r="C358">
            <v>1683</v>
          </cell>
          <cell r="D358" t="str">
            <v>202</v>
          </cell>
          <cell r="E358" t="str">
            <v>407</v>
          </cell>
          <cell r="F358">
            <v>-16</v>
          </cell>
          <cell r="G358">
            <v>2</v>
          </cell>
          <cell r="H358" t="str">
            <v>2010-02-28</v>
          </cell>
        </row>
        <row r="359">
          <cell r="A359" t="str">
            <v>481004</v>
          </cell>
          <cell r="B359" t="str">
            <v>1015</v>
          </cell>
          <cell r="C359">
            <v>-5041.38</v>
          </cell>
          <cell r="D359" t="str">
            <v>202</v>
          </cell>
          <cell r="E359" t="str">
            <v>407</v>
          </cell>
          <cell r="F359">
            <v>-1542.93</v>
          </cell>
          <cell r="G359">
            <v>7</v>
          </cell>
          <cell r="H359" t="str">
            <v>2009-07-31</v>
          </cell>
        </row>
        <row r="360">
          <cell r="A360" t="str">
            <v>480000</v>
          </cell>
          <cell r="B360" t="str">
            <v>1015</v>
          </cell>
          <cell r="C360">
            <v>-14305339.52</v>
          </cell>
          <cell r="D360" t="str">
            <v>202</v>
          </cell>
          <cell r="E360" t="str">
            <v>407</v>
          </cell>
          <cell r="F360">
            <v>-4971351.18</v>
          </cell>
          <cell r="G360">
            <v>11</v>
          </cell>
          <cell r="H360" t="str">
            <v>2009-11-30</v>
          </cell>
        </row>
        <row r="361">
          <cell r="A361" t="str">
            <v>481004</v>
          </cell>
          <cell r="B361" t="str">
            <v>1015</v>
          </cell>
          <cell r="C361">
            <v>-4920672.3499999996</v>
          </cell>
          <cell r="D361" t="str">
            <v>202</v>
          </cell>
          <cell r="E361" t="str">
            <v>407</v>
          </cell>
          <cell r="F361">
            <v>-3112864.98</v>
          </cell>
          <cell r="G361">
            <v>4</v>
          </cell>
          <cell r="H361" t="str">
            <v>2010-04-30</v>
          </cell>
        </row>
        <row r="362">
          <cell r="A362" t="str">
            <v>480001</v>
          </cell>
          <cell r="B362" t="str">
            <v>1015</v>
          </cell>
          <cell r="C362">
            <v>65314.239999999998</v>
          </cell>
          <cell r="D362" t="str">
            <v>202</v>
          </cell>
          <cell r="E362" t="str">
            <v>407</v>
          </cell>
          <cell r="F362">
            <v>126668.32</v>
          </cell>
          <cell r="G362">
            <v>8</v>
          </cell>
          <cell r="H362" t="str">
            <v>2009-08-31</v>
          </cell>
        </row>
        <row r="363">
          <cell r="A363" t="str">
            <v>481006</v>
          </cell>
          <cell r="B363" t="str">
            <v>1015</v>
          </cell>
          <cell r="C363">
            <v>-561070.77</v>
          </cell>
          <cell r="D363" t="str">
            <v>202</v>
          </cell>
          <cell r="E363" t="str">
            <v>407</v>
          </cell>
          <cell r="F363">
            <v>-578244.94999999995</v>
          </cell>
          <cell r="G363">
            <v>10</v>
          </cell>
          <cell r="H363" t="str">
            <v>2009-10-31</v>
          </cell>
        </row>
        <row r="364">
          <cell r="A364" t="str">
            <v>480001</v>
          </cell>
          <cell r="B364" t="str">
            <v>1015</v>
          </cell>
          <cell r="C364">
            <v>-4647730.4800000004</v>
          </cell>
          <cell r="D364" t="str">
            <v>202</v>
          </cell>
          <cell r="E364" t="str">
            <v>407</v>
          </cell>
          <cell r="F364">
            <v>-1638778.82</v>
          </cell>
          <cell r="G364">
            <v>11</v>
          </cell>
          <cell r="H364" t="str">
            <v>2009-11-30</v>
          </cell>
        </row>
        <row r="365">
          <cell r="A365" t="str">
            <v>480001</v>
          </cell>
          <cell r="B365" t="str">
            <v>1015</v>
          </cell>
          <cell r="C365">
            <v>-5878106.8600000003</v>
          </cell>
          <cell r="D365" t="str">
            <v>202</v>
          </cell>
          <cell r="E365" t="str">
            <v>407</v>
          </cell>
          <cell r="F365">
            <v>-2787751.06</v>
          </cell>
          <cell r="G365">
            <v>12</v>
          </cell>
          <cell r="H365" t="str">
            <v>2009-12-31</v>
          </cell>
        </row>
        <row r="366">
          <cell r="A366" t="str">
            <v>480001</v>
          </cell>
          <cell r="B366" t="str">
            <v>1015</v>
          </cell>
          <cell r="C366">
            <v>6966.98</v>
          </cell>
          <cell r="D366" t="str">
            <v>202</v>
          </cell>
          <cell r="E366" t="str">
            <v>407</v>
          </cell>
          <cell r="F366">
            <v>1785</v>
          </cell>
          <cell r="G366">
            <v>1</v>
          </cell>
          <cell r="H366" t="str">
            <v>2010-01-31</v>
          </cell>
        </row>
        <row r="367">
          <cell r="A367" t="str">
            <v>480001</v>
          </cell>
          <cell r="B367" t="str">
            <v>1015</v>
          </cell>
          <cell r="C367">
            <v>1986186</v>
          </cell>
          <cell r="D367" t="str">
            <v>202</v>
          </cell>
          <cell r="E367" t="str">
            <v>407</v>
          </cell>
          <cell r="F367">
            <v>903482</v>
          </cell>
          <cell r="G367">
            <v>2</v>
          </cell>
          <cell r="H367" t="str">
            <v>2010-02-28</v>
          </cell>
        </row>
        <row r="368">
          <cell r="A368" t="str">
            <v>480001</v>
          </cell>
          <cell r="B368" t="str">
            <v>1015</v>
          </cell>
          <cell r="C368">
            <v>4038417</v>
          </cell>
          <cell r="D368" t="str">
            <v>202</v>
          </cell>
          <cell r="E368" t="str">
            <v>407</v>
          </cell>
          <cell r="F368">
            <v>1349323</v>
          </cell>
          <cell r="G368">
            <v>4</v>
          </cell>
          <cell r="H368" t="str">
            <v>2010-04-30</v>
          </cell>
        </row>
        <row r="369">
          <cell r="A369" t="str">
            <v>480001</v>
          </cell>
          <cell r="B369" t="str">
            <v>1015</v>
          </cell>
          <cell r="C369">
            <v>5560</v>
          </cell>
          <cell r="D369" t="str">
            <v>202</v>
          </cell>
          <cell r="E369" t="str">
            <v>407</v>
          </cell>
          <cell r="F369">
            <v>2880</v>
          </cell>
          <cell r="G369">
            <v>4</v>
          </cell>
          <cell r="H369" t="str">
            <v>2010-04-30</v>
          </cell>
        </row>
        <row r="370">
          <cell r="A370" t="str">
            <v>481006</v>
          </cell>
          <cell r="B370" t="str">
            <v>1015</v>
          </cell>
          <cell r="C370">
            <v>-6698</v>
          </cell>
          <cell r="D370" t="str">
            <v>202</v>
          </cell>
          <cell r="E370" t="str">
            <v>407</v>
          </cell>
          <cell r="F370">
            <v>95</v>
          </cell>
          <cell r="G370">
            <v>5</v>
          </cell>
          <cell r="H370" t="str">
            <v>2010-05-31</v>
          </cell>
        </row>
        <row r="371">
          <cell r="A371" t="str">
            <v>480000</v>
          </cell>
          <cell r="B371" t="str">
            <v>1015</v>
          </cell>
          <cell r="C371">
            <v>-7910567.0899999999</v>
          </cell>
          <cell r="D371" t="str">
            <v>202</v>
          </cell>
          <cell r="E371" t="str">
            <v>407</v>
          </cell>
          <cell r="F371">
            <v>-1976356.72</v>
          </cell>
          <cell r="G371">
            <v>7</v>
          </cell>
          <cell r="H371" t="str">
            <v>2009-07-31</v>
          </cell>
        </row>
        <row r="372">
          <cell r="A372" t="str">
            <v>481004</v>
          </cell>
          <cell r="B372" t="str">
            <v>1015</v>
          </cell>
          <cell r="C372">
            <v>-1732324.46</v>
          </cell>
          <cell r="D372" t="str">
            <v>202</v>
          </cell>
          <cell r="E372" t="str">
            <v>407</v>
          </cell>
          <cell r="F372">
            <v>-720508.16</v>
          </cell>
          <cell r="G372">
            <v>7</v>
          </cell>
          <cell r="H372" t="str">
            <v>2009-07-31</v>
          </cell>
        </row>
        <row r="373">
          <cell r="A373" t="str">
            <v>480000</v>
          </cell>
          <cell r="B373" t="str">
            <v>1015</v>
          </cell>
          <cell r="C373">
            <v>-33620.97</v>
          </cell>
          <cell r="D373" t="str">
            <v>202</v>
          </cell>
          <cell r="E373" t="str">
            <v>407</v>
          </cell>
          <cell r="F373">
            <v>-11847.36</v>
          </cell>
          <cell r="G373">
            <v>11</v>
          </cell>
          <cell r="H373" t="str">
            <v>2009-11-30</v>
          </cell>
        </row>
        <row r="374">
          <cell r="A374" t="str">
            <v>481004</v>
          </cell>
          <cell r="B374" t="str">
            <v>1015</v>
          </cell>
          <cell r="C374">
            <v>-8649772.0500000007</v>
          </cell>
          <cell r="D374" t="str">
            <v>202</v>
          </cell>
          <cell r="E374" t="str">
            <v>407</v>
          </cell>
          <cell r="F374">
            <v>-5970051.79</v>
          </cell>
          <cell r="G374">
            <v>1</v>
          </cell>
          <cell r="H374" t="str">
            <v>2010-01-31</v>
          </cell>
        </row>
        <row r="375">
          <cell r="A375" t="str">
            <v>481004</v>
          </cell>
          <cell r="B375" t="str">
            <v>1015</v>
          </cell>
          <cell r="C375">
            <v>-6076737.2000000002</v>
          </cell>
          <cell r="D375" t="str">
            <v>202</v>
          </cell>
          <cell r="E375" t="str">
            <v>407</v>
          </cell>
          <cell r="F375">
            <v>-3747519.09</v>
          </cell>
          <cell r="G375">
            <v>3</v>
          </cell>
          <cell r="H375" t="str">
            <v>2010-03-31</v>
          </cell>
        </row>
        <row r="376">
          <cell r="A376" t="str">
            <v>481004</v>
          </cell>
          <cell r="B376" t="str">
            <v>1015</v>
          </cell>
          <cell r="C376">
            <v>-17079.330000000002</v>
          </cell>
          <cell r="D376" t="str">
            <v>202</v>
          </cell>
          <cell r="E376" t="str">
            <v>407</v>
          </cell>
          <cell r="F376">
            <v>-8800.82</v>
          </cell>
          <cell r="G376">
            <v>3</v>
          </cell>
          <cell r="H376" t="str">
            <v>2010-03-31</v>
          </cell>
        </row>
        <row r="377">
          <cell r="A377" t="str">
            <v>480000</v>
          </cell>
          <cell r="B377" t="str">
            <v>1015</v>
          </cell>
          <cell r="C377">
            <v>-19538953.550000001</v>
          </cell>
          <cell r="D377" t="str">
            <v>202</v>
          </cell>
          <cell r="E377" t="str">
            <v>407</v>
          </cell>
          <cell r="F377">
            <v>-7336102.0499999998</v>
          </cell>
          <cell r="G377">
            <v>4</v>
          </cell>
          <cell r="H377" t="str">
            <v>2010-04-30</v>
          </cell>
        </row>
        <row r="378">
          <cell r="A378" t="str">
            <v>480000</v>
          </cell>
          <cell r="B378" t="str">
            <v>1015</v>
          </cell>
          <cell r="C378">
            <v>-9931893.0500000007</v>
          </cell>
          <cell r="D378" t="str">
            <v>202</v>
          </cell>
          <cell r="E378" t="str">
            <v>407</v>
          </cell>
          <cell r="F378">
            <v>-3025158.77</v>
          </cell>
          <cell r="G378">
            <v>6</v>
          </cell>
          <cell r="H378" t="str">
            <v>2010-06-30</v>
          </cell>
        </row>
        <row r="379">
          <cell r="A379" t="str">
            <v>480000</v>
          </cell>
          <cell r="B379" t="str">
            <v>1015</v>
          </cell>
          <cell r="C379">
            <v>-19611.91</v>
          </cell>
          <cell r="D379" t="str">
            <v>202</v>
          </cell>
          <cell r="E379" t="str">
            <v>407</v>
          </cell>
          <cell r="F379">
            <v>-5733.53</v>
          </cell>
          <cell r="G379">
            <v>6</v>
          </cell>
          <cell r="H379" t="str">
            <v>2010-06-30</v>
          </cell>
        </row>
        <row r="380">
          <cell r="A380" t="str">
            <v>481004</v>
          </cell>
          <cell r="B380" t="str">
            <v>1015</v>
          </cell>
          <cell r="C380">
            <v>-2325955.75</v>
          </cell>
          <cell r="D380" t="str">
            <v>202</v>
          </cell>
          <cell r="E380" t="str">
            <v>407</v>
          </cell>
          <cell r="F380">
            <v>-1181157.51</v>
          </cell>
          <cell r="G380">
            <v>6</v>
          </cell>
          <cell r="H380" t="str">
            <v>2010-06-30</v>
          </cell>
        </row>
        <row r="381">
          <cell r="A381" t="str">
            <v>481006</v>
          </cell>
          <cell r="B381" t="str">
            <v>1015</v>
          </cell>
          <cell r="C381">
            <v>-236.43</v>
          </cell>
          <cell r="D381" t="str">
            <v>202</v>
          </cell>
          <cell r="E381" t="str">
            <v>407</v>
          </cell>
          <cell r="F381">
            <v>94.82</v>
          </cell>
          <cell r="G381">
            <v>9</v>
          </cell>
          <cell r="H381" t="str">
            <v>2009-09-30</v>
          </cell>
        </row>
        <row r="382">
          <cell r="A382" t="str">
            <v>480001</v>
          </cell>
          <cell r="B382" t="str">
            <v>1015</v>
          </cell>
          <cell r="C382">
            <v>-8114.03</v>
          </cell>
          <cell r="D382" t="str">
            <v>202</v>
          </cell>
          <cell r="E382" t="str">
            <v>407</v>
          </cell>
          <cell r="F382">
            <v>-2897.64</v>
          </cell>
          <cell r="G382">
            <v>11</v>
          </cell>
          <cell r="H382" t="str">
            <v>2009-11-30</v>
          </cell>
        </row>
        <row r="383">
          <cell r="A383" t="str">
            <v>480001</v>
          </cell>
          <cell r="B383" t="str">
            <v>1015</v>
          </cell>
          <cell r="C383">
            <v>3205981.85</v>
          </cell>
          <cell r="D383" t="str">
            <v>202</v>
          </cell>
          <cell r="E383" t="str">
            <v>407</v>
          </cell>
          <cell r="F383">
            <v>1379234</v>
          </cell>
          <cell r="G383">
            <v>1</v>
          </cell>
          <cell r="H383" t="str">
            <v>2010-01-31</v>
          </cell>
        </row>
        <row r="384">
          <cell r="A384" t="str">
            <v>480001</v>
          </cell>
          <cell r="B384" t="str">
            <v>1015</v>
          </cell>
          <cell r="C384">
            <v>268</v>
          </cell>
          <cell r="D384" t="str">
            <v>202</v>
          </cell>
          <cell r="E384" t="str">
            <v>407</v>
          </cell>
          <cell r="F384">
            <v>81</v>
          </cell>
          <cell r="G384">
            <v>2</v>
          </cell>
          <cell r="H384" t="str">
            <v>2010-02-28</v>
          </cell>
        </row>
        <row r="385">
          <cell r="A385" t="str">
            <v>481006</v>
          </cell>
          <cell r="B385" t="str">
            <v>1015</v>
          </cell>
          <cell r="C385">
            <v>835209</v>
          </cell>
          <cell r="D385" t="str">
            <v>202</v>
          </cell>
          <cell r="E385" t="str">
            <v>407</v>
          </cell>
          <cell r="F385">
            <v>773589</v>
          </cell>
          <cell r="G385">
            <v>6</v>
          </cell>
          <cell r="H385" t="str">
            <v>2010-06-30</v>
          </cell>
        </row>
        <row r="386">
          <cell r="A386" t="str">
            <v>481006</v>
          </cell>
          <cell r="B386" t="str">
            <v>1015</v>
          </cell>
          <cell r="C386">
            <v>3264</v>
          </cell>
          <cell r="D386" t="str">
            <v>202</v>
          </cell>
          <cell r="E386" t="str">
            <v>407</v>
          </cell>
          <cell r="F386">
            <v>2704</v>
          </cell>
          <cell r="G386">
            <v>6</v>
          </cell>
          <cell r="H386" t="str">
            <v>2010-06-30</v>
          </cell>
        </row>
        <row r="387">
          <cell r="A387" t="str">
            <v>481004</v>
          </cell>
          <cell r="B387" t="str">
            <v>1015</v>
          </cell>
          <cell r="C387">
            <v>-19402.8</v>
          </cell>
          <cell r="D387" t="str">
            <v>202</v>
          </cell>
          <cell r="E387" t="str">
            <v>407</v>
          </cell>
          <cell r="F387">
            <v>-10521.29</v>
          </cell>
          <cell r="G387">
            <v>12</v>
          </cell>
          <cell r="H387" t="str">
            <v>2009-12-31</v>
          </cell>
        </row>
        <row r="388">
          <cell r="A388" t="str">
            <v>481004</v>
          </cell>
          <cell r="B388" t="str">
            <v>1015</v>
          </cell>
          <cell r="C388">
            <v>-6770957.7599999998</v>
          </cell>
          <cell r="D388" t="str">
            <v>202</v>
          </cell>
          <cell r="E388" t="str">
            <v>407</v>
          </cell>
          <cell r="F388">
            <v>-4365686.46</v>
          </cell>
          <cell r="G388">
            <v>12</v>
          </cell>
          <cell r="H388" t="str">
            <v>2009-12-31</v>
          </cell>
        </row>
        <row r="389">
          <cell r="A389" t="str">
            <v>480000</v>
          </cell>
          <cell r="B389" t="str">
            <v>1015</v>
          </cell>
          <cell r="C389">
            <v>-33968092.25</v>
          </cell>
          <cell r="D389" t="str">
            <v>202</v>
          </cell>
          <cell r="E389" t="str">
            <v>407</v>
          </cell>
          <cell r="F389">
            <v>-13452995.470000001</v>
          </cell>
          <cell r="G389">
            <v>1</v>
          </cell>
          <cell r="H389" t="str">
            <v>2010-01-31</v>
          </cell>
        </row>
        <row r="390">
          <cell r="A390" t="str">
            <v>481004</v>
          </cell>
          <cell r="B390" t="str">
            <v>1015</v>
          </cell>
          <cell r="C390">
            <v>-6587895.0899999999</v>
          </cell>
          <cell r="D390" t="str">
            <v>202</v>
          </cell>
          <cell r="E390" t="str">
            <v>407</v>
          </cell>
          <cell r="F390">
            <v>-4155525.34</v>
          </cell>
          <cell r="G390">
            <v>2</v>
          </cell>
          <cell r="H390" t="str">
            <v>2010-02-28</v>
          </cell>
        </row>
        <row r="391">
          <cell r="A391" t="str">
            <v>480000</v>
          </cell>
          <cell r="B391" t="str">
            <v>1015</v>
          </cell>
          <cell r="C391">
            <v>-24973233.670000002</v>
          </cell>
          <cell r="D391" t="str">
            <v>202</v>
          </cell>
          <cell r="E391" t="str">
            <v>407</v>
          </cell>
          <cell r="F391">
            <v>-9341137.5600000005</v>
          </cell>
          <cell r="G391">
            <v>2</v>
          </cell>
          <cell r="H391" t="str">
            <v>2010-02-28</v>
          </cell>
        </row>
        <row r="392">
          <cell r="A392" t="str">
            <v>480000</v>
          </cell>
          <cell r="B392" t="str">
            <v>1015</v>
          </cell>
          <cell r="C392">
            <v>-25233.41</v>
          </cell>
          <cell r="D392" t="str">
            <v>202</v>
          </cell>
          <cell r="E392" t="str">
            <v>407</v>
          </cell>
          <cell r="F392">
            <v>-8696.85</v>
          </cell>
          <cell r="G392">
            <v>5</v>
          </cell>
          <cell r="H392" t="str">
            <v>2010-05-31</v>
          </cell>
        </row>
        <row r="393">
          <cell r="A393" t="str">
            <v>481004</v>
          </cell>
          <cell r="B393" t="str">
            <v>1015</v>
          </cell>
          <cell r="C393">
            <v>-6550.43</v>
          </cell>
          <cell r="D393" t="str">
            <v>202</v>
          </cell>
          <cell r="E393" t="str">
            <v>407</v>
          </cell>
          <cell r="F393">
            <v>-2472.3000000000002</v>
          </cell>
          <cell r="G393">
            <v>6</v>
          </cell>
          <cell r="H393" t="str">
            <v>2010-06-30</v>
          </cell>
        </row>
        <row r="394">
          <cell r="A394" t="str">
            <v>481006</v>
          </cell>
          <cell r="B394" t="str">
            <v>1015</v>
          </cell>
          <cell r="C394">
            <v>-88803.96</v>
          </cell>
          <cell r="D394" t="str">
            <v>202</v>
          </cell>
          <cell r="E394" t="str">
            <v>407</v>
          </cell>
          <cell r="F394">
            <v>-56800</v>
          </cell>
          <cell r="G394">
            <v>8</v>
          </cell>
          <cell r="H394" t="str">
            <v>2009-08-31</v>
          </cell>
        </row>
        <row r="395">
          <cell r="A395" t="str">
            <v>481006</v>
          </cell>
          <cell r="B395" t="str">
            <v>1015</v>
          </cell>
          <cell r="C395">
            <v>601734</v>
          </cell>
          <cell r="D395" t="str">
            <v>202</v>
          </cell>
          <cell r="E395" t="str">
            <v>407</v>
          </cell>
          <cell r="F395">
            <v>402962</v>
          </cell>
          <cell r="G395">
            <v>2</v>
          </cell>
          <cell r="H395" t="str">
            <v>2010-02-28</v>
          </cell>
        </row>
        <row r="396">
          <cell r="A396" t="str">
            <v>480001</v>
          </cell>
          <cell r="B396" t="str">
            <v>1015</v>
          </cell>
          <cell r="C396">
            <v>4411</v>
          </cell>
          <cell r="D396" t="str">
            <v>202</v>
          </cell>
          <cell r="E396" t="str">
            <v>407</v>
          </cell>
          <cell r="F396">
            <v>2027</v>
          </cell>
          <cell r="G396">
            <v>3</v>
          </cell>
          <cell r="H396" t="str">
            <v>2010-03-31</v>
          </cell>
        </row>
        <row r="397">
          <cell r="A397" t="str">
            <v>481006</v>
          </cell>
          <cell r="B397" t="str">
            <v>1015</v>
          </cell>
          <cell r="C397">
            <v>1190122</v>
          </cell>
          <cell r="D397" t="str">
            <v>202</v>
          </cell>
          <cell r="E397" t="str">
            <v>407</v>
          </cell>
          <cell r="F397">
            <v>542558</v>
          </cell>
          <cell r="G397">
            <v>4</v>
          </cell>
          <cell r="H397" t="str">
            <v>2010-04-30</v>
          </cell>
        </row>
        <row r="398">
          <cell r="A398" t="str">
            <v>480001</v>
          </cell>
          <cell r="B398" t="str">
            <v>1015</v>
          </cell>
          <cell r="C398">
            <v>3052871</v>
          </cell>
          <cell r="D398" t="str">
            <v>202</v>
          </cell>
          <cell r="E398" t="str">
            <v>407</v>
          </cell>
          <cell r="F398">
            <v>1616086</v>
          </cell>
          <cell r="G398">
            <v>6</v>
          </cell>
          <cell r="H398" t="str">
            <v>2010-06-30</v>
          </cell>
        </row>
        <row r="399">
          <cell r="A399" t="str">
            <v>480000</v>
          </cell>
          <cell r="B399" t="str">
            <v>1015</v>
          </cell>
          <cell r="C399">
            <v>-9806106.8000000007</v>
          </cell>
          <cell r="D399" t="str">
            <v>202</v>
          </cell>
          <cell r="E399" t="str">
            <v>407</v>
          </cell>
          <cell r="F399">
            <v>-2983187.24</v>
          </cell>
          <cell r="G399">
            <v>10</v>
          </cell>
          <cell r="H399" t="str">
            <v>2009-10-31</v>
          </cell>
        </row>
        <row r="400">
          <cell r="A400" t="str">
            <v>480000</v>
          </cell>
          <cell r="B400" t="str">
            <v>1015</v>
          </cell>
          <cell r="C400">
            <v>-13779.82</v>
          </cell>
          <cell r="D400" t="str">
            <v>202</v>
          </cell>
          <cell r="E400" t="str">
            <v>407</v>
          </cell>
          <cell r="F400">
            <v>-2794.57</v>
          </cell>
          <cell r="G400">
            <v>9</v>
          </cell>
          <cell r="H400" t="str">
            <v>2009-09-30</v>
          </cell>
        </row>
        <row r="401">
          <cell r="A401" t="str">
            <v>481004</v>
          </cell>
          <cell r="B401" t="str">
            <v>1015</v>
          </cell>
          <cell r="C401">
            <v>-4876.57</v>
          </cell>
          <cell r="D401" t="str">
            <v>202</v>
          </cell>
          <cell r="E401" t="str">
            <v>407</v>
          </cell>
          <cell r="F401">
            <v>-1411.82</v>
          </cell>
          <cell r="G401">
            <v>9</v>
          </cell>
          <cell r="H401" t="str">
            <v>2009-09-30</v>
          </cell>
        </row>
        <row r="402">
          <cell r="A402" t="str">
            <v>480000</v>
          </cell>
          <cell r="B402" t="str">
            <v>1015</v>
          </cell>
          <cell r="C402">
            <v>-21095.56</v>
          </cell>
          <cell r="D402" t="str">
            <v>202</v>
          </cell>
          <cell r="E402" t="str">
            <v>407</v>
          </cell>
          <cell r="F402">
            <v>-6600.38</v>
          </cell>
          <cell r="G402">
            <v>10</v>
          </cell>
          <cell r="H402" t="str">
            <v>2009-10-31</v>
          </cell>
        </row>
        <row r="403">
          <cell r="A403" t="str">
            <v>481004</v>
          </cell>
          <cell r="B403" t="str">
            <v>1015</v>
          </cell>
          <cell r="C403">
            <v>-3489813.58</v>
          </cell>
          <cell r="D403" t="str">
            <v>202</v>
          </cell>
          <cell r="E403" t="str">
            <v>407</v>
          </cell>
          <cell r="F403">
            <v>-2018656.19</v>
          </cell>
          <cell r="G403">
            <v>11</v>
          </cell>
          <cell r="H403" t="str">
            <v>2009-11-30</v>
          </cell>
        </row>
        <row r="404">
          <cell r="A404" t="str">
            <v>480000</v>
          </cell>
          <cell r="B404" t="str">
            <v>1015</v>
          </cell>
          <cell r="C404">
            <v>-63885.88</v>
          </cell>
          <cell r="D404" t="str">
            <v>202</v>
          </cell>
          <cell r="E404" t="str">
            <v>407</v>
          </cell>
          <cell r="F404">
            <v>-24658.79</v>
          </cell>
          <cell r="G404">
            <v>1</v>
          </cell>
          <cell r="H404" t="str">
            <v>2010-01-31</v>
          </cell>
        </row>
        <row r="405">
          <cell r="A405" t="str">
            <v>481004</v>
          </cell>
          <cell r="B405" t="str">
            <v>1015</v>
          </cell>
          <cell r="C405">
            <v>-18715.849999999999</v>
          </cell>
          <cell r="D405" t="str">
            <v>202</v>
          </cell>
          <cell r="E405" t="str">
            <v>407</v>
          </cell>
          <cell r="F405">
            <v>-9948.73</v>
          </cell>
          <cell r="G405">
            <v>2</v>
          </cell>
          <cell r="H405" t="str">
            <v>2010-02-28</v>
          </cell>
        </row>
        <row r="406">
          <cell r="A406" t="str">
            <v>480000</v>
          </cell>
          <cell r="B406" t="str">
            <v>1015</v>
          </cell>
          <cell r="C406">
            <v>-44341.87</v>
          </cell>
          <cell r="D406" t="str">
            <v>202</v>
          </cell>
          <cell r="E406" t="str">
            <v>407</v>
          </cell>
          <cell r="F406">
            <v>-15868.3</v>
          </cell>
          <cell r="G406">
            <v>3</v>
          </cell>
          <cell r="H406" t="str">
            <v>2010-03-31</v>
          </cell>
        </row>
        <row r="407">
          <cell r="A407" t="str">
            <v>480001</v>
          </cell>
          <cell r="B407" t="str">
            <v>1015</v>
          </cell>
          <cell r="C407">
            <v>-2866158.2</v>
          </cell>
          <cell r="D407" t="str">
            <v>202</v>
          </cell>
          <cell r="E407" t="str">
            <v>407</v>
          </cell>
          <cell r="F407">
            <v>-1525845.76</v>
          </cell>
          <cell r="G407">
            <v>10</v>
          </cell>
          <cell r="H407" t="str">
            <v>2009-10-31</v>
          </cell>
        </row>
        <row r="408">
          <cell r="A408" t="str">
            <v>480001</v>
          </cell>
          <cell r="B408" t="str">
            <v>1015</v>
          </cell>
          <cell r="C408">
            <v>-5833.44</v>
          </cell>
          <cell r="D408" t="str">
            <v>202</v>
          </cell>
          <cell r="E408" t="str">
            <v>407</v>
          </cell>
          <cell r="F408">
            <v>-2991.62</v>
          </cell>
          <cell r="G408">
            <v>10</v>
          </cell>
          <cell r="H408" t="str">
            <v>2009-10-31</v>
          </cell>
        </row>
        <row r="409">
          <cell r="A409" t="str">
            <v>481006</v>
          </cell>
          <cell r="B409" t="str">
            <v>1015</v>
          </cell>
          <cell r="C409">
            <v>-919.01</v>
          </cell>
          <cell r="D409" t="str">
            <v>202</v>
          </cell>
          <cell r="E409" t="str">
            <v>407</v>
          </cell>
          <cell r="F409">
            <v>-1221.32</v>
          </cell>
          <cell r="G409">
            <v>10</v>
          </cell>
          <cell r="H409" t="str">
            <v>2009-10-31</v>
          </cell>
        </row>
        <row r="410">
          <cell r="A410" t="str">
            <v>481006</v>
          </cell>
          <cell r="B410" t="str">
            <v>1015</v>
          </cell>
          <cell r="C410">
            <v>660948.47999999998</v>
          </cell>
          <cell r="D410" t="str">
            <v>202</v>
          </cell>
          <cell r="E410" t="str">
            <v>407</v>
          </cell>
          <cell r="F410">
            <v>613613</v>
          </cell>
          <cell r="G410">
            <v>1</v>
          </cell>
          <cell r="H410" t="str">
            <v>2010-01-31</v>
          </cell>
        </row>
        <row r="411">
          <cell r="A411" t="str">
            <v>481006</v>
          </cell>
          <cell r="B411" t="str">
            <v>1015</v>
          </cell>
          <cell r="C411">
            <v>-52118</v>
          </cell>
          <cell r="D411" t="str">
            <v>202</v>
          </cell>
          <cell r="E411" t="str">
            <v>407</v>
          </cell>
          <cell r="F411">
            <v>125510</v>
          </cell>
          <cell r="G411">
            <v>5</v>
          </cell>
          <cell r="H411" t="str">
            <v>2010-05-31</v>
          </cell>
        </row>
        <row r="412">
          <cell r="A412" t="str">
            <v>480001</v>
          </cell>
          <cell r="B412" t="str">
            <v>1015</v>
          </cell>
          <cell r="C412">
            <v>7646</v>
          </cell>
          <cell r="D412" t="str">
            <v>202</v>
          </cell>
          <cell r="E412" t="str">
            <v>407</v>
          </cell>
          <cell r="F412">
            <v>4063</v>
          </cell>
          <cell r="G412">
            <v>6</v>
          </cell>
          <cell r="H412" t="str">
            <v>2010-06-30</v>
          </cell>
        </row>
        <row r="413">
          <cell r="A413" t="str">
            <v>480000</v>
          </cell>
          <cell r="B413" t="str">
            <v>1015</v>
          </cell>
          <cell r="C413">
            <v>-7253536.6299999999</v>
          </cell>
          <cell r="D413" t="str">
            <v>202</v>
          </cell>
          <cell r="E413" t="str">
            <v>407</v>
          </cell>
          <cell r="F413">
            <v>-1615968.32</v>
          </cell>
          <cell r="G413">
            <v>8</v>
          </cell>
          <cell r="H413" t="str">
            <v>2009-08-31</v>
          </cell>
        </row>
        <row r="414">
          <cell r="A414" t="str">
            <v>480000</v>
          </cell>
          <cell r="B414" t="str">
            <v>1015</v>
          </cell>
          <cell r="C414">
            <v>-7343840.79</v>
          </cell>
          <cell r="D414" t="str">
            <v>202</v>
          </cell>
          <cell r="E414" t="str">
            <v>407</v>
          </cell>
          <cell r="F414">
            <v>-1674017.3</v>
          </cell>
          <cell r="G414">
            <v>9</v>
          </cell>
          <cell r="H414" t="str">
            <v>2009-09-30</v>
          </cell>
        </row>
        <row r="415">
          <cell r="A415" t="str">
            <v>480001</v>
          </cell>
          <cell r="B415" t="str">
            <v>1015</v>
          </cell>
          <cell r="C415">
            <v>85305.79</v>
          </cell>
          <cell r="D415" t="str">
            <v>202</v>
          </cell>
          <cell r="E415" t="str">
            <v>407</v>
          </cell>
          <cell r="F415">
            <v>23848.3</v>
          </cell>
          <cell r="G415">
            <v>9</v>
          </cell>
          <cell r="H415" t="str">
            <v>2009-09-30</v>
          </cell>
        </row>
        <row r="416">
          <cell r="A416" t="str">
            <v>480001</v>
          </cell>
          <cell r="B416" t="str">
            <v>1015</v>
          </cell>
          <cell r="C416">
            <v>1025595</v>
          </cell>
          <cell r="D416" t="str">
            <v>202</v>
          </cell>
          <cell r="E416" t="str">
            <v>407</v>
          </cell>
          <cell r="F416">
            <v>472559</v>
          </cell>
          <cell r="G416">
            <v>3</v>
          </cell>
          <cell r="H416" t="str">
            <v>2010-03-31</v>
          </cell>
        </row>
        <row r="417">
          <cell r="A417" t="str">
            <v>481006</v>
          </cell>
          <cell r="B417" t="str">
            <v>1015</v>
          </cell>
          <cell r="C417">
            <v>321155</v>
          </cell>
          <cell r="D417" t="str">
            <v>202</v>
          </cell>
          <cell r="E417" t="str">
            <v>407</v>
          </cell>
          <cell r="F417">
            <v>173655</v>
          </cell>
          <cell r="G417">
            <v>3</v>
          </cell>
          <cell r="H417" t="str">
            <v>2010-03-31</v>
          </cell>
        </row>
        <row r="418">
          <cell r="A418" t="str">
            <v>481004</v>
          </cell>
          <cell r="B418" t="str">
            <v>1015</v>
          </cell>
          <cell r="C418">
            <v>-2190683.23</v>
          </cell>
          <cell r="D418" t="str">
            <v>202</v>
          </cell>
          <cell r="E418" t="str">
            <v>407</v>
          </cell>
          <cell r="F418">
            <v>-1079995.05</v>
          </cell>
          <cell r="G418">
            <v>10</v>
          </cell>
          <cell r="H418" t="str">
            <v>2009-10-31</v>
          </cell>
        </row>
        <row r="419">
          <cell r="A419" t="str">
            <v>481004</v>
          </cell>
          <cell r="B419" t="str">
            <v>1015</v>
          </cell>
          <cell r="C419">
            <v>-7163.99</v>
          </cell>
          <cell r="D419" t="str">
            <v>202</v>
          </cell>
          <cell r="E419" t="str">
            <v>407</v>
          </cell>
          <cell r="F419">
            <v>-2873.68</v>
          </cell>
          <cell r="G419">
            <v>10</v>
          </cell>
          <cell r="H419" t="str">
            <v>2009-10-31</v>
          </cell>
        </row>
        <row r="420">
          <cell r="A420" t="str">
            <v>480000</v>
          </cell>
          <cell r="B420" t="str">
            <v>1015</v>
          </cell>
          <cell r="C420">
            <v>-52508.76</v>
          </cell>
          <cell r="D420" t="str">
            <v>202</v>
          </cell>
          <cell r="E420" t="str">
            <v>407</v>
          </cell>
          <cell r="F420">
            <v>-19566.759999999998</v>
          </cell>
          <cell r="G420">
            <v>12</v>
          </cell>
          <cell r="H420" t="str">
            <v>2009-12-31</v>
          </cell>
        </row>
        <row r="421">
          <cell r="A421" t="str">
            <v>480000</v>
          </cell>
          <cell r="B421" t="str">
            <v>1015</v>
          </cell>
          <cell r="C421">
            <v>-23318693.710000001</v>
          </cell>
          <cell r="D421" t="str">
            <v>202</v>
          </cell>
          <cell r="E421" t="str">
            <v>407</v>
          </cell>
          <cell r="F421">
            <v>-8580239.7699999996</v>
          </cell>
          <cell r="G421">
            <v>3</v>
          </cell>
          <cell r="H421" t="str">
            <v>2010-03-31</v>
          </cell>
        </row>
        <row r="422">
          <cell r="A422" t="str">
            <v>481004</v>
          </cell>
          <cell r="B422" t="str">
            <v>1015</v>
          </cell>
          <cell r="C422">
            <v>-12812.32</v>
          </cell>
          <cell r="D422" t="str">
            <v>202</v>
          </cell>
          <cell r="E422" t="str">
            <v>407</v>
          </cell>
          <cell r="F422">
            <v>-6641.23</v>
          </cell>
          <cell r="G422">
            <v>4</v>
          </cell>
          <cell r="H422" t="str">
            <v>2010-04-30</v>
          </cell>
        </row>
        <row r="423">
          <cell r="A423" t="str">
            <v>481000</v>
          </cell>
          <cell r="B423" t="str">
            <v>1015</v>
          </cell>
          <cell r="C423">
            <v>-2079.89</v>
          </cell>
          <cell r="D423" t="str">
            <v>202</v>
          </cell>
          <cell r="E423" t="str">
            <v>407</v>
          </cell>
          <cell r="F423">
            <v>-2101</v>
          </cell>
          <cell r="G423">
            <v>4</v>
          </cell>
          <cell r="H423" t="str">
            <v>2010-04-30</v>
          </cell>
        </row>
        <row r="424">
          <cell r="A424" t="str">
            <v>480000</v>
          </cell>
          <cell r="B424" t="str">
            <v>1015</v>
          </cell>
          <cell r="C424">
            <v>-12946718.710000001</v>
          </cell>
          <cell r="D424" t="str">
            <v>202</v>
          </cell>
          <cell r="E424" t="str">
            <v>407</v>
          </cell>
          <cell r="F424">
            <v>-4633060.8099999996</v>
          </cell>
          <cell r="G424">
            <v>5</v>
          </cell>
          <cell r="H424" t="str">
            <v>2010-05-31</v>
          </cell>
        </row>
        <row r="425">
          <cell r="A425" t="str">
            <v>481000</v>
          </cell>
          <cell r="B425" t="str">
            <v>1015</v>
          </cell>
          <cell r="C425">
            <v>-1176.8</v>
          </cell>
          <cell r="D425" t="str">
            <v>202</v>
          </cell>
          <cell r="E425" t="str">
            <v>407</v>
          </cell>
          <cell r="F425">
            <v>-1516</v>
          </cell>
          <cell r="G425">
            <v>5</v>
          </cell>
          <cell r="H425" t="str">
            <v>2010-05-31</v>
          </cell>
        </row>
        <row r="426">
          <cell r="A426" t="str">
            <v>481004</v>
          </cell>
          <cell r="B426" t="str">
            <v>1015</v>
          </cell>
          <cell r="C426">
            <v>-8563.7099999999991</v>
          </cell>
          <cell r="D426" t="str">
            <v>202</v>
          </cell>
          <cell r="E426" t="str">
            <v>407</v>
          </cell>
          <cell r="F426">
            <v>-3877.92</v>
          </cell>
          <cell r="G426">
            <v>5</v>
          </cell>
          <cell r="H426" t="str">
            <v>2010-05-31</v>
          </cell>
        </row>
        <row r="427">
          <cell r="A427" t="str">
            <v>480001</v>
          </cell>
          <cell r="B427" t="str">
            <v>1015</v>
          </cell>
          <cell r="C427">
            <v>388224.09</v>
          </cell>
          <cell r="D427" t="str">
            <v>202</v>
          </cell>
          <cell r="E427" t="str">
            <v>407</v>
          </cell>
          <cell r="F427">
            <v>189031.72</v>
          </cell>
          <cell r="G427">
            <v>7</v>
          </cell>
          <cell r="H427" t="str">
            <v>2009-07-31</v>
          </cell>
        </row>
        <row r="428">
          <cell r="A428" t="str">
            <v>481006</v>
          </cell>
          <cell r="B428" t="str">
            <v>1015</v>
          </cell>
          <cell r="C428">
            <v>3584.97</v>
          </cell>
          <cell r="D428" t="str">
            <v>202</v>
          </cell>
          <cell r="E428" t="str">
            <v>407</v>
          </cell>
          <cell r="F428">
            <v>19777.099999999999</v>
          </cell>
          <cell r="G428">
            <v>9</v>
          </cell>
          <cell r="H428" t="str">
            <v>2009-09-30</v>
          </cell>
        </row>
        <row r="429">
          <cell r="A429" t="str">
            <v>481006</v>
          </cell>
          <cell r="B429" t="str">
            <v>1015</v>
          </cell>
          <cell r="C429">
            <v>-1345.85</v>
          </cell>
          <cell r="D429" t="str">
            <v>202</v>
          </cell>
          <cell r="E429" t="str">
            <v>407</v>
          </cell>
          <cell r="F429">
            <v>-1482.68</v>
          </cell>
          <cell r="G429">
            <v>11</v>
          </cell>
          <cell r="H429" t="str">
            <v>2009-11-30</v>
          </cell>
        </row>
        <row r="430">
          <cell r="A430" t="str">
            <v>481006</v>
          </cell>
          <cell r="B430" t="str">
            <v>1015</v>
          </cell>
          <cell r="C430">
            <v>-1522831.24</v>
          </cell>
          <cell r="D430" t="str">
            <v>202</v>
          </cell>
          <cell r="E430" t="str">
            <v>407</v>
          </cell>
          <cell r="F430">
            <v>-1275392.54</v>
          </cell>
          <cell r="G430">
            <v>12</v>
          </cell>
          <cell r="H430" t="str">
            <v>2009-12-31</v>
          </cell>
        </row>
        <row r="431">
          <cell r="A431" t="str">
            <v>480001</v>
          </cell>
          <cell r="B431" t="str">
            <v>1015</v>
          </cell>
          <cell r="C431">
            <v>-6468.24</v>
          </cell>
          <cell r="D431" t="str">
            <v>202</v>
          </cell>
          <cell r="E431" t="str">
            <v>407</v>
          </cell>
          <cell r="F431">
            <v>-3026.24</v>
          </cell>
          <cell r="G431">
            <v>12</v>
          </cell>
          <cell r="H431" t="str">
            <v>2009-12-31</v>
          </cell>
        </row>
        <row r="432">
          <cell r="A432" t="str">
            <v>481006</v>
          </cell>
          <cell r="B432" t="str">
            <v>1015</v>
          </cell>
          <cell r="C432">
            <v>2925</v>
          </cell>
          <cell r="D432" t="str">
            <v>202</v>
          </cell>
          <cell r="E432" t="str">
            <v>407</v>
          </cell>
          <cell r="F432">
            <v>1060</v>
          </cell>
          <cell r="G432">
            <v>3</v>
          </cell>
          <cell r="H432" t="str">
            <v>2010-03-31</v>
          </cell>
        </row>
        <row r="433">
          <cell r="A433" t="str">
            <v>481006</v>
          </cell>
          <cell r="B433" t="str">
            <v>1015</v>
          </cell>
          <cell r="C433">
            <v>2890</v>
          </cell>
          <cell r="D433" t="str">
            <v>202</v>
          </cell>
          <cell r="E433" t="str">
            <v>407</v>
          </cell>
          <cell r="F433">
            <v>1590</v>
          </cell>
          <cell r="G433">
            <v>4</v>
          </cell>
          <cell r="H433" t="str">
            <v>2010-04-30</v>
          </cell>
        </row>
        <row r="434">
          <cell r="A434" t="str">
            <v>480001</v>
          </cell>
          <cell r="B434" t="str">
            <v>1015</v>
          </cell>
          <cell r="C434">
            <v>1400109</v>
          </cell>
          <cell r="D434" t="str">
            <v>202</v>
          </cell>
          <cell r="E434" t="str">
            <v>407</v>
          </cell>
          <cell r="F434">
            <v>363339</v>
          </cell>
          <cell r="G434">
            <v>5</v>
          </cell>
          <cell r="H434" t="str">
            <v>2010-05-31</v>
          </cell>
        </row>
        <row r="435">
          <cell r="A435" t="str">
            <v>480001</v>
          </cell>
          <cell r="B435" t="str">
            <v>1015</v>
          </cell>
          <cell r="C435">
            <v>2695</v>
          </cell>
          <cell r="D435" t="str">
            <v>202</v>
          </cell>
          <cell r="E435" t="str">
            <v>407</v>
          </cell>
          <cell r="F435">
            <v>168</v>
          </cell>
          <cell r="G435">
            <v>5</v>
          </cell>
          <cell r="H435" t="str">
            <v>2010-05-31</v>
          </cell>
        </row>
        <row r="436">
          <cell r="A436" t="str">
            <v>480000</v>
          </cell>
          <cell r="B436" t="str">
            <v>1015</v>
          </cell>
          <cell r="C436">
            <v>-14209.81</v>
          </cell>
          <cell r="D436" t="str">
            <v>202</v>
          </cell>
          <cell r="E436" t="str">
            <v>407</v>
          </cell>
          <cell r="F436">
            <v>-3000.92</v>
          </cell>
          <cell r="G436">
            <v>7</v>
          </cell>
          <cell r="H436" t="str">
            <v>2009-07-31</v>
          </cell>
        </row>
        <row r="437">
          <cell r="A437" t="str">
            <v>480000</v>
          </cell>
          <cell r="B437" t="str">
            <v>1015</v>
          </cell>
          <cell r="C437">
            <v>-13416.28</v>
          </cell>
          <cell r="D437" t="str">
            <v>202</v>
          </cell>
          <cell r="E437" t="str">
            <v>407</v>
          </cell>
          <cell r="F437">
            <v>-2570.83</v>
          </cell>
          <cell r="G437">
            <v>8</v>
          </cell>
          <cell r="H437" t="str">
            <v>2009-08-31</v>
          </cell>
        </row>
        <row r="438">
          <cell r="A438" t="str">
            <v>481004</v>
          </cell>
          <cell r="B438" t="str">
            <v>1015</v>
          </cell>
          <cell r="C438">
            <v>-12209.15</v>
          </cell>
          <cell r="D438" t="str">
            <v>202</v>
          </cell>
          <cell r="E438" t="str">
            <v>407</v>
          </cell>
          <cell r="F438">
            <v>-5842.32</v>
          </cell>
          <cell r="G438">
            <v>11</v>
          </cell>
          <cell r="H438" t="str">
            <v>2009-11-30</v>
          </cell>
        </row>
        <row r="439">
          <cell r="A439" t="str">
            <v>480000</v>
          </cell>
          <cell r="B439" t="str">
            <v>1015</v>
          </cell>
          <cell r="C439">
            <v>-36410.83</v>
          </cell>
          <cell r="D439" t="str">
            <v>202</v>
          </cell>
          <cell r="E439" t="str">
            <v>407</v>
          </cell>
          <cell r="F439">
            <v>-13588.98</v>
          </cell>
          <cell r="G439">
            <v>4</v>
          </cell>
          <cell r="H439" t="str">
            <v>2010-04-30</v>
          </cell>
        </row>
        <row r="440">
          <cell r="A440" t="str">
            <v>481006</v>
          </cell>
          <cell r="B440" t="str">
            <v>1015</v>
          </cell>
          <cell r="C440">
            <v>76394.460000000006</v>
          </cell>
          <cell r="D440" t="str">
            <v>202</v>
          </cell>
          <cell r="E440" t="str">
            <v>407</v>
          </cell>
          <cell r="F440">
            <v>90478.16</v>
          </cell>
          <cell r="G440">
            <v>7</v>
          </cell>
          <cell r="H440" t="str">
            <v>2009-07-31</v>
          </cell>
        </row>
        <row r="441">
          <cell r="A441" t="str">
            <v>480001</v>
          </cell>
          <cell r="B441" t="str">
            <v>1015</v>
          </cell>
          <cell r="C441">
            <v>345.81</v>
          </cell>
          <cell r="D441" t="str">
            <v>202</v>
          </cell>
          <cell r="E441" t="str">
            <v>407</v>
          </cell>
          <cell r="F441">
            <v>240.92</v>
          </cell>
          <cell r="G441">
            <v>7</v>
          </cell>
          <cell r="H441" t="str">
            <v>2009-07-31</v>
          </cell>
        </row>
        <row r="442">
          <cell r="A442" t="str">
            <v>481006</v>
          </cell>
          <cell r="B442" t="str">
            <v>1015</v>
          </cell>
          <cell r="C442">
            <v>-259.62</v>
          </cell>
          <cell r="D442" t="str">
            <v>202</v>
          </cell>
          <cell r="E442" t="str">
            <v>407</v>
          </cell>
          <cell r="F442">
            <v>51.93</v>
          </cell>
          <cell r="G442">
            <v>7</v>
          </cell>
          <cell r="H442" t="str">
            <v>2009-07-31</v>
          </cell>
        </row>
        <row r="443">
          <cell r="A443" t="str">
            <v>480001</v>
          </cell>
          <cell r="B443" t="str">
            <v>1015</v>
          </cell>
          <cell r="C443">
            <v>-2155.7199999999998</v>
          </cell>
          <cell r="D443" t="str">
            <v>202</v>
          </cell>
          <cell r="E443" t="str">
            <v>407</v>
          </cell>
          <cell r="F443">
            <v>-1081.17</v>
          </cell>
          <cell r="G443">
            <v>8</v>
          </cell>
          <cell r="H443" t="str">
            <v>2009-08-31</v>
          </cell>
        </row>
        <row r="444">
          <cell r="A444" t="str">
            <v>481004</v>
          </cell>
          <cell r="B444" t="str">
            <v>1015</v>
          </cell>
          <cell r="C444">
            <v>-1567882.43</v>
          </cell>
          <cell r="D444" t="str">
            <v>202</v>
          </cell>
          <cell r="E444" t="str">
            <v>407</v>
          </cell>
          <cell r="F444">
            <v>-563216</v>
          </cell>
          <cell r="G444">
            <v>8</v>
          </cell>
          <cell r="H444" t="str">
            <v>2009-08-31</v>
          </cell>
        </row>
        <row r="445">
          <cell r="A445" t="str">
            <v>481004</v>
          </cell>
          <cell r="B445" t="str">
            <v>1015</v>
          </cell>
          <cell r="C445">
            <v>-4800.87</v>
          </cell>
          <cell r="D445" t="str">
            <v>202</v>
          </cell>
          <cell r="E445" t="str">
            <v>407</v>
          </cell>
          <cell r="F445">
            <v>-1296.8800000000001</v>
          </cell>
          <cell r="G445">
            <v>8</v>
          </cell>
          <cell r="H445" t="str">
            <v>2009-08-31</v>
          </cell>
        </row>
        <row r="446">
          <cell r="A446" t="str">
            <v>481004</v>
          </cell>
          <cell r="B446" t="str">
            <v>1015</v>
          </cell>
          <cell r="C446">
            <v>-1596009.97</v>
          </cell>
          <cell r="D446" t="str">
            <v>202</v>
          </cell>
          <cell r="E446" t="str">
            <v>407</v>
          </cell>
          <cell r="F446">
            <v>-595741.1</v>
          </cell>
          <cell r="G446">
            <v>9</v>
          </cell>
          <cell r="H446" t="str">
            <v>2009-09-30</v>
          </cell>
        </row>
        <row r="447">
          <cell r="A447" t="str">
            <v>480000</v>
          </cell>
          <cell r="B447" t="str">
            <v>1015</v>
          </cell>
          <cell r="C447">
            <v>-27598018.140000001</v>
          </cell>
          <cell r="D447" t="str">
            <v>202</v>
          </cell>
          <cell r="E447" t="str">
            <v>407</v>
          </cell>
          <cell r="F447">
            <v>-10539674.939999999</v>
          </cell>
          <cell r="G447">
            <v>12</v>
          </cell>
          <cell r="H447" t="str">
            <v>2009-12-31</v>
          </cell>
        </row>
        <row r="448">
          <cell r="A448" t="str">
            <v>481004</v>
          </cell>
          <cell r="B448" t="str">
            <v>1015</v>
          </cell>
          <cell r="C448">
            <v>-23183.599999999999</v>
          </cell>
          <cell r="D448" t="str">
            <v>202</v>
          </cell>
          <cell r="E448" t="str">
            <v>407</v>
          </cell>
          <cell r="F448">
            <v>-13429.85</v>
          </cell>
          <cell r="G448">
            <v>1</v>
          </cell>
          <cell r="H448" t="str">
            <v>2010-01-31</v>
          </cell>
        </row>
        <row r="449">
          <cell r="A449" t="str">
            <v>480000</v>
          </cell>
          <cell r="B449" t="str">
            <v>1015</v>
          </cell>
          <cell r="C449">
            <v>-49090.38</v>
          </cell>
          <cell r="D449" t="str">
            <v>202</v>
          </cell>
          <cell r="E449" t="str">
            <v>407</v>
          </cell>
          <cell r="F449">
            <v>-18010.22</v>
          </cell>
          <cell r="G449">
            <v>2</v>
          </cell>
          <cell r="H449" t="str">
            <v>2010-02-28</v>
          </cell>
        </row>
        <row r="450">
          <cell r="A450" t="str">
            <v>481004</v>
          </cell>
          <cell r="B450" t="str">
            <v>1015</v>
          </cell>
          <cell r="C450">
            <v>-3127441.74</v>
          </cell>
          <cell r="D450" t="str">
            <v>202</v>
          </cell>
          <cell r="E450" t="str">
            <v>407</v>
          </cell>
          <cell r="F450">
            <v>-1881943.25</v>
          </cell>
          <cell r="G450">
            <v>5</v>
          </cell>
          <cell r="H450" t="str">
            <v>2010-05-31</v>
          </cell>
        </row>
        <row r="451">
          <cell r="A451" t="str">
            <v>480000</v>
          </cell>
          <cell r="B451" t="str">
            <v>1015</v>
          </cell>
          <cell r="C451">
            <v>0</v>
          </cell>
          <cell r="D451" t="str">
            <v>202</v>
          </cell>
          <cell r="E451" t="str">
            <v>408</v>
          </cell>
          <cell r="F451">
            <v>0</v>
          </cell>
          <cell r="G451">
            <v>9</v>
          </cell>
          <cell r="H451" t="str">
            <v>2009-09-30</v>
          </cell>
        </row>
        <row r="452">
          <cell r="A452" t="str">
            <v>481005</v>
          </cell>
          <cell r="B452" t="str">
            <v>1015</v>
          </cell>
          <cell r="C452">
            <v>-39154</v>
          </cell>
          <cell r="D452" t="str">
            <v>202</v>
          </cell>
          <cell r="E452" t="str">
            <v>411</v>
          </cell>
          <cell r="F452">
            <v>-132515</v>
          </cell>
          <cell r="G452">
            <v>10</v>
          </cell>
          <cell r="H452" t="str">
            <v>2009-10-31</v>
          </cell>
        </row>
        <row r="453">
          <cell r="A453" t="str">
            <v>481005</v>
          </cell>
          <cell r="B453" t="str">
            <v>1015</v>
          </cell>
          <cell r="C453">
            <v>-557.32000000000005</v>
          </cell>
          <cell r="D453" t="str">
            <v>202</v>
          </cell>
          <cell r="E453" t="str">
            <v>411</v>
          </cell>
          <cell r="F453">
            <v>-3513.42</v>
          </cell>
          <cell r="G453">
            <v>1</v>
          </cell>
          <cell r="H453" t="str">
            <v>2010-01-31</v>
          </cell>
        </row>
        <row r="454">
          <cell r="A454" t="str">
            <v>481005</v>
          </cell>
          <cell r="B454" t="str">
            <v>1015</v>
          </cell>
          <cell r="C454">
            <v>-436.55</v>
          </cell>
          <cell r="D454" t="str">
            <v>202</v>
          </cell>
          <cell r="E454" t="str">
            <v>411</v>
          </cell>
          <cell r="F454">
            <v>-1575.16</v>
          </cell>
          <cell r="G454">
            <v>2</v>
          </cell>
          <cell r="H454" t="str">
            <v>2010-02-28</v>
          </cell>
        </row>
        <row r="455">
          <cell r="A455" t="str">
            <v>481005</v>
          </cell>
          <cell r="B455" t="str">
            <v>1015</v>
          </cell>
          <cell r="C455">
            <v>-359.82</v>
          </cell>
          <cell r="D455" t="str">
            <v>202</v>
          </cell>
          <cell r="E455" t="str">
            <v>411</v>
          </cell>
          <cell r="F455">
            <v>-1250.97</v>
          </cell>
          <cell r="G455">
            <v>4</v>
          </cell>
          <cell r="H455" t="str">
            <v>2010-04-30</v>
          </cell>
        </row>
        <row r="456">
          <cell r="A456" t="str">
            <v>481005</v>
          </cell>
          <cell r="B456" t="str">
            <v>1015</v>
          </cell>
          <cell r="C456">
            <v>-9070.2900000000009</v>
          </cell>
          <cell r="D456" t="str">
            <v>202</v>
          </cell>
          <cell r="E456" t="str">
            <v>411</v>
          </cell>
          <cell r="F456">
            <v>-15609.19</v>
          </cell>
          <cell r="G456">
            <v>6</v>
          </cell>
          <cell r="H456" t="str">
            <v>2010-06-30</v>
          </cell>
        </row>
        <row r="457">
          <cell r="A457" t="str">
            <v>481005</v>
          </cell>
          <cell r="B457" t="str">
            <v>1015</v>
          </cell>
          <cell r="C457">
            <v>-67</v>
          </cell>
          <cell r="D457" t="str">
            <v>202</v>
          </cell>
          <cell r="E457" t="str">
            <v>411</v>
          </cell>
          <cell r="F457">
            <v>0</v>
          </cell>
          <cell r="G457">
            <v>7</v>
          </cell>
          <cell r="H457" t="str">
            <v>2009-07-31</v>
          </cell>
        </row>
        <row r="458">
          <cell r="A458" t="str">
            <v>481005</v>
          </cell>
          <cell r="B458" t="str">
            <v>1015</v>
          </cell>
          <cell r="C458">
            <v>-265.82</v>
          </cell>
          <cell r="D458" t="str">
            <v>202</v>
          </cell>
          <cell r="E458" t="str">
            <v>411</v>
          </cell>
          <cell r="F458">
            <v>-456.67</v>
          </cell>
          <cell r="G458">
            <v>5</v>
          </cell>
          <cell r="H458" t="str">
            <v>2010-05-31</v>
          </cell>
        </row>
        <row r="459">
          <cell r="A459" t="str">
            <v>481002</v>
          </cell>
          <cell r="B459" t="str">
            <v>1015</v>
          </cell>
          <cell r="C459">
            <v>-10855</v>
          </cell>
          <cell r="D459" t="str">
            <v>202</v>
          </cell>
          <cell r="E459" t="str">
            <v>411</v>
          </cell>
          <cell r="F459">
            <v>-43752</v>
          </cell>
          <cell r="G459">
            <v>9</v>
          </cell>
          <cell r="H459" t="str">
            <v>2009-09-30</v>
          </cell>
        </row>
        <row r="460">
          <cell r="A460" t="str">
            <v>481005</v>
          </cell>
          <cell r="B460" t="str">
            <v>1015</v>
          </cell>
          <cell r="C460">
            <v>-67</v>
          </cell>
          <cell r="D460" t="str">
            <v>202</v>
          </cell>
          <cell r="E460" t="str">
            <v>411</v>
          </cell>
          <cell r="F460">
            <v>0</v>
          </cell>
          <cell r="G460">
            <v>9</v>
          </cell>
          <cell r="H460" t="str">
            <v>2009-09-30</v>
          </cell>
        </row>
        <row r="461">
          <cell r="A461" t="str">
            <v>481005</v>
          </cell>
          <cell r="B461" t="str">
            <v>1015</v>
          </cell>
          <cell r="C461">
            <v>-371</v>
          </cell>
          <cell r="D461" t="str">
            <v>202</v>
          </cell>
          <cell r="E461" t="str">
            <v>411</v>
          </cell>
          <cell r="F461">
            <v>-1295</v>
          </cell>
          <cell r="G461">
            <v>11</v>
          </cell>
          <cell r="H461" t="str">
            <v>2009-11-30</v>
          </cell>
        </row>
        <row r="462">
          <cell r="A462" t="str">
            <v>481002</v>
          </cell>
          <cell r="B462" t="str">
            <v>1015</v>
          </cell>
          <cell r="C462">
            <v>-5365</v>
          </cell>
          <cell r="D462" t="str">
            <v>202</v>
          </cell>
          <cell r="E462" t="str">
            <v>411</v>
          </cell>
          <cell r="F462">
            <v>-18481</v>
          </cell>
          <cell r="G462">
            <v>12</v>
          </cell>
          <cell r="H462" t="str">
            <v>2009-12-31</v>
          </cell>
        </row>
        <row r="463">
          <cell r="A463" t="str">
            <v>481005</v>
          </cell>
          <cell r="B463" t="str">
            <v>1015</v>
          </cell>
          <cell r="C463">
            <v>-43877</v>
          </cell>
          <cell r="D463" t="str">
            <v>202</v>
          </cell>
          <cell r="E463" t="str">
            <v>411</v>
          </cell>
          <cell r="F463">
            <v>-154120</v>
          </cell>
          <cell r="G463">
            <v>12</v>
          </cell>
          <cell r="H463" t="str">
            <v>2009-12-31</v>
          </cell>
        </row>
        <row r="464">
          <cell r="A464" t="str">
            <v>481005</v>
          </cell>
          <cell r="B464" t="str">
            <v>1015</v>
          </cell>
          <cell r="C464">
            <v>-513</v>
          </cell>
          <cell r="D464" t="str">
            <v>202</v>
          </cell>
          <cell r="E464" t="str">
            <v>411</v>
          </cell>
          <cell r="F464">
            <v>-1902</v>
          </cell>
          <cell r="G464">
            <v>12</v>
          </cell>
          <cell r="H464" t="str">
            <v>2009-12-31</v>
          </cell>
        </row>
        <row r="465">
          <cell r="A465" t="str">
            <v>481005</v>
          </cell>
          <cell r="B465" t="str">
            <v>1015</v>
          </cell>
          <cell r="C465">
            <v>-22761.71</v>
          </cell>
          <cell r="D465" t="str">
            <v>202</v>
          </cell>
          <cell r="E465" t="str">
            <v>411</v>
          </cell>
          <cell r="F465">
            <v>-77646.19</v>
          </cell>
          <cell r="G465">
            <v>2</v>
          </cell>
          <cell r="H465" t="str">
            <v>2010-02-28</v>
          </cell>
        </row>
        <row r="466">
          <cell r="A466" t="str">
            <v>481005</v>
          </cell>
          <cell r="B466" t="str">
            <v>1015</v>
          </cell>
          <cell r="C466">
            <v>-437.16</v>
          </cell>
          <cell r="D466" t="str">
            <v>202</v>
          </cell>
          <cell r="E466" t="str">
            <v>411</v>
          </cell>
          <cell r="F466">
            <v>-1577.44</v>
          </cell>
          <cell r="G466">
            <v>3</v>
          </cell>
          <cell r="H466" t="str">
            <v>2010-03-31</v>
          </cell>
        </row>
        <row r="467">
          <cell r="A467" t="str">
            <v>481005</v>
          </cell>
          <cell r="B467" t="str">
            <v>1015</v>
          </cell>
          <cell r="C467">
            <v>-19003.07</v>
          </cell>
          <cell r="D467" t="str">
            <v>202</v>
          </cell>
          <cell r="E467" t="str">
            <v>411</v>
          </cell>
          <cell r="F467">
            <v>-59825.4</v>
          </cell>
          <cell r="G467">
            <v>4</v>
          </cell>
          <cell r="H467" t="str">
            <v>2010-04-30</v>
          </cell>
        </row>
        <row r="468">
          <cell r="A468" t="str">
            <v>481002</v>
          </cell>
          <cell r="B468" t="str">
            <v>1015</v>
          </cell>
          <cell r="C468">
            <v>-38439.15</v>
          </cell>
          <cell r="D468" t="str">
            <v>202</v>
          </cell>
          <cell r="E468" t="str">
            <v>411</v>
          </cell>
          <cell r="F468">
            <v>-133173.98000000001</v>
          </cell>
          <cell r="G468">
            <v>6</v>
          </cell>
          <cell r="H468" t="str">
            <v>2010-06-30</v>
          </cell>
        </row>
        <row r="469">
          <cell r="A469" t="str">
            <v>481002</v>
          </cell>
          <cell r="B469" t="str">
            <v>1015</v>
          </cell>
          <cell r="C469">
            <v>-9304</v>
          </cell>
          <cell r="D469" t="str">
            <v>202</v>
          </cell>
          <cell r="E469" t="str">
            <v>411</v>
          </cell>
          <cell r="F469">
            <v>-36799</v>
          </cell>
          <cell r="G469">
            <v>7</v>
          </cell>
          <cell r="H469" t="str">
            <v>2009-07-31</v>
          </cell>
        </row>
        <row r="470">
          <cell r="A470" t="str">
            <v>481002</v>
          </cell>
          <cell r="B470" t="str">
            <v>1015</v>
          </cell>
          <cell r="C470">
            <v>-12499</v>
          </cell>
          <cell r="D470" t="str">
            <v>202</v>
          </cell>
          <cell r="E470" t="str">
            <v>411</v>
          </cell>
          <cell r="F470">
            <v>-51779</v>
          </cell>
          <cell r="G470">
            <v>8</v>
          </cell>
          <cell r="H470" t="str">
            <v>2009-08-31</v>
          </cell>
        </row>
        <row r="471">
          <cell r="A471" t="str">
            <v>481005</v>
          </cell>
          <cell r="B471" t="str">
            <v>1015</v>
          </cell>
          <cell r="C471">
            <v>79517.98</v>
          </cell>
          <cell r="D471" t="str">
            <v>202</v>
          </cell>
          <cell r="E471" t="str">
            <v>411</v>
          </cell>
          <cell r="F471">
            <v>-60103.48</v>
          </cell>
          <cell r="G471">
            <v>5</v>
          </cell>
          <cell r="H471" t="str">
            <v>2010-05-31</v>
          </cell>
        </row>
        <row r="472">
          <cell r="A472" t="str">
            <v>481002</v>
          </cell>
          <cell r="B472" t="str">
            <v>1015</v>
          </cell>
          <cell r="C472">
            <v>-34464.75</v>
          </cell>
          <cell r="D472" t="str">
            <v>202</v>
          </cell>
          <cell r="E472" t="str">
            <v>411</v>
          </cell>
          <cell r="F472">
            <v>-116481.13</v>
          </cell>
          <cell r="G472">
            <v>5</v>
          </cell>
          <cell r="H472" t="str">
            <v>2010-05-31</v>
          </cell>
        </row>
        <row r="473">
          <cell r="A473" t="str">
            <v>481005</v>
          </cell>
          <cell r="B473" t="str">
            <v>1015</v>
          </cell>
          <cell r="C473">
            <v>264.87</v>
          </cell>
          <cell r="D473" t="str">
            <v>202</v>
          </cell>
          <cell r="E473" t="str">
            <v>411</v>
          </cell>
          <cell r="F473">
            <v>1417.38</v>
          </cell>
          <cell r="G473">
            <v>6</v>
          </cell>
          <cell r="H473" t="str">
            <v>2010-06-30</v>
          </cell>
        </row>
        <row r="474">
          <cell r="A474" t="str">
            <v>481002</v>
          </cell>
          <cell r="B474" t="str">
            <v>1015</v>
          </cell>
          <cell r="C474">
            <v>-24472.44</v>
          </cell>
          <cell r="D474" t="str">
            <v>202</v>
          </cell>
          <cell r="E474" t="str">
            <v>411</v>
          </cell>
          <cell r="F474">
            <v>-75814.39</v>
          </cell>
          <cell r="G474">
            <v>2</v>
          </cell>
          <cell r="H474" t="str">
            <v>2010-02-28</v>
          </cell>
        </row>
        <row r="475">
          <cell r="A475" t="str">
            <v>481005</v>
          </cell>
          <cell r="B475" t="str">
            <v>1015</v>
          </cell>
          <cell r="C475">
            <v>-67</v>
          </cell>
          <cell r="D475" t="str">
            <v>202</v>
          </cell>
          <cell r="E475" t="str">
            <v>411</v>
          </cell>
          <cell r="F475">
            <v>0</v>
          </cell>
          <cell r="G475">
            <v>8</v>
          </cell>
          <cell r="H475" t="str">
            <v>2009-08-31</v>
          </cell>
        </row>
        <row r="476">
          <cell r="A476" t="str">
            <v>481005</v>
          </cell>
          <cell r="B476" t="str">
            <v>1015</v>
          </cell>
          <cell r="C476">
            <v>-42444</v>
          </cell>
          <cell r="D476" t="str">
            <v>202</v>
          </cell>
          <cell r="E476" t="str">
            <v>411</v>
          </cell>
          <cell r="F476">
            <v>-147358</v>
          </cell>
          <cell r="G476">
            <v>11</v>
          </cell>
          <cell r="H476" t="str">
            <v>2009-11-30</v>
          </cell>
        </row>
        <row r="477">
          <cell r="A477" t="str">
            <v>481005</v>
          </cell>
          <cell r="B477" t="str">
            <v>1015</v>
          </cell>
          <cell r="C477">
            <v>-27629.72</v>
          </cell>
          <cell r="D477" t="str">
            <v>202</v>
          </cell>
          <cell r="E477" t="str">
            <v>411</v>
          </cell>
          <cell r="F477">
            <v>-152063.48000000001</v>
          </cell>
          <cell r="G477">
            <v>1</v>
          </cell>
          <cell r="H477" t="str">
            <v>2010-01-31</v>
          </cell>
        </row>
        <row r="478">
          <cell r="A478" t="str">
            <v>481005</v>
          </cell>
          <cell r="B478" t="str">
            <v>1015</v>
          </cell>
          <cell r="C478">
            <v>-25704.639999999999</v>
          </cell>
          <cell r="D478" t="str">
            <v>202</v>
          </cell>
          <cell r="E478" t="str">
            <v>411</v>
          </cell>
          <cell r="F478">
            <v>-88266.48</v>
          </cell>
          <cell r="G478">
            <v>3</v>
          </cell>
          <cell r="H478" t="str">
            <v>2010-03-31</v>
          </cell>
        </row>
        <row r="479">
          <cell r="A479" t="str">
            <v>481002</v>
          </cell>
          <cell r="B479" t="str">
            <v>1015</v>
          </cell>
          <cell r="C479">
            <v>-28421.16</v>
          </cell>
          <cell r="D479" t="str">
            <v>202</v>
          </cell>
          <cell r="E479" t="str">
            <v>411</v>
          </cell>
          <cell r="F479">
            <v>-92769.37</v>
          </cell>
          <cell r="G479">
            <v>3</v>
          </cell>
          <cell r="H479" t="str">
            <v>2010-03-31</v>
          </cell>
        </row>
        <row r="480">
          <cell r="A480" t="str">
            <v>481002</v>
          </cell>
          <cell r="B480" t="str">
            <v>1015</v>
          </cell>
          <cell r="C480">
            <v>-35125.06</v>
          </cell>
          <cell r="D480" t="str">
            <v>202</v>
          </cell>
          <cell r="E480" t="str">
            <v>411</v>
          </cell>
          <cell r="F480">
            <v>-119722.46</v>
          </cell>
          <cell r="G480">
            <v>4</v>
          </cell>
          <cell r="H480" t="str">
            <v>2010-04-30</v>
          </cell>
        </row>
        <row r="481">
          <cell r="A481" t="str">
            <v>481005</v>
          </cell>
          <cell r="B481" t="str">
            <v>1015</v>
          </cell>
          <cell r="C481">
            <v>-36320</v>
          </cell>
          <cell r="D481" t="str">
            <v>202</v>
          </cell>
          <cell r="E481" t="str">
            <v>411</v>
          </cell>
          <cell r="F481">
            <v>-123364</v>
          </cell>
          <cell r="G481">
            <v>7</v>
          </cell>
          <cell r="H481" t="str">
            <v>2009-07-31</v>
          </cell>
        </row>
        <row r="482">
          <cell r="A482" t="str">
            <v>481005</v>
          </cell>
          <cell r="B482" t="str">
            <v>1015</v>
          </cell>
          <cell r="C482">
            <v>-41831</v>
          </cell>
          <cell r="D482" t="str">
            <v>202</v>
          </cell>
          <cell r="E482" t="str">
            <v>411</v>
          </cell>
          <cell r="F482">
            <v>-142945</v>
          </cell>
          <cell r="G482">
            <v>8</v>
          </cell>
          <cell r="H482" t="str">
            <v>2009-08-31</v>
          </cell>
        </row>
        <row r="483">
          <cell r="A483" t="str">
            <v>481005</v>
          </cell>
          <cell r="B483" t="str">
            <v>1015</v>
          </cell>
          <cell r="C483">
            <v>-41793</v>
          </cell>
          <cell r="D483" t="str">
            <v>202</v>
          </cell>
          <cell r="E483" t="str">
            <v>411</v>
          </cell>
          <cell r="F483">
            <v>-142468</v>
          </cell>
          <cell r="G483">
            <v>9</v>
          </cell>
          <cell r="H483" t="str">
            <v>2009-09-30</v>
          </cell>
        </row>
        <row r="484">
          <cell r="A484" t="str">
            <v>481002</v>
          </cell>
          <cell r="B484" t="str">
            <v>1015</v>
          </cell>
          <cell r="C484">
            <v>-9724</v>
          </cell>
          <cell r="D484" t="str">
            <v>202</v>
          </cell>
          <cell r="E484" t="str">
            <v>411</v>
          </cell>
          <cell r="F484">
            <v>-38599</v>
          </cell>
          <cell r="G484">
            <v>10</v>
          </cell>
          <cell r="H484" t="str">
            <v>2009-10-31</v>
          </cell>
        </row>
        <row r="485">
          <cell r="A485" t="str">
            <v>481005</v>
          </cell>
          <cell r="B485" t="str">
            <v>1015</v>
          </cell>
          <cell r="C485">
            <v>-231</v>
          </cell>
          <cell r="D485" t="str">
            <v>202</v>
          </cell>
          <cell r="E485" t="str">
            <v>411</v>
          </cell>
          <cell r="F485">
            <v>-699</v>
          </cell>
          <cell r="G485">
            <v>10</v>
          </cell>
          <cell r="H485" t="str">
            <v>2009-10-31</v>
          </cell>
        </row>
        <row r="486">
          <cell r="A486" t="str">
            <v>481002</v>
          </cell>
          <cell r="B486" t="str">
            <v>1015</v>
          </cell>
          <cell r="C486">
            <v>-8219</v>
          </cell>
          <cell r="D486" t="str">
            <v>202</v>
          </cell>
          <cell r="E486" t="str">
            <v>411</v>
          </cell>
          <cell r="F486">
            <v>-31705</v>
          </cell>
          <cell r="G486">
            <v>11</v>
          </cell>
          <cell r="H486" t="str">
            <v>2009-11-30</v>
          </cell>
        </row>
        <row r="487">
          <cell r="A487" t="str">
            <v>481002</v>
          </cell>
          <cell r="B487" t="str">
            <v>1015</v>
          </cell>
          <cell r="C487">
            <v>-26045.9</v>
          </cell>
          <cell r="D487" t="str">
            <v>202</v>
          </cell>
          <cell r="E487" t="str">
            <v>411</v>
          </cell>
          <cell r="F487">
            <v>-82642.53</v>
          </cell>
          <cell r="G487">
            <v>1</v>
          </cell>
          <cell r="H487" t="str">
            <v>2010-01-31</v>
          </cell>
        </row>
        <row r="488">
          <cell r="A488" t="str">
            <v>481004</v>
          </cell>
          <cell r="B488" t="str">
            <v>1015</v>
          </cell>
          <cell r="C488">
            <v>-13510</v>
          </cell>
          <cell r="D488" t="str">
            <v>202</v>
          </cell>
          <cell r="E488" t="str">
            <v>451</v>
          </cell>
          <cell r="F488">
            <v>-14955</v>
          </cell>
          <cell r="G488">
            <v>8</v>
          </cell>
          <cell r="H488" t="str">
            <v>2009-08-31</v>
          </cell>
        </row>
        <row r="489">
          <cell r="A489" t="str">
            <v>481004</v>
          </cell>
          <cell r="B489" t="str">
            <v>1015</v>
          </cell>
          <cell r="C489">
            <v>-11268</v>
          </cell>
          <cell r="D489" t="str">
            <v>202</v>
          </cell>
          <cell r="E489" t="str">
            <v>451</v>
          </cell>
          <cell r="F489">
            <v>-11052</v>
          </cell>
          <cell r="G489">
            <v>9</v>
          </cell>
          <cell r="H489" t="str">
            <v>2009-09-30</v>
          </cell>
        </row>
        <row r="490">
          <cell r="A490" t="str">
            <v>481004</v>
          </cell>
          <cell r="B490" t="str">
            <v>1015</v>
          </cell>
          <cell r="C490">
            <v>-18719</v>
          </cell>
          <cell r="D490" t="str">
            <v>202</v>
          </cell>
          <cell r="E490" t="str">
            <v>451</v>
          </cell>
          <cell r="F490">
            <v>-24178</v>
          </cell>
          <cell r="G490">
            <v>10</v>
          </cell>
          <cell r="H490" t="str">
            <v>2009-10-31</v>
          </cell>
        </row>
        <row r="491">
          <cell r="A491" t="str">
            <v>481000</v>
          </cell>
          <cell r="B491" t="str">
            <v>1015</v>
          </cell>
          <cell r="C491">
            <v>0</v>
          </cell>
          <cell r="D491" t="str">
            <v>202</v>
          </cell>
          <cell r="E491" t="str">
            <v>451</v>
          </cell>
          <cell r="F491">
            <v>0</v>
          </cell>
          <cell r="G491">
            <v>7</v>
          </cell>
          <cell r="H491" t="str">
            <v>2009-07-31</v>
          </cell>
        </row>
        <row r="492">
          <cell r="A492" t="str">
            <v>481000</v>
          </cell>
          <cell r="B492" t="str">
            <v>1015</v>
          </cell>
          <cell r="C492">
            <v>0</v>
          </cell>
          <cell r="D492" t="str">
            <v>202</v>
          </cell>
          <cell r="E492" t="str">
            <v>451</v>
          </cell>
          <cell r="F492">
            <v>0</v>
          </cell>
          <cell r="G492">
            <v>8</v>
          </cell>
          <cell r="H492" t="str">
            <v>2009-08-31</v>
          </cell>
        </row>
        <row r="493">
          <cell r="A493" t="str">
            <v>481000</v>
          </cell>
          <cell r="B493" t="str">
            <v>1015</v>
          </cell>
          <cell r="C493">
            <v>0</v>
          </cell>
          <cell r="D493" t="str">
            <v>202</v>
          </cell>
          <cell r="E493" t="str">
            <v>451</v>
          </cell>
          <cell r="F493">
            <v>0</v>
          </cell>
          <cell r="G493">
            <v>10</v>
          </cell>
          <cell r="H493" t="str">
            <v>2009-10-31</v>
          </cell>
        </row>
        <row r="494">
          <cell r="A494" t="str">
            <v>481000</v>
          </cell>
          <cell r="B494" t="str">
            <v>1015</v>
          </cell>
          <cell r="C494">
            <v>0</v>
          </cell>
          <cell r="D494" t="str">
            <v>202</v>
          </cell>
          <cell r="E494" t="str">
            <v>451</v>
          </cell>
          <cell r="F494">
            <v>0</v>
          </cell>
          <cell r="G494">
            <v>12</v>
          </cell>
          <cell r="H494" t="str">
            <v>2009-12-31</v>
          </cell>
        </row>
        <row r="495">
          <cell r="A495" t="str">
            <v>481004</v>
          </cell>
          <cell r="B495" t="str">
            <v>1015</v>
          </cell>
          <cell r="C495">
            <v>-6662</v>
          </cell>
          <cell r="D495" t="str">
            <v>202</v>
          </cell>
          <cell r="E495" t="str">
            <v>451</v>
          </cell>
          <cell r="F495">
            <v>-9909</v>
          </cell>
          <cell r="G495">
            <v>7</v>
          </cell>
          <cell r="H495" t="str">
            <v>2009-07-31</v>
          </cell>
        </row>
        <row r="496">
          <cell r="A496" t="str">
            <v>481004</v>
          </cell>
          <cell r="B496" t="str">
            <v>1015</v>
          </cell>
          <cell r="C496">
            <v>-25031</v>
          </cell>
          <cell r="D496" t="str">
            <v>202</v>
          </cell>
          <cell r="E496" t="str">
            <v>451</v>
          </cell>
          <cell r="F496">
            <v>-35832</v>
          </cell>
          <cell r="G496">
            <v>12</v>
          </cell>
          <cell r="H496" t="str">
            <v>2009-12-31</v>
          </cell>
        </row>
        <row r="497">
          <cell r="A497" t="str">
            <v>481004</v>
          </cell>
          <cell r="B497" t="str">
            <v>1015</v>
          </cell>
          <cell r="C497">
            <v>-18875.61</v>
          </cell>
          <cell r="D497" t="str">
            <v>202</v>
          </cell>
          <cell r="E497" t="str">
            <v>451</v>
          </cell>
          <cell r="F497">
            <v>-24648.92</v>
          </cell>
          <cell r="G497">
            <v>4</v>
          </cell>
          <cell r="H497" t="str">
            <v>2010-04-30</v>
          </cell>
        </row>
        <row r="498">
          <cell r="A498" t="str">
            <v>481000</v>
          </cell>
          <cell r="B498" t="str">
            <v>1015</v>
          </cell>
          <cell r="C498">
            <v>0</v>
          </cell>
          <cell r="D498" t="str">
            <v>202</v>
          </cell>
          <cell r="E498" t="str">
            <v>451</v>
          </cell>
          <cell r="F498">
            <v>0</v>
          </cell>
          <cell r="G498">
            <v>9</v>
          </cell>
          <cell r="H498" t="str">
            <v>2009-09-30</v>
          </cell>
        </row>
        <row r="499">
          <cell r="A499" t="str">
            <v>481004</v>
          </cell>
          <cell r="B499" t="str">
            <v>1015</v>
          </cell>
          <cell r="C499">
            <v>-11892.75</v>
          </cell>
          <cell r="D499" t="str">
            <v>202</v>
          </cell>
          <cell r="E499" t="str">
            <v>451</v>
          </cell>
          <cell r="F499">
            <v>-9684.92</v>
          </cell>
          <cell r="G499">
            <v>6</v>
          </cell>
          <cell r="H499" t="str">
            <v>2010-06-30</v>
          </cell>
        </row>
        <row r="500">
          <cell r="A500" t="str">
            <v>481004</v>
          </cell>
          <cell r="B500" t="str">
            <v>1015</v>
          </cell>
          <cell r="C500">
            <v>-23683.040000000001</v>
          </cell>
          <cell r="D500" t="str">
            <v>202</v>
          </cell>
          <cell r="E500" t="str">
            <v>451</v>
          </cell>
          <cell r="F500">
            <v>-34524.31</v>
          </cell>
          <cell r="G500">
            <v>1</v>
          </cell>
          <cell r="H500" t="str">
            <v>2010-01-31</v>
          </cell>
        </row>
        <row r="501">
          <cell r="A501" t="str">
            <v>481004</v>
          </cell>
          <cell r="B501" t="str">
            <v>1015</v>
          </cell>
          <cell r="C501">
            <v>-18564.47</v>
          </cell>
          <cell r="D501" t="str">
            <v>202</v>
          </cell>
          <cell r="E501" t="str">
            <v>451</v>
          </cell>
          <cell r="F501">
            <v>-23882.3</v>
          </cell>
          <cell r="G501">
            <v>3</v>
          </cell>
          <cell r="H501" t="str">
            <v>2010-03-31</v>
          </cell>
        </row>
        <row r="502">
          <cell r="A502" t="str">
            <v>481000</v>
          </cell>
          <cell r="B502" t="str">
            <v>1015</v>
          </cell>
          <cell r="C502">
            <v>0</v>
          </cell>
          <cell r="D502" t="str">
            <v>202</v>
          </cell>
          <cell r="E502" t="str">
            <v>451</v>
          </cell>
          <cell r="F502">
            <v>0</v>
          </cell>
          <cell r="G502">
            <v>11</v>
          </cell>
          <cell r="H502" t="str">
            <v>2009-11-30</v>
          </cell>
        </row>
        <row r="503">
          <cell r="A503" t="str">
            <v>481004</v>
          </cell>
          <cell r="B503" t="str">
            <v>1015</v>
          </cell>
          <cell r="C503">
            <v>-19075</v>
          </cell>
          <cell r="D503" t="str">
            <v>202</v>
          </cell>
          <cell r="E503" t="str">
            <v>451</v>
          </cell>
          <cell r="F503">
            <v>-24994</v>
          </cell>
          <cell r="G503">
            <v>11</v>
          </cell>
          <cell r="H503" t="str">
            <v>2009-11-30</v>
          </cell>
        </row>
        <row r="504">
          <cell r="A504" t="str">
            <v>481004</v>
          </cell>
          <cell r="B504" t="str">
            <v>1015</v>
          </cell>
          <cell r="C504">
            <v>-19751.580000000002</v>
          </cell>
          <cell r="D504" t="str">
            <v>202</v>
          </cell>
          <cell r="E504" t="str">
            <v>451</v>
          </cell>
          <cell r="F504">
            <v>-26035.99</v>
          </cell>
          <cell r="G504">
            <v>2</v>
          </cell>
          <cell r="H504" t="str">
            <v>2010-02-28</v>
          </cell>
        </row>
        <row r="505">
          <cell r="A505" t="str">
            <v>481004</v>
          </cell>
          <cell r="B505" t="str">
            <v>1015</v>
          </cell>
          <cell r="C505">
            <v>6737.1</v>
          </cell>
          <cell r="D505" t="str">
            <v>202</v>
          </cell>
          <cell r="E505" t="str">
            <v>451</v>
          </cell>
          <cell r="F505">
            <v>-19178.75</v>
          </cell>
          <cell r="G505">
            <v>5</v>
          </cell>
          <cell r="H505" t="str">
            <v>2010-05-31</v>
          </cell>
        </row>
        <row r="506">
          <cell r="A506" t="str">
            <v>480001</v>
          </cell>
          <cell r="B506" t="str">
            <v>1015</v>
          </cell>
          <cell r="C506">
            <v>-136884.76999999999</v>
          </cell>
          <cell r="D506" t="str">
            <v>202</v>
          </cell>
          <cell r="E506" t="str">
            <v>453</v>
          </cell>
          <cell r="F506">
            <v>-67242.39</v>
          </cell>
          <cell r="G506">
            <v>10</v>
          </cell>
          <cell r="H506" t="str">
            <v>2009-10-31</v>
          </cell>
        </row>
        <row r="507">
          <cell r="A507" t="str">
            <v>480001</v>
          </cell>
          <cell r="B507" t="str">
            <v>1015</v>
          </cell>
          <cell r="C507">
            <v>35045.360000000001</v>
          </cell>
          <cell r="D507" t="str">
            <v>202</v>
          </cell>
          <cell r="E507" t="str">
            <v>453</v>
          </cell>
          <cell r="F507">
            <v>30056</v>
          </cell>
          <cell r="G507">
            <v>1</v>
          </cell>
          <cell r="H507" t="str">
            <v>2010-01-31</v>
          </cell>
        </row>
        <row r="508">
          <cell r="A508" t="str">
            <v>480001</v>
          </cell>
          <cell r="B508" t="str">
            <v>1015</v>
          </cell>
          <cell r="C508">
            <v>65570</v>
          </cell>
          <cell r="D508" t="str">
            <v>202</v>
          </cell>
          <cell r="E508" t="str">
            <v>453</v>
          </cell>
          <cell r="F508">
            <v>34154</v>
          </cell>
          <cell r="G508">
            <v>4</v>
          </cell>
          <cell r="H508" t="str">
            <v>2010-04-30</v>
          </cell>
        </row>
        <row r="509">
          <cell r="A509" t="str">
            <v>481006</v>
          </cell>
          <cell r="B509" t="str">
            <v>1015</v>
          </cell>
          <cell r="C509">
            <v>15213</v>
          </cell>
          <cell r="D509" t="str">
            <v>202</v>
          </cell>
          <cell r="E509" t="str">
            <v>453</v>
          </cell>
          <cell r="F509">
            <v>1187</v>
          </cell>
          <cell r="G509">
            <v>5</v>
          </cell>
          <cell r="H509" t="str">
            <v>2010-05-31</v>
          </cell>
        </row>
        <row r="510">
          <cell r="A510" t="str">
            <v>481004</v>
          </cell>
          <cell r="B510" t="str">
            <v>1015</v>
          </cell>
          <cell r="C510">
            <v>-354082.17</v>
          </cell>
          <cell r="D510" t="str">
            <v>202</v>
          </cell>
          <cell r="E510" t="str">
            <v>453</v>
          </cell>
          <cell r="F510">
            <v>-179158.87</v>
          </cell>
          <cell r="G510">
            <v>3</v>
          </cell>
          <cell r="H510" t="str">
            <v>2010-03-31</v>
          </cell>
        </row>
        <row r="511">
          <cell r="A511" t="str">
            <v>480000</v>
          </cell>
          <cell r="B511" t="str">
            <v>1015</v>
          </cell>
          <cell r="C511">
            <v>-574219.76</v>
          </cell>
          <cell r="D511" t="str">
            <v>202</v>
          </cell>
          <cell r="E511" t="str">
            <v>453</v>
          </cell>
          <cell r="F511">
            <v>-167204.07</v>
          </cell>
          <cell r="G511">
            <v>5</v>
          </cell>
          <cell r="H511" t="str">
            <v>2010-05-31</v>
          </cell>
        </row>
        <row r="512">
          <cell r="A512" t="str">
            <v>480001</v>
          </cell>
          <cell r="B512" t="str">
            <v>1015</v>
          </cell>
          <cell r="C512">
            <v>13453.86</v>
          </cell>
          <cell r="D512" t="str">
            <v>202</v>
          </cell>
          <cell r="E512" t="str">
            <v>453</v>
          </cell>
          <cell r="F512">
            <v>7002.58</v>
          </cell>
          <cell r="G512">
            <v>9</v>
          </cell>
          <cell r="H512" t="str">
            <v>2009-09-30</v>
          </cell>
        </row>
        <row r="513">
          <cell r="A513" t="str">
            <v>480001</v>
          </cell>
          <cell r="B513" t="str">
            <v>1015</v>
          </cell>
          <cell r="C513">
            <v>-61773.4</v>
          </cell>
          <cell r="D513" t="str">
            <v>202</v>
          </cell>
          <cell r="E513" t="str">
            <v>453</v>
          </cell>
          <cell r="F513">
            <v>-29720.47</v>
          </cell>
          <cell r="G513">
            <v>11</v>
          </cell>
          <cell r="H513" t="str">
            <v>2009-11-30</v>
          </cell>
        </row>
        <row r="514">
          <cell r="A514" t="str">
            <v>481004</v>
          </cell>
          <cell r="B514" t="str">
            <v>1015</v>
          </cell>
          <cell r="C514">
            <v>-257822.34</v>
          </cell>
          <cell r="D514" t="str">
            <v>202</v>
          </cell>
          <cell r="E514" t="str">
            <v>453</v>
          </cell>
          <cell r="F514">
            <v>-115172.23</v>
          </cell>
          <cell r="G514">
            <v>11</v>
          </cell>
          <cell r="H514" t="str">
            <v>2009-11-30</v>
          </cell>
        </row>
        <row r="515">
          <cell r="A515" t="str">
            <v>480000</v>
          </cell>
          <cell r="B515" t="str">
            <v>1015</v>
          </cell>
          <cell r="C515">
            <v>-996301.4</v>
          </cell>
          <cell r="D515" t="str">
            <v>202</v>
          </cell>
          <cell r="E515" t="str">
            <v>453</v>
          </cell>
          <cell r="F515">
            <v>-380657.35</v>
          </cell>
          <cell r="G515">
            <v>1</v>
          </cell>
          <cell r="H515" t="str">
            <v>2010-01-31</v>
          </cell>
        </row>
        <row r="516">
          <cell r="A516" t="str">
            <v>481006</v>
          </cell>
          <cell r="B516" t="str">
            <v>1015</v>
          </cell>
          <cell r="C516">
            <v>-85715.78</v>
          </cell>
          <cell r="D516" t="str">
            <v>202</v>
          </cell>
          <cell r="E516" t="str">
            <v>453</v>
          </cell>
          <cell r="F516">
            <v>-59466.45</v>
          </cell>
          <cell r="G516">
            <v>12</v>
          </cell>
          <cell r="H516" t="str">
            <v>2009-12-31</v>
          </cell>
        </row>
        <row r="517">
          <cell r="A517" t="str">
            <v>480000</v>
          </cell>
          <cell r="B517" t="str">
            <v>1015</v>
          </cell>
          <cell r="C517">
            <v>-335632.26</v>
          </cell>
          <cell r="D517" t="str">
            <v>202</v>
          </cell>
          <cell r="E517" t="str">
            <v>453</v>
          </cell>
          <cell r="F517">
            <v>-59264.09</v>
          </cell>
          <cell r="G517">
            <v>7</v>
          </cell>
          <cell r="H517" t="str">
            <v>2009-07-31</v>
          </cell>
        </row>
        <row r="518">
          <cell r="A518" t="str">
            <v>481004</v>
          </cell>
          <cell r="B518" t="str">
            <v>1015</v>
          </cell>
          <cell r="C518">
            <v>-98146.18</v>
          </cell>
          <cell r="D518" t="str">
            <v>202</v>
          </cell>
          <cell r="E518" t="str">
            <v>453</v>
          </cell>
          <cell r="F518">
            <v>-32456.17</v>
          </cell>
          <cell r="G518">
            <v>7</v>
          </cell>
          <cell r="H518" t="str">
            <v>2009-07-31</v>
          </cell>
        </row>
        <row r="519">
          <cell r="A519" t="str">
            <v>481006</v>
          </cell>
          <cell r="B519" t="str">
            <v>1015</v>
          </cell>
          <cell r="C519">
            <v>-61816.2</v>
          </cell>
          <cell r="D519" t="str">
            <v>202</v>
          </cell>
          <cell r="E519" t="str">
            <v>453</v>
          </cell>
          <cell r="F519">
            <v>-40956.07</v>
          </cell>
          <cell r="G519">
            <v>10</v>
          </cell>
          <cell r="H519" t="str">
            <v>2009-10-31</v>
          </cell>
        </row>
        <row r="520">
          <cell r="A520" t="str">
            <v>481006</v>
          </cell>
          <cell r="B520" t="str">
            <v>1015</v>
          </cell>
          <cell r="C520">
            <v>-24742.66</v>
          </cell>
          <cell r="D520" t="str">
            <v>202</v>
          </cell>
          <cell r="E520" t="str">
            <v>453</v>
          </cell>
          <cell r="F520">
            <v>-18012.77</v>
          </cell>
          <cell r="G520">
            <v>11</v>
          </cell>
          <cell r="H520" t="str">
            <v>2009-11-30</v>
          </cell>
        </row>
        <row r="521">
          <cell r="A521" t="str">
            <v>481006</v>
          </cell>
          <cell r="B521" t="str">
            <v>1015</v>
          </cell>
          <cell r="C521">
            <v>7581.63</v>
          </cell>
          <cell r="D521" t="str">
            <v>202</v>
          </cell>
          <cell r="E521" t="str">
            <v>453</v>
          </cell>
          <cell r="F521">
            <v>9043</v>
          </cell>
          <cell r="G521">
            <v>1</v>
          </cell>
          <cell r="H521" t="str">
            <v>2010-01-31</v>
          </cell>
        </row>
        <row r="522">
          <cell r="A522" t="str">
            <v>481004</v>
          </cell>
          <cell r="B522" t="str">
            <v>1015</v>
          </cell>
          <cell r="C522">
            <v>-182736.8</v>
          </cell>
          <cell r="D522" t="str">
            <v>202</v>
          </cell>
          <cell r="E522" t="str">
            <v>453</v>
          </cell>
          <cell r="F522">
            <v>-67884.929999999993</v>
          </cell>
          <cell r="G522">
            <v>10</v>
          </cell>
          <cell r="H522" t="str">
            <v>2009-10-31</v>
          </cell>
        </row>
        <row r="523">
          <cell r="A523" t="str">
            <v>481004</v>
          </cell>
          <cell r="B523" t="str">
            <v>1015</v>
          </cell>
          <cell r="C523">
            <v>-377396.98</v>
          </cell>
          <cell r="D523" t="str">
            <v>202</v>
          </cell>
          <cell r="E523" t="str">
            <v>453</v>
          </cell>
          <cell r="F523">
            <v>-194835.72</v>
          </cell>
          <cell r="G523">
            <v>2</v>
          </cell>
          <cell r="H523" t="str">
            <v>2010-02-28</v>
          </cell>
        </row>
        <row r="524">
          <cell r="A524" t="str">
            <v>480000</v>
          </cell>
          <cell r="B524" t="str">
            <v>1015</v>
          </cell>
          <cell r="C524">
            <v>-801798.07</v>
          </cell>
          <cell r="D524" t="str">
            <v>202</v>
          </cell>
          <cell r="E524" t="str">
            <v>453</v>
          </cell>
          <cell r="F524">
            <v>-281763.58</v>
          </cell>
          <cell r="G524">
            <v>3</v>
          </cell>
          <cell r="H524" t="str">
            <v>2010-03-31</v>
          </cell>
        </row>
        <row r="525">
          <cell r="A525" t="str">
            <v>481004</v>
          </cell>
          <cell r="B525" t="str">
            <v>1015</v>
          </cell>
          <cell r="C525">
            <v>-324025.64</v>
          </cell>
          <cell r="D525" t="str">
            <v>202</v>
          </cell>
          <cell r="E525" t="str">
            <v>453</v>
          </cell>
          <cell r="F525">
            <v>-159150.17000000001</v>
          </cell>
          <cell r="G525">
            <v>4</v>
          </cell>
          <cell r="H525" t="str">
            <v>2010-04-30</v>
          </cell>
        </row>
        <row r="526">
          <cell r="A526" t="str">
            <v>480000</v>
          </cell>
          <cell r="B526" t="str">
            <v>1015</v>
          </cell>
          <cell r="C526">
            <v>-730175.54</v>
          </cell>
          <cell r="D526" t="str">
            <v>202</v>
          </cell>
          <cell r="E526" t="str">
            <v>453</v>
          </cell>
          <cell r="F526">
            <v>-246130.62</v>
          </cell>
          <cell r="G526">
            <v>4</v>
          </cell>
          <cell r="H526" t="str">
            <v>2010-04-30</v>
          </cell>
        </row>
        <row r="527">
          <cell r="A527" t="str">
            <v>481004</v>
          </cell>
          <cell r="B527" t="str">
            <v>1015</v>
          </cell>
          <cell r="C527">
            <v>-238022.39999999999</v>
          </cell>
          <cell r="D527" t="str">
            <v>202</v>
          </cell>
          <cell r="E527" t="str">
            <v>453</v>
          </cell>
          <cell r="F527">
            <v>-101468.39</v>
          </cell>
          <cell r="G527">
            <v>5</v>
          </cell>
          <cell r="H527" t="str">
            <v>2010-05-31</v>
          </cell>
        </row>
        <row r="528">
          <cell r="A528" t="str">
            <v>481006</v>
          </cell>
          <cell r="B528" t="str">
            <v>1015</v>
          </cell>
          <cell r="C528">
            <v>23517</v>
          </cell>
          <cell r="D528" t="str">
            <v>202</v>
          </cell>
          <cell r="E528" t="str">
            <v>453</v>
          </cell>
          <cell r="F528">
            <v>14775</v>
          </cell>
          <cell r="G528">
            <v>2</v>
          </cell>
          <cell r="H528" t="str">
            <v>2010-02-28</v>
          </cell>
        </row>
        <row r="529">
          <cell r="A529" t="str">
            <v>480000</v>
          </cell>
          <cell r="B529" t="str">
            <v>1015</v>
          </cell>
          <cell r="C529">
            <v>-320228.09999999998</v>
          </cell>
          <cell r="D529" t="str">
            <v>202</v>
          </cell>
          <cell r="E529" t="str">
            <v>453</v>
          </cell>
          <cell r="F529">
            <v>-42154.21</v>
          </cell>
          <cell r="G529">
            <v>8</v>
          </cell>
          <cell r="H529" t="str">
            <v>2009-08-31</v>
          </cell>
        </row>
        <row r="530">
          <cell r="A530" t="str">
            <v>480000</v>
          </cell>
          <cell r="B530" t="str">
            <v>1015</v>
          </cell>
          <cell r="C530">
            <v>-325806.86</v>
          </cell>
          <cell r="D530" t="str">
            <v>202</v>
          </cell>
          <cell r="E530" t="str">
            <v>453</v>
          </cell>
          <cell r="F530">
            <v>-45040.58</v>
          </cell>
          <cell r="G530">
            <v>9</v>
          </cell>
          <cell r="H530" t="str">
            <v>2009-09-30</v>
          </cell>
        </row>
        <row r="531">
          <cell r="A531" t="str">
            <v>480000</v>
          </cell>
          <cell r="B531" t="str">
            <v>1015</v>
          </cell>
          <cell r="C531">
            <v>-596548.6</v>
          </cell>
          <cell r="D531" t="str">
            <v>202</v>
          </cell>
          <cell r="E531" t="str">
            <v>453</v>
          </cell>
          <cell r="F531">
            <v>-180023.53</v>
          </cell>
          <cell r="G531">
            <v>11</v>
          </cell>
          <cell r="H531" t="str">
            <v>2009-11-30</v>
          </cell>
        </row>
        <row r="532">
          <cell r="A532" t="str">
            <v>480000</v>
          </cell>
          <cell r="B532" t="str">
            <v>1015</v>
          </cell>
          <cell r="C532">
            <v>-845888.3</v>
          </cell>
          <cell r="D532" t="str">
            <v>202</v>
          </cell>
          <cell r="E532" t="str">
            <v>453</v>
          </cell>
          <cell r="F532">
            <v>-305233.82</v>
          </cell>
          <cell r="G532">
            <v>12</v>
          </cell>
          <cell r="H532" t="str">
            <v>2009-12-31</v>
          </cell>
        </row>
        <row r="533">
          <cell r="A533" t="str">
            <v>481006</v>
          </cell>
          <cell r="B533" t="str">
            <v>1015</v>
          </cell>
          <cell r="C533">
            <v>-7543.18</v>
          </cell>
          <cell r="D533" t="str">
            <v>202</v>
          </cell>
          <cell r="E533" t="str">
            <v>453</v>
          </cell>
          <cell r="F533">
            <v>-7415.32</v>
          </cell>
          <cell r="G533">
            <v>8</v>
          </cell>
          <cell r="H533" t="str">
            <v>2009-08-31</v>
          </cell>
        </row>
        <row r="534">
          <cell r="A534" t="str">
            <v>480001</v>
          </cell>
          <cell r="B534" t="str">
            <v>1015</v>
          </cell>
          <cell r="C534">
            <v>63528</v>
          </cell>
          <cell r="D534" t="str">
            <v>202</v>
          </cell>
          <cell r="E534" t="str">
            <v>453</v>
          </cell>
          <cell r="F534">
            <v>32624</v>
          </cell>
          <cell r="G534">
            <v>3</v>
          </cell>
          <cell r="H534" t="str">
            <v>2010-03-31</v>
          </cell>
        </row>
        <row r="535">
          <cell r="A535" t="str">
            <v>481006</v>
          </cell>
          <cell r="B535" t="str">
            <v>1015</v>
          </cell>
          <cell r="C535">
            <v>41990</v>
          </cell>
          <cell r="D535" t="str">
            <v>202</v>
          </cell>
          <cell r="E535" t="str">
            <v>453</v>
          </cell>
          <cell r="F535">
            <v>26437</v>
          </cell>
          <cell r="G535">
            <v>4</v>
          </cell>
          <cell r="H535" t="str">
            <v>2010-04-30</v>
          </cell>
        </row>
        <row r="536">
          <cell r="A536" t="str">
            <v>480001</v>
          </cell>
          <cell r="B536" t="str">
            <v>1015</v>
          </cell>
          <cell r="C536">
            <v>85385</v>
          </cell>
          <cell r="D536" t="str">
            <v>202</v>
          </cell>
          <cell r="E536" t="str">
            <v>453</v>
          </cell>
          <cell r="F536">
            <v>7624</v>
          </cell>
          <cell r="G536">
            <v>5</v>
          </cell>
          <cell r="H536" t="str">
            <v>2010-05-31</v>
          </cell>
        </row>
        <row r="537">
          <cell r="A537" t="str">
            <v>481006</v>
          </cell>
          <cell r="B537" t="str">
            <v>1015</v>
          </cell>
          <cell r="C537">
            <v>64782</v>
          </cell>
          <cell r="D537" t="str">
            <v>202</v>
          </cell>
          <cell r="E537" t="str">
            <v>453</v>
          </cell>
          <cell r="F537">
            <v>40771</v>
          </cell>
          <cell r="G537">
            <v>6</v>
          </cell>
          <cell r="H537" t="str">
            <v>2010-06-30</v>
          </cell>
        </row>
        <row r="538">
          <cell r="A538" t="str">
            <v>481004</v>
          </cell>
          <cell r="B538" t="str">
            <v>1015</v>
          </cell>
          <cell r="C538">
            <v>-452230.65</v>
          </cell>
          <cell r="D538" t="str">
            <v>202</v>
          </cell>
          <cell r="E538" t="str">
            <v>453</v>
          </cell>
          <cell r="F538">
            <v>-248440.95999999999</v>
          </cell>
          <cell r="G538">
            <v>1</v>
          </cell>
          <cell r="H538" t="str">
            <v>2010-01-31</v>
          </cell>
        </row>
        <row r="539">
          <cell r="A539" t="str">
            <v>480001</v>
          </cell>
          <cell r="B539" t="str">
            <v>1015</v>
          </cell>
          <cell r="C539">
            <v>9213.67</v>
          </cell>
          <cell r="D539" t="str">
            <v>202</v>
          </cell>
          <cell r="E539" t="str">
            <v>453</v>
          </cell>
          <cell r="F539">
            <v>14221.38</v>
          </cell>
          <cell r="G539">
            <v>7</v>
          </cell>
          <cell r="H539" t="str">
            <v>2009-07-31</v>
          </cell>
        </row>
        <row r="540">
          <cell r="A540" t="str">
            <v>480001</v>
          </cell>
          <cell r="B540" t="str">
            <v>1015</v>
          </cell>
          <cell r="C540">
            <v>-3796.99</v>
          </cell>
          <cell r="D540" t="str">
            <v>202</v>
          </cell>
          <cell r="E540" t="str">
            <v>453</v>
          </cell>
          <cell r="F540">
            <v>-275.79000000000002</v>
          </cell>
          <cell r="G540">
            <v>8</v>
          </cell>
          <cell r="H540" t="str">
            <v>2009-08-31</v>
          </cell>
        </row>
        <row r="541">
          <cell r="A541" t="str">
            <v>481006</v>
          </cell>
          <cell r="B541" t="str">
            <v>1015</v>
          </cell>
          <cell r="C541">
            <v>10896.59</v>
          </cell>
          <cell r="D541" t="str">
            <v>202</v>
          </cell>
          <cell r="E541" t="str">
            <v>453</v>
          </cell>
          <cell r="F541">
            <v>7683.18</v>
          </cell>
          <cell r="G541">
            <v>9</v>
          </cell>
          <cell r="H541" t="str">
            <v>2009-09-30</v>
          </cell>
        </row>
        <row r="542">
          <cell r="A542" t="str">
            <v>480001</v>
          </cell>
          <cell r="B542" t="str">
            <v>1015</v>
          </cell>
          <cell r="C542">
            <v>-174161.7</v>
          </cell>
          <cell r="D542" t="str">
            <v>202</v>
          </cell>
          <cell r="E542" t="str">
            <v>453</v>
          </cell>
          <cell r="F542">
            <v>-88691.18</v>
          </cell>
          <cell r="G542">
            <v>12</v>
          </cell>
          <cell r="H542" t="str">
            <v>2009-12-31</v>
          </cell>
        </row>
        <row r="543">
          <cell r="A543" t="str">
            <v>480001</v>
          </cell>
          <cell r="B543" t="str">
            <v>1015</v>
          </cell>
          <cell r="C543">
            <v>43700</v>
          </cell>
          <cell r="D543" t="str">
            <v>202</v>
          </cell>
          <cell r="E543" t="str">
            <v>453</v>
          </cell>
          <cell r="F543">
            <v>22513</v>
          </cell>
          <cell r="G543">
            <v>2</v>
          </cell>
          <cell r="H543" t="str">
            <v>2010-02-28</v>
          </cell>
        </row>
        <row r="544">
          <cell r="A544" t="str">
            <v>481006</v>
          </cell>
          <cell r="B544" t="str">
            <v>1015</v>
          </cell>
          <cell r="C544">
            <v>33149</v>
          </cell>
          <cell r="D544" t="str">
            <v>202</v>
          </cell>
          <cell r="E544" t="str">
            <v>453</v>
          </cell>
          <cell r="F544">
            <v>21009</v>
          </cell>
          <cell r="G544">
            <v>3</v>
          </cell>
          <cell r="H544" t="str">
            <v>2010-03-31</v>
          </cell>
        </row>
        <row r="545">
          <cell r="A545" t="str">
            <v>481004</v>
          </cell>
          <cell r="B545" t="str">
            <v>1015</v>
          </cell>
          <cell r="C545">
            <v>-379588.22</v>
          </cell>
          <cell r="D545" t="str">
            <v>202</v>
          </cell>
          <cell r="E545" t="str">
            <v>453</v>
          </cell>
          <cell r="F545">
            <v>-197379.55</v>
          </cell>
          <cell r="G545">
            <v>12</v>
          </cell>
          <cell r="H545" t="str">
            <v>2009-12-31</v>
          </cell>
        </row>
        <row r="546">
          <cell r="A546" t="str">
            <v>480000</v>
          </cell>
          <cell r="B546" t="str">
            <v>1015</v>
          </cell>
          <cell r="C546">
            <v>-843995.43</v>
          </cell>
          <cell r="D546" t="str">
            <v>202</v>
          </cell>
          <cell r="E546" t="str">
            <v>453</v>
          </cell>
          <cell r="F546">
            <v>-303399.26</v>
          </cell>
          <cell r="G546">
            <v>2</v>
          </cell>
          <cell r="H546" t="str">
            <v>2010-02-28</v>
          </cell>
        </row>
        <row r="547">
          <cell r="A547" t="str">
            <v>480000</v>
          </cell>
          <cell r="B547" t="str">
            <v>1015</v>
          </cell>
          <cell r="C547">
            <v>-476109.4</v>
          </cell>
          <cell r="D547" t="str">
            <v>202</v>
          </cell>
          <cell r="E547" t="str">
            <v>453</v>
          </cell>
          <cell r="F547">
            <v>-117942.69</v>
          </cell>
          <cell r="G547">
            <v>6</v>
          </cell>
          <cell r="H547" t="str">
            <v>2010-06-30</v>
          </cell>
        </row>
        <row r="548">
          <cell r="A548" t="str">
            <v>481004</v>
          </cell>
          <cell r="B548" t="str">
            <v>1015</v>
          </cell>
          <cell r="C548">
            <v>-188307.71</v>
          </cell>
          <cell r="D548" t="str">
            <v>202</v>
          </cell>
          <cell r="E548" t="str">
            <v>453</v>
          </cell>
          <cell r="F548">
            <v>-70747.86</v>
          </cell>
          <cell r="G548">
            <v>6</v>
          </cell>
          <cell r="H548" t="str">
            <v>2010-06-30</v>
          </cell>
        </row>
        <row r="549">
          <cell r="A549" t="str">
            <v>481006</v>
          </cell>
          <cell r="B549" t="str">
            <v>1015</v>
          </cell>
          <cell r="C549">
            <v>-5287.25</v>
          </cell>
          <cell r="D549" t="str">
            <v>202</v>
          </cell>
          <cell r="E549" t="str">
            <v>453</v>
          </cell>
          <cell r="F549">
            <v>12816.22</v>
          </cell>
          <cell r="G549">
            <v>7</v>
          </cell>
          <cell r="H549" t="str">
            <v>2009-07-31</v>
          </cell>
        </row>
        <row r="550">
          <cell r="A550" t="str">
            <v>480001</v>
          </cell>
          <cell r="B550" t="str">
            <v>1015</v>
          </cell>
          <cell r="C550">
            <v>104029</v>
          </cell>
          <cell r="D550" t="str">
            <v>202</v>
          </cell>
          <cell r="E550" t="str">
            <v>453</v>
          </cell>
          <cell r="F550">
            <v>51862</v>
          </cell>
          <cell r="G550">
            <v>6</v>
          </cell>
          <cell r="H550" t="str">
            <v>2010-06-30</v>
          </cell>
        </row>
        <row r="551">
          <cell r="A551" t="str">
            <v>481004</v>
          </cell>
          <cell r="B551" t="str">
            <v>1015</v>
          </cell>
          <cell r="C551">
            <v>-104177.97</v>
          </cell>
          <cell r="D551" t="str">
            <v>202</v>
          </cell>
          <cell r="E551" t="str">
            <v>453</v>
          </cell>
          <cell r="F551">
            <v>-20951.68</v>
          </cell>
          <cell r="G551">
            <v>8</v>
          </cell>
          <cell r="H551" t="str">
            <v>2009-08-31</v>
          </cell>
        </row>
        <row r="552">
          <cell r="A552" t="str">
            <v>481004</v>
          </cell>
          <cell r="B552" t="str">
            <v>1015</v>
          </cell>
          <cell r="C552">
            <v>-108232.59</v>
          </cell>
          <cell r="D552" t="str">
            <v>202</v>
          </cell>
          <cell r="E552" t="str">
            <v>453</v>
          </cell>
          <cell r="F552">
            <v>-23640.18</v>
          </cell>
          <cell r="G552">
            <v>9</v>
          </cell>
          <cell r="H552" t="str">
            <v>2009-09-30</v>
          </cell>
        </row>
        <row r="553">
          <cell r="A553" t="str">
            <v>480000</v>
          </cell>
          <cell r="B553" t="str">
            <v>1015</v>
          </cell>
          <cell r="C553">
            <v>-458439.23</v>
          </cell>
          <cell r="D553" t="str">
            <v>202</v>
          </cell>
          <cell r="E553" t="str">
            <v>453</v>
          </cell>
          <cell r="F553">
            <v>-111410.61</v>
          </cell>
          <cell r="G553">
            <v>10</v>
          </cell>
          <cell r="H553" t="str">
            <v>2009-10-31</v>
          </cell>
        </row>
        <row r="554">
          <cell r="A554" t="str">
            <v>480000</v>
          </cell>
          <cell r="B554" t="str">
            <v>1015</v>
          </cell>
          <cell r="C554">
            <v>-11.41</v>
          </cell>
          <cell r="D554" t="str">
            <v>202</v>
          </cell>
          <cell r="E554" t="str">
            <v>455</v>
          </cell>
          <cell r="F554">
            <v>0.71</v>
          </cell>
          <cell r="G554">
            <v>7</v>
          </cell>
          <cell r="H554" t="str">
            <v>2009-07-31</v>
          </cell>
        </row>
        <row r="555">
          <cell r="A555" t="str">
            <v>481004</v>
          </cell>
          <cell r="B555" t="str">
            <v>1015</v>
          </cell>
          <cell r="C555">
            <v>259.43</v>
          </cell>
          <cell r="D555" t="str">
            <v>202</v>
          </cell>
          <cell r="E555" t="str">
            <v>455</v>
          </cell>
          <cell r="F555">
            <v>116.95</v>
          </cell>
          <cell r="G555">
            <v>7</v>
          </cell>
          <cell r="H555" t="str">
            <v>2009-07-31</v>
          </cell>
        </row>
        <row r="556">
          <cell r="A556" t="str">
            <v>481005</v>
          </cell>
          <cell r="B556" t="str">
            <v>1015</v>
          </cell>
          <cell r="C556">
            <v>-933</v>
          </cell>
          <cell r="D556" t="str">
            <v>202</v>
          </cell>
          <cell r="E556" t="str">
            <v>457</v>
          </cell>
          <cell r="F556">
            <v>-7207</v>
          </cell>
          <cell r="G556">
            <v>7</v>
          </cell>
          <cell r="H556" t="str">
            <v>2009-07-31</v>
          </cell>
        </row>
        <row r="557">
          <cell r="A557" t="str">
            <v>481002</v>
          </cell>
          <cell r="B557" t="str">
            <v>1015</v>
          </cell>
          <cell r="C557">
            <v>-354</v>
          </cell>
          <cell r="D557" t="str">
            <v>202</v>
          </cell>
          <cell r="E557" t="str">
            <v>457</v>
          </cell>
          <cell r="F557">
            <v>-2049</v>
          </cell>
          <cell r="G557">
            <v>12</v>
          </cell>
          <cell r="H557" t="str">
            <v>2009-12-31</v>
          </cell>
        </row>
        <row r="558">
          <cell r="A558" t="str">
            <v>481005</v>
          </cell>
          <cell r="B558" t="str">
            <v>1015</v>
          </cell>
          <cell r="C558">
            <v>-2492.23</v>
          </cell>
          <cell r="D558" t="str">
            <v>202</v>
          </cell>
          <cell r="E558" t="str">
            <v>457</v>
          </cell>
          <cell r="F558">
            <v>-19696.66</v>
          </cell>
          <cell r="G558">
            <v>1</v>
          </cell>
          <cell r="H558" t="str">
            <v>2010-01-31</v>
          </cell>
        </row>
        <row r="559">
          <cell r="A559" t="str">
            <v>481005</v>
          </cell>
          <cell r="B559" t="str">
            <v>1015</v>
          </cell>
          <cell r="C559">
            <v>-2404.39</v>
          </cell>
          <cell r="D559" t="str">
            <v>202</v>
          </cell>
          <cell r="E559" t="str">
            <v>457</v>
          </cell>
          <cell r="F559">
            <v>-13448.54</v>
          </cell>
          <cell r="G559">
            <v>2</v>
          </cell>
          <cell r="H559" t="str">
            <v>2010-02-28</v>
          </cell>
        </row>
        <row r="560">
          <cell r="A560" t="str">
            <v>481002</v>
          </cell>
          <cell r="B560" t="str">
            <v>1015</v>
          </cell>
          <cell r="C560">
            <v>-970.25</v>
          </cell>
          <cell r="D560" t="str">
            <v>202</v>
          </cell>
          <cell r="E560" t="str">
            <v>457</v>
          </cell>
          <cell r="F560">
            <v>-2513.2199999999998</v>
          </cell>
          <cell r="G560">
            <v>5</v>
          </cell>
          <cell r="H560" t="str">
            <v>2010-05-31</v>
          </cell>
        </row>
        <row r="561">
          <cell r="A561" t="str">
            <v>481002</v>
          </cell>
          <cell r="B561" t="str">
            <v>1015</v>
          </cell>
          <cell r="C561">
            <v>-316</v>
          </cell>
          <cell r="D561" t="str">
            <v>202</v>
          </cell>
          <cell r="E561" t="str">
            <v>457</v>
          </cell>
          <cell r="F561">
            <v>-1759</v>
          </cell>
          <cell r="G561">
            <v>8</v>
          </cell>
          <cell r="H561" t="str">
            <v>2009-08-31</v>
          </cell>
        </row>
        <row r="562">
          <cell r="A562" t="str">
            <v>481005</v>
          </cell>
          <cell r="B562" t="str">
            <v>1015</v>
          </cell>
          <cell r="C562">
            <v>-2322.4</v>
          </cell>
          <cell r="D562" t="str">
            <v>202</v>
          </cell>
          <cell r="E562" t="str">
            <v>457</v>
          </cell>
          <cell r="F562">
            <v>-12793.85</v>
          </cell>
          <cell r="G562">
            <v>4</v>
          </cell>
          <cell r="H562" t="str">
            <v>2010-04-30</v>
          </cell>
        </row>
        <row r="563">
          <cell r="A563" t="str">
            <v>481002</v>
          </cell>
          <cell r="B563" t="str">
            <v>1015</v>
          </cell>
          <cell r="C563">
            <v>-945.29</v>
          </cell>
          <cell r="D563" t="str">
            <v>202</v>
          </cell>
          <cell r="E563" t="str">
            <v>457</v>
          </cell>
          <cell r="F563">
            <v>-2316.65</v>
          </cell>
          <cell r="G563">
            <v>1</v>
          </cell>
          <cell r="H563" t="str">
            <v>2010-01-31</v>
          </cell>
        </row>
        <row r="564">
          <cell r="A564" t="str">
            <v>481002</v>
          </cell>
          <cell r="B564" t="str">
            <v>1015</v>
          </cell>
          <cell r="C564">
            <v>-887.33</v>
          </cell>
          <cell r="D564" t="str">
            <v>202</v>
          </cell>
          <cell r="E564" t="str">
            <v>457</v>
          </cell>
          <cell r="F564">
            <v>-1884.47</v>
          </cell>
          <cell r="G564">
            <v>4</v>
          </cell>
          <cell r="H564" t="str">
            <v>2010-04-30</v>
          </cell>
        </row>
        <row r="565">
          <cell r="A565" t="str">
            <v>481005</v>
          </cell>
          <cell r="B565" t="str">
            <v>1015</v>
          </cell>
          <cell r="C565">
            <v>3683.25</v>
          </cell>
          <cell r="D565" t="str">
            <v>202</v>
          </cell>
          <cell r="E565" t="str">
            <v>457</v>
          </cell>
          <cell r="F565">
            <v>-11545.05</v>
          </cell>
          <cell r="G565">
            <v>5</v>
          </cell>
          <cell r="H565" t="str">
            <v>2010-05-31</v>
          </cell>
        </row>
        <row r="566">
          <cell r="A566" t="str">
            <v>481005</v>
          </cell>
          <cell r="B566" t="str">
            <v>1015</v>
          </cell>
          <cell r="C566">
            <v>-1979</v>
          </cell>
          <cell r="D566" t="str">
            <v>202</v>
          </cell>
          <cell r="E566" t="str">
            <v>457</v>
          </cell>
          <cell r="F566">
            <v>-6037</v>
          </cell>
          <cell r="G566">
            <v>8</v>
          </cell>
          <cell r="H566" t="str">
            <v>2009-08-31</v>
          </cell>
        </row>
        <row r="567">
          <cell r="A567" t="str">
            <v>481005</v>
          </cell>
          <cell r="B567" t="str">
            <v>1015</v>
          </cell>
          <cell r="C567">
            <v>-2041</v>
          </cell>
          <cell r="D567" t="str">
            <v>202</v>
          </cell>
          <cell r="E567" t="str">
            <v>457</v>
          </cell>
          <cell r="F567">
            <v>-6494</v>
          </cell>
          <cell r="G567">
            <v>10</v>
          </cell>
          <cell r="H567" t="str">
            <v>2009-10-31</v>
          </cell>
        </row>
        <row r="568">
          <cell r="A568" t="str">
            <v>481005</v>
          </cell>
          <cell r="B568" t="str">
            <v>1015</v>
          </cell>
          <cell r="C568">
            <v>-1832</v>
          </cell>
          <cell r="D568" t="str">
            <v>202</v>
          </cell>
          <cell r="E568" t="str">
            <v>457</v>
          </cell>
          <cell r="F568">
            <v>-4866</v>
          </cell>
          <cell r="G568">
            <v>9</v>
          </cell>
          <cell r="H568" t="str">
            <v>2009-09-30</v>
          </cell>
        </row>
        <row r="569">
          <cell r="A569" t="str">
            <v>481005</v>
          </cell>
          <cell r="B569" t="str">
            <v>1015</v>
          </cell>
          <cell r="C569">
            <v>-944.52</v>
          </cell>
          <cell r="D569" t="str">
            <v>202</v>
          </cell>
          <cell r="E569" t="str">
            <v>457</v>
          </cell>
          <cell r="F569">
            <v>-2229.14</v>
          </cell>
          <cell r="G569">
            <v>6</v>
          </cell>
          <cell r="H569" t="str">
            <v>2010-06-30</v>
          </cell>
        </row>
        <row r="570">
          <cell r="A570" t="str">
            <v>481002</v>
          </cell>
          <cell r="B570" t="str">
            <v>1015</v>
          </cell>
          <cell r="C570">
            <v>-1161.46</v>
          </cell>
          <cell r="D570" t="str">
            <v>202</v>
          </cell>
          <cell r="E570" t="str">
            <v>457</v>
          </cell>
          <cell r="F570">
            <v>-3970.9</v>
          </cell>
          <cell r="G570">
            <v>6</v>
          </cell>
          <cell r="H570" t="str">
            <v>2010-06-30</v>
          </cell>
        </row>
        <row r="571">
          <cell r="A571" t="str">
            <v>481002</v>
          </cell>
          <cell r="B571" t="str">
            <v>1015</v>
          </cell>
          <cell r="C571">
            <v>-329</v>
          </cell>
          <cell r="D571" t="str">
            <v>202</v>
          </cell>
          <cell r="E571" t="str">
            <v>457</v>
          </cell>
          <cell r="F571">
            <v>-1853</v>
          </cell>
          <cell r="G571">
            <v>7</v>
          </cell>
          <cell r="H571" t="str">
            <v>2009-07-31</v>
          </cell>
        </row>
        <row r="572">
          <cell r="A572" t="str">
            <v>481002</v>
          </cell>
          <cell r="B572" t="str">
            <v>1015</v>
          </cell>
          <cell r="C572">
            <v>-239</v>
          </cell>
          <cell r="D572" t="str">
            <v>202</v>
          </cell>
          <cell r="E572" t="str">
            <v>457</v>
          </cell>
          <cell r="F572">
            <v>-1168</v>
          </cell>
          <cell r="G572">
            <v>9</v>
          </cell>
          <cell r="H572" t="str">
            <v>2009-09-30</v>
          </cell>
        </row>
        <row r="573">
          <cell r="A573" t="str">
            <v>481002</v>
          </cell>
          <cell r="B573" t="str">
            <v>1015</v>
          </cell>
          <cell r="C573">
            <v>-336</v>
          </cell>
          <cell r="D573" t="str">
            <v>202</v>
          </cell>
          <cell r="E573" t="str">
            <v>457</v>
          </cell>
          <cell r="F573">
            <v>-1909</v>
          </cell>
          <cell r="G573">
            <v>11</v>
          </cell>
          <cell r="H573" t="str">
            <v>2009-11-30</v>
          </cell>
        </row>
        <row r="574">
          <cell r="A574" t="str">
            <v>481005</v>
          </cell>
          <cell r="B574" t="str">
            <v>1015</v>
          </cell>
          <cell r="C574">
            <v>-3021</v>
          </cell>
          <cell r="D574" t="str">
            <v>202</v>
          </cell>
          <cell r="E574" t="str">
            <v>457</v>
          </cell>
          <cell r="F574">
            <v>-14170</v>
          </cell>
          <cell r="G574">
            <v>12</v>
          </cell>
          <cell r="H574" t="str">
            <v>2009-12-31</v>
          </cell>
        </row>
        <row r="575">
          <cell r="A575" t="str">
            <v>481002</v>
          </cell>
          <cell r="B575" t="str">
            <v>1015</v>
          </cell>
          <cell r="C575">
            <v>-306</v>
          </cell>
          <cell r="D575" t="str">
            <v>202</v>
          </cell>
          <cell r="E575" t="str">
            <v>457</v>
          </cell>
          <cell r="F575">
            <v>-1682</v>
          </cell>
          <cell r="G575">
            <v>10</v>
          </cell>
          <cell r="H575" t="str">
            <v>2009-10-31</v>
          </cell>
        </row>
        <row r="576">
          <cell r="A576" t="str">
            <v>481005</v>
          </cell>
          <cell r="B576" t="str">
            <v>1015</v>
          </cell>
          <cell r="C576">
            <v>-3084</v>
          </cell>
          <cell r="D576" t="str">
            <v>202</v>
          </cell>
          <cell r="E576" t="str">
            <v>457</v>
          </cell>
          <cell r="F576">
            <v>-14665</v>
          </cell>
          <cell r="G576">
            <v>11</v>
          </cell>
          <cell r="H576" t="str">
            <v>2009-11-30</v>
          </cell>
        </row>
        <row r="577">
          <cell r="A577" t="str">
            <v>481002</v>
          </cell>
          <cell r="B577" t="str">
            <v>1015</v>
          </cell>
          <cell r="C577">
            <v>-834.7</v>
          </cell>
          <cell r="D577" t="str">
            <v>202</v>
          </cell>
          <cell r="E577" t="str">
            <v>457</v>
          </cell>
          <cell r="F577">
            <v>-1477</v>
          </cell>
          <cell r="G577">
            <v>2</v>
          </cell>
          <cell r="H577" t="str">
            <v>2010-02-28</v>
          </cell>
        </row>
        <row r="578">
          <cell r="A578" t="str">
            <v>481005</v>
          </cell>
          <cell r="B578" t="str">
            <v>1015</v>
          </cell>
          <cell r="C578">
            <v>-2380.1799999999998</v>
          </cell>
          <cell r="D578" t="str">
            <v>202</v>
          </cell>
          <cell r="E578" t="str">
            <v>457</v>
          </cell>
          <cell r="F578">
            <v>-13304.69</v>
          </cell>
          <cell r="G578">
            <v>3</v>
          </cell>
          <cell r="H578" t="str">
            <v>2010-03-31</v>
          </cell>
        </row>
        <row r="579">
          <cell r="A579" t="str">
            <v>481002</v>
          </cell>
          <cell r="B579" t="str">
            <v>1015</v>
          </cell>
          <cell r="C579">
            <v>-810.52</v>
          </cell>
          <cell r="D579" t="str">
            <v>202</v>
          </cell>
          <cell r="E579" t="str">
            <v>457</v>
          </cell>
          <cell r="F579">
            <v>-1296</v>
          </cell>
          <cell r="G579">
            <v>3</v>
          </cell>
          <cell r="H579" t="str">
            <v>2010-03-31</v>
          </cell>
        </row>
        <row r="580">
          <cell r="A580" t="str">
            <v>481004</v>
          </cell>
          <cell r="B580" t="str">
            <v>1015</v>
          </cell>
          <cell r="C580">
            <v>-203200</v>
          </cell>
          <cell r="D580" t="str">
            <v>203</v>
          </cell>
          <cell r="E580" t="str">
            <v>402</v>
          </cell>
          <cell r="F580">
            <v>0</v>
          </cell>
          <cell r="G580">
            <v>7</v>
          </cell>
          <cell r="H580" t="str">
            <v>2009-07-31</v>
          </cell>
        </row>
        <row r="581">
          <cell r="A581" t="str">
            <v>481004</v>
          </cell>
          <cell r="B581" t="str">
            <v>1015</v>
          </cell>
          <cell r="C581">
            <v>-137</v>
          </cell>
          <cell r="D581" t="str">
            <v>203</v>
          </cell>
          <cell r="E581" t="str">
            <v>402</v>
          </cell>
          <cell r="F581">
            <v>0</v>
          </cell>
          <cell r="G581">
            <v>9</v>
          </cell>
          <cell r="H581" t="str">
            <v>2009-09-30</v>
          </cell>
        </row>
        <row r="582">
          <cell r="A582" t="str">
            <v>481004</v>
          </cell>
          <cell r="B582" t="str">
            <v>1015</v>
          </cell>
          <cell r="C582">
            <v>-152025.20000000001</v>
          </cell>
          <cell r="D582" t="str">
            <v>203</v>
          </cell>
          <cell r="E582" t="str">
            <v>402</v>
          </cell>
          <cell r="F582">
            <v>0</v>
          </cell>
          <cell r="G582">
            <v>6</v>
          </cell>
          <cell r="H582" t="str">
            <v>2010-06-30</v>
          </cell>
        </row>
        <row r="583">
          <cell r="A583" t="str">
            <v>481000</v>
          </cell>
          <cell r="B583" t="str">
            <v>1015</v>
          </cell>
          <cell r="C583">
            <v>-15619</v>
          </cell>
          <cell r="D583" t="str">
            <v>203</v>
          </cell>
          <cell r="E583" t="str">
            <v>402</v>
          </cell>
          <cell r="F583">
            <v>0</v>
          </cell>
          <cell r="G583">
            <v>8</v>
          </cell>
          <cell r="H583" t="str">
            <v>2009-08-31</v>
          </cell>
        </row>
        <row r="584">
          <cell r="A584" t="str">
            <v>481004</v>
          </cell>
          <cell r="B584" t="str">
            <v>1015</v>
          </cell>
          <cell r="C584">
            <v>-446892.21</v>
          </cell>
          <cell r="D584" t="str">
            <v>203</v>
          </cell>
          <cell r="E584" t="str">
            <v>402</v>
          </cell>
          <cell r="F584">
            <v>0</v>
          </cell>
          <cell r="G584">
            <v>1</v>
          </cell>
          <cell r="H584" t="str">
            <v>2010-01-31</v>
          </cell>
        </row>
        <row r="585">
          <cell r="A585" t="str">
            <v>481004</v>
          </cell>
          <cell r="B585" t="str">
            <v>1015</v>
          </cell>
          <cell r="C585">
            <v>-458.53</v>
          </cell>
          <cell r="D585" t="str">
            <v>203</v>
          </cell>
          <cell r="E585" t="str">
            <v>402</v>
          </cell>
          <cell r="F585">
            <v>0</v>
          </cell>
          <cell r="G585">
            <v>2</v>
          </cell>
          <cell r="H585" t="str">
            <v>2010-02-28</v>
          </cell>
        </row>
        <row r="586">
          <cell r="A586" t="str">
            <v>481004</v>
          </cell>
          <cell r="B586" t="str">
            <v>1015</v>
          </cell>
          <cell r="C586">
            <v>-499.94</v>
          </cell>
          <cell r="D586" t="str">
            <v>203</v>
          </cell>
          <cell r="E586" t="str">
            <v>402</v>
          </cell>
          <cell r="F586">
            <v>0</v>
          </cell>
          <cell r="G586">
            <v>3</v>
          </cell>
          <cell r="H586" t="str">
            <v>2010-03-31</v>
          </cell>
        </row>
        <row r="587">
          <cell r="A587" t="str">
            <v>481004</v>
          </cell>
          <cell r="B587" t="str">
            <v>1015</v>
          </cell>
          <cell r="C587">
            <v>-236128</v>
          </cell>
          <cell r="D587" t="str">
            <v>203</v>
          </cell>
          <cell r="E587" t="str">
            <v>402</v>
          </cell>
          <cell r="F587">
            <v>0</v>
          </cell>
          <cell r="G587">
            <v>9</v>
          </cell>
          <cell r="H587" t="str">
            <v>2009-09-30</v>
          </cell>
        </row>
        <row r="588">
          <cell r="A588" t="str">
            <v>481004</v>
          </cell>
          <cell r="B588" t="str">
            <v>1015</v>
          </cell>
          <cell r="C588">
            <v>-340714</v>
          </cell>
          <cell r="D588" t="str">
            <v>203</v>
          </cell>
          <cell r="E588" t="str">
            <v>402</v>
          </cell>
          <cell r="F588">
            <v>0</v>
          </cell>
          <cell r="G588">
            <v>10</v>
          </cell>
          <cell r="H588" t="str">
            <v>2009-10-31</v>
          </cell>
        </row>
        <row r="589">
          <cell r="A589" t="str">
            <v>481000</v>
          </cell>
          <cell r="B589" t="str">
            <v>1015</v>
          </cell>
          <cell r="C589">
            <v>-46567</v>
          </cell>
          <cell r="D589" t="str">
            <v>203</v>
          </cell>
          <cell r="E589" t="str">
            <v>402</v>
          </cell>
          <cell r="F589">
            <v>0</v>
          </cell>
          <cell r="G589">
            <v>11</v>
          </cell>
          <cell r="H589" t="str">
            <v>2009-11-30</v>
          </cell>
        </row>
        <row r="590">
          <cell r="A590" t="str">
            <v>481004</v>
          </cell>
          <cell r="B590" t="str">
            <v>1015</v>
          </cell>
          <cell r="C590">
            <v>-672961</v>
          </cell>
          <cell r="D590" t="str">
            <v>203</v>
          </cell>
          <cell r="E590" t="str">
            <v>402</v>
          </cell>
          <cell r="F590">
            <v>0</v>
          </cell>
          <cell r="G590">
            <v>11</v>
          </cell>
          <cell r="H590" t="str">
            <v>2009-11-30</v>
          </cell>
        </row>
        <row r="591">
          <cell r="A591" t="str">
            <v>481004</v>
          </cell>
          <cell r="B591" t="str">
            <v>1015</v>
          </cell>
          <cell r="C591">
            <v>-886431</v>
          </cell>
          <cell r="D591" t="str">
            <v>203</v>
          </cell>
          <cell r="E591" t="str">
            <v>402</v>
          </cell>
          <cell r="F591">
            <v>0</v>
          </cell>
          <cell r="G591">
            <v>12</v>
          </cell>
          <cell r="H591" t="str">
            <v>2009-12-31</v>
          </cell>
        </row>
        <row r="592">
          <cell r="A592" t="str">
            <v>481004</v>
          </cell>
          <cell r="B592" t="str">
            <v>1015</v>
          </cell>
          <cell r="C592">
            <v>-755.56</v>
          </cell>
          <cell r="D592" t="str">
            <v>203</v>
          </cell>
          <cell r="E592" t="str">
            <v>402</v>
          </cell>
          <cell r="F592">
            <v>0</v>
          </cell>
          <cell r="G592">
            <v>1</v>
          </cell>
          <cell r="H592" t="str">
            <v>2010-01-31</v>
          </cell>
        </row>
        <row r="593">
          <cell r="A593" t="str">
            <v>481000</v>
          </cell>
          <cell r="B593" t="str">
            <v>1015</v>
          </cell>
          <cell r="C593">
            <v>-242987.41</v>
          </cell>
          <cell r="D593" t="str">
            <v>203</v>
          </cell>
          <cell r="E593" t="str">
            <v>402</v>
          </cell>
          <cell r="F593">
            <v>0</v>
          </cell>
          <cell r="G593">
            <v>2</v>
          </cell>
          <cell r="H593" t="str">
            <v>2010-02-28</v>
          </cell>
        </row>
        <row r="594">
          <cell r="A594" t="str">
            <v>481000</v>
          </cell>
          <cell r="B594" t="str">
            <v>1015</v>
          </cell>
          <cell r="C594">
            <v>-243729.98</v>
          </cell>
          <cell r="D594" t="str">
            <v>203</v>
          </cell>
          <cell r="E594" t="str">
            <v>402</v>
          </cell>
          <cell r="F594">
            <v>0</v>
          </cell>
          <cell r="G594">
            <v>3</v>
          </cell>
          <cell r="H594" t="str">
            <v>2010-03-31</v>
          </cell>
        </row>
        <row r="595">
          <cell r="A595" t="str">
            <v>481000</v>
          </cell>
          <cell r="B595" t="str">
            <v>1015</v>
          </cell>
          <cell r="C595">
            <v>-103523.3</v>
          </cell>
          <cell r="D595" t="str">
            <v>203</v>
          </cell>
          <cell r="E595" t="str">
            <v>402</v>
          </cell>
          <cell r="F595">
            <v>0</v>
          </cell>
          <cell r="G595">
            <v>5</v>
          </cell>
          <cell r="H595" t="str">
            <v>2010-05-31</v>
          </cell>
        </row>
        <row r="596">
          <cell r="A596" t="str">
            <v>481004</v>
          </cell>
          <cell r="B596" t="str">
            <v>1015</v>
          </cell>
          <cell r="C596">
            <v>-153</v>
          </cell>
          <cell r="D596" t="str">
            <v>203</v>
          </cell>
          <cell r="E596" t="str">
            <v>402</v>
          </cell>
          <cell r="F596">
            <v>0</v>
          </cell>
          <cell r="G596">
            <v>7</v>
          </cell>
          <cell r="H596" t="str">
            <v>2009-07-31</v>
          </cell>
        </row>
        <row r="597">
          <cell r="A597" t="str">
            <v>481004</v>
          </cell>
          <cell r="B597" t="str">
            <v>1015</v>
          </cell>
          <cell r="C597">
            <v>-596</v>
          </cell>
          <cell r="D597" t="str">
            <v>203</v>
          </cell>
          <cell r="E597" t="str">
            <v>402</v>
          </cell>
          <cell r="F597">
            <v>0</v>
          </cell>
          <cell r="G597">
            <v>12</v>
          </cell>
          <cell r="H597" t="str">
            <v>2009-12-31</v>
          </cell>
        </row>
        <row r="598">
          <cell r="A598" t="str">
            <v>481000</v>
          </cell>
          <cell r="B598" t="str">
            <v>1015</v>
          </cell>
          <cell r="C598">
            <v>-104419.28</v>
          </cell>
          <cell r="D598" t="str">
            <v>203</v>
          </cell>
          <cell r="E598" t="str">
            <v>402</v>
          </cell>
          <cell r="F598">
            <v>0</v>
          </cell>
          <cell r="G598">
            <v>6</v>
          </cell>
          <cell r="H598" t="str">
            <v>2010-06-30</v>
          </cell>
        </row>
        <row r="599">
          <cell r="A599" t="str">
            <v>481004</v>
          </cell>
          <cell r="B599" t="str">
            <v>1015</v>
          </cell>
          <cell r="C599">
            <v>-136</v>
          </cell>
          <cell r="D599" t="str">
            <v>203</v>
          </cell>
          <cell r="E599" t="str">
            <v>402</v>
          </cell>
          <cell r="F599">
            <v>0</v>
          </cell>
          <cell r="G599">
            <v>8</v>
          </cell>
          <cell r="H599" t="str">
            <v>2009-08-31</v>
          </cell>
        </row>
        <row r="600">
          <cell r="A600" t="str">
            <v>481000</v>
          </cell>
          <cell r="B600" t="str">
            <v>1015</v>
          </cell>
          <cell r="C600">
            <v>-21597</v>
          </cell>
          <cell r="D600" t="str">
            <v>203</v>
          </cell>
          <cell r="E600" t="str">
            <v>402</v>
          </cell>
          <cell r="F600">
            <v>0</v>
          </cell>
          <cell r="G600">
            <v>10</v>
          </cell>
          <cell r="H600" t="str">
            <v>2009-10-31</v>
          </cell>
        </row>
        <row r="601">
          <cell r="A601" t="str">
            <v>481004</v>
          </cell>
          <cell r="B601" t="str">
            <v>1015</v>
          </cell>
          <cell r="C601">
            <v>-285.26</v>
          </cell>
          <cell r="D601" t="str">
            <v>203</v>
          </cell>
          <cell r="E601" t="str">
            <v>402</v>
          </cell>
          <cell r="F601">
            <v>0</v>
          </cell>
          <cell r="G601">
            <v>4</v>
          </cell>
          <cell r="H601" t="str">
            <v>2010-04-30</v>
          </cell>
        </row>
        <row r="602">
          <cell r="A602" t="str">
            <v>481004</v>
          </cell>
          <cell r="B602" t="str">
            <v>1015</v>
          </cell>
          <cell r="C602">
            <v>-108.4</v>
          </cell>
          <cell r="D602" t="str">
            <v>203</v>
          </cell>
          <cell r="E602" t="str">
            <v>402</v>
          </cell>
          <cell r="F602">
            <v>0</v>
          </cell>
          <cell r="G602">
            <v>6</v>
          </cell>
          <cell r="H602" t="str">
            <v>2010-06-30</v>
          </cell>
        </row>
        <row r="603">
          <cell r="A603" t="str">
            <v>481004</v>
          </cell>
          <cell r="B603" t="str">
            <v>1015</v>
          </cell>
          <cell r="C603">
            <v>-512149.85</v>
          </cell>
          <cell r="D603" t="str">
            <v>203</v>
          </cell>
          <cell r="E603" t="str">
            <v>402</v>
          </cell>
          <cell r="F603">
            <v>0</v>
          </cell>
          <cell r="G603">
            <v>3</v>
          </cell>
          <cell r="H603" t="str">
            <v>2010-03-31</v>
          </cell>
        </row>
        <row r="604">
          <cell r="A604" t="str">
            <v>481004</v>
          </cell>
          <cell r="B604" t="str">
            <v>1015</v>
          </cell>
          <cell r="C604">
            <v>-166904.07999999999</v>
          </cell>
          <cell r="D604" t="str">
            <v>203</v>
          </cell>
          <cell r="E604" t="str">
            <v>402</v>
          </cell>
          <cell r="F604">
            <v>0</v>
          </cell>
          <cell r="G604">
            <v>4</v>
          </cell>
          <cell r="H604" t="str">
            <v>2010-04-30</v>
          </cell>
        </row>
        <row r="605">
          <cell r="A605" t="str">
            <v>481000</v>
          </cell>
          <cell r="B605" t="str">
            <v>1015</v>
          </cell>
          <cell r="C605">
            <v>-189992.87</v>
          </cell>
          <cell r="D605" t="str">
            <v>203</v>
          </cell>
          <cell r="E605" t="str">
            <v>402</v>
          </cell>
          <cell r="F605">
            <v>0</v>
          </cell>
          <cell r="G605">
            <v>4</v>
          </cell>
          <cell r="H605" t="str">
            <v>2010-04-30</v>
          </cell>
        </row>
        <row r="606">
          <cell r="A606" t="str">
            <v>481004</v>
          </cell>
          <cell r="B606" t="str">
            <v>1015</v>
          </cell>
          <cell r="C606">
            <v>-237.43</v>
          </cell>
          <cell r="D606" t="str">
            <v>203</v>
          </cell>
          <cell r="E606" t="str">
            <v>402</v>
          </cell>
          <cell r="F606">
            <v>0</v>
          </cell>
          <cell r="G606">
            <v>5</v>
          </cell>
          <cell r="H606" t="str">
            <v>2010-05-31</v>
          </cell>
        </row>
        <row r="607">
          <cell r="A607" t="str">
            <v>481004</v>
          </cell>
          <cell r="B607" t="str">
            <v>1015</v>
          </cell>
          <cell r="C607">
            <v>-193620.59</v>
          </cell>
          <cell r="D607" t="str">
            <v>203</v>
          </cell>
          <cell r="E607" t="str">
            <v>402</v>
          </cell>
          <cell r="F607">
            <v>0</v>
          </cell>
          <cell r="G607">
            <v>5</v>
          </cell>
          <cell r="H607" t="str">
            <v>2010-05-31</v>
          </cell>
        </row>
        <row r="608">
          <cell r="A608" t="str">
            <v>481000</v>
          </cell>
          <cell r="B608" t="str">
            <v>1015</v>
          </cell>
          <cell r="C608">
            <v>-16330</v>
          </cell>
          <cell r="D608" t="str">
            <v>203</v>
          </cell>
          <cell r="E608" t="str">
            <v>402</v>
          </cell>
          <cell r="F608">
            <v>0</v>
          </cell>
          <cell r="G608">
            <v>9</v>
          </cell>
          <cell r="H608" t="str">
            <v>2009-09-30</v>
          </cell>
        </row>
        <row r="609">
          <cell r="A609" t="str">
            <v>481004</v>
          </cell>
          <cell r="B609" t="str">
            <v>1015</v>
          </cell>
          <cell r="C609">
            <v>-218</v>
          </cell>
          <cell r="D609" t="str">
            <v>203</v>
          </cell>
          <cell r="E609" t="str">
            <v>402</v>
          </cell>
          <cell r="F609">
            <v>0</v>
          </cell>
          <cell r="G609">
            <v>10</v>
          </cell>
          <cell r="H609" t="str">
            <v>2009-10-31</v>
          </cell>
        </row>
        <row r="610">
          <cell r="A610" t="str">
            <v>481004</v>
          </cell>
          <cell r="B610" t="str">
            <v>1015</v>
          </cell>
          <cell r="C610">
            <v>-601</v>
          </cell>
          <cell r="D610" t="str">
            <v>203</v>
          </cell>
          <cell r="E610" t="str">
            <v>402</v>
          </cell>
          <cell r="F610">
            <v>0</v>
          </cell>
          <cell r="G610">
            <v>11</v>
          </cell>
          <cell r="H610" t="str">
            <v>2009-11-30</v>
          </cell>
        </row>
        <row r="611">
          <cell r="A611" t="str">
            <v>481000</v>
          </cell>
          <cell r="B611" t="str">
            <v>1015</v>
          </cell>
          <cell r="C611">
            <v>-63475</v>
          </cell>
          <cell r="D611" t="str">
            <v>203</v>
          </cell>
          <cell r="E611" t="str">
            <v>402</v>
          </cell>
          <cell r="F611">
            <v>0</v>
          </cell>
          <cell r="G611">
            <v>12</v>
          </cell>
          <cell r="H611" t="str">
            <v>2009-12-31</v>
          </cell>
        </row>
        <row r="612">
          <cell r="A612" t="str">
            <v>481000</v>
          </cell>
          <cell r="B612" t="str">
            <v>1015</v>
          </cell>
          <cell r="C612">
            <v>-14590</v>
          </cell>
          <cell r="D612" t="str">
            <v>203</v>
          </cell>
          <cell r="E612" t="str">
            <v>402</v>
          </cell>
          <cell r="F612">
            <v>0</v>
          </cell>
          <cell r="G612">
            <v>7</v>
          </cell>
          <cell r="H612" t="str">
            <v>2009-07-31</v>
          </cell>
        </row>
        <row r="613">
          <cell r="A613" t="str">
            <v>481004</v>
          </cell>
          <cell r="B613" t="str">
            <v>1015</v>
          </cell>
          <cell r="C613">
            <v>-254556</v>
          </cell>
          <cell r="D613" t="str">
            <v>203</v>
          </cell>
          <cell r="E613" t="str">
            <v>402</v>
          </cell>
          <cell r="F613">
            <v>0</v>
          </cell>
          <cell r="G613">
            <v>8</v>
          </cell>
          <cell r="H613" t="str">
            <v>2009-08-31</v>
          </cell>
        </row>
        <row r="614">
          <cell r="A614" t="str">
            <v>481000</v>
          </cell>
          <cell r="B614" t="str">
            <v>1015</v>
          </cell>
          <cell r="C614">
            <v>-299236.86</v>
          </cell>
          <cell r="D614" t="str">
            <v>203</v>
          </cell>
          <cell r="E614" t="str">
            <v>402</v>
          </cell>
          <cell r="F614">
            <v>0</v>
          </cell>
          <cell r="G614">
            <v>1</v>
          </cell>
          <cell r="H614" t="str">
            <v>2010-01-31</v>
          </cell>
        </row>
        <row r="615">
          <cell r="A615" t="str">
            <v>481004</v>
          </cell>
          <cell r="B615" t="str">
            <v>1015</v>
          </cell>
          <cell r="C615">
            <v>-476106.69</v>
          </cell>
          <cell r="D615" t="str">
            <v>203</v>
          </cell>
          <cell r="E615" t="str">
            <v>402</v>
          </cell>
          <cell r="F615">
            <v>0</v>
          </cell>
          <cell r="G615">
            <v>2</v>
          </cell>
          <cell r="H615" t="str">
            <v>2010-02-28</v>
          </cell>
        </row>
        <row r="616">
          <cell r="A616" t="str">
            <v>481006</v>
          </cell>
          <cell r="B616" t="str">
            <v>1015</v>
          </cell>
          <cell r="C616">
            <v>-60483.56</v>
          </cell>
          <cell r="D616" t="str">
            <v>203</v>
          </cell>
          <cell r="E616" t="str">
            <v>407</v>
          </cell>
          <cell r="F616">
            <v>0</v>
          </cell>
          <cell r="G616">
            <v>8</v>
          </cell>
          <cell r="H616" t="str">
            <v>2009-08-31</v>
          </cell>
        </row>
        <row r="617">
          <cell r="A617" t="str">
            <v>480001</v>
          </cell>
          <cell r="B617" t="str">
            <v>1015</v>
          </cell>
          <cell r="C617">
            <v>174.39</v>
          </cell>
          <cell r="D617" t="str">
            <v>203</v>
          </cell>
          <cell r="E617" t="str">
            <v>407</v>
          </cell>
          <cell r="F617">
            <v>0</v>
          </cell>
          <cell r="G617">
            <v>9</v>
          </cell>
          <cell r="H617" t="str">
            <v>2009-09-30</v>
          </cell>
        </row>
        <row r="618">
          <cell r="A618" t="str">
            <v>481006</v>
          </cell>
          <cell r="B618" t="str">
            <v>1015</v>
          </cell>
          <cell r="C618">
            <v>-2974.29</v>
          </cell>
          <cell r="D618" t="str">
            <v>203</v>
          </cell>
          <cell r="E618" t="str">
            <v>407</v>
          </cell>
          <cell r="F618">
            <v>0</v>
          </cell>
          <cell r="G618">
            <v>11</v>
          </cell>
          <cell r="H618" t="str">
            <v>2009-11-30</v>
          </cell>
        </row>
        <row r="619">
          <cell r="A619" t="str">
            <v>480001</v>
          </cell>
          <cell r="B619" t="str">
            <v>1015</v>
          </cell>
          <cell r="C619">
            <v>-3088613.34</v>
          </cell>
          <cell r="D619" t="str">
            <v>203</v>
          </cell>
          <cell r="E619" t="str">
            <v>407</v>
          </cell>
          <cell r="F619">
            <v>0</v>
          </cell>
          <cell r="G619">
            <v>12</v>
          </cell>
          <cell r="H619" t="str">
            <v>2009-12-31</v>
          </cell>
        </row>
        <row r="620">
          <cell r="A620" t="str">
            <v>481006</v>
          </cell>
          <cell r="B620" t="str">
            <v>1015</v>
          </cell>
          <cell r="C620">
            <v>-1418403.32</v>
          </cell>
          <cell r="D620" t="str">
            <v>203</v>
          </cell>
          <cell r="E620" t="str">
            <v>407</v>
          </cell>
          <cell r="F620">
            <v>0</v>
          </cell>
          <cell r="G620">
            <v>12</v>
          </cell>
          <cell r="H620" t="str">
            <v>2009-12-31</v>
          </cell>
        </row>
        <row r="621">
          <cell r="A621" t="str">
            <v>481006</v>
          </cell>
          <cell r="B621" t="str">
            <v>1015</v>
          </cell>
          <cell r="C621">
            <v>679244.81</v>
          </cell>
          <cell r="D621" t="str">
            <v>203</v>
          </cell>
          <cell r="E621" t="str">
            <v>407</v>
          </cell>
          <cell r="F621">
            <v>0</v>
          </cell>
          <cell r="G621">
            <v>1</v>
          </cell>
          <cell r="H621" t="str">
            <v>2010-01-31</v>
          </cell>
        </row>
        <row r="622">
          <cell r="A622" t="str">
            <v>480001</v>
          </cell>
          <cell r="B622" t="str">
            <v>1015</v>
          </cell>
          <cell r="C622">
            <v>1976</v>
          </cell>
          <cell r="D622" t="str">
            <v>203</v>
          </cell>
          <cell r="E622" t="str">
            <v>407</v>
          </cell>
          <cell r="F622">
            <v>0</v>
          </cell>
          <cell r="G622">
            <v>1</v>
          </cell>
          <cell r="H622" t="str">
            <v>2010-01-31</v>
          </cell>
        </row>
        <row r="623">
          <cell r="A623" t="str">
            <v>481006</v>
          </cell>
          <cell r="B623" t="str">
            <v>1015</v>
          </cell>
          <cell r="C623">
            <v>815.24</v>
          </cell>
          <cell r="D623" t="str">
            <v>203</v>
          </cell>
          <cell r="E623" t="str">
            <v>407</v>
          </cell>
          <cell r="F623">
            <v>0</v>
          </cell>
          <cell r="G623">
            <v>1</v>
          </cell>
          <cell r="H623" t="str">
            <v>2010-01-31</v>
          </cell>
        </row>
        <row r="624">
          <cell r="A624" t="str">
            <v>481006</v>
          </cell>
          <cell r="B624" t="str">
            <v>1015</v>
          </cell>
          <cell r="C624">
            <v>-18</v>
          </cell>
          <cell r="D624" t="str">
            <v>203</v>
          </cell>
          <cell r="E624" t="str">
            <v>407</v>
          </cell>
          <cell r="F624">
            <v>0</v>
          </cell>
          <cell r="G624">
            <v>2</v>
          </cell>
          <cell r="H624" t="str">
            <v>2010-02-28</v>
          </cell>
        </row>
        <row r="625">
          <cell r="A625" t="str">
            <v>480001</v>
          </cell>
          <cell r="B625" t="str">
            <v>1015</v>
          </cell>
          <cell r="C625">
            <v>523104</v>
          </cell>
          <cell r="D625" t="str">
            <v>203</v>
          </cell>
          <cell r="E625" t="str">
            <v>407</v>
          </cell>
          <cell r="F625">
            <v>0</v>
          </cell>
          <cell r="G625">
            <v>3</v>
          </cell>
          <cell r="H625" t="str">
            <v>2010-03-31</v>
          </cell>
        </row>
        <row r="626">
          <cell r="A626" t="str">
            <v>481004</v>
          </cell>
          <cell r="B626" t="str">
            <v>1015</v>
          </cell>
          <cell r="C626">
            <v>-392411.56</v>
          </cell>
          <cell r="D626" t="str">
            <v>203</v>
          </cell>
          <cell r="E626" t="str">
            <v>407</v>
          </cell>
          <cell r="F626">
            <v>0</v>
          </cell>
          <cell r="G626">
            <v>7</v>
          </cell>
          <cell r="H626" t="str">
            <v>2009-07-31</v>
          </cell>
        </row>
        <row r="627">
          <cell r="A627" t="str">
            <v>481004</v>
          </cell>
          <cell r="B627" t="str">
            <v>1015</v>
          </cell>
          <cell r="C627">
            <v>-11013.98</v>
          </cell>
          <cell r="D627" t="str">
            <v>203</v>
          </cell>
          <cell r="E627" t="str">
            <v>407</v>
          </cell>
          <cell r="F627">
            <v>0</v>
          </cell>
          <cell r="G627">
            <v>2</v>
          </cell>
          <cell r="H627" t="str">
            <v>2010-02-28</v>
          </cell>
        </row>
        <row r="628">
          <cell r="A628" t="str">
            <v>481004</v>
          </cell>
          <cell r="B628" t="str">
            <v>1015</v>
          </cell>
          <cell r="C628">
            <v>-9743.33</v>
          </cell>
          <cell r="D628" t="str">
            <v>203</v>
          </cell>
          <cell r="E628" t="str">
            <v>407</v>
          </cell>
          <cell r="F628">
            <v>0</v>
          </cell>
          <cell r="G628">
            <v>3</v>
          </cell>
          <cell r="H628" t="str">
            <v>2010-03-31</v>
          </cell>
        </row>
        <row r="629">
          <cell r="A629" t="str">
            <v>481006</v>
          </cell>
          <cell r="B629" t="str">
            <v>1015</v>
          </cell>
          <cell r="C629">
            <v>446063</v>
          </cell>
          <cell r="D629" t="str">
            <v>203</v>
          </cell>
          <cell r="E629" t="str">
            <v>407</v>
          </cell>
          <cell r="F629">
            <v>0</v>
          </cell>
          <cell r="G629">
            <v>2</v>
          </cell>
          <cell r="H629" t="str">
            <v>2010-02-28</v>
          </cell>
        </row>
        <row r="630">
          <cell r="A630" t="str">
            <v>481006</v>
          </cell>
          <cell r="B630" t="str">
            <v>1015</v>
          </cell>
          <cell r="C630">
            <v>192229</v>
          </cell>
          <cell r="D630" t="str">
            <v>203</v>
          </cell>
          <cell r="E630" t="str">
            <v>407</v>
          </cell>
          <cell r="F630">
            <v>0</v>
          </cell>
          <cell r="G630">
            <v>3</v>
          </cell>
          <cell r="H630" t="str">
            <v>2010-03-31</v>
          </cell>
        </row>
        <row r="631">
          <cell r="A631" t="str">
            <v>481006</v>
          </cell>
          <cell r="B631" t="str">
            <v>1015</v>
          </cell>
          <cell r="C631">
            <v>1404</v>
          </cell>
          <cell r="D631" t="str">
            <v>203</v>
          </cell>
          <cell r="E631" t="str">
            <v>407</v>
          </cell>
          <cell r="F631">
            <v>0</v>
          </cell>
          <cell r="G631">
            <v>6</v>
          </cell>
          <cell r="H631" t="str">
            <v>2010-06-30</v>
          </cell>
        </row>
        <row r="632">
          <cell r="A632" t="str">
            <v>480001</v>
          </cell>
          <cell r="B632" t="str">
            <v>1015</v>
          </cell>
          <cell r="C632">
            <v>839944</v>
          </cell>
          <cell r="D632" t="str">
            <v>203</v>
          </cell>
          <cell r="E632" t="str">
            <v>407</v>
          </cell>
          <cell r="F632">
            <v>0</v>
          </cell>
          <cell r="G632">
            <v>6</v>
          </cell>
          <cell r="H632" t="str">
            <v>2010-06-30</v>
          </cell>
        </row>
        <row r="633">
          <cell r="A633" t="str">
            <v>480000</v>
          </cell>
          <cell r="B633" t="str">
            <v>1015</v>
          </cell>
          <cell r="C633">
            <v>-879941.79</v>
          </cell>
          <cell r="D633" t="str">
            <v>203</v>
          </cell>
          <cell r="E633" t="str">
            <v>407</v>
          </cell>
          <cell r="F633">
            <v>0</v>
          </cell>
          <cell r="G633">
            <v>8</v>
          </cell>
          <cell r="H633" t="str">
            <v>2009-08-31</v>
          </cell>
        </row>
        <row r="634">
          <cell r="A634" t="str">
            <v>481004</v>
          </cell>
          <cell r="B634" t="str">
            <v>1015</v>
          </cell>
          <cell r="C634">
            <v>-767.32</v>
          </cell>
          <cell r="D634" t="str">
            <v>203</v>
          </cell>
          <cell r="E634" t="str">
            <v>407</v>
          </cell>
          <cell r="F634">
            <v>0</v>
          </cell>
          <cell r="G634">
            <v>9</v>
          </cell>
          <cell r="H634" t="str">
            <v>2009-09-30</v>
          </cell>
        </row>
        <row r="635">
          <cell r="A635" t="str">
            <v>481004</v>
          </cell>
          <cell r="B635" t="str">
            <v>1015</v>
          </cell>
          <cell r="C635">
            <v>-11647.98</v>
          </cell>
          <cell r="D635" t="str">
            <v>203</v>
          </cell>
          <cell r="E635" t="str">
            <v>407</v>
          </cell>
          <cell r="F635">
            <v>0</v>
          </cell>
          <cell r="G635">
            <v>12</v>
          </cell>
          <cell r="H635" t="str">
            <v>2009-12-31</v>
          </cell>
        </row>
        <row r="636">
          <cell r="A636" t="str">
            <v>480000</v>
          </cell>
          <cell r="B636" t="str">
            <v>1015</v>
          </cell>
          <cell r="C636">
            <v>-14896182.619999999</v>
          </cell>
          <cell r="D636" t="str">
            <v>203</v>
          </cell>
          <cell r="E636" t="str">
            <v>407</v>
          </cell>
          <cell r="F636">
            <v>0</v>
          </cell>
          <cell r="G636">
            <v>1</v>
          </cell>
          <cell r="H636" t="str">
            <v>2010-01-31</v>
          </cell>
        </row>
        <row r="637">
          <cell r="A637" t="str">
            <v>480000</v>
          </cell>
          <cell r="B637" t="str">
            <v>1015</v>
          </cell>
          <cell r="C637">
            <v>-19946</v>
          </cell>
          <cell r="D637" t="str">
            <v>203</v>
          </cell>
          <cell r="E637" t="str">
            <v>407</v>
          </cell>
          <cell r="F637">
            <v>0</v>
          </cell>
          <cell r="G637">
            <v>2</v>
          </cell>
          <cell r="H637" t="str">
            <v>2010-02-28</v>
          </cell>
        </row>
        <row r="638">
          <cell r="A638" t="str">
            <v>481004</v>
          </cell>
          <cell r="B638" t="str">
            <v>1015</v>
          </cell>
          <cell r="C638">
            <v>-4997.53</v>
          </cell>
          <cell r="D638" t="str">
            <v>203</v>
          </cell>
          <cell r="E638" t="str">
            <v>407</v>
          </cell>
          <cell r="F638">
            <v>0</v>
          </cell>
          <cell r="G638">
            <v>4</v>
          </cell>
          <cell r="H638" t="str">
            <v>2010-04-30</v>
          </cell>
        </row>
        <row r="639">
          <cell r="A639" t="str">
            <v>480000</v>
          </cell>
          <cell r="B639" t="str">
            <v>1015</v>
          </cell>
          <cell r="C639">
            <v>-1574711.01</v>
          </cell>
          <cell r="D639" t="str">
            <v>203</v>
          </cell>
          <cell r="E639" t="str">
            <v>407</v>
          </cell>
          <cell r="F639">
            <v>0</v>
          </cell>
          <cell r="G639">
            <v>6</v>
          </cell>
          <cell r="H639" t="str">
            <v>2010-06-30</v>
          </cell>
        </row>
        <row r="640">
          <cell r="A640" t="str">
            <v>481004</v>
          </cell>
          <cell r="B640" t="str">
            <v>1015</v>
          </cell>
          <cell r="C640">
            <v>-1285.49</v>
          </cell>
          <cell r="D640" t="str">
            <v>203</v>
          </cell>
          <cell r="E640" t="str">
            <v>407</v>
          </cell>
          <cell r="F640">
            <v>0</v>
          </cell>
          <cell r="G640">
            <v>6</v>
          </cell>
          <cell r="H640" t="str">
            <v>2010-06-30</v>
          </cell>
        </row>
        <row r="641">
          <cell r="A641" t="str">
            <v>481006</v>
          </cell>
          <cell r="B641" t="str">
            <v>1015</v>
          </cell>
          <cell r="C641">
            <v>50254.559999999998</v>
          </cell>
          <cell r="D641" t="str">
            <v>203</v>
          </cell>
          <cell r="E641" t="str">
            <v>407</v>
          </cell>
          <cell r="F641">
            <v>0</v>
          </cell>
          <cell r="G641">
            <v>7</v>
          </cell>
          <cell r="H641" t="str">
            <v>2009-07-31</v>
          </cell>
        </row>
        <row r="642">
          <cell r="A642" t="str">
            <v>481006</v>
          </cell>
          <cell r="B642" t="str">
            <v>1015</v>
          </cell>
          <cell r="C642">
            <v>51.32</v>
          </cell>
          <cell r="D642" t="str">
            <v>203</v>
          </cell>
          <cell r="E642" t="str">
            <v>407</v>
          </cell>
          <cell r="F642">
            <v>0</v>
          </cell>
          <cell r="G642">
            <v>9</v>
          </cell>
          <cell r="H642" t="str">
            <v>2009-09-30</v>
          </cell>
        </row>
        <row r="643">
          <cell r="A643" t="str">
            <v>481006</v>
          </cell>
          <cell r="B643" t="str">
            <v>1015</v>
          </cell>
          <cell r="C643">
            <v>3737</v>
          </cell>
          <cell r="D643" t="str">
            <v>203</v>
          </cell>
          <cell r="E643" t="str">
            <v>407</v>
          </cell>
          <cell r="F643">
            <v>0</v>
          </cell>
          <cell r="G643">
            <v>4</v>
          </cell>
          <cell r="H643" t="str">
            <v>2010-04-30</v>
          </cell>
        </row>
        <row r="644">
          <cell r="A644" t="str">
            <v>480001</v>
          </cell>
          <cell r="B644" t="str">
            <v>1015</v>
          </cell>
          <cell r="C644">
            <v>2112</v>
          </cell>
          <cell r="D644" t="str">
            <v>203</v>
          </cell>
          <cell r="E644" t="str">
            <v>407</v>
          </cell>
          <cell r="F644">
            <v>0</v>
          </cell>
          <cell r="G644">
            <v>6</v>
          </cell>
          <cell r="H644" t="str">
            <v>2010-06-30</v>
          </cell>
        </row>
        <row r="645">
          <cell r="A645" t="str">
            <v>481004</v>
          </cell>
          <cell r="B645" t="str">
            <v>1015</v>
          </cell>
          <cell r="C645">
            <v>-838.38</v>
          </cell>
          <cell r="D645" t="str">
            <v>203</v>
          </cell>
          <cell r="E645" t="str">
            <v>407</v>
          </cell>
          <cell r="F645">
            <v>0</v>
          </cell>
          <cell r="G645">
            <v>7</v>
          </cell>
          <cell r="H645" t="str">
            <v>2009-07-31</v>
          </cell>
        </row>
        <row r="646">
          <cell r="A646" t="str">
            <v>481004</v>
          </cell>
          <cell r="B646" t="str">
            <v>1015</v>
          </cell>
          <cell r="C646">
            <v>-6607388.3499999996</v>
          </cell>
          <cell r="D646" t="str">
            <v>203</v>
          </cell>
          <cell r="E646" t="str">
            <v>407</v>
          </cell>
          <cell r="F646">
            <v>0</v>
          </cell>
          <cell r="G646">
            <v>1</v>
          </cell>
          <cell r="H646" t="str">
            <v>2010-01-31</v>
          </cell>
        </row>
        <row r="647">
          <cell r="A647" t="str">
            <v>480000</v>
          </cell>
          <cell r="B647" t="str">
            <v>1015</v>
          </cell>
          <cell r="C647">
            <v>-6403711.8200000003</v>
          </cell>
          <cell r="D647" t="str">
            <v>203</v>
          </cell>
          <cell r="E647" t="str">
            <v>407</v>
          </cell>
          <cell r="F647">
            <v>0</v>
          </cell>
          <cell r="G647">
            <v>4</v>
          </cell>
          <cell r="H647" t="str">
            <v>2010-04-30</v>
          </cell>
        </row>
        <row r="648">
          <cell r="A648" t="str">
            <v>481004</v>
          </cell>
          <cell r="B648" t="str">
            <v>1015</v>
          </cell>
          <cell r="C648">
            <v>-616349.82999999996</v>
          </cell>
          <cell r="D648" t="str">
            <v>203</v>
          </cell>
          <cell r="E648" t="str">
            <v>407</v>
          </cell>
          <cell r="F648">
            <v>0</v>
          </cell>
          <cell r="G648">
            <v>6</v>
          </cell>
          <cell r="H648" t="str">
            <v>2010-06-30</v>
          </cell>
        </row>
        <row r="649">
          <cell r="A649" t="str">
            <v>480001</v>
          </cell>
          <cell r="B649" t="str">
            <v>1015</v>
          </cell>
          <cell r="C649">
            <v>135.03</v>
          </cell>
          <cell r="D649" t="str">
            <v>203</v>
          </cell>
          <cell r="E649" t="str">
            <v>407</v>
          </cell>
          <cell r="F649">
            <v>0</v>
          </cell>
          <cell r="G649">
            <v>7</v>
          </cell>
          <cell r="H649" t="str">
            <v>2009-07-31</v>
          </cell>
        </row>
        <row r="650">
          <cell r="A650" t="str">
            <v>481006</v>
          </cell>
          <cell r="B650" t="str">
            <v>1015</v>
          </cell>
          <cell r="C650">
            <v>10767.2</v>
          </cell>
          <cell r="D650" t="str">
            <v>203</v>
          </cell>
          <cell r="E650" t="str">
            <v>407</v>
          </cell>
          <cell r="F650">
            <v>0</v>
          </cell>
          <cell r="G650">
            <v>9</v>
          </cell>
          <cell r="H650" t="str">
            <v>2009-09-30</v>
          </cell>
        </row>
        <row r="651">
          <cell r="A651" t="str">
            <v>481006</v>
          </cell>
          <cell r="B651" t="str">
            <v>1015</v>
          </cell>
          <cell r="C651">
            <v>-613</v>
          </cell>
          <cell r="D651" t="str">
            <v>203</v>
          </cell>
          <cell r="E651" t="str">
            <v>407</v>
          </cell>
          <cell r="F651">
            <v>0</v>
          </cell>
          <cell r="G651">
            <v>10</v>
          </cell>
          <cell r="H651" t="str">
            <v>2009-10-31</v>
          </cell>
        </row>
        <row r="652">
          <cell r="A652" t="str">
            <v>480001</v>
          </cell>
          <cell r="B652" t="str">
            <v>1015</v>
          </cell>
          <cell r="C652">
            <v>1000118</v>
          </cell>
          <cell r="D652" t="str">
            <v>203</v>
          </cell>
          <cell r="E652" t="str">
            <v>407</v>
          </cell>
          <cell r="F652">
            <v>0</v>
          </cell>
          <cell r="G652">
            <v>2</v>
          </cell>
          <cell r="H652" t="str">
            <v>2010-02-28</v>
          </cell>
        </row>
        <row r="653">
          <cell r="A653" t="str">
            <v>480001</v>
          </cell>
          <cell r="B653" t="str">
            <v>1015</v>
          </cell>
          <cell r="C653">
            <v>2244</v>
          </cell>
          <cell r="D653" t="str">
            <v>203</v>
          </cell>
          <cell r="E653" t="str">
            <v>407</v>
          </cell>
          <cell r="F653">
            <v>0</v>
          </cell>
          <cell r="G653">
            <v>3</v>
          </cell>
          <cell r="H653" t="str">
            <v>2010-03-31</v>
          </cell>
        </row>
        <row r="654">
          <cell r="A654" t="str">
            <v>480001</v>
          </cell>
          <cell r="B654" t="str">
            <v>1015</v>
          </cell>
          <cell r="C654">
            <v>188843</v>
          </cell>
          <cell r="D654" t="str">
            <v>203</v>
          </cell>
          <cell r="E654" t="str">
            <v>407</v>
          </cell>
          <cell r="F654">
            <v>0</v>
          </cell>
          <cell r="G654">
            <v>5</v>
          </cell>
          <cell r="H654" t="str">
            <v>2010-05-31</v>
          </cell>
        </row>
        <row r="655">
          <cell r="A655" t="str">
            <v>481006</v>
          </cell>
          <cell r="B655" t="str">
            <v>1015</v>
          </cell>
          <cell r="C655">
            <v>65233</v>
          </cell>
          <cell r="D655" t="str">
            <v>203</v>
          </cell>
          <cell r="E655" t="str">
            <v>407</v>
          </cell>
          <cell r="F655">
            <v>0</v>
          </cell>
          <cell r="G655">
            <v>5</v>
          </cell>
          <cell r="H655" t="str">
            <v>2010-05-31</v>
          </cell>
        </row>
        <row r="656">
          <cell r="A656" t="str">
            <v>481004</v>
          </cell>
          <cell r="B656" t="str">
            <v>1015</v>
          </cell>
          <cell r="C656">
            <v>-304914.75</v>
          </cell>
          <cell r="D656" t="str">
            <v>203</v>
          </cell>
          <cell r="E656" t="str">
            <v>407</v>
          </cell>
          <cell r="F656">
            <v>0</v>
          </cell>
          <cell r="G656">
            <v>8</v>
          </cell>
          <cell r="H656" t="str">
            <v>2009-08-31</v>
          </cell>
        </row>
        <row r="657">
          <cell r="A657" t="str">
            <v>480000</v>
          </cell>
          <cell r="B657" t="str">
            <v>1015</v>
          </cell>
          <cell r="C657">
            <v>-911628.49</v>
          </cell>
          <cell r="D657" t="str">
            <v>203</v>
          </cell>
          <cell r="E657" t="str">
            <v>407</v>
          </cell>
          <cell r="F657">
            <v>0</v>
          </cell>
          <cell r="G657">
            <v>9</v>
          </cell>
          <cell r="H657" t="str">
            <v>2009-09-30</v>
          </cell>
        </row>
        <row r="658">
          <cell r="A658" t="str">
            <v>480000</v>
          </cell>
          <cell r="B658" t="str">
            <v>1015</v>
          </cell>
          <cell r="C658">
            <v>-17575.009999999998</v>
          </cell>
          <cell r="D658" t="str">
            <v>203</v>
          </cell>
          <cell r="E658" t="str">
            <v>407</v>
          </cell>
          <cell r="F658">
            <v>0</v>
          </cell>
          <cell r="G658">
            <v>3</v>
          </cell>
          <cell r="H658" t="str">
            <v>2010-03-31</v>
          </cell>
        </row>
        <row r="659">
          <cell r="A659" t="str">
            <v>480000</v>
          </cell>
          <cell r="B659" t="str">
            <v>1015</v>
          </cell>
          <cell r="C659">
            <v>-9502123.5899999999</v>
          </cell>
          <cell r="D659" t="str">
            <v>203</v>
          </cell>
          <cell r="E659" t="str">
            <v>407</v>
          </cell>
          <cell r="F659">
            <v>0</v>
          </cell>
          <cell r="G659">
            <v>3</v>
          </cell>
          <cell r="H659" t="str">
            <v>2010-03-31</v>
          </cell>
        </row>
        <row r="660">
          <cell r="A660" t="str">
            <v>481000</v>
          </cell>
          <cell r="B660" t="str">
            <v>1015</v>
          </cell>
          <cell r="C660">
            <v>-2325.7199999999998</v>
          </cell>
          <cell r="D660" t="str">
            <v>203</v>
          </cell>
          <cell r="E660" t="str">
            <v>407</v>
          </cell>
          <cell r="F660">
            <v>0</v>
          </cell>
          <cell r="G660">
            <v>4</v>
          </cell>
          <cell r="H660" t="str">
            <v>2010-04-30</v>
          </cell>
        </row>
        <row r="661">
          <cell r="A661" t="str">
            <v>480001</v>
          </cell>
          <cell r="B661" t="str">
            <v>1015</v>
          </cell>
          <cell r="C661">
            <v>5705.2</v>
          </cell>
          <cell r="D661" t="str">
            <v>203</v>
          </cell>
          <cell r="E661" t="str">
            <v>407</v>
          </cell>
          <cell r="F661">
            <v>0</v>
          </cell>
          <cell r="G661">
            <v>8</v>
          </cell>
          <cell r="H661" t="str">
            <v>2009-08-31</v>
          </cell>
        </row>
        <row r="662">
          <cell r="A662" t="str">
            <v>481006</v>
          </cell>
          <cell r="B662" t="str">
            <v>1015</v>
          </cell>
          <cell r="C662">
            <v>-219.25</v>
          </cell>
          <cell r="D662" t="str">
            <v>203</v>
          </cell>
          <cell r="E662" t="str">
            <v>407</v>
          </cell>
          <cell r="F662">
            <v>0</v>
          </cell>
          <cell r="G662">
            <v>8</v>
          </cell>
          <cell r="H662" t="str">
            <v>2009-08-31</v>
          </cell>
        </row>
        <row r="663">
          <cell r="A663" t="str">
            <v>481006</v>
          </cell>
          <cell r="B663" t="str">
            <v>1015</v>
          </cell>
          <cell r="C663">
            <v>-288061.25</v>
          </cell>
          <cell r="D663" t="str">
            <v>203</v>
          </cell>
          <cell r="E663" t="str">
            <v>407</v>
          </cell>
          <cell r="F663">
            <v>0</v>
          </cell>
          <cell r="G663">
            <v>10</v>
          </cell>
          <cell r="H663" t="str">
            <v>2009-10-31</v>
          </cell>
        </row>
        <row r="664">
          <cell r="A664" t="str">
            <v>480001</v>
          </cell>
          <cell r="B664" t="str">
            <v>1015</v>
          </cell>
          <cell r="C664">
            <v>-1500.87</v>
          </cell>
          <cell r="D664" t="str">
            <v>203</v>
          </cell>
          <cell r="E664" t="str">
            <v>407</v>
          </cell>
          <cell r="F664">
            <v>0</v>
          </cell>
          <cell r="G664">
            <v>10</v>
          </cell>
          <cell r="H664" t="str">
            <v>2009-10-31</v>
          </cell>
        </row>
        <row r="665">
          <cell r="A665" t="str">
            <v>480001</v>
          </cell>
          <cell r="B665" t="str">
            <v>1015</v>
          </cell>
          <cell r="C665">
            <v>90</v>
          </cell>
          <cell r="D665" t="str">
            <v>203</v>
          </cell>
          <cell r="E665" t="str">
            <v>407</v>
          </cell>
          <cell r="F665">
            <v>0</v>
          </cell>
          <cell r="G665">
            <v>2</v>
          </cell>
          <cell r="H665" t="str">
            <v>2010-02-28</v>
          </cell>
        </row>
        <row r="666">
          <cell r="A666" t="str">
            <v>481006</v>
          </cell>
          <cell r="B666" t="str">
            <v>1015</v>
          </cell>
          <cell r="C666">
            <v>1174</v>
          </cell>
          <cell r="D666" t="str">
            <v>203</v>
          </cell>
          <cell r="E666" t="str">
            <v>407</v>
          </cell>
          <cell r="F666">
            <v>0</v>
          </cell>
          <cell r="G666">
            <v>3</v>
          </cell>
          <cell r="H666" t="str">
            <v>2010-03-31</v>
          </cell>
        </row>
        <row r="667">
          <cell r="A667" t="str">
            <v>480001</v>
          </cell>
          <cell r="B667" t="str">
            <v>1015</v>
          </cell>
          <cell r="C667">
            <v>6432</v>
          </cell>
          <cell r="D667" t="str">
            <v>203</v>
          </cell>
          <cell r="E667" t="str">
            <v>407</v>
          </cell>
          <cell r="F667">
            <v>0</v>
          </cell>
          <cell r="G667">
            <v>4</v>
          </cell>
          <cell r="H667" t="str">
            <v>2010-04-30</v>
          </cell>
        </row>
        <row r="668">
          <cell r="A668" t="str">
            <v>480000</v>
          </cell>
          <cell r="B668" t="str">
            <v>1015</v>
          </cell>
          <cell r="C668">
            <v>-1634.03</v>
          </cell>
          <cell r="D668" t="str">
            <v>203</v>
          </cell>
          <cell r="E668" t="str">
            <v>407</v>
          </cell>
          <cell r="F668">
            <v>0</v>
          </cell>
          <cell r="G668">
            <v>7</v>
          </cell>
          <cell r="H668" t="str">
            <v>2009-07-31</v>
          </cell>
        </row>
        <row r="669">
          <cell r="A669" t="str">
            <v>480000</v>
          </cell>
          <cell r="B669" t="str">
            <v>1015</v>
          </cell>
          <cell r="C669">
            <v>-1525.39</v>
          </cell>
          <cell r="D669" t="str">
            <v>203</v>
          </cell>
          <cell r="E669" t="str">
            <v>407</v>
          </cell>
          <cell r="F669">
            <v>0</v>
          </cell>
          <cell r="G669">
            <v>9</v>
          </cell>
          <cell r="H669" t="str">
            <v>2009-09-30</v>
          </cell>
        </row>
        <row r="670">
          <cell r="A670" t="str">
            <v>480000</v>
          </cell>
          <cell r="B670" t="str">
            <v>1015</v>
          </cell>
          <cell r="C670">
            <v>-3484.13</v>
          </cell>
          <cell r="D670" t="str">
            <v>203</v>
          </cell>
          <cell r="E670" t="str">
            <v>407</v>
          </cell>
          <cell r="F670">
            <v>0</v>
          </cell>
          <cell r="G670">
            <v>10</v>
          </cell>
          <cell r="H670" t="str">
            <v>2009-10-31</v>
          </cell>
        </row>
        <row r="671">
          <cell r="A671" t="str">
            <v>481004</v>
          </cell>
          <cell r="B671" t="str">
            <v>1015</v>
          </cell>
          <cell r="C671">
            <v>-2738241.03</v>
          </cell>
          <cell r="D671" t="str">
            <v>203</v>
          </cell>
          <cell r="E671" t="str">
            <v>407</v>
          </cell>
          <cell r="F671">
            <v>0</v>
          </cell>
          <cell r="G671">
            <v>4</v>
          </cell>
          <cell r="H671" t="str">
            <v>2010-04-30</v>
          </cell>
        </row>
        <row r="672">
          <cell r="A672" t="str">
            <v>481004</v>
          </cell>
          <cell r="B672" t="str">
            <v>1015</v>
          </cell>
          <cell r="C672">
            <v>-978763.72</v>
          </cell>
          <cell r="D672" t="str">
            <v>203</v>
          </cell>
          <cell r="E672" t="str">
            <v>407</v>
          </cell>
          <cell r="F672">
            <v>0</v>
          </cell>
          <cell r="G672">
            <v>5</v>
          </cell>
          <cell r="H672" t="str">
            <v>2010-05-31</v>
          </cell>
        </row>
        <row r="673">
          <cell r="A673" t="str">
            <v>480001</v>
          </cell>
          <cell r="B673" t="str">
            <v>1015</v>
          </cell>
          <cell r="C673">
            <v>111028.79</v>
          </cell>
          <cell r="D673" t="str">
            <v>203</v>
          </cell>
          <cell r="E673" t="str">
            <v>407</v>
          </cell>
          <cell r="F673">
            <v>0</v>
          </cell>
          <cell r="G673">
            <v>7</v>
          </cell>
          <cell r="H673" t="str">
            <v>2009-07-31</v>
          </cell>
        </row>
        <row r="674">
          <cell r="A674" t="str">
            <v>480001</v>
          </cell>
          <cell r="B674" t="str">
            <v>1015</v>
          </cell>
          <cell r="C674">
            <v>-757748.28</v>
          </cell>
          <cell r="D674" t="str">
            <v>203</v>
          </cell>
          <cell r="E674" t="str">
            <v>407</v>
          </cell>
          <cell r="F674">
            <v>0</v>
          </cell>
          <cell r="G674">
            <v>10</v>
          </cell>
          <cell r="H674" t="str">
            <v>2009-10-31</v>
          </cell>
        </row>
        <row r="675">
          <cell r="A675" t="str">
            <v>480001</v>
          </cell>
          <cell r="B675" t="str">
            <v>1015</v>
          </cell>
          <cell r="C675">
            <v>-5830.5</v>
          </cell>
          <cell r="D675" t="str">
            <v>203</v>
          </cell>
          <cell r="E675" t="str">
            <v>407</v>
          </cell>
          <cell r="F675">
            <v>0</v>
          </cell>
          <cell r="G675">
            <v>11</v>
          </cell>
          <cell r="H675" t="str">
            <v>2009-11-30</v>
          </cell>
        </row>
        <row r="676">
          <cell r="A676" t="str">
            <v>480001</v>
          </cell>
          <cell r="B676" t="str">
            <v>1015</v>
          </cell>
          <cell r="C676">
            <v>1526756.88</v>
          </cell>
          <cell r="D676" t="str">
            <v>203</v>
          </cell>
          <cell r="E676" t="str">
            <v>407</v>
          </cell>
          <cell r="F676">
            <v>0</v>
          </cell>
          <cell r="G676">
            <v>1</v>
          </cell>
          <cell r="H676" t="str">
            <v>2010-01-31</v>
          </cell>
        </row>
        <row r="677">
          <cell r="A677" t="str">
            <v>481006</v>
          </cell>
          <cell r="B677" t="str">
            <v>1015</v>
          </cell>
          <cell r="C677">
            <v>50</v>
          </cell>
          <cell r="D677" t="str">
            <v>203</v>
          </cell>
          <cell r="E677" t="str">
            <v>407</v>
          </cell>
          <cell r="F677">
            <v>0</v>
          </cell>
          <cell r="G677">
            <v>5</v>
          </cell>
          <cell r="H677" t="str">
            <v>2010-05-31</v>
          </cell>
        </row>
        <row r="678">
          <cell r="A678" t="str">
            <v>480000</v>
          </cell>
          <cell r="B678" t="str">
            <v>1015</v>
          </cell>
          <cell r="C678">
            <v>-1399.81</v>
          </cell>
          <cell r="D678" t="str">
            <v>203</v>
          </cell>
          <cell r="E678" t="str">
            <v>407</v>
          </cell>
          <cell r="F678">
            <v>0</v>
          </cell>
          <cell r="G678">
            <v>8</v>
          </cell>
          <cell r="H678" t="str">
            <v>2009-08-31</v>
          </cell>
        </row>
        <row r="679">
          <cell r="A679" t="str">
            <v>481004</v>
          </cell>
          <cell r="B679" t="str">
            <v>1015</v>
          </cell>
          <cell r="C679">
            <v>-4826045.68</v>
          </cell>
          <cell r="D679" t="str">
            <v>203</v>
          </cell>
          <cell r="E679" t="str">
            <v>407</v>
          </cell>
          <cell r="F679">
            <v>0</v>
          </cell>
          <cell r="G679">
            <v>12</v>
          </cell>
          <cell r="H679" t="str">
            <v>2009-12-31</v>
          </cell>
        </row>
        <row r="680">
          <cell r="A680" t="str">
            <v>480000</v>
          </cell>
          <cell r="B680" t="str">
            <v>1015</v>
          </cell>
          <cell r="C680">
            <v>-27305.66</v>
          </cell>
          <cell r="D680" t="str">
            <v>203</v>
          </cell>
          <cell r="E680" t="str">
            <v>407</v>
          </cell>
          <cell r="F680">
            <v>0</v>
          </cell>
          <cell r="G680">
            <v>1</v>
          </cell>
          <cell r="H680" t="str">
            <v>2010-01-31</v>
          </cell>
        </row>
        <row r="681">
          <cell r="A681" t="str">
            <v>481004</v>
          </cell>
          <cell r="B681" t="str">
            <v>1015</v>
          </cell>
          <cell r="C681">
            <v>-14867.53</v>
          </cell>
          <cell r="D681" t="str">
            <v>203</v>
          </cell>
          <cell r="E681" t="str">
            <v>407</v>
          </cell>
          <cell r="F681">
            <v>0</v>
          </cell>
          <cell r="G681">
            <v>1</v>
          </cell>
          <cell r="H681" t="str">
            <v>2010-01-31</v>
          </cell>
        </row>
        <row r="682">
          <cell r="A682" t="str">
            <v>480000</v>
          </cell>
          <cell r="B682" t="str">
            <v>1015</v>
          </cell>
          <cell r="C682">
            <v>-10344825.92</v>
          </cell>
          <cell r="D682" t="str">
            <v>203</v>
          </cell>
          <cell r="E682" t="str">
            <v>407</v>
          </cell>
          <cell r="F682">
            <v>0</v>
          </cell>
          <cell r="G682">
            <v>2</v>
          </cell>
          <cell r="H682" t="str">
            <v>2010-02-28</v>
          </cell>
        </row>
        <row r="683">
          <cell r="A683" t="str">
            <v>480000</v>
          </cell>
          <cell r="B683" t="str">
            <v>1015</v>
          </cell>
          <cell r="C683">
            <v>-10220.76</v>
          </cell>
          <cell r="D683" t="str">
            <v>203</v>
          </cell>
          <cell r="E683" t="str">
            <v>407</v>
          </cell>
          <cell r="F683">
            <v>0</v>
          </cell>
          <cell r="G683">
            <v>4</v>
          </cell>
          <cell r="H683" t="str">
            <v>2010-04-30</v>
          </cell>
        </row>
        <row r="684">
          <cell r="A684" t="str">
            <v>480000</v>
          </cell>
          <cell r="B684" t="str">
            <v>1015</v>
          </cell>
          <cell r="C684">
            <v>-4525.74</v>
          </cell>
          <cell r="D684" t="str">
            <v>203</v>
          </cell>
          <cell r="E684" t="str">
            <v>407</v>
          </cell>
          <cell r="F684">
            <v>0</v>
          </cell>
          <cell r="G684">
            <v>5</v>
          </cell>
          <cell r="H684" t="str">
            <v>2010-05-31</v>
          </cell>
        </row>
        <row r="685">
          <cell r="A685" t="str">
            <v>480001</v>
          </cell>
          <cell r="B685" t="str">
            <v>1015</v>
          </cell>
          <cell r="C685">
            <v>-583.19000000000005</v>
          </cell>
          <cell r="D685" t="str">
            <v>203</v>
          </cell>
          <cell r="E685" t="str">
            <v>407</v>
          </cell>
          <cell r="F685">
            <v>0</v>
          </cell>
          <cell r="G685">
            <v>8</v>
          </cell>
          <cell r="H685" t="str">
            <v>2009-08-31</v>
          </cell>
        </row>
        <row r="686">
          <cell r="A686" t="str">
            <v>480001</v>
          </cell>
          <cell r="B686" t="str">
            <v>1015</v>
          </cell>
          <cell r="C686">
            <v>-3469799.54</v>
          </cell>
          <cell r="D686" t="str">
            <v>203</v>
          </cell>
          <cell r="E686" t="str">
            <v>407</v>
          </cell>
          <cell r="F686">
            <v>0</v>
          </cell>
          <cell r="G686">
            <v>11</v>
          </cell>
          <cell r="H686" t="str">
            <v>2009-11-30</v>
          </cell>
        </row>
        <row r="687">
          <cell r="A687" t="str">
            <v>480001</v>
          </cell>
          <cell r="B687" t="str">
            <v>1015</v>
          </cell>
          <cell r="C687">
            <v>-3343.15</v>
          </cell>
          <cell r="D687" t="str">
            <v>203</v>
          </cell>
          <cell r="E687" t="str">
            <v>407</v>
          </cell>
          <cell r="F687">
            <v>0</v>
          </cell>
          <cell r="G687">
            <v>12</v>
          </cell>
          <cell r="H687" t="str">
            <v>2009-12-31</v>
          </cell>
        </row>
        <row r="688">
          <cell r="A688" t="str">
            <v>480001</v>
          </cell>
          <cell r="B688" t="str">
            <v>1015</v>
          </cell>
          <cell r="C688">
            <v>3343126</v>
          </cell>
          <cell r="D688" t="str">
            <v>203</v>
          </cell>
          <cell r="E688" t="str">
            <v>407</v>
          </cell>
          <cell r="F688">
            <v>0</v>
          </cell>
          <cell r="G688">
            <v>4</v>
          </cell>
          <cell r="H688" t="str">
            <v>2010-04-30</v>
          </cell>
        </row>
        <row r="689">
          <cell r="A689" t="str">
            <v>480001</v>
          </cell>
          <cell r="B689" t="str">
            <v>1015</v>
          </cell>
          <cell r="C689">
            <v>87</v>
          </cell>
          <cell r="D689" t="str">
            <v>203</v>
          </cell>
          <cell r="E689" t="str">
            <v>407</v>
          </cell>
          <cell r="F689">
            <v>0</v>
          </cell>
          <cell r="G689">
            <v>5</v>
          </cell>
          <cell r="H689" t="str">
            <v>2010-05-31</v>
          </cell>
        </row>
        <row r="690">
          <cell r="A690" t="str">
            <v>480000</v>
          </cell>
          <cell r="B690" t="str">
            <v>1015</v>
          </cell>
          <cell r="C690">
            <v>-1081688.79</v>
          </cell>
          <cell r="D690" t="str">
            <v>203</v>
          </cell>
          <cell r="E690" t="str">
            <v>407</v>
          </cell>
          <cell r="F690">
            <v>0</v>
          </cell>
          <cell r="G690">
            <v>7</v>
          </cell>
          <cell r="H690" t="str">
            <v>2009-07-31</v>
          </cell>
        </row>
        <row r="691">
          <cell r="A691" t="str">
            <v>481004</v>
          </cell>
          <cell r="B691" t="str">
            <v>1015</v>
          </cell>
          <cell r="C691">
            <v>-704.75</v>
          </cell>
          <cell r="D691" t="str">
            <v>203</v>
          </cell>
          <cell r="E691" t="str">
            <v>407</v>
          </cell>
          <cell r="F691">
            <v>0</v>
          </cell>
          <cell r="G691">
            <v>8</v>
          </cell>
          <cell r="H691" t="str">
            <v>2009-08-31</v>
          </cell>
        </row>
        <row r="692">
          <cell r="A692" t="str">
            <v>481004</v>
          </cell>
          <cell r="B692" t="str">
            <v>1015</v>
          </cell>
          <cell r="C692">
            <v>-323562.2</v>
          </cell>
          <cell r="D692" t="str">
            <v>203</v>
          </cell>
          <cell r="E692" t="str">
            <v>407</v>
          </cell>
          <cell r="F692">
            <v>0</v>
          </cell>
          <cell r="G692">
            <v>9</v>
          </cell>
          <cell r="H692" t="str">
            <v>2009-09-30</v>
          </cell>
        </row>
        <row r="693">
          <cell r="A693" t="str">
            <v>481004</v>
          </cell>
          <cell r="B693" t="str">
            <v>1015</v>
          </cell>
          <cell r="C693">
            <v>-573792.75</v>
          </cell>
          <cell r="D693" t="str">
            <v>203</v>
          </cell>
          <cell r="E693" t="str">
            <v>407</v>
          </cell>
          <cell r="F693">
            <v>0</v>
          </cell>
          <cell r="G693">
            <v>10</v>
          </cell>
          <cell r="H693" t="str">
            <v>2009-10-31</v>
          </cell>
        </row>
        <row r="694">
          <cell r="A694" t="str">
            <v>480000</v>
          </cell>
          <cell r="B694" t="str">
            <v>1015</v>
          </cell>
          <cell r="C694">
            <v>-1585776.72</v>
          </cell>
          <cell r="D694" t="str">
            <v>203</v>
          </cell>
          <cell r="E694" t="str">
            <v>407</v>
          </cell>
          <cell r="F694">
            <v>0</v>
          </cell>
          <cell r="G694">
            <v>10</v>
          </cell>
          <cell r="H694" t="str">
            <v>2009-10-31</v>
          </cell>
        </row>
        <row r="695">
          <cell r="A695" t="str">
            <v>481004</v>
          </cell>
          <cell r="B695" t="str">
            <v>1015</v>
          </cell>
          <cell r="C695">
            <v>-1532042.17</v>
          </cell>
          <cell r="D695" t="str">
            <v>203</v>
          </cell>
          <cell r="E695" t="str">
            <v>407</v>
          </cell>
          <cell r="F695">
            <v>0</v>
          </cell>
          <cell r="G695">
            <v>11</v>
          </cell>
          <cell r="H695" t="str">
            <v>2009-11-30</v>
          </cell>
        </row>
        <row r="696">
          <cell r="A696" t="str">
            <v>481004</v>
          </cell>
          <cell r="B696" t="str">
            <v>1015</v>
          </cell>
          <cell r="C696">
            <v>-5133.71</v>
          </cell>
          <cell r="D696" t="str">
            <v>203</v>
          </cell>
          <cell r="E696" t="str">
            <v>407</v>
          </cell>
          <cell r="F696">
            <v>0</v>
          </cell>
          <cell r="G696">
            <v>11</v>
          </cell>
          <cell r="H696" t="str">
            <v>2009-11-30</v>
          </cell>
        </row>
        <row r="697">
          <cell r="A697" t="str">
            <v>480000</v>
          </cell>
          <cell r="B697" t="str">
            <v>1015</v>
          </cell>
          <cell r="C697">
            <v>-21666.85</v>
          </cell>
          <cell r="D697" t="str">
            <v>203</v>
          </cell>
          <cell r="E697" t="str">
            <v>407</v>
          </cell>
          <cell r="F697">
            <v>0</v>
          </cell>
          <cell r="G697">
            <v>12</v>
          </cell>
          <cell r="H697" t="str">
            <v>2009-12-31</v>
          </cell>
        </row>
        <row r="698">
          <cell r="A698" t="str">
            <v>481004</v>
          </cell>
          <cell r="B698" t="str">
            <v>1015</v>
          </cell>
          <cell r="C698">
            <v>-4604506.1900000004</v>
          </cell>
          <cell r="D698" t="str">
            <v>203</v>
          </cell>
          <cell r="E698" t="str">
            <v>407</v>
          </cell>
          <cell r="F698">
            <v>0</v>
          </cell>
          <cell r="G698">
            <v>2</v>
          </cell>
          <cell r="H698" t="str">
            <v>2010-02-28</v>
          </cell>
        </row>
        <row r="699">
          <cell r="A699" t="str">
            <v>481000</v>
          </cell>
          <cell r="B699" t="str">
            <v>1015</v>
          </cell>
          <cell r="C699">
            <v>-787.93</v>
          </cell>
          <cell r="D699" t="str">
            <v>203</v>
          </cell>
          <cell r="E699" t="str">
            <v>407</v>
          </cell>
          <cell r="F699">
            <v>0</v>
          </cell>
          <cell r="G699">
            <v>5</v>
          </cell>
          <cell r="H699" t="str">
            <v>2010-05-31</v>
          </cell>
        </row>
        <row r="700">
          <cell r="A700" t="str">
            <v>480000</v>
          </cell>
          <cell r="B700" t="str">
            <v>1015</v>
          </cell>
          <cell r="C700">
            <v>-2984.2</v>
          </cell>
          <cell r="D700" t="str">
            <v>203</v>
          </cell>
          <cell r="E700" t="str">
            <v>407</v>
          </cell>
          <cell r="F700">
            <v>0</v>
          </cell>
          <cell r="G700">
            <v>6</v>
          </cell>
          <cell r="H700" t="str">
            <v>2010-06-30</v>
          </cell>
        </row>
        <row r="701">
          <cell r="A701" t="str">
            <v>481006</v>
          </cell>
          <cell r="B701" t="str">
            <v>1015</v>
          </cell>
          <cell r="C701">
            <v>28.38</v>
          </cell>
          <cell r="D701" t="str">
            <v>203</v>
          </cell>
          <cell r="E701" t="str">
            <v>407</v>
          </cell>
          <cell r="F701">
            <v>0</v>
          </cell>
          <cell r="G701">
            <v>7</v>
          </cell>
          <cell r="H701" t="str">
            <v>2009-07-31</v>
          </cell>
        </row>
        <row r="702">
          <cell r="A702" t="str">
            <v>480001</v>
          </cell>
          <cell r="B702" t="str">
            <v>1015</v>
          </cell>
          <cell r="C702">
            <v>15455.49</v>
          </cell>
          <cell r="D702" t="str">
            <v>203</v>
          </cell>
          <cell r="E702" t="str">
            <v>407</v>
          </cell>
          <cell r="F702">
            <v>0</v>
          </cell>
          <cell r="G702">
            <v>9</v>
          </cell>
          <cell r="H702" t="str">
            <v>2009-09-30</v>
          </cell>
        </row>
        <row r="703">
          <cell r="A703" t="str">
            <v>481006</v>
          </cell>
          <cell r="B703" t="str">
            <v>1015</v>
          </cell>
          <cell r="C703">
            <v>-1416764.83</v>
          </cell>
          <cell r="D703" t="str">
            <v>203</v>
          </cell>
          <cell r="E703" t="str">
            <v>407</v>
          </cell>
          <cell r="F703">
            <v>0</v>
          </cell>
          <cell r="G703">
            <v>11</v>
          </cell>
          <cell r="H703" t="str">
            <v>2009-11-30</v>
          </cell>
        </row>
        <row r="704">
          <cell r="A704" t="str">
            <v>481006</v>
          </cell>
          <cell r="B704" t="str">
            <v>1015</v>
          </cell>
          <cell r="C704">
            <v>-2224.02</v>
          </cell>
          <cell r="D704" t="str">
            <v>203</v>
          </cell>
          <cell r="E704" t="str">
            <v>407</v>
          </cell>
          <cell r="F704">
            <v>0</v>
          </cell>
          <cell r="G704">
            <v>12</v>
          </cell>
          <cell r="H704" t="str">
            <v>2009-12-31</v>
          </cell>
        </row>
        <row r="705">
          <cell r="A705" t="str">
            <v>481006</v>
          </cell>
          <cell r="B705" t="str">
            <v>1015</v>
          </cell>
          <cell r="C705">
            <v>1364048</v>
          </cell>
          <cell r="D705" t="str">
            <v>203</v>
          </cell>
          <cell r="E705" t="str">
            <v>407</v>
          </cell>
          <cell r="F705">
            <v>0</v>
          </cell>
          <cell r="G705">
            <v>4</v>
          </cell>
          <cell r="H705" t="str">
            <v>2010-04-30</v>
          </cell>
        </row>
        <row r="706">
          <cell r="A706" t="str">
            <v>481006</v>
          </cell>
          <cell r="B706" t="str">
            <v>1015</v>
          </cell>
          <cell r="C706">
            <v>402064</v>
          </cell>
          <cell r="D706" t="str">
            <v>203</v>
          </cell>
          <cell r="E706" t="str">
            <v>407</v>
          </cell>
          <cell r="F706">
            <v>0</v>
          </cell>
          <cell r="G706">
            <v>6</v>
          </cell>
          <cell r="H706" t="str">
            <v>2010-06-30</v>
          </cell>
        </row>
        <row r="707">
          <cell r="A707" t="str">
            <v>481004</v>
          </cell>
          <cell r="B707" t="str">
            <v>1015</v>
          </cell>
          <cell r="C707">
            <v>-1515</v>
          </cell>
          <cell r="D707" t="str">
            <v>203</v>
          </cell>
          <cell r="E707" t="str">
            <v>407</v>
          </cell>
          <cell r="F707">
            <v>0</v>
          </cell>
          <cell r="G707">
            <v>10</v>
          </cell>
          <cell r="H707" t="str">
            <v>2009-10-31</v>
          </cell>
        </row>
        <row r="708">
          <cell r="A708" t="str">
            <v>480000</v>
          </cell>
          <cell r="B708" t="str">
            <v>1015</v>
          </cell>
          <cell r="C708">
            <v>-3847350.46</v>
          </cell>
          <cell r="D708" t="str">
            <v>203</v>
          </cell>
          <cell r="E708" t="str">
            <v>407</v>
          </cell>
          <cell r="F708">
            <v>0</v>
          </cell>
          <cell r="G708">
            <v>11</v>
          </cell>
          <cell r="H708" t="str">
            <v>2009-11-30</v>
          </cell>
        </row>
        <row r="709">
          <cell r="A709" t="str">
            <v>480000</v>
          </cell>
          <cell r="B709" t="str">
            <v>1015</v>
          </cell>
          <cell r="C709">
            <v>-10491.5</v>
          </cell>
          <cell r="D709" t="str">
            <v>203</v>
          </cell>
          <cell r="E709" t="str">
            <v>407</v>
          </cell>
          <cell r="F709">
            <v>0</v>
          </cell>
          <cell r="G709">
            <v>11</v>
          </cell>
          <cell r="H709" t="str">
            <v>2009-11-30</v>
          </cell>
        </row>
        <row r="710">
          <cell r="A710" t="str">
            <v>480000</v>
          </cell>
          <cell r="B710" t="str">
            <v>1015</v>
          </cell>
          <cell r="C710">
            <v>-11664313.66</v>
          </cell>
          <cell r="D710" t="str">
            <v>203</v>
          </cell>
          <cell r="E710" t="str">
            <v>407</v>
          </cell>
          <cell r="F710">
            <v>0</v>
          </cell>
          <cell r="G710">
            <v>12</v>
          </cell>
          <cell r="H710" t="str">
            <v>2009-12-31</v>
          </cell>
        </row>
        <row r="711">
          <cell r="A711" t="str">
            <v>481004</v>
          </cell>
          <cell r="B711" t="str">
            <v>1015</v>
          </cell>
          <cell r="C711">
            <v>-4148603.02</v>
          </cell>
          <cell r="D711" t="str">
            <v>203</v>
          </cell>
          <cell r="E711" t="str">
            <v>407</v>
          </cell>
          <cell r="F711">
            <v>0</v>
          </cell>
          <cell r="G711">
            <v>3</v>
          </cell>
          <cell r="H711" t="str">
            <v>2010-03-31</v>
          </cell>
        </row>
        <row r="712">
          <cell r="A712" t="str">
            <v>480000</v>
          </cell>
          <cell r="B712" t="str">
            <v>1015</v>
          </cell>
          <cell r="C712">
            <v>-2421567.9700000002</v>
          </cell>
          <cell r="D712" t="str">
            <v>203</v>
          </cell>
          <cell r="E712" t="str">
            <v>407</v>
          </cell>
          <cell r="F712">
            <v>0</v>
          </cell>
          <cell r="G712">
            <v>5</v>
          </cell>
          <cell r="H712" t="str">
            <v>2010-05-31</v>
          </cell>
        </row>
        <row r="713">
          <cell r="A713" t="str">
            <v>481004</v>
          </cell>
          <cell r="B713" t="str">
            <v>1015</v>
          </cell>
          <cell r="C713">
            <v>-2016.18</v>
          </cell>
          <cell r="D713" t="str">
            <v>203</v>
          </cell>
          <cell r="E713" t="str">
            <v>407</v>
          </cell>
          <cell r="F713">
            <v>0</v>
          </cell>
          <cell r="G713">
            <v>5</v>
          </cell>
          <cell r="H713" t="str">
            <v>2010-05-31</v>
          </cell>
        </row>
        <row r="714">
          <cell r="A714" t="str">
            <v>480000</v>
          </cell>
          <cell r="B714" t="str">
            <v>1015</v>
          </cell>
          <cell r="C714">
            <v>0</v>
          </cell>
          <cell r="D714" t="str">
            <v>203</v>
          </cell>
          <cell r="E714" t="str">
            <v>408</v>
          </cell>
          <cell r="F714">
            <v>0</v>
          </cell>
          <cell r="G714">
            <v>9</v>
          </cell>
          <cell r="H714" t="str">
            <v>2009-09-30</v>
          </cell>
        </row>
        <row r="715">
          <cell r="A715" t="str">
            <v>481005</v>
          </cell>
          <cell r="B715" t="str">
            <v>1015</v>
          </cell>
          <cell r="C715">
            <v>-22546</v>
          </cell>
          <cell r="D715" t="str">
            <v>203</v>
          </cell>
          <cell r="E715" t="str">
            <v>411</v>
          </cell>
          <cell r="F715">
            <v>0</v>
          </cell>
          <cell r="G715">
            <v>7</v>
          </cell>
          <cell r="H715" t="str">
            <v>2009-07-31</v>
          </cell>
        </row>
        <row r="716">
          <cell r="A716" t="str">
            <v>481005</v>
          </cell>
          <cell r="B716" t="str">
            <v>1015</v>
          </cell>
          <cell r="C716">
            <v>-24246</v>
          </cell>
          <cell r="D716" t="str">
            <v>203</v>
          </cell>
          <cell r="E716" t="str">
            <v>411</v>
          </cell>
          <cell r="F716">
            <v>0</v>
          </cell>
          <cell r="G716">
            <v>10</v>
          </cell>
          <cell r="H716" t="str">
            <v>2009-10-31</v>
          </cell>
        </row>
        <row r="717">
          <cell r="A717" t="str">
            <v>481005</v>
          </cell>
          <cell r="B717" t="str">
            <v>1015</v>
          </cell>
          <cell r="C717">
            <v>-26963</v>
          </cell>
          <cell r="D717" t="str">
            <v>203</v>
          </cell>
          <cell r="E717" t="str">
            <v>411</v>
          </cell>
          <cell r="F717">
            <v>0</v>
          </cell>
          <cell r="G717">
            <v>11</v>
          </cell>
          <cell r="H717" t="str">
            <v>2009-11-30</v>
          </cell>
        </row>
        <row r="718">
          <cell r="A718" t="str">
            <v>481002</v>
          </cell>
          <cell r="B718" t="str">
            <v>1015</v>
          </cell>
          <cell r="C718">
            <v>-9463</v>
          </cell>
          <cell r="D718" t="str">
            <v>203</v>
          </cell>
          <cell r="E718" t="str">
            <v>411</v>
          </cell>
          <cell r="F718">
            <v>0</v>
          </cell>
          <cell r="G718">
            <v>8</v>
          </cell>
          <cell r="H718" t="str">
            <v>2009-08-31</v>
          </cell>
        </row>
        <row r="719">
          <cell r="A719" t="str">
            <v>481002</v>
          </cell>
          <cell r="B719" t="str">
            <v>1015</v>
          </cell>
          <cell r="C719">
            <v>-7996</v>
          </cell>
          <cell r="D719" t="str">
            <v>203</v>
          </cell>
          <cell r="E719" t="str">
            <v>411</v>
          </cell>
          <cell r="F719">
            <v>0</v>
          </cell>
          <cell r="G719">
            <v>9</v>
          </cell>
          <cell r="H719" t="str">
            <v>2009-09-30</v>
          </cell>
        </row>
        <row r="720">
          <cell r="A720" t="str">
            <v>481002</v>
          </cell>
          <cell r="B720" t="str">
            <v>1015</v>
          </cell>
          <cell r="C720">
            <v>-5800</v>
          </cell>
          <cell r="D720" t="str">
            <v>203</v>
          </cell>
          <cell r="E720" t="str">
            <v>411</v>
          </cell>
          <cell r="F720">
            <v>0</v>
          </cell>
          <cell r="G720">
            <v>11</v>
          </cell>
          <cell r="H720" t="str">
            <v>2009-11-30</v>
          </cell>
        </row>
        <row r="721">
          <cell r="A721" t="str">
            <v>481005</v>
          </cell>
          <cell r="B721" t="str">
            <v>1015</v>
          </cell>
          <cell r="C721">
            <v>-16151.13</v>
          </cell>
          <cell r="D721" t="str">
            <v>203</v>
          </cell>
          <cell r="E721" t="str">
            <v>411</v>
          </cell>
          <cell r="F721">
            <v>0</v>
          </cell>
          <cell r="G721">
            <v>3</v>
          </cell>
          <cell r="H721" t="str">
            <v>2010-03-31</v>
          </cell>
        </row>
        <row r="722">
          <cell r="A722" t="str">
            <v>481005</v>
          </cell>
          <cell r="B722" t="str">
            <v>1015</v>
          </cell>
          <cell r="C722">
            <v>-28199</v>
          </cell>
          <cell r="D722" t="str">
            <v>203</v>
          </cell>
          <cell r="E722" t="str">
            <v>411</v>
          </cell>
          <cell r="F722">
            <v>0</v>
          </cell>
          <cell r="G722">
            <v>12</v>
          </cell>
          <cell r="H722" t="str">
            <v>2009-12-31</v>
          </cell>
        </row>
        <row r="723">
          <cell r="A723" t="str">
            <v>481005</v>
          </cell>
          <cell r="B723" t="str">
            <v>1015</v>
          </cell>
          <cell r="C723">
            <v>-2856.16</v>
          </cell>
          <cell r="D723" t="str">
            <v>203</v>
          </cell>
          <cell r="E723" t="str">
            <v>411</v>
          </cell>
          <cell r="F723">
            <v>0</v>
          </cell>
          <cell r="G723">
            <v>6</v>
          </cell>
          <cell r="H723" t="str">
            <v>2010-06-30</v>
          </cell>
        </row>
        <row r="724">
          <cell r="A724" t="str">
            <v>481002</v>
          </cell>
          <cell r="B724" t="str">
            <v>1015</v>
          </cell>
          <cell r="C724">
            <v>-6725</v>
          </cell>
          <cell r="D724" t="str">
            <v>203</v>
          </cell>
          <cell r="E724" t="str">
            <v>411</v>
          </cell>
          <cell r="F724">
            <v>0</v>
          </cell>
          <cell r="G724">
            <v>7</v>
          </cell>
          <cell r="H724" t="str">
            <v>2009-07-31</v>
          </cell>
        </row>
        <row r="725">
          <cell r="A725" t="str">
            <v>481005</v>
          </cell>
          <cell r="B725" t="str">
            <v>1015</v>
          </cell>
          <cell r="C725">
            <v>-237</v>
          </cell>
          <cell r="D725" t="str">
            <v>203</v>
          </cell>
          <cell r="E725" t="str">
            <v>411</v>
          </cell>
          <cell r="F725">
            <v>0</v>
          </cell>
          <cell r="G725">
            <v>11</v>
          </cell>
          <cell r="H725" t="str">
            <v>2009-11-30</v>
          </cell>
        </row>
        <row r="726">
          <cell r="A726" t="str">
            <v>481005</v>
          </cell>
          <cell r="B726" t="str">
            <v>1015</v>
          </cell>
          <cell r="C726">
            <v>-288.95999999999998</v>
          </cell>
          <cell r="D726" t="str">
            <v>203</v>
          </cell>
          <cell r="E726" t="str">
            <v>411</v>
          </cell>
          <cell r="F726">
            <v>0</v>
          </cell>
          <cell r="G726">
            <v>3</v>
          </cell>
          <cell r="H726" t="str">
            <v>2010-03-31</v>
          </cell>
        </row>
        <row r="727">
          <cell r="A727" t="str">
            <v>481002</v>
          </cell>
          <cell r="B727" t="str">
            <v>1015</v>
          </cell>
          <cell r="C727">
            <v>-21312.959999999999</v>
          </cell>
          <cell r="D727" t="str">
            <v>203</v>
          </cell>
          <cell r="E727" t="str">
            <v>411</v>
          </cell>
          <cell r="F727">
            <v>0</v>
          </cell>
          <cell r="G727">
            <v>5</v>
          </cell>
          <cell r="H727" t="str">
            <v>2010-05-31</v>
          </cell>
        </row>
        <row r="728">
          <cell r="A728" t="str">
            <v>481005</v>
          </cell>
          <cell r="B728" t="str">
            <v>1015</v>
          </cell>
          <cell r="C728">
            <v>-26124</v>
          </cell>
          <cell r="D728" t="str">
            <v>203</v>
          </cell>
          <cell r="E728" t="str">
            <v>411</v>
          </cell>
          <cell r="F728">
            <v>0</v>
          </cell>
          <cell r="G728">
            <v>8</v>
          </cell>
          <cell r="H728" t="str">
            <v>2009-08-31</v>
          </cell>
        </row>
        <row r="729">
          <cell r="A729" t="str">
            <v>481002</v>
          </cell>
          <cell r="B729" t="str">
            <v>1015</v>
          </cell>
          <cell r="C729">
            <v>-3382</v>
          </cell>
          <cell r="D729" t="str">
            <v>203</v>
          </cell>
          <cell r="E729" t="str">
            <v>411</v>
          </cell>
          <cell r="F729">
            <v>0</v>
          </cell>
          <cell r="G729">
            <v>12</v>
          </cell>
          <cell r="H729" t="str">
            <v>2009-12-31</v>
          </cell>
        </row>
        <row r="730">
          <cell r="A730" t="str">
            <v>481002</v>
          </cell>
          <cell r="B730" t="str">
            <v>1015</v>
          </cell>
          <cell r="C730">
            <v>-15120.59</v>
          </cell>
          <cell r="D730" t="str">
            <v>203</v>
          </cell>
          <cell r="E730" t="str">
            <v>411</v>
          </cell>
          <cell r="F730">
            <v>0</v>
          </cell>
          <cell r="G730">
            <v>1</v>
          </cell>
          <cell r="H730" t="str">
            <v>2010-01-31</v>
          </cell>
        </row>
        <row r="731">
          <cell r="A731" t="str">
            <v>481005</v>
          </cell>
          <cell r="B731" t="str">
            <v>1015</v>
          </cell>
          <cell r="C731">
            <v>-228.76</v>
          </cell>
          <cell r="D731" t="str">
            <v>203</v>
          </cell>
          <cell r="E731" t="str">
            <v>411</v>
          </cell>
          <cell r="F731">
            <v>0</v>
          </cell>
          <cell r="G731">
            <v>4</v>
          </cell>
          <cell r="H731" t="str">
            <v>2010-04-30</v>
          </cell>
        </row>
        <row r="732">
          <cell r="A732" t="str">
            <v>481002</v>
          </cell>
          <cell r="B732" t="str">
            <v>1015</v>
          </cell>
          <cell r="C732">
            <v>-21906.17</v>
          </cell>
          <cell r="D732" t="str">
            <v>203</v>
          </cell>
          <cell r="E732" t="str">
            <v>411</v>
          </cell>
          <cell r="F732">
            <v>0</v>
          </cell>
          <cell r="G732">
            <v>4</v>
          </cell>
          <cell r="H732" t="str">
            <v>2010-04-30</v>
          </cell>
        </row>
        <row r="733">
          <cell r="A733" t="str">
            <v>481005</v>
          </cell>
          <cell r="B733" t="str">
            <v>1015</v>
          </cell>
          <cell r="C733">
            <v>-10998.25</v>
          </cell>
          <cell r="D733" t="str">
            <v>203</v>
          </cell>
          <cell r="E733" t="str">
            <v>411</v>
          </cell>
          <cell r="F733">
            <v>0</v>
          </cell>
          <cell r="G733">
            <v>5</v>
          </cell>
          <cell r="H733" t="str">
            <v>2010-05-31</v>
          </cell>
        </row>
        <row r="734">
          <cell r="A734" t="str">
            <v>481005</v>
          </cell>
          <cell r="B734" t="str">
            <v>1015</v>
          </cell>
          <cell r="C734">
            <v>260.77999999999997</v>
          </cell>
          <cell r="D734" t="str">
            <v>203</v>
          </cell>
          <cell r="E734" t="str">
            <v>411</v>
          </cell>
          <cell r="F734">
            <v>0</v>
          </cell>
          <cell r="G734">
            <v>6</v>
          </cell>
          <cell r="H734" t="str">
            <v>2010-06-30</v>
          </cell>
        </row>
        <row r="735">
          <cell r="A735" t="str">
            <v>481005</v>
          </cell>
          <cell r="B735" t="str">
            <v>1015</v>
          </cell>
          <cell r="C735">
            <v>-26038</v>
          </cell>
          <cell r="D735" t="str">
            <v>203</v>
          </cell>
          <cell r="E735" t="str">
            <v>411</v>
          </cell>
          <cell r="F735">
            <v>0</v>
          </cell>
          <cell r="G735">
            <v>9</v>
          </cell>
          <cell r="H735" t="str">
            <v>2009-09-30</v>
          </cell>
        </row>
        <row r="736">
          <cell r="A736" t="str">
            <v>481005</v>
          </cell>
          <cell r="B736" t="str">
            <v>1015</v>
          </cell>
          <cell r="C736">
            <v>0</v>
          </cell>
          <cell r="D736" t="str">
            <v>203</v>
          </cell>
          <cell r="E736" t="str">
            <v>411</v>
          </cell>
          <cell r="F736">
            <v>0</v>
          </cell>
          <cell r="G736">
            <v>9</v>
          </cell>
          <cell r="H736" t="str">
            <v>2009-09-30</v>
          </cell>
        </row>
        <row r="737">
          <cell r="A737" t="str">
            <v>481002</v>
          </cell>
          <cell r="B737" t="str">
            <v>1015</v>
          </cell>
          <cell r="C737">
            <v>-7063</v>
          </cell>
          <cell r="D737" t="str">
            <v>203</v>
          </cell>
          <cell r="E737" t="str">
            <v>411</v>
          </cell>
          <cell r="F737">
            <v>0</v>
          </cell>
          <cell r="G737">
            <v>10</v>
          </cell>
          <cell r="H737" t="str">
            <v>2009-10-31</v>
          </cell>
        </row>
        <row r="738">
          <cell r="A738" t="str">
            <v>481005</v>
          </cell>
          <cell r="B738" t="str">
            <v>1015</v>
          </cell>
          <cell r="C738">
            <v>-348</v>
          </cell>
          <cell r="D738" t="str">
            <v>203</v>
          </cell>
          <cell r="E738" t="str">
            <v>411</v>
          </cell>
          <cell r="F738">
            <v>0</v>
          </cell>
          <cell r="G738">
            <v>12</v>
          </cell>
          <cell r="H738" t="str">
            <v>2009-12-31</v>
          </cell>
        </row>
        <row r="739">
          <cell r="A739" t="str">
            <v>481005</v>
          </cell>
          <cell r="B739" t="str">
            <v>1015</v>
          </cell>
          <cell r="C739">
            <v>-14205.13</v>
          </cell>
          <cell r="D739" t="str">
            <v>203</v>
          </cell>
          <cell r="E739" t="str">
            <v>411</v>
          </cell>
          <cell r="F739">
            <v>0</v>
          </cell>
          <cell r="G739">
            <v>2</v>
          </cell>
          <cell r="H739" t="str">
            <v>2010-02-28</v>
          </cell>
        </row>
        <row r="740">
          <cell r="A740" t="str">
            <v>481002</v>
          </cell>
          <cell r="B740" t="str">
            <v>1015</v>
          </cell>
          <cell r="C740">
            <v>-16973.39</v>
          </cell>
          <cell r="D740" t="str">
            <v>203</v>
          </cell>
          <cell r="E740" t="str">
            <v>411</v>
          </cell>
          <cell r="F740">
            <v>0</v>
          </cell>
          <cell r="G740">
            <v>3</v>
          </cell>
          <cell r="H740" t="str">
            <v>2010-03-31</v>
          </cell>
        </row>
        <row r="741">
          <cell r="A741" t="str">
            <v>481005</v>
          </cell>
          <cell r="B741" t="str">
            <v>1015</v>
          </cell>
          <cell r="C741">
            <v>-84.51</v>
          </cell>
          <cell r="D741" t="str">
            <v>203</v>
          </cell>
          <cell r="E741" t="str">
            <v>411</v>
          </cell>
          <cell r="F741">
            <v>0</v>
          </cell>
          <cell r="G741">
            <v>5</v>
          </cell>
          <cell r="H741" t="str">
            <v>2010-05-31</v>
          </cell>
        </row>
        <row r="742">
          <cell r="A742" t="str">
            <v>481005</v>
          </cell>
          <cell r="B742" t="str">
            <v>1015</v>
          </cell>
          <cell r="C742">
            <v>0</v>
          </cell>
          <cell r="D742" t="str">
            <v>203</v>
          </cell>
          <cell r="E742" t="str">
            <v>411</v>
          </cell>
          <cell r="F742">
            <v>0</v>
          </cell>
          <cell r="G742">
            <v>8</v>
          </cell>
          <cell r="H742" t="str">
            <v>2009-08-31</v>
          </cell>
        </row>
        <row r="743">
          <cell r="A743" t="str">
            <v>481005</v>
          </cell>
          <cell r="B743" t="str">
            <v>1015</v>
          </cell>
          <cell r="C743">
            <v>-642.82000000000005</v>
          </cell>
          <cell r="D743" t="str">
            <v>203</v>
          </cell>
          <cell r="E743" t="str">
            <v>411</v>
          </cell>
          <cell r="F743">
            <v>0</v>
          </cell>
          <cell r="G743">
            <v>1</v>
          </cell>
          <cell r="H743" t="str">
            <v>2010-01-31</v>
          </cell>
        </row>
        <row r="744">
          <cell r="A744" t="str">
            <v>481005</v>
          </cell>
          <cell r="B744" t="str">
            <v>1015</v>
          </cell>
          <cell r="C744">
            <v>-288.20999999999998</v>
          </cell>
          <cell r="D744" t="str">
            <v>203</v>
          </cell>
          <cell r="E744" t="str">
            <v>411</v>
          </cell>
          <cell r="F744">
            <v>0</v>
          </cell>
          <cell r="G744">
            <v>2</v>
          </cell>
          <cell r="H744" t="str">
            <v>2010-02-28</v>
          </cell>
        </row>
        <row r="745">
          <cell r="A745" t="str">
            <v>481002</v>
          </cell>
          <cell r="B745" t="str">
            <v>1015</v>
          </cell>
          <cell r="C745">
            <v>-13871.73</v>
          </cell>
          <cell r="D745" t="str">
            <v>203</v>
          </cell>
          <cell r="E745" t="str">
            <v>411</v>
          </cell>
          <cell r="F745">
            <v>0</v>
          </cell>
          <cell r="G745">
            <v>2</v>
          </cell>
          <cell r="H745" t="str">
            <v>2010-02-28</v>
          </cell>
        </row>
        <row r="746">
          <cell r="A746" t="str">
            <v>481005</v>
          </cell>
          <cell r="B746" t="str">
            <v>1015</v>
          </cell>
          <cell r="C746">
            <v>0</v>
          </cell>
          <cell r="D746" t="str">
            <v>203</v>
          </cell>
          <cell r="E746" t="str">
            <v>411</v>
          </cell>
          <cell r="F746">
            <v>0</v>
          </cell>
          <cell r="G746">
            <v>7</v>
          </cell>
          <cell r="H746" t="str">
            <v>2009-07-31</v>
          </cell>
        </row>
        <row r="747">
          <cell r="A747" t="str">
            <v>481005</v>
          </cell>
          <cell r="B747" t="str">
            <v>1015</v>
          </cell>
          <cell r="C747">
            <v>-128</v>
          </cell>
          <cell r="D747" t="str">
            <v>203</v>
          </cell>
          <cell r="E747" t="str">
            <v>411</v>
          </cell>
          <cell r="F747">
            <v>0</v>
          </cell>
          <cell r="G747">
            <v>10</v>
          </cell>
          <cell r="H747" t="str">
            <v>2009-10-31</v>
          </cell>
        </row>
        <row r="748">
          <cell r="A748" t="str">
            <v>481005</v>
          </cell>
          <cell r="B748" t="str">
            <v>1015</v>
          </cell>
          <cell r="C748">
            <v>-27824.21</v>
          </cell>
          <cell r="D748" t="str">
            <v>203</v>
          </cell>
          <cell r="E748" t="str">
            <v>411</v>
          </cell>
          <cell r="F748">
            <v>0</v>
          </cell>
          <cell r="G748">
            <v>1</v>
          </cell>
          <cell r="H748" t="str">
            <v>2010-01-31</v>
          </cell>
        </row>
        <row r="749">
          <cell r="A749" t="str">
            <v>481005</v>
          </cell>
          <cell r="B749" t="str">
            <v>1015</v>
          </cell>
          <cell r="C749">
            <v>-10945.6</v>
          </cell>
          <cell r="D749" t="str">
            <v>203</v>
          </cell>
          <cell r="E749" t="str">
            <v>411</v>
          </cell>
          <cell r="F749">
            <v>0</v>
          </cell>
          <cell r="G749">
            <v>4</v>
          </cell>
          <cell r="H749" t="str">
            <v>2010-04-30</v>
          </cell>
        </row>
        <row r="750">
          <cell r="A750" t="str">
            <v>481002</v>
          </cell>
          <cell r="B750" t="str">
            <v>1015</v>
          </cell>
          <cell r="C750">
            <v>-24366.65</v>
          </cell>
          <cell r="D750" t="str">
            <v>203</v>
          </cell>
          <cell r="E750" t="str">
            <v>411</v>
          </cell>
          <cell r="F750">
            <v>0</v>
          </cell>
          <cell r="G750">
            <v>6</v>
          </cell>
          <cell r="H750" t="str">
            <v>2010-06-30</v>
          </cell>
        </row>
        <row r="751">
          <cell r="A751" t="str">
            <v>489304</v>
          </cell>
          <cell r="B751" t="str">
            <v>1015</v>
          </cell>
          <cell r="C751">
            <v>-54.82</v>
          </cell>
          <cell r="D751" t="str">
            <v>203</v>
          </cell>
          <cell r="E751" t="str">
            <v>416</v>
          </cell>
          <cell r="F751">
            <v>0</v>
          </cell>
          <cell r="G751">
            <v>9</v>
          </cell>
          <cell r="H751" t="str">
            <v>2009-09-30</v>
          </cell>
        </row>
        <row r="752">
          <cell r="A752" t="str">
            <v>489304</v>
          </cell>
          <cell r="B752" t="str">
            <v>1015</v>
          </cell>
          <cell r="C752">
            <v>-126.24</v>
          </cell>
          <cell r="D752" t="str">
            <v>203</v>
          </cell>
          <cell r="E752" t="str">
            <v>416</v>
          </cell>
          <cell r="F752">
            <v>0</v>
          </cell>
          <cell r="G752">
            <v>4</v>
          </cell>
          <cell r="H752" t="str">
            <v>2010-04-30</v>
          </cell>
        </row>
        <row r="753">
          <cell r="A753" t="str">
            <v>489304</v>
          </cell>
          <cell r="B753" t="str">
            <v>1015</v>
          </cell>
          <cell r="C753">
            <v>-49.54</v>
          </cell>
          <cell r="D753" t="str">
            <v>203</v>
          </cell>
          <cell r="E753" t="str">
            <v>416</v>
          </cell>
          <cell r="F753">
            <v>0</v>
          </cell>
          <cell r="G753">
            <v>7</v>
          </cell>
          <cell r="H753" t="str">
            <v>2009-07-31</v>
          </cell>
        </row>
        <row r="754">
          <cell r="A754" t="str">
            <v>489304</v>
          </cell>
          <cell r="B754" t="str">
            <v>1015</v>
          </cell>
          <cell r="C754">
            <v>-130.13999999999999</v>
          </cell>
          <cell r="D754" t="str">
            <v>203</v>
          </cell>
          <cell r="E754" t="str">
            <v>416</v>
          </cell>
          <cell r="F754">
            <v>0</v>
          </cell>
          <cell r="G754">
            <v>11</v>
          </cell>
          <cell r="H754" t="str">
            <v>2009-11-30</v>
          </cell>
        </row>
        <row r="755">
          <cell r="A755" t="str">
            <v>489304</v>
          </cell>
          <cell r="B755" t="str">
            <v>1015</v>
          </cell>
          <cell r="C755">
            <v>-84.76</v>
          </cell>
          <cell r="D755" t="str">
            <v>203</v>
          </cell>
          <cell r="E755" t="str">
            <v>416</v>
          </cell>
          <cell r="F755">
            <v>0</v>
          </cell>
          <cell r="G755">
            <v>5</v>
          </cell>
          <cell r="H755" t="str">
            <v>2010-05-31</v>
          </cell>
        </row>
        <row r="756">
          <cell r="A756" t="str">
            <v>489304</v>
          </cell>
          <cell r="B756" t="str">
            <v>1015</v>
          </cell>
          <cell r="C756">
            <v>-290.83999999999997</v>
          </cell>
          <cell r="D756" t="str">
            <v>203</v>
          </cell>
          <cell r="E756" t="str">
            <v>416</v>
          </cell>
          <cell r="F756">
            <v>0</v>
          </cell>
          <cell r="G756">
            <v>12</v>
          </cell>
          <cell r="H756" t="str">
            <v>2009-12-31</v>
          </cell>
        </row>
        <row r="757">
          <cell r="A757" t="str">
            <v>489304</v>
          </cell>
          <cell r="B757" t="str">
            <v>1015</v>
          </cell>
          <cell r="C757">
            <v>-276.76</v>
          </cell>
          <cell r="D757" t="str">
            <v>203</v>
          </cell>
          <cell r="E757" t="str">
            <v>416</v>
          </cell>
          <cell r="F757">
            <v>0</v>
          </cell>
          <cell r="G757">
            <v>1</v>
          </cell>
          <cell r="H757" t="str">
            <v>2010-01-31</v>
          </cell>
        </row>
        <row r="758">
          <cell r="A758" t="str">
            <v>489304</v>
          </cell>
          <cell r="B758" t="str">
            <v>1015</v>
          </cell>
          <cell r="C758">
            <v>-230.32</v>
          </cell>
          <cell r="D758" t="str">
            <v>203</v>
          </cell>
          <cell r="E758" t="str">
            <v>416</v>
          </cell>
          <cell r="F758">
            <v>0</v>
          </cell>
          <cell r="G758">
            <v>2</v>
          </cell>
          <cell r="H758" t="str">
            <v>2010-02-28</v>
          </cell>
        </row>
        <row r="759">
          <cell r="A759" t="str">
            <v>489304</v>
          </cell>
          <cell r="B759" t="str">
            <v>1015</v>
          </cell>
          <cell r="C759">
            <v>-195.16</v>
          </cell>
          <cell r="D759" t="str">
            <v>203</v>
          </cell>
          <cell r="E759" t="str">
            <v>416</v>
          </cell>
          <cell r="F759">
            <v>0</v>
          </cell>
          <cell r="G759">
            <v>3</v>
          </cell>
          <cell r="H759" t="str">
            <v>2010-03-31</v>
          </cell>
        </row>
        <row r="760">
          <cell r="A760" t="str">
            <v>489304</v>
          </cell>
          <cell r="B760" t="str">
            <v>1015</v>
          </cell>
          <cell r="C760">
            <v>-93.66</v>
          </cell>
          <cell r="D760" t="str">
            <v>203</v>
          </cell>
          <cell r="E760" t="str">
            <v>416</v>
          </cell>
          <cell r="F760">
            <v>0</v>
          </cell>
          <cell r="G760">
            <v>10</v>
          </cell>
          <cell r="H760" t="str">
            <v>2009-10-31</v>
          </cell>
        </row>
        <row r="761">
          <cell r="A761" t="str">
            <v>489304</v>
          </cell>
          <cell r="B761" t="str">
            <v>1015</v>
          </cell>
          <cell r="C761">
            <v>-51.28</v>
          </cell>
          <cell r="D761" t="str">
            <v>203</v>
          </cell>
          <cell r="E761" t="str">
            <v>416</v>
          </cell>
          <cell r="F761">
            <v>0</v>
          </cell>
          <cell r="G761">
            <v>8</v>
          </cell>
          <cell r="H761" t="str">
            <v>2009-08-31</v>
          </cell>
        </row>
        <row r="762">
          <cell r="A762" t="str">
            <v>489304</v>
          </cell>
          <cell r="B762" t="str">
            <v>1015</v>
          </cell>
          <cell r="C762">
            <v>-64.599999999999994</v>
          </cell>
          <cell r="D762" t="str">
            <v>203</v>
          </cell>
          <cell r="E762" t="str">
            <v>416</v>
          </cell>
          <cell r="F762">
            <v>0</v>
          </cell>
          <cell r="G762">
            <v>6</v>
          </cell>
          <cell r="H762" t="str">
            <v>2010-06-30</v>
          </cell>
        </row>
        <row r="763">
          <cell r="A763" t="str">
            <v>481005</v>
          </cell>
          <cell r="B763" t="str">
            <v>1015</v>
          </cell>
          <cell r="C763">
            <v>-880</v>
          </cell>
          <cell r="D763" t="str">
            <v>203</v>
          </cell>
          <cell r="E763" t="str">
            <v>457</v>
          </cell>
          <cell r="F763">
            <v>0</v>
          </cell>
          <cell r="G763">
            <v>9</v>
          </cell>
          <cell r="H763" t="str">
            <v>2009-09-30</v>
          </cell>
        </row>
        <row r="764">
          <cell r="A764" t="str">
            <v>481005</v>
          </cell>
          <cell r="B764" t="str">
            <v>1015</v>
          </cell>
          <cell r="C764">
            <v>-1176</v>
          </cell>
          <cell r="D764" t="str">
            <v>203</v>
          </cell>
          <cell r="E764" t="str">
            <v>457</v>
          </cell>
          <cell r="F764">
            <v>0</v>
          </cell>
          <cell r="G764">
            <v>10</v>
          </cell>
          <cell r="H764" t="str">
            <v>2009-10-31</v>
          </cell>
        </row>
        <row r="765">
          <cell r="A765" t="str">
            <v>481002</v>
          </cell>
          <cell r="B765" t="str">
            <v>1015</v>
          </cell>
          <cell r="C765">
            <v>2</v>
          </cell>
          <cell r="D765" t="str">
            <v>203</v>
          </cell>
          <cell r="E765" t="str">
            <v>457</v>
          </cell>
          <cell r="F765">
            <v>0</v>
          </cell>
          <cell r="G765">
            <v>5</v>
          </cell>
          <cell r="H765" t="str">
            <v>2010-05-31</v>
          </cell>
        </row>
        <row r="766">
          <cell r="A766" t="str">
            <v>481005</v>
          </cell>
          <cell r="B766" t="str">
            <v>1015</v>
          </cell>
          <cell r="C766">
            <v>-1304</v>
          </cell>
          <cell r="D766" t="str">
            <v>203</v>
          </cell>
          <cell r="E766" t="str">
            <v>457</v>
          </cell>
          <cell r="F766">
            <v>0</v>
          </cell>
          <cell r="G766">
            <v>7</v>
          </cell>
          <cell r="H766" t="str">
            <v>2009-07-31</v>
          </cell>
        </row>
        <row r="767">
          <cell r="A767" t="str">
            <v>481005</v>
          </cell>
          <cell r="B767" t="str">
            <v>1015</v>
          </cell>
          <cell r="C767">
            <v>-2656</v>
          </cell>
          <cell r="D767" t="str">
            <v>203</v>
          </cell>
          <cell r="E767" t="str">
            <v>457</v>
          </cell>
          <cell r="F767">
            <v>0</v>
          </cell>
          <cell r="G767">
            <v>11</v>
          </cell>
          <cell r="H767" t="str">
            <v>2009-11-30</v>
          </cell>
        </row>
        <row r="768">
          <cell r="A768" t="str">
            <v>481005</v>
          </cell>
          <cell r="B768" t="str">
            <v>1015</v>
          </cell>
          <cell r="C768">
            <v>-230</v>
          </cell>
          <cell r="D768" t="str">
            <v>203</v>
          </cell>
          <cell r="E768" t="str">
            <v>457</v>
          </cell>
          <cell r="F768">
            <v>0</v>
          </cell>
          <cell r="G768">
            <v>3</v>
          </cell>
          <cell r="H768" t="str">
            <v>2010-03-31</v>
          </cell>
        </row>
        <row r="769">
          <cell r="A769" t="str">
            <v>481005</v>
          </cell>
          <cell r="B769" t="str">
            <v>1015</v>
          </cell>
          <cell r="C769">
            <v>837</v>
          </cell>
          <cell r="D769" t="str">
            <v>203</v>
          </cell>
          <cell r="E769" t="str">
            <v>457</v>
          </cell>
          <cell r="F769">
            <v>0</v>
          </cell>
          <cell r="G769">
            <v>6</v>
          </cell>
          <cell r="H769" t="str">
            <v>2010-06-30</v>
          </cell>
        </row>
        <row r="770">
          <cell r="A770" t="str">
            <v>481002</v>
          </cell>
          <cell r="B770" t="str">
            <v>1015</v>
          </cell>
          <cell r="C770">
            <v>20</v>
          </cell>
          <cell r="D770" t="str">
            <v>203</v>
          </cell>
          <cell r="E770" t="str">
            <v>457</v>
          </cell>
          <cell r="F770">
            <v>0</v>
          </cell>
          <cell r="G770">
            <v>6</v>
          </cell>
          <cell r="H770" t="str">
            <v>2010-06-30</v>
          </cell>
        </row>
        <row r="771">
          <cell r="A771" t="str">
            <v>481002</v>
          </cell>
          <cell r="B771" t="str">
            <v>1015</v>
          </cell>
          <cell r="C771">
            <v>-346</v>
          </cell>
          <cell r="D771" t="str">
            <v>203</v>
          </cell>
          <cell r="E771" t="str">
            <v>457</v>
          </cell>
          <cell r="F771">
            <v>0</v>
          </cell>
          <cell r="G771">
            <v>11</v>
          </cell>
          <cell r="H771" t="str">
            <v>2009-11-30</v>
          </cell>
        </row>
        <row r="772">
          <cell r="A772" t="str">
            <v>481005</v>
          </cell>
          <cell r="B772" t="str">
            <v>1015</v>
          </cell>
          <cell r="C772">
            <v>-857.14</v>
          </cell>
          <cell r="D772" t="str">
            <v>203</v>
          </cell>
          <cell r="E772" t="str">
            <v>457</v>
          </cell>
          <cell r="F772">
            <v>0</v>
          </cell>
          <cell r="G772">
            <v>1</v>
          </cell>
          <cell r="H772" t="str">
            <v>2010-01-31</v>
          </cell>
        </row>
        <row r="773">
          <cell r="A773" t="str">
            <v>481002</v>
          </cell>
          <cell r="B773" t="str">
            <v>1015</v>
          </cell>
          <cell r="C773">
            <v>-7</v>
          </cell>
          <cell r="D773" t="str">
            <v>203</v>
          </cell>
          <cell r="E773" t="str">
            <v>457</v>
          </cell>
          <cell r="F773">
            <v>0</v>
          </cell>
          <cell r="G773">
            <v>1</v>
          </cell>
          <cell r="H773" t="str">
            <v>2010-01-31</v>
          </cell>
        </row>
        <row r="774">
          <cell r="A774" t="str">
            <v>481002</v>
          </cell>
          <cell r="B774" t="str">
            <v>1015</v>
          </cell>
          <cell r="C774">
            <v>-318</v>
          </cell>
          <cell r="D774" t="str">
            <v>203</v>
          </cell>
          <cell r="E774" t="str">
            <v>457</v>
          </cell>
          <cell r="F774">
            <v>0</v>
          </cell>
          <cell r="G774">
            <v>8</v>
          </cell>
          <cell r="H774" t="str">
            <v>2009-08-31</v>
          </cell>
        </row>
        <row r="775">
          <cell r="A775" t="str">
            <v>481002</v>
          </cell>
          <cell r="B775" t="str">
            <v>1015</v>
          </cell>
          <cell r="C775">
            <v>-211</v>
          </cell>
          <cell r="D775" t="str">
            <v>203</v>
          </cell>
          <cell r="E775" t="str">
            <v>457</v>
          </cell>
          <cell r="F775">
            <v>0</v>
          </cell>
          <cell r="G775">
            <v>9</v>
          </cell>
          <cell r="H775" t="str">
            <v>2009-09-30</v>
          </cell>
        </row>
        <row r="776">
          <cell r="A776" t="str">
            <v>481005</v>
          </cell>
          <cell r="B776" t="str">
            <v>1015</v>
          </cell>
          <cell r="C776">
            <v>83</v>
          </cell>
          <cell r="D776" t="str">
            <v>203</v>
          </cell>
          <cell r="E776" t="str">
            <v>457</v>
          </cell>
          <cell r="F776">
            <v>0</v>
          </cell>
          <cell r="G776">
            <v>2</v>
          </cell>
          <cell r="H776" t="str">
            <v>2010-02-28</v>
          </cell>
        </row>
        <row r="777">
          <cell r="A777" t="str">
            <v>481002</v>
          </cell>
          <cell r="B777" t="str">
            <v>1015</v>
          </cell>
          <cell r="C777">
            <v>33</v>
          </cell>
          <cell r="D777" t="str">
            <v>203</v>
          </cell>
          <cell r="E777" t="str">
            <v>457</v>
          </cell>
          <cell r="F777">
            <v>0</v>
          </cell>
          <cell r="G777">
            <v>3</v>
          </cell>
          <cell r="H777" t="str">
            <v>2010-03-31</v>
          </cell>
        </row>
        <row r="778">
          <cell r="A778" t="str">
            <v>481002</v>
          </cell>
          <cell r="B778" t="str">
            <v>1015</v>
          </cell>
          <cell r="C778">
            <v>-335</v>
          </cell>
          <cell r="D778" t="str">
            <v>203</v>
          </cell>
          <cell r="E778" t="str">
            <v>457</v>
          </cell>
          <cell r="F778">
            <v>0</v>
          </cell>
          <cell r="G778">
            <v>7</v>
          </cell>
          <cell r="H778" t="str">
            <v>2009-07-31</v>
          </cell>
        </row>
        <row r="779">
          <cell r="A779" t="str">
            <v>481005</v>
          </cell>
          <cell r="B779" t="str">
            <v>1015</v>
          </cell>
          <cell r="C779">
            <v>-2567</v>
          </cell>
          <cell r="D779" t="str">
            <v>203</v>
          </cell>
          <cell r="E779" t="str">
            <v>457</v>
          </cell>
          <cell r="F779">
            <v>0</v>
          </cell>
          <cell r="G779">
            <v>12</v>
          </cell>
          <cell r="H779" t="str">
            <v>2009-12-31</v>
          </cell>
        </row>
        <row r="780">
          <cell r="A780" t="str">
            <v>481002</v>
          </cell>
          <cell r="B780" t="str">
            <v>1015</v>
          </cell>
          <cell r="C780">
            <v>110</v>
          </cell>
          <cell r="D780" t="str">
            <v>203</v>
          </cell>
          <cell r="E780" t="str">
            <v>457</v>
          </cell>
          <cell r="F780">
            <v>0</v>
          </cell>
          <cell r="G780">
            <v>2</v>
          </cell>
          <cell r="H780" t="str">
            <v>2010-02-28</v>
          </cell>
        </row>
        <row r="781">
          <cell r="A781" t="str">
            <v>481005</v>
          </cell>
          <cell r="B781" t="str">
            <v>1015</v>
          </cell>
          <cell r="C781">
            <v>328</v>
          </cell>
          <cell r="D781" t="str">
            <v>203</v>
          </cell>
          <cell r="E781" t="str">
            <v>457</v>
          </cell>
          <cell r="F781">
            <v>0</v>
          </cell>
          <cell r="G781">
            <v>4</v>
          </cell>
          <cell r="H781" t="str">
            <v>2010-04-30</v>
          </cell>
        </row>
        <row r="782">
          <cell r="A782" t="str">
            <v>481005</v>
          </cell>
          <cell r="B782" t="str">
            <v>1015</v>
          </cell>
          <cell r="C782">
            <v>-1092</v>
          </cell>
          <cell r="D782" t="str">
            <v>203</v>
          </cell>
          <cell r="E782" t="str">
            <v>457</v>
          </cell>
          <cell r="F782">
            <v>0</v>
          </cell>
          <cell r="G782">
            <v>8</v>
          </cell>
          <cell r="H782" t="str">
            <v>2009-08-31</v>
          </cell>
        </row>
        <row r="783">
          <cell r="A783" t="str">
            <v>481002</v>
          </cell>
          <cell r="B783" t="str">
            <v>1015</v>
          </cell>
          <cell r="C783">
            <v>-305</v>
          </cell>
          <cell r="D783" t="str">
            <v>203</v>
          </cell>
          <cell r="E783" t="str">
            <v>457</v>
          </cell>
          <cell r="F783">
            <v>0</v>
          </cell>
          <cell r="G783">
            <v>10</v>
          </cell>
          <cell r="H783" t="str">
            <v>2009-10-31</v>
          </cell>
        </row>
        <row r="784">
          <cell r="A784" t="str">
            <v>481002</v>
          </cell>
          <cell r="B784" t="str">
            <v>1015</v>
          </cell>
          <cell r="C784">
            <v>-371</v>
          </cell>
          <cell r="D784" t="str">
            <v>203</v>
          </cell>
          <cell r="E784" t="str">
            <v>457</v>
          </cell>
          <cell r="F784">
            <v>0</v>
          </cell>
          <cell r="G784">
            <v>12</v>
          </cell>
          <cell r="H784" t="str">
            <v>2009-12-31</v>
          </cell>
        </row>
        <row r="785">
          <cell r="A785" t="str">
            <v>481002</v>
          </cell>
          <cell r="B785" t="str">
            <v>1015</v>
          </cell>
          <cell r="C785">
            <v>-43</v>
          </cell>
          <cell r="D785" t="str">
            <v>203</v>
          </cell>
          <cell r="E785" t="str">
            <v>457</v>
          </cell>
          <cell r="F785">
            <v>0</v>
          </cell>
          <cell r="G785">
            <v>4</v>
          </cell>
          <cell r="H785" t="str">
            <v>2010-04-30</v>
          </cell>
        </row>
        <row r="786">
          <cell r="A786" t="str">
            <v>481005</v>
          </cell>
          <cell r="B786" t="str">
            <v>1015</v>
          </cell>
          <cell r="C786">
            <v>-260</v>
          </cell>
          <cell r="D786" t="str">
            <v>203</v>
          </cell>
          <cell r="E786" t="str">
            <v>457</v>
          </cell>
          <cell r="F786">
            <v>0</v>
          </cell>
          <cell r="G786">
            <v>5</v>
          </cell>
          <cell r="H786" t="str">
            <v>2010-05-31</v>
          </cell>
        </row>
        <row r="787">
          <cell r="A787" t="str">
            <v>481004</v>
          </cell>
          <cell r="B787" t="str">
            <v>1015</v>
          </cell>
          <cell r="C787">
            <v>-1798.24</v>
          </cell>
          <cell r="D787" t="str">
            <v>204</v>
          </cell>
          <cell r="E787" t="str">
            <v>402</v>
          </cell>
          <cell r="F787">
            <v>0</v>
          </cell>
          <cell r="G787">
            <v>5</v>
          </cell>
          <cell r="H787" t="str">
            <v>2010-05-31</v>
          </cell>
        </row>
        <row r="788">
          <cell r="A788" t="str">
            <v>481004</v>
          </cell>
          <cell r="B788" t="str">
            <v>1015</v>
          </cell>
          <cell r="C788">
            <v>-1061</v>
          </cell>
          <cell r="D788" t="str">
            <v>204</v>
          </cell>
          <cell r="E788" t="str">
            <v>402</v>
          </cell>
          <cell r="F788">
            <v>0</v>
          </cell>
          <cell r="G788">
            <v>9</v>
          </cell>
          <cell r="H788" t="str">
            <v>2009-09-30</v>
          </cell>
        </row>
        <row r="789">
          <cell r="A789" t="str">
            <v>481004</v>
          </cell>
          <cell r="B789" t="str">
            <v>1015</v>
          </cell>
          <cell r="C789">
            <v>-1865446.38</v>
          </cell>
          <cell r="D789" t="str">
            <v>204</v>
          </cell>
          <cell r="E789" t="str">
            <v>402</v>
          </cell>
          <cell r="F789">
            <v>0</v>
          </cell>
          <cell r="G789">
            <v>3</v>
          </cell>
          <cell r="H789" t="str">
            <v>2010-03-31</v>
          </cell>
        </row>
        <row r="790">
          <cell r="A790" t="str">
            <v>481004</v>
          </cell>
          <cell r="B790" t="str">
            <v>1015</v>
          </cell>
          <cell r="C790">
            <v>-1957.81</v>
          </cell>
          <cell r="D790" t="str">
            <v>204</v>
          </cell>
          <cell r="E790" t="str">
            <v>402</v>
          </cell>
          <cell r="F790">
            <v>0</v>
          </cell>
          <cell r="G790">
            <v>4</v>
          </cell>
          <cell r="H790" t="str">
            <v>2010-04-30</v>
          </cell>
        </row>
        <row r="791">
          <cell r="A791" t="str">
            <v>481000</v>
          </cell>
          <cell r="B791" t="str">
            <v>1015</v>
          </cell>
          <cell r="C791">
            <v>-112648</v>
          </cell>
          <cell r="D791" t="str">
            <v>204</v>
          </cell>
          <cell r="E791" t="str">
            <v>402</v>
          </cell>
          <cell r="F791">
            <v>0</v>
          </cell>
          <cell r="G791">
            <v>7</v>
          </cell>
          <cell r="H791" t="str">
            <v>2009-07-31</v>
          </cell>
        </row>
        <row r="792">
          <cell r="A792" t="str">
            <v>481004</v>
          </cell>
          <cell r="B792" t="str">
            <v>1015</v>
          </cell>
          <cell r="C792">
            <v>-1965336</v>
          </cell>
          <cell r="D792" t="str">
            <v>204</v>
          </cell>
          <cell r="E792" t="str">
            <v>402</v>
          </cell>
          <cell r="F792">
            <v>0</v>
          </cell>
          <cell r="G792">
            <v>8</v>
          </cell>
          <cell r="H792" t="str">
            <v>2009-08-31</v>
          </cell>
        </row>
        <row r="793">
          <cell r="A793" t="str">
            <v>481000</v>
          </cell>
          <cell r="B793" t="str">
            <v>1015</v>
          </cell>
          <cell r="C793">
            <v>-885056.37</v>
          </cell>
          <cell r="D793" t="str">
            <v>204</v>
          </cell>
          <cell r="E793" t="str">
            <v>402</v>
          </cell>
          <cell r="F793">
            <v>0</v>
          </cell>
          <cell r="G793">
            <v>2</v>
          </cell>
          <cell r="H793" t="str">
            <v>2010-02-28</v>
          </cell>
        </row>
        <row r="794">
          <cell r="A794" t="str">
            <v>481000</v>
          </cell>
          <cell r="B794" t="str">
            <v>1015</v>
          </cell>
          <cell r="C794">
            <v>-887756.13</v>
          </cell>
          <cell r="D794" t="str">
            <v>204</v>
          </cell>
          <cell r="E794" t="str">
            <v>402</v>
          </cell>
          <cell r="F794">
            <v>0</v>
          </cell>
          <cell r="G794">
            <v>3</v>
          </cell>
          <cell r="H794" t="str">
            <v>2010-03-31</v>
          </cell>
        </row>
        <row r="795">
          <cell r="A795" t="str">
            <v>481000</v>
          </cell>
          <cell r="B795" t="str">
            <v>1015</v>
          </cell>
          <cell r="C795">
            <v>-169613</v>
          </cell>
          <cell r="D795" t="str">
            <v>204</v>
          </cell>
          <cell r="E795" t="str">
            <v>402</v>
          </cell>
          <cell r="F795">
            <v>0</v>
          </cell>
          <cell r="G795">
            <v>11</v>
          </cell>
          <cell r="H795" t="str">
            <v>2009-11-30</v>
          </cell>
        </row>
        <row r="796">
          <cell r="A796" t="str">
            <v>481000</v>
          </cell>
          <cell r="B796" t="str">
            <v>1015</v>
          </cell>
          <cell r="C796">
            <v>-1089935.71</v>
          </cell>
          <cell r="D796" t="str">
            <v>204</v>
          </cell>
          <cell r="E796" t="str">
            <v>402</v>
          </cell>
          <cell r="F796">
            <v>0</v>
          </cell>
          <cell r="G796">
            <v>1</v>
          </cell>
          <cell r="H796" t="str">
            <v>2010-01-31</v>
          </cell>
        </row>
        <row r="797">
          <cell r="A797" t="str">
            <v>481000</v>
          </cell>
          <cell r="B797" t="str">
            <v>1015</v>
          </cell>
          <cell r="C797">
            <v>-780716.44</v>
          </cell>
          <cell r="D797" t="str">
            <v>204</v>
          </cell>
          <cell r="E797" t="str">
            <v>402</v>
          </cell>
          <cell r="F797">
            <v>0</v>
          </cell>
          <cell r="G797">
            <v>5</v>
          </cell>
          <cell r="H797" t="str">
            <v>2010-05-31</v>
          </cell>
        </row>
        <row r="798">
          <cell r="A798" t="str">
            <v>481000</v>
          </cell>
          <cell r="B798" t="str">
            <v>1015</v>
          </cell>
          <cell r="C798">
            <v>-163171</v>
          </cell>
          <cell r="D798" t="str">
            <v>204</v>
          </cell>
          <cell r="E798" t="str">
            <v>402</v>
          </cell>
          <cell r="F798">
            <v>0</v>
          </cell>
          <cell r="G798">
            <v>10</v>
          </cell>
          <cell r="H798" t="str">
            <v>2009-10-31</v>
          </cell>
        </row>
        <row r="799">
          <cell r="A799" t="str">
            <v>481000</v>
          </cell>
          <cell r="B799" t="str">
            <v>1015</v>
          </cell>
          <cell r="C799">
            <v>-231199</v>
          </cell>
          <cell r="D799" t="str">
            <v>204</v>
          </cell>
          <cell r="E799" t="str">
            <v>402</v>
          </cell>
          <cell r="F799">
            <v>0</v>
          </cell>
          <cell r="G799">
            <v>12</v>
          </cell>
          <cell r="H799" t="str">
            <v>2009-12-31</v>
          </cell>
        </row>
        <row r="800">
          <cell r="A800" t="str">
            <v>481004</v>
          </cell>
          <cell r="B800" t="str">
            <v>1015</v>
          </cell>
          <cell r="C800">
            <v>-3228718</v>
          </cell>
          <cell r="D800" t="str">
            <v>204</v>
          </cell>
          <cell r="E800" t="str">
            <v>402</v>
          </cell>
          <cell r="F800">
            <v>0</v>
          </cell>
          <cell r="G800">
            <v>12</v>
          </cell>
          <cell r="H800" t="str">
            <v>2009-12-31</v>
          </cell>
        </row>
        <row r="801">
          <cell r="A801" t="str">
            <v>481004</v>
          </cell>
          <cell r="B801" t="str">
            <v>1015</v>
          </cell>
          <cell r="C801">
            <v>-1462450.73</v>
          </cell>
          <cell r="D801" t="str">
            <v>204</v>
          </cell>
          <cell r="E801" t="str">
            <v>402</v>
          </cell>
          <cell r="F801">
            <v>0</v>
          </cell>
          <cell r="G801">
            <v>5</v>
          </cell>
          <cell r="H801" t="str">
            <v>2010-05-31</v>
          </cell>
        </row>
        <row r="802">
          <cell r="A802" t="str">
            <v>481004</v>
          </cell>
          <cell r="B802" t="str">
            <v>1015</v>
          </cell>
          <cell r="C802">
            <v>-886.41</v>
          </cell>
          <cell r="D802" t="str">
            <v>204</v>
          </cell>
          <cell r="E802" t="str">
            <v>402</v>
          </cell>
          <cell r="F802">
            <v>0</v>
          </cell>
          <cell r="G802">
            <v>6</v>
          </cell>
          <cell r="H802" t="str">
            <v>2010-06-30</v>
          </cell>
        </row>
        <row r="803">
          <cell r="A803" t="str">
            <v>481004</v>
          </cell>
          <cell r="B803" t="str">
            <v>1015</v>
          </cell>
          <cell r="C803">
            <v>-1192840.7</v>
          </cell>
          <cell r="D803" t="str">
            <v>204</v>
          </cell>
          <cell r="E803" t="str">
            <v>402</v>
          </cell>
          <cell r="F803">
            <v>0</v>
          </cell>
          <cell r="G803">
            <v>6</v>
          </cell>
          <cell r="H803" t="str">
            <v>2010-06-30</v>
          </cell>
        </row>
        <row r="804">
          <cell r="A804" t="str">
            <v>481000</v>
          </cell>
          <cell r="B804" t="str">
            <v>1015</v>
          </cell>
          <cell r="C804">
            <v>-813242.87</v>
          </cell>
          <cell r="D804" t="str">
            <v>204</v>
          </cell>
          <cell r="E804" t="str">
            <v>402</v>
          </cell>
          <cell r="F804">
            <v>0</v>
          </cell>
          <cell r="G804">
            <v>6</v>
          </cell>
          <cell r="H804" t="str">
            <v>2010-06-30</v>
          </cell>
        </row>
        <row r="805">
          <cell r="A805" t="str">
            <v>481004</v>
          </cell>
          <cell r="B805" t="str">
            <v>1015</v>
          </cell>
          <cell r="C805">
            <v>-1568837</v>
          </cell>
          <cell r="D805" t="str">
            <v>204</v>
          </cell>
          <cell r="E805" t="str">
            <v>402</v>
          </cell>
          <cell r="F805">
            <v>0</v>
          </cell>
          <cell r="G805">
            <v>7</v>
          </cell>
          <cell r="H805" t="str">
            <v>2009-07-31</v>
          </cell>
        </row>
        <row r="806">
          <cell r="A806" t="str">
            <v>481004</v>
          </cell>
          <cell r="B806" t="str">
            <v>1015</v>
          </cell>
          <cell r="C806">
            <v>-1182</v>
          </cell>
          <cell r="D806" t="str">
            <v>204</v>
          </cell>
          <cell r="E806" t="str">
            <v>402</v>
          </cell>
          <cell r="F806">
            <v>0</v>
          </cell>
          <cell r="G806">
            <v>7</v>
          </cell>
          <cell r="H806" t="str">
            <v>2009-07-31</v>
          </cell>
        </row>
        <row r="807">
          <cell r="A807" t="str">
            <v>481004</v>
          </cell>
          <cell r="B807" t="str">
            <v>1015</v>
          </cell>
          <cell r="C807">
            <v>-2574440</v>
          </cell>
          <cell r="D807" t="str">
            <v>204</v>
          </cell>
          <cell r="E807" t="str">
            <v>402</v>
          </cell>
          <cell r="F807">
            <v>0</v>
          </cell>
          <cell r="G807">
            <v>10</v>
          </cell>
          <cell r="H807" t="str">
            <v>2009-10-31</v>
          </cell>
        </row>
        <row r="808">
          <cell r="A808" t="str">
            <v>481004</v>
          </cell>
          <cell r="B808" t="str">
            <v>1015</v>
          </cell>
          <cell r="C808">
            <v>-2753.11</v>
          </cell>
          <cell r="D808" t="str">
            <v>204</v>
          </cell>
          <cell r="E808" t="str">
            <v>402</v>
          </cell>
          <cell r="F808">
            <v>0</v>
          </cell>
          <cell r="G808">
            <v>1</v>
          </cell>
          <cell r="H808" t="str">
            <v>2010-01-31</v>
          </cell>
        </row>
        <row r="809">
          <cell r="A809" t="str">
            <v>481004</v>
          </cell>
          <cell r="B809" t="str">
            <v>1015</v>
          </cell>
          <cell r="C809">
            <v>-1627377.6</v>
          </cell>
          <cell r="D809" t="str">
            <v>204</v>
          </cell>
          <cell r="E809" t="str">
            <v>402</v>
          </cell>
          <cell r="F809">
            <v>0</v>
          </cell>
          <cell r="G809">
            <v>1</v>
          </cell>
          <cell r="H809" t="str">
            <v>2010-01-31</v>
          </cell>
        </row>
        <row r="810">
          <cell r="A810" t="str">
            <v>481004</v>
          </cell>
          <cell r="B810" t="str">
            <v>1015</v>
          </cell>
          <cell r="C810">
            <v>-1667.5</v>
          </cell>
          <cell r="D810" t="str">
            <v>204</v>
          </cell>
          <cell r="E810" t="str">
            <v>402</v>
          </cell>
          <cell r="F810">
            <v>0</v>
          </cell>
          <cell r="G810">
            <v>2</v>
          </cell>
          <cell r="H810" t="str">
            <v>2010-02-28</v>
          </cell>
        </row>
        <row r="811">
          <cell r="A811" t="str">
            <v>481000</v>
          </cell>
          <cell r="B811" t="str">
            <v>1015</v>
          </cell>
          <cell r="C811">
            <v>-120596</v>
          </cell>
          <cell r="D811" t="str">
            <v>204</v>
          </cell>
          <cell r="E811" t="str">
            <v>402</v>
          </cell>
          <cell r="F811">
            <v>0</v>
          </cell>
          <cell r="G811">
            <v>8</v>
          </cell>
          <cell r="H811" t="str">
            <v>2009-08-31</v>
          </cell>
        </row>
        <row r="812">
          <cell r="A812" t="str">
            <v>481004</v>
          </cell>
          <cell r="B812" t="str">
            <v>1015</v>
          </cell>
          <cell r="C812">
            <v>-1048</v>
          </cell>
          <cell r="D812" t="str">
            <v>204</v>
          </cell>
          <cell r="E812" t="str">
            <v>402</v>
          </cell>
          <cell r="F812">
            <v>0</v>
          </cell>
          <cell r="G812">
            <v>8</v>
          </cell>
          <cell r="H812" t="str">
            <v>2009-08-31</v>
          </cell>
        </row>
        <row r="813">
          <cell r="A813" t="str">
            <v>481004</v>
          </cell>
          <cell r="B813" t="str">
            <v>1015</v>
          </cell>
          <cell r="C813">
            <v>-1823077</v>
          </cell>
          <cell r="D813" t="str">
            <v>204</v>
          </cell>
          <cell r="E813" t="str">
            <v>402</v>
          </cell>
          <cell r="F813">
            <v>0</v>
          </cell>
          <cell r="G813">
            <v>9</v>
          </cell>
          <cell r="H813" t="str">
            <v>2009-09-30</v>
          </cell>
        </row>
        <row r="814">
          <cell r="A814" t="str">
            <v>481004</v>
          </cell>
          <cell r="B814" t="str">
            <v>1015</v>
          </cell>
          <cell r="C814">
            <v>-1645</v>
          </cell>
          <cell r="D814" t="str">
            <v>204</v>
          </cell>
          <cell r="E814" t="str">
            <v>402</v>
          </cell>
          <cell r="F814">
            <v>0</v>
          </cell>
          <cell r="G814">
            <v>10</v>
          </cell>
          <cell r="H814" t="str">
            <v>2009-10-31</v>
          </cell>
        </row>
        <row r="815">
          <cell r="A815" t="str">
            <v>481004</v>
          </cell>
          <cell r="B815" t="str">
            <v>1015</v>
          </cell>
          <cell r="C815">
            <v>-2451181</v>
          </cell>
          <cell r="D815" t="str">
            <v>204</v>
          </cell>
          <cell r="E815" t="str">
            <v>402</v>
          </cell>
          <cell r="F815">
            <v>0</v>
          </cell>
          <cell r="G815">
            <v>11</v>
          </cell>
          <cell r="H815" t="str">
            <v>2009-11-30</v>
          </cell>
        </row>
        <row r="816">
          <cell r="A816" t="str">
            <v>481004</v>
          </cell>
          <cell r="B816" t="str">
            <v>1015</v>
          </cell>
          <cell r="C816">
            <v>-2172</v>
          </cell>
          <cell r="D816" t="str">
            <v>204</v>
          </cell>
          <cell r="E816" t="str">
            <v>402</v>
          </cell>
          <cell r="F816">
            <v>0</v>
          </cell>
          <cell r="G816">
            <v>12</v>
          </cell>
          <cell r="H816" t="str">
            <v>2009-12-31</v>
          </cell>
        </row>
        <row r="817">
          <cell r="A817" t="str">
            <v>481004</v>
          </cell>
          <cell r="B817" t="str">
            <v>1015</v>
          </cell>
          <cell r="C817">
            <v>-1761707.19</v>
          </cell>
          <cell r="D817" t="str">
            <v>204</v>
          </cell>
          <cell r="E817" t="str">
            <v>402</v>
          </cell>
          <cell r="F817">
            <v>0</v>
          </cell>
          <cell r="G817">
            <v>2</v>
          </cell>
          <cell r="H817" t="str">
            <v>2010-02-28</v>
          </cell>
        </row>
        <row r="818">
          <cell r="A818" t="str">
            <v>481004</v>
          </cell>
          <cell r="B818" t="str">
            <v>1015</v>
          </cell>
          <cell r="C818">
            <v>-1822.82</v>
          </cell>
          <cell r="D818" t="str">
            <v>204</v>
          </cell>
          <cell r="E818" t="str">
            <v>402</v>
          </cell>
          <cell r="F818">
            <v>0</v>
          </cell>
          <cell r="G818">
            <v>3</v>
          </cell>
          <cell r="H818" t="str">
            <v>2010-03-31</v>
          </cell>
        </row>
        <row r="819">
          <cell r="A819" t="str">
            <v>481004</v>
          </cell>
          <cell r="B819" t="str">
            <v>1015</v>
          </cell>
          <cell r="C819">
            <v>-1830919.42</v>
          </cell>
          <cell r="D819" t="str">
            <v>204</v>
          </cell>
          <cell r="E819" t="str">
            <v>402</v>
          </cell>
          <cell r="F819">
            <v>0</v>
          </cell>
          <cell r="G819">
            <v>4</v>
          </cell>
          <cell r="H819" t="str">
            <v>2010-04-30</v>
          </cell>
        </row>
        <row r="820">
          <cell r="A820" t="str">
            <v>481000</v>
          </cell>
          <cell r="B820" t="str">
            <v>1015</v>
          </cell>
          <cell r="C820">
            <v>-126074</v>
          </cell>
          <cell r="D820" t="str">
            <v>204</v>
          </cell>
          <cell r="E820" t="str">
            <v>402</v>
          </cell>
          <cell r="F820">
            <v>0</v>
          </cell>
          <cell r="G820">
            <v>9</v>
          </cell>
          <cell r="H820" t="str">
            <v>2009-09-30</v>
          </cell>
        </row>
        <row r="821">
          <cell r="A821" t="str">
            <v>481004</v>
          </cell>
          <cell r="B821" t="str">
            <v>1015</v>
          </cell>
          <cell r="C821">
            <v>-2187</v>
          </cell>
          <cell r="D821" t="str">
            <v>204</v>
          </cell>
          <cell r="E821" t="str">
            <v>402</v>
          </cell>
          <cell r="F821">
            <v>0</v>
          </cell>
          <cell r="G821">
            <v>11</v>
          </cell>
          <cell r="H821" t="str">
            <v>2009-11-30</v>
          </cell>
        </row>
        <row r="822">
          <cell r="A822" t="str">
            <v>481000</v>
          </cell>
          <cell r="B822" t="str">
            <v>1015</v>
          </cell>
          <cell r="C822">
            <v>-913402.99</v>
          </cell>
          <cell r="D822" t="str">
            <v>204</v>
          </cell>
          <cell r="E822" t="str">
            <v>402</v>
          </cell>
          <cell r="F822">
            <v>0</v>
          </cell>
          <cell r="G822">
            <v>4</v>
          </cell>
          <cell r="H822" t="str">
            <v>2010-04-30</v>
          </cell>
        </row>
        <row r="823">
          <cell r="A823" t="str">
            <v>480001</v>
          </cell>
          <cell r="B823" t="str">
            <v>1015</v>
          </cell>
          <cell r="C823">
            <v>-5597770.2999999998</v>
          </cell>
          <cell r="D823" t="str">
            <v>204</v>
          </cell>
          <cell r="E823" t="str">
            <v>407</v>
          </cell>
          <cell r="F823">
            <v>0</v>
          </cell>
          <cell r="G823">
            <v>10</v>
          </cell>
          <cell r="H823" t="str">
            <v>2009-10-31</v>
          </cell>
        </row>
        <row r="824">
          <cell r="A824" t="str">
            <v>481006</v>
          </cell>
          <cell r="B824" t="str">
            <v>1015</v>
          </cell>
          <cell r="C824">
            <v>-2533161.29</v>
          </cell>
          <cell r="D824" t="str">
            <v>204</v>
          </cell>
          <cell r="E824" t="str">
            <v>407</v>
          </cell>
          <cell r="F824">
            <v>0</v>
          </cell>
          <cell r="G824">
            <v>11</v>
          </cell>
          <cell r="H824" t="str">
            <v>2009-11-30</v>
          </cell>
        </row>
        <row r="825">
          <cell r="A825" t="str">
            <v>481006</v>
          </cell>
          <cell r="B825" t="str">
            <v>1015</v>
          </cell>
          <cell r="C825">
            <v>-5004829.76</v>
          </cell>
          <cell r="D825" t="str">
            <v>204</v>
          </cell>
          <cell r="E825" t="str">
            <v>407</v>
          </cell>
          <cell r="F825">
            <v>0</v>
          </cell>
          <cell r="G825">
            <v>12</v>
          </cell>
          <cell r="H825" t="str">
            <v>2009-12-31</v>
          </cell>
        </row>
        <row r="826">
          <cell r="A826" t="str">
            <v>481006</v>
          </cell>
          <cell r="B826" t="str">
            <v>1015</v>
          </cell>
          <cell r="C826">
            <v>2130604</v>
          </cell>
          <cell r="D826" t="str">
            <v>204</v>
          </cell>
          <cell r="E826" t="str">
            <v>407</v>
          </cell>
          <cell r="F826">
            <v>0</v>
          </cell>
          <cell r="G826">
            <v>4</v>
          </cell>
          <cell r="H826" t="str">
            <v>2010-04-30</v>
          </cell>
        </row>
        <row r="827">
          <cell r="A827" t="str">
            <v>481004</v>
          </cell>
          <cell r="B827" t="str">
            <v>1015</v>
          </cell>
          <cell r="C827">
            <v>-3022838.19</v>
          </cell>
          <cell r="D827" t="str">
            <v>204</v>
          </cell>
          <cell r="E827" t="str">
            <v>407</v>
          </cell>
          <cell r="F827">
            <v>0</v>
          </cell>
          <cell r="G827">
            <v>7</v>
          </cell>
          <cell r="H827" t="str">
            <v>2009-07-31</v>
          </cell>
        </row>
        <row r="828">
          <cell r="A828" t="str">
            <v>481004</v>
          </cell>
          <cell r="B828" t="str">
            <v>1015</v>
          </cell>
          <cell r="C828">
            <v>-5440.36</v>
          </cell>
          <cell r="D828" t="str">
            <v>204</v>
          </cell>
          <cell r="E828" t="str">
            <v>407</v>
          </cell>
          <cell r="F828">
            <v>0</v>
          </cell>
          <cell r="G828">
            <v>8</v>
          </cell>
          <cell r="H828" t="str">
            <v>2009-08-31</v>
          </cell>
        </row>
        <row r="829">
          <cell r="A829" t="str">
            <v>481004</v>
          </cell>
          <cell r="B829" t="str">
            <v>1015</v>
          </cell>
          <cell r="C829">
            <v>-22952.59</v>
          </cell>
          <cell r="D829" t="str">
            <v>204</v>
          </cell>
          <cell r="E829" t="str">
            <v>407</v>
          </cell>
          <cell r="F829">
            <v>0</v>
          </cell>
          <cell r="G829">
            <v>11</v>
          </cell>
          <cell r="H829" t="str">
            <v>2009-11-30</v>
          </cell>
        </row>
        <row r="830">
          <cell r="A830" t="str">
            <v>481004</v>
          </cell>
          <cell r="B830" t="str">
            <v>1015</v>
          </cell>
          <cell r="C830">
            <v>-7391395.5499999998</v>
          </cell>
          <cell r="D830" t="str">
            <v>204</v>
          </cell>
          <cell r="E830" t="str">
            <v>407</v>
          </cell>
          <cell r="F830">
            <v>0</v>
          </cell>
          <cell r="G830">
            <v>5</v>
          </cell>
          <cell r="H830" t="str">
            <v>2010-05-31</v>
          </cell>
        </row>
        <row r="831">
          <cell r="A831" t="str">
            <v>481006</v>
          </cell>
          <cell r="B831" t="str">
            <v>1015</v>
          </cell>
          <cell r="C831">
            <v>221.2</v>
          </cell>
          <cell r="D831" t="str">
            <v>204</v>
          </cell>
          <cell r="E831" t="str">
            <v>407</v>
          </cell>
          <cell r="F831">
            <v>0</v>
          </cell>
          <cell r="G831">
            <v>7</v>
          </cell>
          <cell r="H831" t="str">
            <v>2009-07-31</v>
          </cell>
        </row>
        <row r="832">
          <cell r="A832" t="str">
            <v>480001</v>
          </cell>
          <cell r="B832" t="str">
            <v>1015</v>
          </cell>
          <cell r="C832">
            <v>42430.81</v>
          </cell>
          <cell r="D832" t="str">
            <v>204</v>
          </cell>
          <cell r="E832" t="str">
            <v>407</v>
          </cell>
          <cell r="F832">
            <v>0</v>
          </cell>
          <cell r="G832">
            <v>8</v>
          </cell>
          <cell r="H832" t="str">
            <v>2009-08-31</v>
          </cell>
        </row>
        <row r="833">
          <cell r="A833" t="str">
            <v>481006</v>
          </cell>
          <cell r="B833" t="str">
            <v>1015</v>
          </cell>
          <cell r="C833">
            <v>401.92</v>
          </cell>
          <cell r="D833" t="str">
            <v>204</v>
          </cell>
          <cell r="E833" t="str">
            <v>407</v>
          </cell>
          <cell r="F833">
            <v>0</v>
          </cell>
          <cell r="G833">
            <v>9</v>
          </cell>
          <cell r="H833" t="str">
            <v>2009-09-30</v>
          </cell>
        </row>
        <row r="834">
          <cell r="A834" t="str">
            <v>481006</v>
          </cell>
          <cell r="B834" t="str">
            <v>1015</v>
          </cell>
          <cell r="C834">
            <v>-4554.4799999999996</v>
          </cell>
          <cell r="D834" t="str">
            <v>204</v>
          </cell>
          <cell r="E834" t="str">
            <v>407</v>
          </cell>
          <cell r="F834">
            <v>0</v>
          </cell>
          <cell r="G834">
            <v>10</v>
          </cell>
          <cell r="H834" t="str">
            <v>2009-10-31</v>
          </cell>
        </row>
        <row r="835">
          <cell r="A835" t="str">
            <v>481006</v>
          </cell>
          <cell r="B835" t="str">
            <v>1015</v>
          </cell>
          <cell r="C835">
            <v>492873</v>
          </cell>
          <cell r="D835" t="str">
            <v>204</v>
          </cell>
          <cell r="E835" t="str">
            <v>407</v>
          </cell>
          <cell r="F835">
            <v>0</v>
          </cell>
          <cell r="G835">
            <v>5</v>
          </cell>
          <cell r="H835" t="str">
            <v>2010-05-31</v>
          </cell>
        </row>
        <row r="836">
          <cell r="A836" t="str">
            <v>481006</v>
          </cell>
          <cell r="B836" t="str">
            <v>1015</v>
          </cell>
          <cell r="C836">
            <v>373</v>
          </cell>
          <cell r="D836" t="str">
            <v>204</v>
          </cell>
          <cell r="E836" t="str">
            <v>407</v>
          </cell>
          <cell r="F836">
            <v>0</v>
          </cell>
          <cell r="G836">
            <v>5</v>
          </cell>
          <cell r="H836" t="str">
            <v>2010-05-31</v>
          </cell>
        </row>
        <row r="837">
          <cell r="A837" t="str">
            <v>481006</v>
          </cell>
          <cell r="B837" t="str">
            <v>1015</v>
          </cell>
          <cell r="C837">
            <v>10480</v>
          </cell>
          <cell r="D837" t="str">
            <v>204</v>
          </cell>
          <cell r="E837" t="str">
            <v>407</v>
          </cell>
          <cell r="F837">
            <v>0</v>
          </cell>
          <cell r="G837">
            <v>6</v>
          </cell>
          <cell r="H837" t="str">
            <v>2010-06-30</v>
          </cell>
        </row>
        <row r="838">
          <cell r="A838" t="str">
            <v>480000</v>
          </cell>
          <cell r="B838" t="str">
            <v>1015</v>
          </cell>
          <cell r="C838">
            <v>-8320226.0599999996</v>
          </cell>
          <cell r="D838" t="str">
            <v>204</v>
          </cell>
          <cell r="E838" t="str">
            <v>407</v>
          </cell>
          <cell r="F838">
            <v>0</v>
          </cell>
          <cell r="G838">
            <v>7</v>
          </cell>
          <cell r="H838" t="str">
            <v>2009-07-31</v>
          </cell>
        </row>
        <row r="839">
          <cell r="A839" t="str">
            <v>480000</v>
          </cell>
          <cell r="B839" t="str">
            <v>1015</v>
          </cell>
          <cell r="C839">
            <v>-10808.21</v>
          </cell>
          <cell r="D839" t="str">
            <v>204</v>
          </cell>
          <cell r="E839" t="str">
            <v>407</v>
          </cell>
          <cell r="F839">
            <v>0</v>
          </cell>
          <cell r="G839">
            <v>8</v>
          </cell>
          <cell r="H839" t="str">
            <v>2009-08-31</v>
          </cell>
        </row>
        <row r="840">
          <cell r="A840" t="str">
            <v>480000</v>
          </cell>
          <cell r="B840" t="str">
            <v>1015</v>
          </cell>
          <cell r="C840">
            <v>-11773.64</v>
          </cell>
          <cell r="D840" t="str">
            <v>204</v>
          </cell>
          <cell r="E840" t="str">
            <v>407</v>
          </cell>
          <cell r="F840">
            <v>0</v>
          </cell>
          <cell r="G840">
            <v>9</v>
          </cell>
          <cell r="H840" t="str">
            <v>2009-09-30</v>
          </cell>
        </row>
        <row r="841">
          <cell r="A841" t="str">
            <v>480000</v>
          </cell>
          <cell r="B841" t="str">
            <v>1015</v>
          </cell>
          <cell r="C841">
            <v>-41404467.909999996</v>
          </cell>
          <cell r="D841" t="str">
            <v>204</v>
          </cell>
          <cell r="E841" t="str">
            <v>407</v>
          </cell>
          <cell r="F841">
            <v>0</v>
          </cell>
          <cell r="G841">
            <v>12</v>
          </cell>
          <cell r="H841" t="str">
            <v>2009-12-31</v>
          </cell>
        </row>
        <row r="842">
          <cell r="A842" t="str">
            <v>480000</v>
          </cell>
          <cell r="B842" t="str">
            <v>1015</v>
          </cell>
          <cell r="C842">
            <v>-33711071.060000002</v>
          </cell>
          <cell r="D842" t="str">
            <v>204</v>
          </cell>
          <cell r="E842" t="str">
            <v>407</v>
          </cell>
          <cell r="F842">
            <v>0</v>
          </cell>
          <cell r="G842">
            <v>3</v>
          </cell>
          <cell r="H842" t="str">
            <v>2010-03-31</v>
          </cell>
        </row>
        <row r="843">
          <cell r="A843" t="str">
            <v>480000</v>
          </cell>
          <cell r="B843" t="str">
            <v>1015</v>
          </cell>
          <cell r="C843">
            <v>-23351.24</v>
          </cell>
          <cell r="D843" t="str">
            <v>204</v>
          </cell>
          <cell r="E843" t="str">
            <v>407</v>
          </cell>
          <cell r="F843">
            <v>0</v>
          </cell>
          <cell r="G843">
            <v>6</v>
          </cell>
          <cell r="H843" t="str">
            <v>2010-06-30</v>
          </cell>
        </row>
        <row r="844">
          <cell r="A844" t="str">
            <v>480001</v>
          </cell>
          <cell r="B844" t="str">
            <v>1015</v>
          </cell>
          <cell r="C844">
            <v>1042.1300000000001</v>
          </cell>
          <cell r="D844" t="str">
            <v>204</v>
          </cell>
          <cell r="E844" t="str">
            <v>407</v>
          </cell>
          <cell r="F844">
            <v>0</v>
          </cell>
          <cell r="G844">
            <v>7</v>
          </cell>
          <cell r="H844" t="str">
            <v>2009-07-31</v>
          </cell>
        </row>
        <row r="845">
          <cell r="A845" t="str">
            <v>481006</v>
          </cell>
          <cell r="B845" t="str">
            <v>1015</v>
          </cell>
          <cell r="C845">
            <v>-461944.82</v>
          </cell>
          <cell r="D845" t="str">
            <v>204</v>
          </cell>
          <cell r="E845" t="str">
            <v>407</v>
          </cell>
          <cell r="F845">
            <v>0</v>
          </cell>
          <cell r="G845">
            <v>8</v>
          </cell>
          <cell r="H845" t="str">
            <v>2009-08-31</v>
          </cell>
        </row>
        <row r="846">
          <cell r="A846" t="str">
            <v>481006</v>
          </cell>
          <cell r="B846" t="str">
            <v>1015</v>
          </cell>
          <cell r="C846">
            <v>-63</v>
          </cell>
          <cell r="D846" t="str">
            <v>204</v>
          </cell>
          <cell r="E846" t="str">
            <v>407</v>
          </cell>
          <cell r="F846">
            <v>0</v>
          </cell>
          <cell r="G846">
            <v>2</v>
          </cell>
          <cell r="H846" t="str">
            <v>2010-02-28</v>
          </cell>
        </row>
        <row r="847">
          <cell r="A847" t="str">
            <v>481006</v>
          </cell>
          <cell r="B847" t="str">
            <v>1015</v>
          </cell>
          <cell r="C847">
            <v>681936</v>
          </cell>
          <cell r="D847" t="str">
            <v>204</v>
          </cell>
          <cell r="E847" t="str">
            <v>407</v>
          </cell>
          <cell r="F847">
            <v>0</v>
          </cell>
          <cell r="G847">
            <v>3</v>
          </cell>
          <cell r="H847" t="str">
            <v>2010-03-31</v>
          </cell>
        </row>
        <row r="848">
          <cell r="A848" t="str">
            <v>481004</v>
          </cell>
          <cell r="B848" t="str">
            <v>1015</v>
          </cell>
          <cell r="C848">
            <v>-5923.92</v>
          </cell>
          <cell r="D848" t="str">
            <v>204</v>
          </cell>
          <cell r="E848" t="str">
            <v>407</v>
          </cell>
          <cell r="F848">
            <v>0</v>
          </cell>
          <cell r="G848">
            <v>9</v>
          </cell>
          <cell r="H848" t="str">
            <v>2009-09-30</v>
          </cell>
        </row>
        <row r="849">
          <cell r="A849" t="str">
            <v>480000</v>
          </cell>
          <cell r="B849" t="str">
            <v>1015</v>
          </cell>
          <cell r="C849">
            <v>-19555755.010000002</v>
          </cell>
          <cell r="D849" t="str">
            <v>204</v>
          </cell>
          <cell r="E849" t="str">
            <v>407</v>
          </cell>
          <cell r="F849">
            <v>0</v>
          </cell>
          <cell r="G849">
            <v>11</v>
          </cell>
          <cell r="H849" t="str">
            <v>2009-11-30</v>
          </cell>
        </row>
        <row r="850">
          <cell r="A850" t="str">
            <v>481004</v>
          </cell>
          <cell r="B850" t="str">
            <v>1015</v>
          </cell>
          <cell r="C850">
            <v>-23443158.210000001</v>
          </cell>
          <cell r="D850" t="str">
            <v>204</v>
          </cell>
          <cell r="E850" t="str">
            <v>407</v>
          </cell>
          <cell r="F850">
            <v>0</v>
          </cell>
          <cell r="G850">
            <v>1</v>
          </cell>
          <cell r="H850" t="str">
            <v>2010-01-31</v>
          </cell>
        </row>
        <row r="851">
          <cell r="A851" t="str">
            <v>481004</v>
          </cell>
          <cell r="B851" t="str">
            <v>1015</v>
          </cell>
          <cell r="C851">
            <v>-52742.8</v>
          </cell>
          <cell r="D851" t="str">
            <v>204</v>
          </cell>
          <cell r="E851" t="str">
            <v>407</v>
          </cell>
          <cell r="F851">
            <v>0</v>
          </cell>
          <cell r="G851">
            <v>1</v>
          </cell>
          <cell r="H851" t="str">
            <v>2010-01-31</v>
          </cell>
        </row>
        <row r="852">
          <cell r="A852" t="str">
            <v>481004</v>
          </cell>
          <cell r="B852" t="str">
            <v>1015</v>
          </cell>
          <cell r="C852">
            <v>-15232.88</v>
          </cell>
          <cell r="D852" t="str">
            <v>204</v>
          </cell>
          <cell r="E852" t="str">
            <v>407</v>
          </cell>
          <cell r="F852">
            <v>0</v>
          </cell>
          <cell r="G852">
            <v>5</v>
          </cell>
          <cell r="H852" t="str">
            <v>2010-05-31</v>
          </cell>
        </row>
        <row r="853">
          <cell r="A853" t="str">
            <v>480001</v>
          </cell>
          <cell r="B853" t="str">
            <v>1015</v>
          </cell>
          <cell r="C853">
            <v>-10931801.09</v>
          </cell>
          <cell r="D853" t="str">
            <v>204</v>
          </cell>
          <cell r="E853" t="str">
            <v>407</v>
          </cell>
          <cell r="F853">
            <v>0</v>
          </cell>
          <cell r="G853">
            <v>12</v>
          </cell>
          <cell r="H853" t="str">
            <v>2009-12-31</v>
          </cell>
        </row>
        <row r="854">
          <cell r="A854" t="str">
            <v>480001</v>
          </cell>
          <cell r="B854" t="str">
            <v>1015</v>
          </cell>
          <cell r="C854">
            <v>-11843.6</v>
          </cell>
          <cell r="D854" t="str">
            <v>204</v>
          </cell>
          <cell r="E854" t="str">
            <v>407</v>
          </cell>
          <cell r="F854">
            <v>0</v>
          </cell>
          <cell r="G854">
            <v>12</v>
          </cell>
          <cell r="H854" t="str">
            <v>2009-12-31</v>
          </cell>
        </row>
        <row r="855">
          <cell r="A855" t="str">
            <v>481006</v>
          </cell>
          <cell r="B855" t="str">
            <v>1015</v>
          </cell>
          <cell r="C855">
            <v>-7891.47</v>
          </cell>
          <cell r="D855" t="str">
            <v>204</v>
          </cell>
          <cell r="E855" t="str">
            <v>407</v>
          </cell>
          <cell r="F855">
            <v>0</v>
          </cell>
          <cell r="G855">
            <v>12</v>
          </cell>
          <cell r="H855" t="str">
            <v>2009-12-31</v>
          </cell>
        </row>
        <row r="856">
          <cell r="A856" t="str">
            <v>480001</v>
          </cell>
          <cell r="B856" t="str">
            <v>1015</v>
          </cell>
          <cell r="C856">
            <v>7009.6</v>
          </cell>
          <cell r="D856" t="str">
            <v>204</v>
          </cell>
          <cell r="E856" t="str">
            <v>407</v>
          </cell>
          <cell r="F856">
            <v>0</v>
          </cell>
          <cell r="G856">
            <v>1</v>
          </cell>
          <cell r="H856" t="str">
            <v>2010-01-31</v>
          </cell>
        </row>
        <row r="857">
          <cell r="A857" t="str">
            <v>481006</v>
          </cell>
          <cell r="B857" t="str">
            <v>1015</v>
          </cell>
          <cell r="C857">
            <v>2894.23</v>
          </cell>
          <cell r="D857" t="str">
            <v>204</v>
          </cell>
          <cell r="E857" t="str">
            <v>407</v>
          </cell>
          <cell r="F857">
            <v>0</v>
          </cell>
          <cell r="G857">
            <v>1</v>
          </cell>
          <cell r="H857" t="str">
            <v>2010-01-31</v>
          </cell>
        </row>
        <row r="858">
          <cell r="A858" t="str">
            <v>480001</v>
          </cell>
          <cell r="B858" t="str">
            <v>1015</v>
          </cell>
          <cell r="C858">
            <v>1855721</v>
          </cell>
          <cell r="D858" t="str">
            <v>204</v>
          </cell>
          <cell r="E858" t="str">
            <v>407</v>
          </cell>
          <cell r="F858">
            <v>0</v>
          </cell>
          <cell r="G858">
            <v>3</v>
          </cell>
          <cell r="H858" t="str">
            <v>2010-03-31</v>
          </cell>
        </row>
        <row r="859">
          <cell r="A859" t="str">
            <v>481006</v>
          </cell>
          <cell r="B859" t="str">
            <v>1015</v>
          </cell>
          <cell r="C859">
            <v>6244</v>
          </cell>
          <cell r="D859" t="str">
            <v>204</v>
          </cell>
          <cell r="E859" t="str">
            <v>407</v>
          </cell>
          <cell r="F859">
            <v>0</v>
          </cell>
          <cell r="G859">
            <v>4</v>
          </cell>
          <cell r="H859" t="str">
            <v>2010-04-30</v>
          </cell>
        </row>
        <row r="860">
          <cell r="A860" t="str">
            <v>480000</v>
          </cell>
          <cell r="B860" t="str">
            <v>1015</v>
          </cell>
          <cell r="C860">
            <v>-7035961.0099999998</v>
          </cell>
          <cell r="D860" t="str">
            <v>204</v>
          </cell>
          <cell r="E860" t="str">
            <v>407</v>
          </cell>
          <cell r="F860">
            <v>0</v>
          </cell>
          <cell r="G860">
            <v>9</v>
          </cell>
          <cell r="H860" t="str">
            <v>2009-09-30</v>
          </cell>
        </row>
        <row r="861">
          <cell r="A861" t="str">
            <v>481004</v>
          </cell>
          <cell r="B861" t="str">
            <v>1015</v>
          </cell>
          <cell r="C861">
            <v>-4385346.1399999997</v>
          </cell>
          <cell r="D861" t="str">
            <v>204</v>
          </cell>
          <cell r="E861" t="str">
            <v>407</v>
          </cell>
          <cell r="F861">
            <v>0</v>
          </cell>
          <cell r="G861">
            <v>10</v>
          </cell>
          <cell r="H861" t="str">
            <v>2009-10-31</v>
          </cell>
        </row>
        <row r="862">
          <cell r="A862" t="str">
            <v>480000</v>
          </cell>
          <cell r="B862" t="str">
            <v>1015</v>
          </cell>
          <cell r="C862">
            <v>-76878.399999999994</v>
          </cell>
          <cell r="D862" t="str">
            <v>204</v>
          </cell>
          <cell r="E862" t="str">
            <v>407</v>
          </cell>
          <cell r="F862">
            <v>0</v>
          </cell>
          <cell r="G862">
            <v>12</v>
          </cell>
          <cell r="H862" t="str">
            <v>2009-12-31</v>
          </cell>
        </row>
        <row r="863">
          <cell r="A863" t="str">
            <v>481004</v>
          </cell>
          <cell r="B863" t="str">
            <v>1015</v>
          </cell>
          <cell r="C863">
            <v>-14717481.24</v>
          </cell>
          <cell r="D863" t="str">
            <v>204</v>
          </cell>
          <cell r="E863" t="str">
            <v>407</v>
          </cell>
          <cell r="F863">
            <v>0</v>
          </cell>
          <cell r="G863">
            <v>3</v>
          </cell>
          <cell r="H863" t="str">
            <v>2010-03-31</v>
          </cell>
        </row>
        <row r="864">
          <cell r="A864" t="str">
            <v>481004</v>
          </cell>
          <cell r="B864" t="str">
            <v>1015</v>
          </cell>
          <cell r="C864">
            <v>-12226122.58</v>
          </cell>
          <cell r="D864" t="str">
            <v>204</v>
          </cell>
          <cell r="E864" t="str">
            <v>407</v>
          </cell>
          <cell r="F864">
            <v>0</v>
          </cell>
          <cell r="G864">
            <v>4</v>
          </cell>
          <cell r="H864" t="str">
            <v>2010-04-30</v>
          </cell>
        </row>
        <row r="865">
          <cell r="A865" t="str">
            <v>481006</v>
          </cell>
          <cell r="B865" t="str">
            <v>1015</v>
          </cell>
          <cell r="C865">
            <v>-2126495.86</v>
          </cell>
          <cell r="D865" t="str">
            <v>204</v>
          </cell>
          <cell r="E865" t="str">
            <v>407</v>
          </cell>
          <cell r="F865">
            <v>0</v>
          </cell>
          <cell r="G865">
            <v>10</v>
          </cell>
          <cell r="H865" t="str">
            <v>2009-10-31</v>
          </cell>
        </row>
        <row r="866">
          <cell r="A866" t="str">
            <v>480001</v>
          </cell>
          <cell r="B866" t="str">
            <v>1015</v>
          </cell>
          <cell r="C866">
            <v>-11170.29</v>
          </cell>
          <cell r="D866" t="str">
            <v>204</v>
          </cell>
          <cell r="E866" t="str">
            <v>407</v>
          </cell>
          <cell r="F866">
            <v>0</v>
          </cell>
          <cell r="G866">
            <v>10</v>
          </cell>
          <cell r="H866" t="str">
            <v>2009-10-31</v>
          </cell>
        </row>
        <row r="867">
          <cell r="A867" t="str">
            <v>480001</v>
          </cell>
          <cell r="B867" t="str">
            <v>1015</v>
          </cell>
          <cell r="C867">
            <v>3547938</v>
          </cell>
          <cell r="D867" t="str">
            <v>204</v>
          </cell>
          <cell r="E867" t="str">
            <v>407</v>
          </cell>
          <cell r="F867">
            <v>0</v>
          </cell>
          <cell r="G867">
            <v>2</v>
          </cell>
          <cell r="H867" t="str">
            <v>2010-02-28</v>
          </cell>
        </row>
        <row r="868">
          <cell r="A868" t="str">
            <v>481006</v>
          </cell>
          <cell r="B868" t="str">
            <v>1015</v>
          </cell>
          <cell r="C868">
            <v>1582416</v>
          </cell>
          <cell r="D868" t="str">
            <v>204</v>
          </cell>
          <cell r="E868" t="str">
            <v>407</v>
          </cell>
          <cell r="F868">
            <v>0</v>
          </cell>
          <cell r="G868">
            <v>2</v>
          </cell>
          <cell r="H868" t="str">
            <v>2010-02-28</v>
          </cell>
        </row>
        <row r="869">
          <cell r="A869" t="str">
            <v>480001</v>
          </cell>
          <cell r="B869" t="str">
            <v>1015</v>
          </cell>
          <cell r="C869">
            <v>318</v>
          </cell>
          <cell r="D869" t="str">
            <v>204</v>
          </cell>
          <cell r="E869" t="str">
            <v>407</v>
          </cell>
          <cell r="F869">
            <v>0</v>
          </cell>
          <cell r="G869">
            <v>2</v>
          </cell>
          <cell r="H869" t="str">
            <v>2010-02-28</v>
          </cell>
        </row>
        <row r="870">
          <cell r="A870" t="str">
            <v>480001</v>
          </cell>
          <cell r="B870" t="str">
            <v>1015</v>
          </cell>
          <cell r="C870">
            <v>1426817</v>
          </cell>
          <cell r="D870" t="str">
            <v>204</v>
          </cell>
          <cell r="E870" t="str">
            <v>407</v>
          </cell>
          <cell r="F870">
            <v>0</v>
          </cell>
          <cell r="G870">
            <v>5</v>
          </cell>
          <cell r="H870" t="str">
            <v>2010-05-31</v>
          </cell>
        </row>
        <row r="871">
          <cell r="A871" t="str">
            <v>480001</v>
          </cell>
          <cell r="B871" t="str">
            <v>1015</v>
          </cell>
          <cell r="C871">
            <v>15646</v>
          </cell>
          <cell r="D871" t="str">
            <v>204</v>
          </cell>
          <cell r="E871" t="str">
            <v>407</v>
          </cell>
          <cell r="F871">
            <v>0</v>
          </cell>
          <cell r="G871">
            <v>6</v>
          </cell>
          <cell r="H871" t="str">
            <v>2010-06-30</v>
          </cell>
        </row>
        <row r="872">
          <cell r="A872" t="str">
            <v>480001</v>
          </cell>
          <cell r="B872" t="str">
            <v>1015</v>
          </cell>
          <cell r="C872">
            <v>6064237</v>
          </cell>
          <cell r="D872" t="str">
            <v>204</v>
          </cell>
          <cell r="E872" t="str">
            <v>407</v>
          </cell>
          <cell r="F872">
            <v>0</v>
          </cell>
          <cell r="G872">
            <v>6</v>
          </cell>
          <cell r="H872" t="str">
            <v>2010-06-30</v>
          </cell>
        </row>
        <row r="873">
          <cell r="A873" t="str">
            <v>481004</v>
          </cell>
          <cell r="B873" t="str">
            <v>1015</v>
          </cell>
          <cell r="C873">
            <v>-6472.2</v>
          </cell>
          <cell r="D873" t="str">
            <v>204</v>
          </cell>
          <cell r="E873" t="str">
            <v>407</v>
          </cell>
          <cell r="F873">
            <v>0</v>
          </cell>
          <cell r="G873">
            <v>7</v>
          </cell>
          <cell r="H873" t="str">
            <v>2009-07-31</v>
          </cell>
        </row>
        <row r="874">
          <cell r="A874" t="str">
            <v>480000</v>
          </cell>
          <cell r="B874" t="str">
            <v>1015</v>
          </cell>
          <cell r="C874">
            <v>-70758.710000000006</v>
          </cell>
          <cell r="D874" t="str">
            <v>204</v>
          </cell>
          <cell r="E874" t="str">
            <v>407</v>
          </cell>
          <cell r="F874">
            <v>0</v>
          </cell>
          <cell r="G874">
            <v>2</v>
          </cell>
          <cell r="H874" t="str">
            <v>2010-02-28</v>
          </cell>
        </row>
        <row r="875">
          <cell r="A875" t="str">
            <v>480000</v>
          </cell>
          <cell r="B875" t="str">
            <v>1015</v>
          </cell>
          <cell r="C875">
            <v>-53430.95</v>
          </cell>
          <cell r="D875" t="str">
            <v>204</v>
          </cell>
          <cell r="E875" t="str">
            <v>407</v>
          </cell>
          <cell r="F875">
            <v>0</v>
          </cell>
          <cell r="G875">
            <v>4</v>
          </cell>
          <cell r="H875" t="str">
            <v>2010-04-30</v>
          </cell>
        </row>
        <row r="876">
          <cell r="A876" t="str">
            <v>481000</v>
          </cell>
          <cell r="B876" t="str">
            <v>1015</v>
          </cell>
          <cell r="C876">
            <v>-8250.5400000000009</v>
          </cell>
          <cell r="D876" t="str">
            <v>204</v>
          </cell>
          <cell r="E876" t="str">
            <v>407</v>
          </cell>
          <cell r="F876">
            <v>0</v>
          </cell>
          <cell r="G876">
            <v>4</v>
          </cell>
          <cell r="H876" t="str">
            <v>2010-04-30</v>
          </cell>
        </row>
        <row r="877">
          <cell r="A877" t="str">
            <v>480000</v>
          </cell>
          <cell r="B877" t="str">
            <v>1015</v>
          </cell>
          <cell r="C877">
            <v>-18209797.719999999</v>
          </cell>
          <cell r="D877" t="str">
            <v>204</v>
          </cell>
          <cell r="E877" t="str">
            <v>407</v>
          </cell>
          <cell r="F877">
            <v>0</v>
          </cell>
          <cell r="G877">
            <v>5</v>
          </cell>
          <cell r="H877" t="str">
            <v>2010-05-31</v>
          </cell>
        </row>
        <row r="878">
          <cell r="A878" t="str">
            <v>480000</v>
          </cell>
          <cell r="B878" t="str">
            <v>1015</v>
          </cell>
          <cell r="C878">
            <v>-34184.160000000003</v>
          </cell>
          <cell r="D878" t="str">
            <v>204</v>
          </cell>
          <cell r="E878" t="str">
            <v>407</v>
          </cell>
          <cell r="F878">
            <v>0</v>
          </cell>
          <cell r="G878">
            <v>5</v>
          </cell>
          <cell r="H878" t="str">
            <v>2010-05-31</v>
          </cell>
        </row>
        <row r="879">
          <cell r="A879" t="str">
            <v>480001</v>
          </cell>
          <cell r="B879" t="str">
            <v>1015</v>
          </cell>
          <cell r="C879">
            <v>-4503.79</v>
          </cell>
          <cell r="D879" t="str">
            <v>204</v>
          </cell>
          <cell r="E879" t="str">
            <v>407</v>
          </cell>
          <cell r="F879">
            <v>0</v>
          </cell>
          <cell r="G879">
            <v>8</v>
          </cell>
          <cell r="H879" t="str">
            <v>2009-08-31</v>
          </cell>
        </row>
        <row r="880">
          <cell r="A880" t="str">
            <v>481006</v>
          </cell>
          <cell r="B880" t="str">
            <v>1015</v>
          </cell>
          <cell r="C880">
            <v>-1695.64</v>
          </cell>
          <cell r="D880" t="str">
            <v>204</v>
          </cell>
          <cell r="E880" t="str">
            <v>407</v>
          </cell>
          <cell r="F880">
            <v>0</v>
          </cell>
          <cell r="G880">
            <v>8</v>
          </cell>
          <cell r="H880" t="str">
            <v>2009-08-31</v>
          </cell>
        </row>
        <row r="881">
          <cell r="A881" t="str">
            <v>481006</v>
          </cell>
          <cell r="B881" t="str">
            <v>1015</v>
          </cell>
          <cell r="C881">
            <v>4162</v>
          </cell>
          <cell r="D881" t="str">
            <v>204</v>
          </cell>
          <cell r="E881" t="str">
            <v>407</v>
          </cell>
          <cell r="F881">
            <v>0</v>
          </cell>
          <cell r="G881">
            <v>3</v>
          </cell>
          <cell r="H881" t="str">
            <v>2010-03-31</v>
          </cell>
        </row>
        <row r="882">
          <cell r="A882" t="str">
            <v>480001</v>
          </cell>
          <cell r="B882" t="str">
            <v>1015</v>
          </cell>
          <cell r="C882">
            <v>5298737</v>
          </cell>
          <cell r="D882" t="str">
            <v>204</v>
          </cell>
          <cell r="E882" t="str">
            <v>407</v>
          </cell>
          <cell r="F882">
            <v>0</v>
          </cell>
          <cell r="G882">
            <v>4</v>
          </cell>
          <cell r="H882" t="str">
            <v>2010-04-30</v>
          </cell>
        </row>
        <row r="883">
          <cell r="A883" t="str">
            <v>480001</v>
          </cell>
          <cell r="B883" t="str">
            <v>1015</v>
          </cell>
          <cell r="C883">
            <v>659</v>
          </cell>
          <cell r="D883" t="str">
            <v>204</v>
          </cell>
          <cell r="E883" t="str">
            <v>407</v>
          </cell>
          <cell r="F883">
            <v>0</v>
          </cell>
          <cell r="G883">
            <v>5</v>
          </cell>
          <cell r="H883" t="str">
            <v>2010-05-31</v>
          </cell>
        </row>
        <row r="884">
          <cell r="A884" t="str">
            <v>480000</v>
          </cell>
          <cell r="B884" t="str">
            <v>1015</v>
          </cell>
          <cell r="C884">
            <v>-12614.13</v>
          </cell>
          <cell r="D884" t="str">
            <v>204</v>
          </cell>
          <cell r="E884" t="str">
            <v>407</v>
          </cell>
          <cell r="F884">
            <v>0</v>
          </cell>
          <cell r="G884">
            <v>7</v>
          </cell>
          <cell r="H884" t="str">
            <v>2009-07-31</v>
          </cell>
        </row>
        <row r="885">
          <cell r="A885" t="str">
            <v>481004</v>
          </cell>
          <cell r="B885" t="str">
            <v>1015</v>
          </cell>
          <cell r="C885">
            <v>-2498819.56</v>
          </cell>
          <cell r="D885" t="str">
            <v>204</v>
          </cell>
          <cell r="E885" t="str">
            <v>407</v>
          </cell>
          <cell r="F885">
            <v>0</v>
          </cell>
          <cell r="G885">
            <v>9</v>
          </cell>
          <cell r="H885" t="str">
            <v>2009-09-30</v>
          </cell>
        </row>
        <row r="886">
          <cell r="A886" t="str">
            <v>481004</v>
          </cell>
          <cell r="B886" t="str">
            <v>1015</v>
          </cell>
          <cell r="C886">
            <v>-7927784.71</v>
          </cell>
          <cell r="D886" t="str">
            <v>204</v>
          </cell>
          <cell r="E886" t="str">
            <v>407</v>
          </cell>
          <cell r="F886">
            <v>0</v>
          </cell>
          <cell r="G886">
            <v>11</v>
          </cell>
          <cell r="H886" t="str">
            <v>2009-11-30</v>
          </cell>
        </row>
        <row r="887">
          <cell r="A887" t="str">
            <v>480000</v>
          </cell>
          <cell r="B887" t="str">
            <v>1015</v>
          </cell>
          <cell r="C887">
            <v>-96866.97</v>
          </cell>
          <cell r="D887" t="str">
            <v>204</v>
          </cell>
          <cell r="E887" t="str">
            <v>407</v>
          </cell>
          <cell r="F887">
            <v>0</v>
          </cell>
          <cell r="G887">
            <v>1</v>
          </cell>
          <cell r="H887" t="str">
            <v>2010-01-31</v>
          </cell>
        </row>
        <row r="888">
          <cell r="A888" t="str">
            <v>480000</v>
          </cell>
          <cell r="B888" t="str">
            <v>1015</v>
          </cell>
          <cell r="C888">
            <v>-62348.21</v>
          </cell>
          <cell r="D888" t="str">
            <v>204</v>
          </cell>
          <cell r="E888" t="str">
            <v>407</v>
          </cell>
          <cell r="F888">
            <v>0</v>
          </cell>
          <cell r="G888">
            <v>3</v>
          </cell>
          <cell r="H888" t="str">
            <v>2010-03-31</v>
          </cell>
        </row>
        <row r="889">
          <cell r="A889" t="str">
            <v>480000</v>
          </cell>
          <cell r="B889" t="str">
            <v>1015</v>
          </cell>
          <cell r="C889">
            <v>-28840342.890000001</v>
          </cell>
          <cell r="D889" t="str">
            <v>204</v>
          </cell>
          <cell r="E889" t="str">
            <v>407</v>
          </cell>
          <cell r="F889">
            <v>0</v>
          </cell>
          <cell r="G889">
            <v>4</v>
          </cell>
          <cell r="H889" t="str">
            <v>2010-04-30</v>
          </cell>
        </row>
        <row r="890">
          <cell r="A890" t="str">
            <v>481004</v>
          </cell>
          <cell r="B890" t="str">
            <v>1015</v>
          </cell>
          <cell r="C890">
            <v>-26090.36</v>
          </cell>
          <cell r="D890" t="str">
            <v>204</v>
          </cell>
          <cell r="E890" t="str">
            <v>407</v>
          </cell>
          <cell r="F890">
            <v>0</v>
          </cell>
          <cell r="G890">
            <v>4</v>
          </cell>
          <cell r="H890" t="str">
            <v>2010-04-30</v>
          </cell>
        </row>
        <row r="891">
          <cell r="A891" t="str">
            <v>481000</v>
          </cell>
          <cell r="B891" t="str">
            <v>1015</v>
          </cell>
          <cell r="C891">
            <v>-5953.27</v>
          </cell>
          <cell r="D891" t="str">
            <v>204</v>
          </cell>
          <cell r="E891" t="str">
            <v>407</v>
          </cell>
          <cell r="F891">
            <v>0</v>
          </cell>
          <cell r="G891">
            <v>5</v>
          </cell>
          <cell r="H891" t="str">
            <v>2010-05-31</v>
          </cell>
        </row>
        <row r="892">
          <cell r="A892" t="str">
            <v>480000</v>
          </cell>
          <cell r="B892" t="str">
            <v>1015</v>
          </cell>
          <cell r="C892">
            <v>-12173018.5</v>
          </cell>
          <cell r="D892" t="str">
            <v>204</v>
          </cell>
          <cell r="E892" t="str">
            <v>407</v>
          </cell>
          <cell r="F892">
            <v>0</v>
          </cell>
          <cell r="G892">
            <v>6</v>
          </cell>
          <cell r="H892" t="str">
            <v>2010-06-30</v>
          </cell>
        </row>
        <row r="893">
          <cell r="A893" t="str">
            <v>481006</v>
          </cell>
          <cell r="B893" t="str">
            <v>1015</v>
          </cell>
          <cell r="C893">
            <v>381311.19</v>
          </cell>
          <cell r="D893" t="str">
            <v>204</v>
          </cell>
          <cell r="E893" t="str">
            <v>407</v>
          </cell>
          <cell r="F893">
            <v>0</v>
          </cell>
          <cell r="G893">
            <v>7</v>
          </cell>
          <cell r="H893" t="str">
            <v>2009-07-31</v>
          </cell>
        </row>
        <row r="894">
          <cell r="A894" t="str">
            <v>480001</v>
          </cell>
          <cell r="B894" t="str">
            <v>1015</v>
          </cell>
          <cell r="C894">
            <v>117298.01</v>
          </cell>
          <cell r="D894" t="str">
            <v>204</v>
          </cell>
          <cell r="E894" t="str">
            <v>407</v>
          </cell>
          <cell r="F894">
            <v>0</v>
          </cell>
          <cell r="G894">
            <v>9</v>
          </cell>
          <cell r="H894" t="str">
            <v>2009-09-30</v>
          </cell>
        </row>
        <row r="895">
          <cell r="A895" t="str">
            <v>480001</v>
          </cell>
          <cell r="B895" t="str">
            <v>1015</v>
          </cell>
          <cell r="C895">
            <v>1346.64</v>
          </cell>
          <cell r="D895" t="str">
            <v>204</v>
          </cell>
          <cell r="E895" t="str">
            <v>407</v>
          </cell>
          <cell r="F895">
            <v>0</v>
          </cell>
          <cell r="G895">
            <v>9</v>
          </cell>
          <cell r="H895" t="str">
            <v>2009-09-30</v>
          </cell>
        </row>
        <row r="896">
          <cell r="A896" t="str">
            <v>480001</v>
          </cell>
          <cell r="B896" t="str">
            <v>1015</v>
          </cell>
          <cell r="C896">
            <v>-6401960.9900000002</v>
          </cell>
          <cell r="D896" t="str">
            <v>204</v>
          </cell>
          <cell r="E896" t="str">
            <v>407</v>
          </cell>
          <cell r="F896">
            <v>0</v>
          </cell>
          <cell r="G896">
            <v>11</v>
          </cell>
          <cell r="H896" t="str">
            <v>2009-11-30</v>
          </cell>
        </row>
        <row r="897">
          <cell r="A897" t="str">
            <v>480001</v>
          </cell>
          <cell r="B897" t="str">
            <v>1015</v>
          </cell>
          <cell r="C897">
            <v>-11311.67</v>
          </cell>
          <cell r="D897" t="str">
            <v>204</v>
          </cell>
          <cell r="E897" t="str">
            <v>407</v>
          </cell>
          <cell r="F897">
            <v>0</v>
          </cell>
          <cell r="G897">
            <v>11</v>
          </cell>
          <cell r="H897" t="str">
            <v>2009-11-30</v>
          </cell>
        </row>
        <row r="898">
          <cell r="A898" t="str">
            <v>480001</v>
          </cell>
          <cell r="B898" t="str">
            <v>1015</v>
          </cell>
          <cell r="C898">
            <v>5416195.9299999997</v>
          </cell>
          <cell r="D898" t="str">
            <v>204</v>
          </cell>
          <cell r="E898" t="str">
            <v>407</v>
          </cell>
          <cell r="F898">
            <v>0</v>
          </cell>
          <cell r="G898">
            <v>1</v>
          </cell>
          <cell r="H898" t="str">
            <v>2010-01-31</v>
          </cell>
        </row>
        <row r="899">
          <cell r="A899" t="str">
            <v>480001</v>
          </cell>
          <cell r="B899" t="str">
            <v>1015</v>
          </cell>
          <cell r="C899">
            <v>7960</v>
          </cell>
          <cell r="D899" t="str">
            <v>204</v>
          </cell>
          <cell r="E899" t="str">
            <v>407</v>
          </cell>
          <cell r="F899">
            <v>0</v>
          </cell>
          <cell r="G899">
            <v>3</v>
          </cell>
          <cell r="H899" t="str">
            <v>2010-03-31</v>
          </cell>
        </row>
        <row r="900">
          <cell r="A900" t="str">
            <v>481004</v>
          </cell>
          <cell r="B900" t="str">
            <v>1015</v>
          </cell>
          <cell r="C900">
            <v>-11526.52</v>
          </cell>
          <cell r="D900" t="str">
            <v>204</v>
          </cell>
          <cell r="E900" t="str">
            <v>407</v>
          </cell>
          <cell r="F900">
            <v>0</v>
          </cell>
          <cell r="G900">
            <v>10</v>
          </cell>
          <cell r="H900" t="str">
            <v>2009-10-31</v>
          </cell>
        </row>
        <row r="901">
          <cell r="A901" t="str">
            <v>480000</v>
          </cell>
          <cell r="B901" t="str">
            <v>1015</v>
          </cell>
          <cell r="C901">
            <v>-46591.33</v>
          </cell>
          <cell r="D901" t="str">
            <v>204</v>
          </cell>
          <cell r="E901" t="str">
            <v>407</v>
          </cell>
          <cell r="F901">
            <v>0</v>
          </cell>
          <cell r="G901">
            <v>11</v>
          </cell>
          <cell r="H901" t="str">
            <v>2009-11-30</v>
          </cell>
        </row>
        <row r="902">
          <cell r="A902" t="str">
            <v>481004</v>
          </cell>
          <cell r="B902" t="str">
            <v>1015</v>
          </cell>
          <cell r="C902">
            <v>-41321.53</v>
          </cell>
          <cell r="D902" t="str">
            <v>204</v>
          </cell>
          <cell r="E902" t="str">
            <v>407</v>
          </cell>
          <cell r="F902">
            <v>0</v>
          </cell>
          <cell r="G902">
            <v>12</v>
          </cell>
          <cell r="H902" t="str">
            <v>2009-12-31</v>
          </cell>
        </row>
        <row r="903">
          <cell r="A903" t="str">
            <v>481004</v>
          </cell>
          <cell r="B903" t="str">
            <v>1015</v>
          </cell>
          <cell r="C903">
            <v>-16307129.73</v>
          </cell>
          <cell r="D903" t="str">
            <v>204</v>
          </cell>
          <cell r="E903" t="str">
            <v>407</v>
          </cell>
          <cell r="F903">
            <v>0</v>
          </cell>
          <cell r="G903">
            <v>2</v>
          </cell>
          <cell r="H903" t="str">
            <v>2010-02-28</v>
          </cell>
        </row>
        <row r="904">
          <cell r="A904" t="str">
            <v>481004</v>
          </cell>
          <cell r="B904" t="str">
            <v>1015</v>
          </cell>
          <cell r="C904">
            <v>-4742252.43</v>
          </cell>
          <cell r="D904" t="str">
            <v>204</v>
          </cell>
          <cell r="E904" t="str">
            <v>407</v>
          </cell>
          <cell r="F904">
            <v>0</v>
          </cell>
          <cell r="G904">
            <v>6</v>
          </cell>
          <cell r="H904" t="str">
            <v>2010-06-30</v>
          </cell>
        </row>
        <row r="905">
          <cell r="A905" t="str">
            <v>480001</v>
          </cell>
          <cell r="B905" t="str">
            <v>1015</v>
          </cell>
          <cell r="C905">
            <v>826508.06</v>
          </cell>
          <cell r="D905" t="str">
            <v>204</v>
          </cell>
          <cell r="E905" t="str">
            <v>407</v>
          </cell>
          <cell r="F905">
            <v>0</v>
          </cell>
          <cell r="G905">
            <v>7</v>
          </cell>
          <cell r="H905" t="str">
            <v>2009-07-31</v>
          </cell>
        </row>
        <row r="906">
          <cell r="A906" t="str">
            <v>481006</v>
          </cell>
          <cell r="B906" t="str">
            <v>1015</v>
          </cell>
          <cell r="C906">
            <v>83975.56</v>
          </cell>
          <cell r="D906" t="str">
            <v>204</v>
          </cell>
          <cell r="E906" t="str">
            <v>407</v>
          </cell>
          <cell r="F906">
            <v>0</v>
          </cell>
          <cell r="G906">
            <v>9</v>
          </cell>
          <cell r="H906" t="str">
            <v>2009-09-30</v>
          </cell>
        </row>
        <row r="907">
          <cell r="A907" t="str">
            <v>481006</v>
          </cell>
          <cell r="B907" t="str">
            <v>1015</v>
          </cell>
          <cell r="C907">
            <v>-5812.41</v>
          </cell>
          <cell r="D907" t="str">
            <v>204</v>
          </cell>
          <cell r="E907" t="str">
            <v>407</v>
          </cell>
          <cell r="F907">
            <v>0</v>
          </cell>
          <cell r="G907">
            <v>11</v>
          </cell>
          <cell r="H907" t="str">
            <v>2009-11-30</v>
          </cell>
        </row>
        <row r="908">
          <cell r="A908" t="str">
            <v>481006</v>
          </cell>
          <cell r="B908" t="str">
            <v>1015</v>
          </cell>
          <cell r="C908">
            <v>2409633.2400000002</v>
          </cell>
          <cell r="D908" t="str">
            <v>204</v>
          </cell>
          <cell r="E908" t="str">
            <v>407</v>
          </cell>
          <cell r="F908">
            <v>0</v>
          </cell>
          <cell r="G908">
            <v>1</v>
          </cell>
          <cell r="H908" t="str">
            <v>2010-01-31</v>
          </cell>
        </row>
        <row r="909">
          <cell r="A909" t="str">
            <v>480001</v>
          </cell>
          <cell r="B909" t="str">
            <v>1015</v>
          </cell>
          <cell r="C909">
            <v>11310</v>
          </cell>
          <cell r="D909" t="str">
            <v>204</v>
          </cell>
          <cell r="E909" t="str">
            <v>407</v>
          </cell>
          <cell r="F909">
            <v>0</v>
          </cell>
          <cell r="G909">
            <v>4</v>
          </cell>
          <cell r="H909" t="str">
            <v>2010-04-30</v>
          </cell>
        </row>
        <row r="910">
          <cell r="A910" t="str">
            <v>481006</v>
          </cell>
          <cell r="B910" t="str">
            <v>1015</v>
          </cell>
          <cell r="C910">
            <v>2941183</v>
          </cell>
          <cell r="D910" t="str">
            <v>204</v>
          </cell>
          <cell r="E910" t="str">
            <v>407</v>
          </cell>
          <cell r="F910">
            <v>0</v>
          </cell>
          <cell r="G910">
            <v>6</v>
          </cell>
          <cell r="H910" t="str">
            <v>2010-06-30</v>
          </cell>
        </row>
        <row r="911">
          <cell r="A911" t="str">
            <v>480000</v>
          </cell>
          <cell r="B911" t="str">
            <v>1015</v>
          </cell>
          <cell r="C911">
            <v>-6791731.0499999998</v>
          </cell>
          <cell r="D911" t="str">
            <v>204</v>
          </cell>
          <cell r="E911" t="str">
            <v>407</v>
          </cell>
          <cell r="F911">
            <v>0</v>
          </cell>
          <cell r="G911">
            <v>8</v>
          </cell>
          <cell r="H911" t="str">
            <v>2009-08-31</v>
          </cell>
        </row>
        <row r="912">
          <cell r="A912" t="str">
            <v>481004</v>
          </cell>
          <cell r="B912" t="str">
            <v>1015</v>
          </cell>
          <cell r="C912">
            <v>-2359016.14</v>
          </cell>
          <cell r="D912" t="str">
            <v>204</v>
          </cell>
          <cell r="E912" t="str">
            <v>407</v>
          </cell>
          <cell r="F912">
            <v>0</v>
          </cell>
          <cell r="G912">
            <v>8</v>
          </cell>
          <cell r="H912" t="str">
            <v>2009-08-31</v>
          </cell>
        </row>
        <row r="913">
          <cell r="A913" t="str">
            <v>480000</v>
          </cell>
          <cell r="B913" t="str">
            <v>1015</v>
          </cell>
          <cell r="C913">
            <v>-26496.71</v>
          </cell>
          <cell r="D913" t="str">
            <v>204</v>
          </cell>
          <cell r="E913" t="str">
            <v>407</v>
          </cell>
          <cell r="F913">
            <v>0</v>
          </cell>
          <cell r="G913">
            <v>10</v>
          </cell>
          <cell r="H913" t="str">
            <v>2009-10-31</v>
          </cell>
        </row>
        <row r="914">
          <cell r="A914" t="str">
            <v>480000</v>
          </cell>
          <cell r="B914" t="str">
            <v>1015</v>
          </cell>
          <cell r="C914">
            <v>-12109021.699999999</v>
          </cell>
          <cell r="D914" t="str">
            <v>204</v>
          </cell>
          <cell r="E914" t="str">
            <v>407</v>
          </cell>
          <cell r="F914">
            <v>0</v>
          </cell>
          <cell r="G914">
            <v>10</v>
          </cell>
          <cell r="H914" t="str">
            <v>2009-10-31</v>
          </cell>
        </row>
        <row r="915">
          <cell r="A915" t="str">
            <v>481004</v>
          </cell>
          <cell r="B915" t="str">
            <v>1015</v>
          </cell>
          <cell r="C915">
            <v>-17147462.239999998</v>
          </cell>
          <cell r="D915" t="str">
            <v>204</v>
          </cell>
          <cell r="E915" t="str">
            <v>407</v>
          </cell>
          <cell r="F915">
            <v>0</v>
          </cell>
          <cell r="G915">
            <v>12</v>
          </cell>
          <cell r="H915" t="str">
            <v>2009-12-31</v>
          </cell>
        </row>
        <row r="916">
          <cell r="A916" t="str">
            <v>480000</v>
          </cell>
          <cell r="B916" t="str">
            <v>1015</v>
          </cell>
          <cell r="C916">
            <v>-52845105.310000002</v>
          </cell>
          <cell r="D916" t="str">
            <v>204</v>
          </cell>
          <cell r="E916" t="str">
            <v>407</v>
          </cell>
          <cell r="F916">
            <v>0</v>
          </cell>
          <cell r="G916">
            <v>1</v>
          </cell>
          <cell r="H916" t="str">
            <v>2010-01-31</v>
          </cell>
        </row>
        <row r="917">
          <cell r="A917" t="str">
            <v>480000</v>
          </cell>
          <cell r="B917" t="str">
            <v>1015</v>
          </cell>
          <cell r="C917">
            <v>-36697837.890000001</v>
          </cell>
          <cell r="D917" t="str">
            <v>204</v>
          </cell>
          <cell r="E917" t="str">
            <v>407</v>
          </cell>
          <cell r="F917">
            <v>0</v>
          </cell>
          <cell r="G917">
            <v>2</v>
          </cell>
          <cell r="H917" t="str">
            <v>2010-02-28</v>
          </cell>
        </row>
        <row r="918">
          <cell r="A918" t="str">
            <v>481004</v>
          </cell>
          <cell r="B918" t="str">
            <v>1015</v>
          </cell>
          <cell r="C918">
            <v>-39072.06</v>
          </cell>
          <cell r="D918" t="str">
            <v>204</v>
          </cell>
          <cell r="E918" t="str">
            <v>407</v>
          </cell>
          <cell r="F918">
            <v>0</v>
          </cell>
          <cell r="G918">
            <v>2</v>
          </cell>
          <cell r="H918" t="str">
            <v>2010-02-28</v>
          </cell>
        </row>
        <row r="919">
          <cell r="A919" t="str">
            <v>481004</v>
          </cell>
          <cell r="B919" t="str">
            <v>1015</v>
          </cell>
          <cell r="C919">
            <v>-34564.629999999997</v>
          </cell>
          <cell r="D919" t="str">
            <v>204</v>
          </cell>
          <cell r="E919" t="str">
            <v>407</v>
          </cell>
          <cell r="F919">
            <v>0</v>
          </cell>
          <cell r="G919">
            <v>3</v>
          </cell>
          <cell r="H919" t="str">
            <v>2010-03-31</v>
          </cell>
        </row>
        <row r="920">
          <cell r="A920" t="str">
            <v>481004</v>
          </cell>
          <cell r="B920" t="str">
            <v>1015</v>
          </cell>
          <cell r="C920">
            <v>-10058.65</v>
          </cell>
          <cell r="D920" t="str">
            <v>204</v>
          </cell>
          <cell r="E920" t="str">
            <v>407</v>
          </cell>
          <cell r="F920">
            <v>0</v>
          </cell>
          <cell r="G920">
            <v>6</v>
          </cell>
          <cell r="H920" t="str">
            <v>2010-06-30</v>
          </cell>
        </row>
        <row r="921">
          <cell r="A921" t="str">
            <v>480000</v>
          </cell>
          <cell r="B921" t="str">
            <v>1015</v>
          </cell>
          <cell r="C921">
            <v>0</v>
          </cell>
          <cell r="D921" t="str">
            <v>204</v>
          </cell>
          <cell r="E921" t="str">
            <v>408</v>
          </cell>
          <cell r="F921">
            <v>0</v>
          </cell>
          <cell r="G921">
            <v>9</v>
          </cell>
          <cell r="H921" t="str">
            <v>2009-09-30</v>
          </cell>
        </row>
        <row r="922">
          <cell r="A922" t="str">
            <v>481002</v>
          </cell>
          <cell r="B922" t="str">
            <v>1015</v>
          </cell>
          <cell r="C922">
            <v>-135712</v>
          </cell>
          <cell r="D922" t="str">
            <v>204</v>
          </cell>
          <cell r="E922" t="str">
            <v>411</v>
          </cell>
          <cell r="F922">
            <v>0</v>
          </cell>
          <cell r="G922">
            <v>10</v>
          </cell>
          <cell r="H922" t="str">
            <v>2009-10-31</v>
          </cell>
        </row>
        <row r="923">
          <cell r="A923" t="str">
            <v>481005</v>
          </cell>
          <cell r="B923" t="str">
            <v>1015</v>
          </cell>
          <cell r="C923">
            <v>-666750</v>
          </cell>
          <cell r="D923" t="str">
            <v>204</v>
          </cell>
          <cell r="E923" t="str">
            <v>411</v>
          </cell>
          <cell r="F923">
            <v>0</v>
          </cell>
          <cell r="G923">
            <v>12</v>
          </cell>
          <cell r="H923" t="str">
            <v>2009-12-31</v>
          </cell>
        </row>
        <row r="924">
          <cell r="A924" t="str">
            <v>481005</v>
          </cell>
          <cell r="B924" t="str">
            <v>1015</v>
          </cell>
          <cell r="C924">
            <v>-892482.57</v>
          </cell>
          <cell r="D924" t="str">
            <v>204</v>
          </cell>
          <cell r="E924" t="str">
            <v>411</v>
          </cell>
          <cell r="F924">
            <v>0</v>
          </cell>
          <cell r="G924">
            <v>1</v>
          </cell>
          <cell r="H924" t="str">
            <v>2010-01-31</v>
          </cell>
        </row>
        <row r="925">
          <cell r="A925" t="str">
            <v>481005</v>
          </cell>
          <cell r="B925" t="str">
            <v>1015</v>
          </cell>
          <cell r="C925">
            <v>-156294.31</v>
          </cell>
          <cell r="D925" t="str">
            <v>204</v>
          </cell>
          <cell r="E925" t="str">
            <v>411</v>
          </cell>
          <cell r="F925">
            <v>0</v>
          </cell>
          <cell r="G925">
            <v>4</v>
          </cell>
          <cell r="H925" t="str">
            <v>2010-04-30</v>
          </cell>
        </row>
        <row r="926">
          <cell r="A926" t="str">
            <v>481002</v>
          </cell>
          <cell r="B926" t="str">
            <v>1015</v>
          </cell>
          <cell r="C926">
            <v>-445669.22</v>
          </cell>
          <cell r="D926" t="str">
            <v>204</v>
          </cell>
          <cell r="E926" t="str">
            <v>411</v>
          </cell>
          <cell r="F926">
            <v>0</v>
          </cell>
          <cell r="G926">
            <v>5</v>
          </cell>
          <cell r="H926" t="str">
            <v>2010-05-31</v>
          </cell>
        </row>
        <row r="927">
          <cell r="A927" t="str">
            <v>481002</v>
          </cell>
          <cell r="B927" t="str">
            <v>1015</v>
          </cell>
          <cell r="C927">
            <v>-423219.26</v>
          </cell>
          <cell r="D927" t="str">
            <v>204</v>
          </cell>
          <cell r="E927" t="str">
            <v>411</v>
          </cell>
          <cell r="F927">
            <v>0</v>
          </cell>
          <cell r="G927">
            <v>1</v>
          </cell>
          <cell r="H927" t="str">
            <v>2010-01-31</v>
          </cell>
        </row>
        <row r="928">
          <cell r="A928" t="str">
            <v>481005</v>
          </cell>
          <cell r="B928" t="str">
            <v>1015</v>
          </cell>
          <cell r="C928">
            <v>-387440.65</v>
          </cell>
          <cell r="D928" t="str">
            <v>204</v>
          </cell>
          <cell r="E928" t="str">
            <v>411</v>
          </cell>
          <cell r="F928">
            <v>0</v>
          </cell>
          <cell r="G928">
            <v>2</v>
          </cell>
          <cell r="H928" t="str">
            <v>2010-02-28</v>
          </cell>
        </row>
        <row r="929">
          <cell r="A929" t="str">
            <v>481005</v>
          </cell>
          <cell r="B929" t="str">
            <v>1015</v>
          </cell>
          <cell r="C929">
            <v>-6896.71</v>
          </cell>
          <cell r="D929" t="str">
            <v>204</v>
          </cell>
          <cell r="E929" t="str">
            <v>411</v>
          </cell>
          <cell r="F929">
            <v>0</v>
          </cell>
          <cell r="G929">
            <v>3</v>
          </cell>
          <cell r="H929" t="str">
            <v>2010-03-31</v>
          </cell>
        </row>
        <row r="930">
          <cell r="A930" t="str">
            <v>481005</v>
          </cell>
          <cell r="B930" t="str">
            <v>1015</v>
          </cell>
          <cell r="C930">
            <v>-1839.61</v>
          </cell>
          <cell r="D930" t="str">
            <v>204</v>
          </cell>
          <cell r="E930" t="str">
            <v>411</v>
          </cell>
          <cell r="F930">
            <v>0</v>
          </cell>
          <cell r="G930">
            <v>5</v>
          </cell>
          <cell r="H930" t="str">
            <v>2010-05-31</v>
          </cell>
        </row>
        <row r="931">
          <cell r="A931" t="str">
            <v>481005</v>
          </cell>
          <cell r="B931" t="str">
            <v>1015</v>
          </cell>
          <cell r="C931">
            <v>-236283.65</v>
          </cell>
          <cell r="D931" t="str">
            <v>204</v>
          </cell>
          <cell r="E931" t="str">
            <v>411</v>
          </cell>
          <cell r="F931">
            <v>0</v>
          </cell>
          <cell r="G931">
            <v>5</v>
          </cell>
          <cell r="H931" t="str">
            <v>2010-05-31</v>
          </cell>
        </row>
        <row r="932">
          <cell r="A932" t="str">
            <v>481002</v>
          </cell>
          <cell r="B932" t="str">
            <v>1015</v>
          </cell>
          <cell r="C932">
            <v>-101997</v>
          </cell>
          <cell r="D932" t="str">
            <v>204</v>
          </cell>
          <cell r="E932" t="str">
            <v>411</v>
          </cell>
          <cell r="F932">
            <v>0</v>
          </cell>
          <cell r="G932">
            <v>7</v>
          </cell>
          <cell r="H932" t="str">
            <v>2009-07-31</v>
          </cell>
        </row>
        <row r="933">
          <cell r="A933" t="str">
            <v>481005</v>
          </cell>
          <cell r="B933" t="str">
            <v>1015</v>
          </cell>
          <cell r="C933">
            <v>-341936</v>
          </cell>
          <cell r="D933" t="str">
            <v>204</v>
          </cell>
          <cell r="E933" t="str">
            <v>411</v>
          </cell>
          <cell r="F933">
            <v>0</v>
          </cell>
          <cell r="G933">
            <v>7</v>
          </cell>
          <cell r="H933" t="str">
            <v>2009-07-31</v>
          </cell>
        </row>
        <row r="934">
          <cell r="A934" t="str">
            <v>481005</v>
          </cell>
          <cell r="B934" t="str">
            <v>1015</v>
          </cell>
          <cell r="C934">
            <v>0</v>
          </cell>
          <cell r="D934" t="str">
            <v>204</v>
          </cell>
          <cell r="E934" t="str">
            <v>411</v>
          </cell>
          <cell r="F934">
            <v>0</v>
          </cell>
          <cell r="G934">
            <v>8</v>
          </cell>
          <cell r="H934" t="str">
            <v>2009-08-31</v>
          </cell>
        </row>
        <row r="935">
          <cell r="A935" t="str">
            <v>481002</v>
          </cell>
          <cell r="B935" t="str">
            <v>1015</v>
          </cell>
          <cell r="C935">
            <v>-455817.9</v>
          </cell>
          <cell r="D935" t="str">
            <v>204</v>
          </cell>
          <cell r="E935" t="str">
            <v>411</v>
          </cell>
          <cell r="F935">
            <v>0</v>
          </cell>
          <cell r="G935">
            <v>3</v>
          </cell>
          <cell r="H935" t="str">
            <v>2010-03-31</v>
          </cell>
        </row>
        <row r="936">
          <cell r="A936" t="str">
            <v>481005</v>
          </cell>
          <cell r="B936" t="str">
            <v>1015</v>
          </cell>
          <cell r="C936">
            <v>-360668</v>
          </cell>
          <cell r="D936" t="str">
            <v>204</v>
          </cell>
          <cell r="E936" t="str">
            <v>411</v>
          </cell>
          <cell r="F936">
            <v>0</v>
          </cell>
          <cell r="G936">
            <v>9</v>
          </cell>
          <cell r="H936" t="str">
            <v>2009-09-30</v>
          </cell>
        </row>
        <row r="937">
          <cell r="A937" t="str">
            <v>481005</v>
          </cell>
          <cell r="B937" t="str">
            <v>1015</v>
          </cell>
          <cell r="C937">
            <v>-19324</v>
          </cell>
          <cell r="D937" t="str">
            <v>204</v>
          </cell>
          <cell r="E937" t="str">
            <v>411</v>
          </cell>
          <cell r="F937">
            <v>0</v>
          </cell>
          <cell r="G937">
            <v>1</v>
          </cell>
          <cell r="H937" t="str">
            <v>2010-01-31</v>
          </cell>
        </row>
        <row r="938">
          <cell r="A938" t="str">
            <v>481005</v>
          </cell>
          <cell r="B938" t="str">
            <v>1015</v>
          </cell>
          <cell r="C938">
            <v>-47156.38</v>
          </cell>
          <cell r="D938" t="str">
            <v>204</v>
          </cell>
          <cell r="E938" t="str">
            <v>411</v>
          </cell>
          <cell r="F938">
            <v>0</v>
          </cell>
          <cell r="G938">
            <v>6</v>
          </cell>
          <cell r="H938" t="str">
            <v>2010-06-30</v>
          </cell>
        </row>
        <row r="939">
          <cell r="A939" t="str">
            <v>481005</v>
          </cell>
          <cell r="B939" t="str">
            <v>1015</v>
          </cell>
          <cell r="C939">
            <v>-465915</v>
          </cell>
          <cell r="D939" t="str">
            <v>204</v>
          </cell>
          <cell r="E939" t="str">
            <v>411</v>
          </cell>
          <cell r="F939">
            <v>0</v>
          </cell>
          <cell r="G939">
            <v>10</v>
          </cell>
          <cell r="H939" t="str">
            <v>2009-10-31</v>
          </cell>
        </row>
        <row r="940">
          <cell r="A940" t="str">
            <v>481002</v>
          </cell>
          <cell r="B940" t="str">
            <v>1015</v>
          </cell>
          <cell r="C940">
            <v>-141531</v>
          </cell>
          <cell r="D940" t="str">
            <v>204</v>
          </cell>
          <cell r="E940" t="str">
            <v>411</v>
          </cell>
          <cell r="F940">
            <v>0</v>
          </cell>
          <cell r="G940">
            <v>11</v>
          </cell>
          <cell r="H940" t="str">
            <v>2009-11-30</v>
          </cell>
        </row>
        <row r="941">
          <cell r="A941" t="str">
            <v>481005</v>
          </cell>
          <cell r="B941" t="str">
            <v>1015</v>
          </cell>
          <cell r="C941">
            <v>-8228</v>
          </cell>
          <cell r="D941" t="str">
            <v>204</v>
          </cell>
          <cell r="E941" t="str">
            <v>411</v>
          </cell>
          <cell r="F941">
            <v>0</v>
          </cell>
          <cell r="G941">
            <v>12</v>
          </cell>
          <cell r="H941" t="str">
            <v>2009-12-31</v>
          </cell>
        </row>
        <row r="942">
          <cell r="A942" t="str">
            <v>481002</v>
          </cell>
          <cell r="B942" t="str">
            <v>1015</v>
          </cell>
          <cell r="C942">
            <v>-420741.14</v>
          </cell>
          <cell r="D942" t="str">
            <v>204</v>
          </cell>
          <cell r="E942" t="str">
            <v>411</v>
          </cell>
          <cell r="F942">
            <v>0</v>
          </cell>
          <cell r="G942">
            <v>2</v>
          </cell>
          <cell r="H942" t="str">
            <v>2010-02-28</v>
          </cell>
        </row>
        <row r="943">
          <cell r="A943" t="str">
            <v>481005</v>
          </cell>
          <cell r="B943" t="str">
            <v>1015</v>
          </cell>
          <cell r="C943">
            <v>5461.48</v>
          </cell>
          <cell r="D943" t="str">
            <v>204</v>
          </cell>
          <cell r="E943" t="str">
            <v>411</v>
          </cell>
          <cell r="F943">
            <v>0</v>
          </cell>
          <cell r="G943">
            <v>6</v>
          </cell>
          <cell r="H943" t="str">
            <v>2010-06-30</v>
          </cell>
        </row>
        <row r="944">
          <cell r="A944" t="str">
            <v>481002</v>
          </cell>
          <cell r="B944" t="str">
            <v>1015</v>
          </cell>
          <cell r="C944">
            <v>-157956</v>
          </cell>
          <cell r="D944" t="str">
            <v>204</v>
          </cell>
          <cell r="E944" t="str">
            <v>411</v>
          </cell>
          <cell r="F944">
            <v>0</v>
          </cell>
          <cell r="G944">
            <v>8</v>
          </cell>
          <cell r="H944" t="str">
            <v>2009-08-31</v>
          </cell>
        </row>
        <row r="945">
          <cell r="A945" t="str">
            <v>481005</v>
          </cell>
          <cell r="B945" t="str">
            <v>1015</v>
          </cell>
          <cell r="C945">
            <v>-436065</v>
          </cell>
          <cell r="D945" t="str">
            <v>204</v>
          </cell>
          <cell r="E945" t="str">
            <v>411</v>
          </cell>
          <cell r="F945">
            <v>0</v>
          </cell>
          <cell r="G945">
            <v>8</v>
          </cell>
          <cell r="H945" t="str">
            <v>2009-08-31</v>
          </cell>
        </row>
        <row r="946">
          <cell r="A946" t="str">
            <v>481005</v>
          </cell>
          <cell r="B946" t="str">
            <v>1015</v>
          </cell>
          <cell r="C946">
            <v>-5781</v>
          </cell>
          <cell r="D946" t="str">
            <v>204</v>
          </cell>
          <cell r="E946" t="str">
            <v>411</v>
          </cell>
          <cell r="F946">
            <v>0</v>
          </cell>
          <cell r="G946">
            <v>11</v>
          </cell>
          <cell r="H946" t="str">
            <v>2009-11-30</v>
          </cell>
        </row>
        <row r="947">
          <cell r="A947" t="str">
            <v>481005</v>
          </cell>
          <cell r="B947" t="str">
            <v>1015</v>
          </cell>
          <cell r="C947">
            <v>-2458</v>
          </cell>
          <cell r="D947" t="str">
            <v>204</v>
          </cell>
          <cell r="E947" t="str">
            <v>411</v>
          </cell>
          <cell r="F947">
            <v>0</v>
          </cell>
          <cell r="G947">
            <v>10</v>
          </cell>
          <cell r="H947" t="str">
            <v>2009-10-31</v>
          </cell>
        </row>
        <row r="948">
          <cell r="A948" t="str">
            <v>481005</v>
          </cell>
          <cell r="B948" t="str">
            <v>1015</v>
          </cell>
          <cell r="C948">
            <v>-657805</v>
          </cell>
          <cell r="D948" t="str">
            <v>204</v>
          </cell>
          <cell r="E948" t="str">
            <v>411</v>
          </cell>
          <cell r="F948">
            <v>0</v>
          </cell>
          <cell r="G948">
            <v>11</v>
          </cell>
          <cell r="H948" t="str">
            <v>2009-11-30</v>
          </cell>
        </row>
        <row r="949">
          <cell r="A949" t="str">
            <v>481002</v>
          </cell>
          <cell r="B949" t="str">
            <v>1015</v>
          </cell>
          <cell r="C949">
            <v>-79952</v>
          </cell>
          <cell r="D949" t="str">
            <v>204</v>
          </cell>
          <cell r="E949" t="str">
            <v>411</v>
          </cell>
          <cell r="F949">
            <v>0</v>
          </cell>
          <cell r="G949">
            <v>12</v>
          </cell>
          <cell r="H949" t="str">
            <v>2009-12-31</v>
          </cell>
        </row>
        <row r="950">
          <cell r="A950" t="str">
            <v>481005</v>
          </cell>
          <cell r="B950" t="str">
            <v>1015</v>
          </cell>
          <cell r="C950">
            <v>-377336.66</v>
          </cell>
          <cell r="D950" t="str">
            <v>204</v>
          </cell>
          <cell r="E950" t="str">
            <v>411</v>
          </cell>
          <cell r="F950">
            <v>0</v>
          </cell>
          <cell r="G950">
            <v>3</v>
          </cell>
          <cell r="H950" t="str">
            <v>2010-03-31</v>
          </cell>
        </row>
        <row r="951">
          <cell r="A951" t="str">
            <v>481005</v>
          </cell>
          <cell r="B951" t="str">
            <v>1015</v>
          </cell>
          <cell r="C951">
            <v>-3824.45</v>
          </cell>
          <cell r="D951" t="str">
            <v>204</v>
          </cell>
          <cell r="E951" t="str">
            <v>411</v>
          </cell>
          <cell r="F951">
            <v>0</v>
          </cell>
          <cell r="G951">
            <v>4</v>
          </cell>
          <cell r="H951" t="str">
            <v>2010-04-30</v>
          </cell>
        </row>
        <row r="952">
          <cell r="A952" t="str">
            <v>481005</v>
          </cell>
          <cell r="B952" t="str">
            <v>1015</v>
          </cell>
          <cell r="C952">
            <v>0</v>
          </cell>
          <cell r="D952" t="str">
            <v>204</v>
          </cell>
          <cell r="E952" t="str">
            <v>411</v>
          </cell>
          <cell r="F952">
            <v>0</v>
          </cell>
          <cell r="G952">
            <v>7</v>
          </cell>
          <cell r="H952" t="str">
            <v>2009-07-31</v>
          </cell>
        </row>
        <row r="953">
          <cell r="A953" t="str">
            <v>481002</v>
          </cell>
          <cell r="B953" t="str">
            <v>1015</v>
          </cell>
          <cell r="C953">
            <v>-110761</v>
          </cell>
          <cell r="D953" t="str">
            <v>204</v>
          </cell>
          <cell r="E953" t="str">
            <v>411</v>
          </cell>
          <cell r="F953">
            <v>0</v>
          </cell>
          <cell r="G953">
            <v>9</v>
          </cell>
          <cell r="H953" t="str">
            <v>2009-09-30</v>
          </cell>
        </row>
        <row r="954">
          <cell r="A954" t="str">
            <v>481005</v>
          </cell>
          <cell r="B954" t="str">
            <v>1015</v>
          </cell>
          <cell r="C954">
            <v>0</v>
          </cell>
          <cell r="D954" t="str">
            <v>204</v>
          </cell>
          <cell r="E954" t="str">
            <v>411</v>
          </cell>
          <cell r="F954">
            <v>0</v>
          </cell>
          <cell r="G954">
            <v>9</v>
          </cell>
          <cell r="H954" t="str">
            <v>2009-09-30</v>
          </cell>
        </row>
        <row r="955">
          <cell r="A955" t="str">
            <v>481005</v>
          </cell>
          <cell r="B955" t="str">
            <v>1015</v>
          </cell>
          <cell r="C955">
            <v>-8055.27</v>
          </cell>
          <cell r="D955" t="str">
            <v>204</v>
          </cell>
          <cell r="E955" t="str">
            <v>411</v>
          </cell>
          <cell r="F955">
            <v>0</v>
          </cell>
          <cell r="G955">
            <v>2</v>
          </cell>
          <cell r="H955" t="str">
            <v>2010-02-28</v>
          </cell>
        </row>
        <row r="956">
          <cell r="A956" t="str">
            <v>481002</v>
          </cell>
          <cell r="B956" t="str">
            <v>1015</v>
          </cell>
          <cell r="C956">
            <v>-493899.73</v>
          </cell>
          <cell r="D956" t="str">
            <v>204</v>
          </cell>
          <cell r="E956" t="str">
            <v>411</v>
          </cell>
          <cell r="F956">
            <v>0</v>
          </cell>
          <cell r="G956">
            <v>4</v>
          </cell>
          <cell r="H956" t="str">
            <v>2010-04-30</v>
          </cell>
        </row>
        <row r="957">
          <cell r="A957" t="str">
            <v>481002</v>
          </cell>
          <cell r="B957" t="str">
            <v>1015</v>
          </cell>
          <cell r="C957">
            <v>-502976.09</v>
          </cell>
          <cell r="D957" t="str">
            <v>204</v>
          </cell>
          <cell r="E957" t="str">
            <v>411</v>
          </cell>
          <cell r="F957">
            <v>0</v>
          </cell>
          <cell r="G957">
            <v>6</v>
          </cell>
          <cell r="H957" t="str">
            <v>2010-06-30</v>
          </cell>
        </row>
        <row r="958">
          <cell r="A958" t="str">
            <v>481000</v>
          </cell>
          <cell r="B958" t="str">
            <v>1015</v>
          </cell>
          <cell r="C958">
            <v>0</v>
          </cell>
          <cell r="D958" t="str">
            <v>204</v>
          </cell>
          <cell r="E958" t="str">
            <v>451</v>
          </cell>
          <cell r="F958">
            <v>0</v>
          </cell>
          <cell r="G958">
            <v>8</v>
          </cell>
          <cell r="H958" t="str">
            <v>2009-08-31</v>
          </cell>
        </row>
        <row r="959">
          <cell r="A959" t="str">
            <v>481004</v>
          </cell>
          <cell r="B959" t="str">
            <v>1015</v>
          </cell>
          <cell r="C959">
            <v>-77406</v>
          </cell>
          <cell r="D959" t="str">
            <v>204</v>
          </cell>
          <cell r="E959" t="str">
            <v>451</v>
          </cell>
          <cell r="F959">
            <v>0</v>
          </cell>
          <cell r="G959">
            <v>8</v>
          </cell>
          <cell r="H959" t="str">
            <v>2009-08-31</v>
          </cell>
        </row>
        <row r="960">
          <cell r="A960" t="str">
            <v>481000</v>
          </cell>
          <cell r="B960" t="str">
            <v>1015</v>
          </cell>
          <cell r="C960">
            <v>0</v>
          </cell>
          <cell r="D960" t="str">
            <v>204</v>
          </cell>
          <cell r="E960" t="str">
            <v>451</v>
          </cell>
          <cell r="F960">
            <v>0</v>
          </cell>
          <cell r="G960">
            <v>11</v>
          </cell>
          <cell r="H960" t="str">
            <v>2009-11-30</v>
          </cell>
        </row>
        <row r="961">
          <cell r="A961" t="str">
            <v>481004</v>
          </cell>
          <cell r="B961" t="str">
            <v>1015</v>
          </cell>
          <cell r="C961">
            <v>-51288</v>
          </cell>
          <cell r="D961" t="str">
            <v>204</v>
          </cell>
          <cell r="E961" t="str">
            <v>451</v>
          </cell>
          <cell r="F961">
            <v>0</v>
          </cell>
          <cell r="G961">
            <v>7</v>
          </cell>
          <cell r="H961" t="str">
            <v>2009-07-31</v>
          </cell>
        </row>
        <row r="962">
          <cell r="A962" t="str">
            <v>481000</v>
          </cell>
          <cell r="B962" t="str">
            <v>1015</v>
          </cell>
          <cell r="C962">
            <v>0</v>
          </cell>
          <cell r="D962" t="str">
            <v>204</v>
          </cell>
          <cell r="E962" t="str">
            <v>451</v>
          </cell>
          <cell r="F962">
            <v>0</v>
          </cell>
          <cell r="G962">
            <v>12</v>
          </cell>
          <cell r="H962" t="str">
            <v>2009-12-31</v>
          </cell>
        </row>
        <row r="963">
          <cell r="A963" t="str">
            <v>481004</v>
          </cell>
          <cell r="B963" t="str">
            <v>1015</v>
          </cell>
          <cell r="C963">
            <v>-123943.81</v>
          </cell>
          <cell r="D963" t="str">
            <v>204</v>
          </cell>
          <cell r="E963" t="str">
            <v>451</v>
          </cell>
          <cell r="F963">
            <v>0</v>
          </cell>
          <cell r="G963">
            <v>4</v>
          </cell>
          <cell r="H963" t="str">
            <v>2010-04-30</v>
          </cell>
        </row>
        <row r="964">
          <cell r="A964" t="str">
            <v>481004</v>
          </cell>
          <cell r="B964" t="str">
            <v>1015</v>
          </cell>
          <cell r="C964">
            <v>-96437.67</v>
          </cell>
          <cell r="D964" t="str">
            <v>204</v>
          </cell>
          <cell r="E964" t="str">
            <v>451</v>
          </cell>
          <cell r="F964">
            <v>0</v>
          </cell>
          <cell r="G964">
            <v>5</v>
          </cell>
          <cell r="H964" t="str">
            <v>2010-05-31</v>
          </cell>
        </row>
        <row r="965">
          <cell r="A965" t="str">
            <v>481000</v>
          </cell>
          <cell r="B965" t="str">
            <v>1015</v>
          </cell>
          <cell r="C965">
            <v>0</v>
          </cell>
          <cell r="D965" t="str">
            <v>204</v>
          </cell>
          <cell r="E965" t="str">
            <v>451</v>
          </cell>
          <cell r="F965">
            <v>0</v>
          </cell>
          <cell r="G965">
            <v>9</v>
          </cell>
          <cell r="H965" t="str">
            <v>2009-09-30</v>
          </cell>
        </row>
        <row r="966">
          <cell r="A966" t="str">
            <v>481004</v>
          </cell>
          <cell r="B966" t="str">
            <v>1015</v>
          </cell>
          <cell r="C966">
            <v>-57205</v>
          </cell>
          <cell r="D966" t="str">
            <v>204</v>
          </cell>
          <cell r="E966" t="str">
            <v>451</v>
          </cell>
          <cell r="F966">
            <v>0</v>
          </cell>
          <cell r="G966">
            <v>9</v>
          </cell>
          <cell r="H966" t="str">
            <v>2009-09-30</v>
          </cell>
        </row>
        <row r="967">
          <cell r="A967" t="str">
            <v>481000</v>
          </cell>
          <cell r="B967" t="str">
            <v>1015</v>
          </cell>
          <cell r="C967">
            <v>0</v>
          </cell>
          <cell r="D967" t="str">
            <v>204</v>
          </cell>
          <cell r="E967" t="str">
            <v>451</v>
          </cell>
          <cell r="F967">
            <v>0</v>
          </cell>
          <cell r="G967">
            <v>10</v>
          </cell>
          <cell r="H967" t="str">
            <v>2009-10-31</v>
          </cell>
        </row>
        <row r="968">
          <cell r="A968" t="str">
            <v>481004</v>
          </cell>
          <cell r="B968" t="str">
            <v>1015</v>
          </cell>
          <cell r="C968">
            <v>-120087.78</v>
          </cell>
          <cell r="D968" t="str">
            <v>204</v>
          </cell>
          <cell r="E968" t="str">
            <v>451</v>
          </cell>
          <cell r="F968">
            <v>0</v>
          </cell>
          <cell r="G968">
            <v>3</v>
          </cell>
          <cell r="H968" t="str">
            <v>2010-03-31</v>
          </cell>
        </row>
        <row r="969">
          <cell r="A969" t="str">
            <v>481004</v>
          </cell>
          <cell r="B969" t="str">
            <v>1015</v>
          </cell>
          <cell r="C969">
            <v>-121574</v>
          </cell>
          <cell r="D969" t="str">
            <v>204</v>
          </cell>
          <cell r="E969" t="str">
            <v>451</v>
          </cell>
          <cell r="F969">
            <v>0</v>
          </cell>
          <cell r="G969">
            <v>10</v>
          </cell>
          <cell r="H969" t="str">
            <v>2009-10-31</v>
          </cell>
        </row>
        <row r="970">
          <cell r="A970" t="str">
            <v>481004</v>
          </cell>
          <cell r="B970" t="str">
            <v>1015</v>
          </cell>
          <cell r="C970">
            <v>-125677</v>
          </cell>
          <cell r="D970" t="str">
            <v>204</v>
          </cell>
          <cell r="E970" t="str">
            <v>451</v>
          </cell>
          <cell r="F970">
            <v>0</v>
          </cell>
          <cell r="G970">
            <v>11</v>
          </cell>
          <cell r="H970" t="str">
            <v>2009-11-30</v>
          </cell>
        </row>
        <row r="971">
          <cell r="A971" t="str">
            <v>481004</v>
          </cell>
          <cell r="B971" t="str">
            <v>1015</v>
          </cell>
          <cell r="C971">
            <v>-180174</v>
          </cell>
          <cell r="D971" t="str">
            <v>204</v>
          </cell>
          <cell r="E971" t="str">
            <v>451</v>
          </cell>
          <cell r="F971">
            <v>0</v>
          </cell>
          <cell r="G971">
            <v>12</v>
          </cell>
          <cell r="H971" t="str">
            <v>2009-12-31</v>
          </cell>
        </row>
        <row r="972">
          <cell r="A972" t="str">
            <v>481004</v>
          </cell>
          <cell r="B972" t="str">
            <v>1015</v>
          </cell>
          <cell r="C972">
            <v>-173600.18</v>
          </cell>
          <cell r="D972" t="str">
            <v>204</v>
          </cell>
          <cell r="E972" t="str">
            <v>451</v>
          </cell>
          <cell r="F972">
            <v>0</v>
          </cell>
          <cell r="G972">
            <v>1</v>
          </cell>
          <cell r="H972" t="str">
            <v>2010-01-31</v>
          </cell>
        </row>
        <row r="973">
          <cell r="A973" t="str">
            <v>481004</v>
          </cell>
          <cell r="B973" t="str">
            <v>1015</v>
          </cell>
          <cell r="C973">
            <v>-130917.44</v>
          </cell>
          <cell r="D973" t="str">
            <v>204</v>
          </cell>
          <cell r="E973" t="str">
            <v>451</v>
          </cell>
          <cell r="F973">
            <v>0</v>
          </cell>
          <cell r="G973">
            <v>2</v>
          </cell>
          <cell r="H973" t="str">
            <v>2010-02-28</v>
          </cell>
        </row>
        <row r="974">
          <cell r="A974" t="str">
            <v>481004</v>
          </cell>
          <cell r="B974" t="str">
            <v>1015</v>
          </cell>
          <cell r="C974">
            <v>-53986.99</v>
          </cell>
          <cell r="D974" t="str">
            <v>204</v>
          </cell>
          <cell r="E974" t="str">
            <v>451</v>
          </cell>
          <cell r="F974">
            <v>0</v>
          </cell>
          <cell r="G974">
            <v>6</v>
          </cell>
          <cell r="H974" t="str">
            <v>2010-06-30</v>
          </cell>
        </row>
        <row r="975">
          <cell r="A975" t="str">
            <v>481000</v>
          </cell>
          <cell r="B975" t="str">
            <v>1015</v>
          </cell>
          <cell r="C975">
            <v>0</v>
          </cell>
          <cell r="D975" t="str">
            <v>204</v>
          </cell>
          <cell r="E975" t="str">
            <v>451</v>
          </cell>
          <cell r="F975">
            <v>0</v>
          </cell>
          <cell r="G975">
            <v>7</v>
          </cell>
          <cell r="H975" t="str">
            <v>2009-07-31</v>
          </cell>
        </row>
        <row r="976">
          <cell r="A976" t="str">
            <v>481006</v>
          </cell>
          <cell r="B976" t="str">
            <v>1015</v>
          </cell>
          <cell r="C976">
            <v>105640</v>
          </cell>
          <cell r="D976" t="str">
            <v>204</v>
          </cell>
          <cell r="E976" t="str">
            <v>453</v>
          </cell>
          <cell r="F976">
            <v>0</v>
          </cell>
          <cell r="G976">
            <v>3</v>
          </cell>
          <cell r="H976" t="str">
            <v>2010-03-31</v>
          </cell>
        </row>
        <row r="977">
          <cell r="A977" t="str">
            <v>480000</v>
          </cell>
          <cell r="B977" t="str">
            <v>1015</v>
          </cell>
          <cell r="C977">
            <v>-218747.87</v>
          </cell>
          <cell r="D977" t="str">
            <v>204</v>
          </cell>
          <cell r="E977" t="str">
            <v>453</v>
          </cell>
          <cell r="F977">
            <v>0</v>
          </cell>
          <cell r="G977">
            <v>8</v>
          </cell>
          <cell r="H977" t="str">
            <v>2009-08-31</v>
          </cell>
        </row>
        <row r="978">
          <cell r="A978" t="str">
            <v>480000</v>
          </cell>
          <cell r="B978" t="str">
            <v>1015</v>
          </cell>
          <cell r="C978">
            <v>-569521.51</v>
          </cell>
          <cell r="D978" t="str">
            <v>204</v>
          </cell>
          <cell r="E978" t="str">
            <v>453</v>
          </cell>
          <cell r="F978">
            <v>0</v>
          </cell>
          <cell r="G978">
            <v>10</v>
          </cell>
          <cell r="H978" t="str">
            <v>2009-10-31</v>
          </cell>
        </row>
        <row r="979">
          <cell r="A979" t="str">
            <v>480000</v>
          </cell>
          <cell r="B979" t="str">
            <v>1015</v>
          </cell>
          <cell r="C979">
            <v>-1526128.35</v>
          </cell>
          <cell r="D979" t="str">
            <v>204</v>
          </cell>
          <cell r="E979" t="str">
            <v>453</v>
          </cell>
          <cell r="F979">
            <v>0</v>
          </cell>
          <cell r="G979">
            <v>2</v>
          </cell>
          <cell r="H979" t="str">
            <v>2010-02-28</v>
          </cell>
        </row>
        <row r="980">
          <cell r="A980" t="str">
            <v>480000</v>
          </cell>
          <cell r="B980" t="str">
            <v>1015</v>
          </cell>
          <cell r="C980">
            <v>-1238210.3500000001</v>
          </cell>
          <cell r="D980" t="str">
            <v>204</v>
          </cell>
          <cell r="E980" t="str">
            <v>453</v>
          </cell>
          <cell r="F980">
            <v>0</v>
          </cell>
          <cell r="G980">
            <v>4</v>
          </cell>
          <cell r="H980" t="str">
            <v>2010-04-30</v>
          </cell>
        </row>
        <row r="981">
          <cell r="A981" t="str">
            <v>481004</v>
          </cell>
          <cell r="B981" t="str">
            <v>1015</v>
          </cell>
          <cell r="C981">
            <v>-364249.88</v>
          </cell>
          <cell r="D981" t="str">
            <v>204</v>
          </cell>
          <cell r="E981" t="str">
            <v>453</v>
          </cell>
          <cell r="F981">
            <v>0</v>
          </cell>
          <cell r="G981">
            <v>6</v>
          </cell>
          <cell r="H981" t="str">
            <v>2010-06-30</v>
          </cell>
        </row>
        <row r="982">
          <cell r="A982" t="str">
            <v>480001</v>
          </cell>
          <cell r="B982" t="str">
            <v>1015</v>
          </cell>
          <cell r="C982">
            <v>36848.199999999997</v>
          </cell>
          <cell r="D982" t="str">
            <v>204</v>
          </cell>
          <cell r="E982" t="str">
            <v>453</v>
          </cell>
          <cell r="F982">
            <v>0</v>
          </cell>
          <cell r="G982">
            <v>9</v>
          </cell>
          <cell r="H982" t="str">
            <v>2009-09-30</v>
          </cell>
        </row>
        <row r="983">
          <cell r="A983" t="str">
            <v>480000</v>
          </cell>
          <cell r="B983" t="str">
            <v>1015</v>
          </cell>
          <cell r="C983">
            <v>-307978.84000000003</v>
          </cell>
          <cell r="D983" t="str">
            <v>204</v>
          </cell>
          <cell r="E983" t="str">
            <v>453</v>
          </cell>
          <cell r="F983">
            <v>0</v>
          </cell>
          <cell r="G983">
            <v>7</v>
          </cell>
          <cell r="H983" t="str">
            <v>2009-07-31</v>
          </cell>
        </row>
        <row r="984">
          <cell r="A984" t="str">
            <v>481004</v>
          </cell>
          <cell r="B984" t="str">
            <v>1015</v>
          </cell>
          <cell r="C984">
            <v>-122419.23</v>
          </cell>
          <cell r="D984" t="str">
            <v>204</v>
          </cell>
          <cell r="E984" t="str">
            <v>453</v>
          </cell>
          <cell r="F984">
            <v>0</v>
          </cell>
          <cell r="G984">
            <v>9</v>
          </cell>
          <cell r="H984" t="str">
            <v>2009-09-30</v>
          </cell>
        </row>
        <row r="985">
          <cell r="A985" t="str">
            <v>481004</v>
          </cell>
          <cell r="B985" t="str">
            <v>1015</v>
          </cell>
          <cell r="C985">
            <v>-800325.62</v>
          </cell>
          <cell r="D985" t="str">
            <v>204</v>
          </cell>
          <cell r="E985" t="str">
            <v>453</v>
          </cell>
          <cell r="F985">
            <v>0</v>
          </cell>
          <cell r="G985">
            <v>4</v>
          </cell>
          <cell r="H985" t="str">
            <v>2010-04-30</v>
          </cell>
        </row>
        <row r="986">
          <cell r="A986" t="str">
            <v>481006</v>
          </cell>
          <cell r="B986" t="str">
            <v>1015</v>
          </cell>
          <cell r="C986">
            <v>-298938.63</v>
          </cell>
          <cell r="D986" t="str">
            <v>204</v>
          </cell>
          <cell r="E986" t="str">
            <v>453</v>
          </cell>
          <cell r="F986">
            <v>0</v>
          </cell>
          <cell r="G986">
            <v>12</v>
          </cell>
          <cell r="H986" t="str">
            <v>2009-12-31</v>
          </cell>
        </row>
        <row r="987">
          <cell r="A987" t="str">
            <v>480001</v>
          </cell>
          <cell r="B987" t="str">
            <v>1015</v>
          </cell>
          <cell r="C987">
            <v>151130.14000000001</v>
          </cell>
          <cell r="D987" t="str">
            <v>204</v>
          </cell>
          <cell r="E987" t="str">
            <v>453</v>
          </cell>
          <cell r="F987">
            <v>0</v>
          </cell>
          <cell r="G987">
            <v>1</v>
          </cell>
          <cell r="H987" t="str">
            <v>2010-01-31</v>
          </cell>
        </row>
        <row r="988">
          <cell r="A988" t="str">
            <v>480001</v>
          </cell>
          <cell r="B988" t="str">
            <v>1015</v>
          </cell>
          <cell r="C988">
            <v>171737</v>
          </cell>
          <cell r="D988" t="str">
            <v>204</v>
          </cell>
          <cell r="E988" t="str">
            <v>453</v>
          </cell>
          <cell r="F988">
            <v>0</v>
          </cell>
          <cell r="G988">
            <v>4</v>
          </cell>
          <cell r="H988" t="str">
            <v>2010-04-30</v>
          </cell>
        </row>
        <row r="989">
          <cell r="A989" t="str">
            <v>481006</v>
          </cell>
          <cell r="B989" t="str">
            <v>1015</v>
          </cell>
          <cell r="C989">
            <v>5969</v>
          </cell>
          <cell r="D989" t="str">
            <v>204</v>
          </cell>
          <cell r="E989" t="str">
            <v>453</v>
          </cell>
          <cell r="F989">
            <v>0</v>
          </cell>
          <cell r="G989">
            <v>5</v>
          </cell>
          <cell r="H989" t="str">
            <v>2010-05-31</v>
          </cell>
        </row>
        <row r="990">
          <cell r="A990" t="str">
            <v>480000</v>
          </cell>
          <cell r="B990" t="str">
            <v>1015</v>
          </cell>
          <cell r="C990">
            <v>-905826.65</v>
          </cell>
          <cell r="D990" t="str">
            <v>204</v>
          </cell>
          <cell r="E990" t="str">
            <v>453</v>
          </cell>
          <cell r="F990">
            <v>0</v>
          </cell>
          <cell r="G990">
            <v>11</v>
          </cell>
          <cell r="H990" t="str">
            <v>2009-11-30</v>
          </cell>
        </row>
        <row r="991">
          <cell r="A991" t="str">
            <v>481004</v>
          </cell>
          <cell r="B991" t="str">
            <v>1015</v>
          </cell>
          <cell r="C991">
            <v>-900935.47</v>
          </cell>
          <cell r="D991" t="str">
            <v>204</v>
          </cell>
          <cell r="E991" t="str">
            <v>453</v>
          </cell>
          <cell r="F991">
            <v>0</v>
          </cell>
          <cell r="G991">
            <v>3</v>
          </cell>
          <cell r="H991" t="str">
            <v>2010-03-31</v>
          </cell>
        </row>
        <row r="992">
          <cell r="A992" t="str">
            <v>480000</v>
          </cell>
          <cell r="B992" t="str">
            <v>1015</v>
          </cell>
          <cell r="C992">
            <v>-841354.11</v>
          </cell>
          <cell r="D992" t="str">
            <v>204</v>
          </cell>
          <cell r="E992" t="str">
            <v>453</v>
          </cell>
          <cell r="F992">
            <v>0</v>
          </cell>
          <cell r="G992">
            <v>5</v>
          </cell>
          <cell r="H992" t="str">
            <v>2010-05-31</v>
          </cell>
        </row>
        <row r="993">
          <cell r="A993" t="str">
            <v>480001</v>
          </cell>
          <cell r="B993" t="str">
            <v>1015</v>
          </cell>
          <cell r="C993">
            <v>74841.31</v>
          </cell>
          <cell r="D993" t="str">
            <v>204</v>
          </cell>
          <cell r="E993" t="str">
            <v>453</v>
          </cell>
          <cell r="F993">
            <v>0</v>
          </cell>
          <cell r="G993">
            <v>7</v>
          </cell>
          <cell r="H993" t="str">
            <v>2009-07-31</v>
          </cell>
        </row>
        <row r="994">
          <cell r="A994" t="str">
            <v>481006</v>
          </cell>
          <cell r="B994" t="str">
            <v>1015</v>
          </cell>
          <cell r="C994">
            <v>39826.230000000003</v>
          </cell>
          <cell r="D994" t="str">
            <v>204</v>
          </cell>
          <cell r="E994" t="str">
            <v>453</v>
          </cell>
          <cell r="F994">
            <v>0</v>
          </cell>
          <cell r="G994">
            <v>9</v>
          </cell>
          <cell r="H994" t="str">
            <v>2009-09-30</v>
          </cell>
        </row>
        <row r="995">
          <cell r="A995" t="str">
            <v>480001</v>
          </cell>
          <cell r="B995" t="str">
            <v>1015</v>
          </cell>
          <cell r="C995">
            <v>-328799.49</v>
          </cell>
          <cell r="D995" t="str">
            <v>204</v>
          </cell>
          <cell r="E995" t="str">
            <v>453</v>
          </cell>
          <cell r="F995">
            <v>0</v>
          </cell>
          <cell r="G995">
            <v>10</v>
          </cell>
          <cell r="H995" t="str">
            <v>2009-10-31</v>
          </cell>
        </row>
        <row r="996">
          <cell r="A996" t="str">
            <v>481006</v>
          </cell>
          <cell r="B996" t="str">
            <v>1015</v>
          </cell>
          <cell r="C996">
            <v>-90504.75</v>
          </cell>
          <cell r="D996" t="str">
            <v>204</v>
          </cell>
          <cell r="E996" t="str">
            <v>453</v>
          </cell>
          <cell r="F996">
            <v>0</v>
          </cell>
          <cell r="G996">
            <v>11</v>
          </cell>
          <cell r="H996" t="str">
            <v>2009-11-30</v>
          </cell>
        </row>
        <row r="997">
          <cell r="A997" t="str">
            <v>481004</v>
          </cell>
          <cell r="B997" t="str">
            <v>1015</v>
          </cell>
          <cell r="C997">
            <v>-107463.17</v>
          </cell>
          <cell r="D997" t="str">
            <v>204</v>
          </cell>
          <cell r="E997" t="str">
            <v>453</v>
          </cell>
          <cell r="F997">
            <v>0</v>
          </cell>
          <cell r="G997">
            <v>8</v>
          </cell>
          <cell r="H997" t="str">
            <v>2009-08-31</v>
          </cell>
        </row>
        <row r="998">
          <cell r="A998" t="str">
            <v>481004</v>
          </cell>
          <cell r="B998" t="str">
            <v>1015</v>
          </cell>
          <cell r="C998">
            <v>-579189.25</v>
          </cell>
          <cell r="D998" t="str">
            <v>204</v>
          </cell>
          <cell r="E998" t="str">
            <v>453</v>
          </cell>
          <cell r="F998">
            <v>0</v>
          </cell>
          <cell r="G998">
            <v>11</v>
          </cell>
          <cell r="H998" t="str">
            <v>2009-11-30</v>
          </cell>
        </row>
        <row r="999">
          <cell r="A999" t="str">
            <v>480000</v>
          </cell>
          <cell r="B999" t="str">
            <v>1015</v>
          </cell>
          <cell r="C999">
            <v>-1535400.81</v>
          </cell>
          <cell r="D999" t="str">
            <v>204</v>
          </cell>
          <cell r="E999" t="str">
            <v>453</v>
          </cell>
          <cell r="F999">
            <v>0</v>
          </cell>
          <cell r="G999">
            <v>12</v>
          </cell>
          <cell r="H999" t="str">
            <v>2009-12-31</v>
          </cell>
        </row>
        <row r="1000">
          <cell r="A1000" t="str">
            <v>481004</v>
          </cell>
          <cell r="B1000" t="str">
            <v>1015</v>
          </cell>
          <cell r="C1000">
            <v>-992560.37</v>
          </cell>
          <cell r="D1000" t="str">
            <v>204</v>
          </cell>
          <cell r="E1000" t="str">
            <v>453</v>
          </cell>
          <cell r="F1000">
            <v>0</v>
          </cell>
          <cell r="G1000">
            <v>12</v>
          </cell>
          <cell r="H1000" t="str">
            <v>2009-12-31</v>
          </cell>
        </row>
        <row r="1001">
          <cell r="A1001" t="str">
            <v>481004</v>
          </cell>
          <cell r="B1001" t="str">
            <v>1015</v>
          </cell>
          <cell r="C1001">
            <v>-979763.32</v>
          </cell>
          <cell r="D1001" t="str">
            <v>204</v>
          </cell>
          <cell r="E1001" t="str">
            <v>453</v>
          </cell>
          <cell r="F1001">
            <v>0</v>
          </cell>
          <cell r="G1001">
            <v>2</v>
          </cell>
          <cell r="H1001" t="str">
            <v>2010-02-28</v>
          </cell>
        </row>
        <row r="1002">
          <cell r="A1002" t="str">
            <v>481006</v>
          </cell>
          <cell r="B1002" t="str">
            <v>1015</v>
          </cell>
          <cell r="C1002">
            <v>66471.16</v>
          </cell>
          <cell r="D1002" t="str">
            <v>204</v>
          </cell>
          <cell r="E1002" t="str">
            <v>453</v>
          </cell>
          <cell r="F1002">
            <v>0</v>
          </cell>
          <cell r="G1002">
            <v>7</v>
          </cell>
          <cell r="H1002" t="str">
            <v>2009-07-31</v>
          </cell>
        </row>
        <row r="1003">
          <cell r="A1003" t="str">
            <v>481006</v>
          </cell>
          <cell r="B1003" t="str">
            <v>1015</v>
          </cell>
          <cell r="C1003">
            <v>-200539.99</v>
          </cell>
          <cell r="D1003" t="str">
            <v>204</v>
          </cell>
          <cell r="E1003" t="str">
            <v>453</v>
          </cell>
          <cell r="F1003">
            <v>0</v>
          </cell>
          <cell r="G1003">
            <v>10</v>
          </cell>
          <cell r="H1003" t="str">
            <v>2009-10-31</v>
          </cell>
        </row>
        <row r="1004">
          <cell r="A1004" t="str">
            <v>480001</v>
          </cell>
          <cell r="B1004" t="str">
            <v>1015</v>
          </cell>
          <cell r="C1004">
            <v>113202</v>
          </cell>
          <cell r="D1004" t="str">
            <v>204</v>
          </cell>
          <cell r="E1004" t="str">
            <v>453</v>
          </cell>
          <cell r="F1004">
            <v>0</v>
          </cell>
          <cell r="G1004">
            <v>2</v>
          </cell>
          <cell r="H1004" t="str">
            <v>2010-02-28</v>
          </cell>
        </row>
        <row r="1005">
          <cell r="A1005" t="str">
            <v>481006</v>
          </cell>
          <cell r="B1005" t="str">
            <v>1015</v>
          </cell>
          <cell r="C1005">
            <v>74293</v>
          </cell>
          <cell r="D1005" t="str">
            <v>204</v>
          </cell>
          <cell r="E1005" t="str">
            <v>453</v>
          </cell>
          <cell r="F1005">
            <v>0</v>
          </cell>
          <cell r="G1005">
            <v>2</v>
          </cell>
          <cell r="H1005" t="str">
            <v>2010-02-28</v>
          </cell>
        </row>
        <row r="1006">
          <cell r="A1006" t="str">
            <v>481006</v>
          </cell>
          <cell r="B1006" t="str">
            <v>1015</v>
          </cell>
          <cell r="C1006">
            <v>132933</v>
          </cell>
          <cell r="D1006" t="str">
            <v>204</v>
          </cell>
          <cell r="E1006" t="str">
            <v>453</v>
          </cell>
          <cell r="F1006">
            <v>0</v>
          </cell>
          <cell r="G1006">
            <v>4</v>
          </cell>
          <cell r="H1006" t="str">
            <v>2010-04-30</v>
          </cell>
        </row>
        <row r="1007">
          <cell r="A1007" t="str">
            <v>480000</v>
          </cell>
          <cell r="B1007" t="str">
            <v>1015</v>
          </cell>
          <cell r="C1007">
            <v>-233730.2</v>
          </cell>
          <cell r="D1007" t="str">
            <v>204</v>
          </cell>
          <cell r="E1007" t="str">
            <v>453</v>
          </cell>
          <cell r="F1007">
            <v>0</v>
          </cell>
          <cell r="G1007">
            <v>9</v>
          </cell>
          <cell r="H1007" t="str">
            <v>2009-09-30</v>
          </cell>
        </row>
        <row r="1008">
          <cell r="A1008" t="str">
            <v>480000</v>
          </cell>
          <cell r="B1008" t="str">
            <v>1015</v>
          </cell>
          <cell r="C1008">
            <v>-1417392.49</v>
          </cell>
          <cell r="D1008" t="str">
            <v>204</v>
          </cell>
          <cell r="E1008" t="str">
            <v>453</v>
          </cell>
          <cell r="F1008">
            <v>0</v>
          </cell>
          <cell r="G1008">
            <v>3</v>
          </cell>
          <cell r="H1008" t="str">
            <v>2010-03-31</v>
          </cell>
        </row>
        <row r="1009">
          <cell r="A1009" t="str">
            <v>481006</v>
          </cell>
          <cell r="B1009" t="str">
            <v>1015</v>
          </cell>
          <cell r="C1009">
            <v>-28664.63</v>
          </cell>
          <cell r="D1009" t="str">
            <v>204</v>
          </cell>
          <cell r="E1009" t="str">
            <v>453</v>
          </cell>
          <cell r="F1009">
            <v>0</v>
          </cell>
          <cell r="G1009">
            <v>8</v>
          </cell>
          <cell r="H1009" t="str">
            <v>2009-08-31</v>
          </cell>
        </row>
        <row r="1010">
          <cell r="A1010" t="str">
            <v>481006</v>
          </cell>
          <cell r="B1010" t="str">
            <v>1015</v>
          </cell>
          <cell r="C1010">
            <v>45473.21</v>
          </cell>
          <cell r="D1010" t="str">
            <v>204</v>
          </cell>
          <cell r="E1010" t="str">
            <v>453</v>
          </cell>
          <cell r="F1010">
            <v>0</v>
          </cell>
          <cell r="G1010">
            <v>1</v>
          </cell>
          <cell r="H1010" t="str">
            <v>2010-01-31</v>
          </cell>
        </row>
        <row r="1011">
          <cell r="A1011" t="str">
            <v>481006</v>
          </cell>
          <cell r="B1011" t="str">
            <v>1015</v>
          </cell>
          <cell r="C1011">
            <v>195726</v>
          </cell>
          <cell r="D1011" t="str">
            <v>204</v>
          </cell>
          <cell r="E1011" t="str">
            <v>453</v>
          </cell>
          <cell r="F1011">
            <v>0</v>
          </cell>
          <cell r="G1011">
            <v>6</v>
          </cell>
          <cell r="H1011" t="str">
            <v>2010-06-30</v>
          </cell>
        </row>
        <row r="1012">
          <cell r="A1012" t="str">
            <v>481004</v>
          </cell>
          <cell r="B1012" t="str">
            <v>1015</v>
          </cell>
          <cell r="C1012">
            <v>-1249311.04</v>
          </cell>
          <cell r="D1012" t="str">
            <v>204</v>
          </cell>
          <cell r="E1012" t="str">
            <v>453</v>
          </cell>
          <cell r="F1012">
            <v>0</v>
          </cell>
          <cell r="G1012">
            <v>1</v>
          </cell>
          <cell r="H1012" t="str">
            <v>2010-01-31</v>
          </cell>
        </row>
        <row r="1013">
          <cell r="A1013" t="str">
            <v>481004</v>
          </cell>
          <cell r="B1013" t="str">
            <v>1015</v>
          </cell>
          <cell r="C1013">
            <v>-510281.72</v>
          </cell>
          <cell r="D1013" t="str">
            <v>204</v>
          </cell>
          <cell r="E1013" t="str">
            <v>453</v>
          </cell>
          <cell r="F1013">
            <v>0</v>
          </cell>
          <cell r="G1013">
            <v>5</v>
          </cell>
          <cell r="H1013" t="str">
            <v>2010-05-31</v>
          </cell>
        </row>
        <row r="1014">
          <cell r="A1014" t="str">
            <v>480000</v>
          </cell>
          <cell r="B1014" t="str">
            <v>1015</v>
          </cell>
          <cell r="C1014">
            <v>-607471.6</v>
          </cell>
          <cell r="D1014" t="str">
            <v>204</v>
          </cell>
          <cell r="E1014" t="str">
            <v>453</v>
          </cell>
          <cell r="F1014">
            <v>0</v>
          </cell>
          <cell r="G1014">
            <v>6</v>
          </cell>
          <cell r="H1014" t="str">
            <v>2010-06-30</v>
          </cell>
        </row>
        <row r="1015">
          <cell r="A1015" t="str">
            <v>480001</v>
          </cell>
          <cell r="B1015" t="str">
            <v>1015</v>
          </cell>
          <cell r="C1015">
            <v>-148829.35</v>
          </cell>
          <cell r="D1015" t="str">
            <v>204</v>
          </cell>
          <cell r="E1015" t="str">
            <v>453</v>
          </cell>
          <cell r="F1015">
            <v>0</v>
          </cell>
          <cell r="G1015">
            <v>11</v>
          </cell>
          <cell r="H1015" t="str">
            <v>2009-11-30</v>
          </cell>
        </row>
        <row r="1016">
          <cell r="A1016" t="str">
            <v>480001</v>
          </cell>
          <cell r="B1016" t="str">
            <v>1015</v>
          </cell>
          <cell r="C1016">
            <v>-445372.19</v>
          </cell>
          <cell r="D1016" t="str">
            <v>204</v>
          </cell>
          <cell r="E1016" t="str">
            <v>453</v>
          </cell>
          <cell r="F1016">
            <v>0</v>
          </cell>
          <cell r="G1016">
            <v>12</v>
          </cell>
          <cell r="H1016" t="str">
            <v>2009-12-31</v>
          </cell>
        </row>
        <row r="1017">
          <cell r="A1017" t="str">
            <v>480001</v>
          </cell>
          <cell r="B1017" t="str">
            <v>1015</v>
          </cell>
          <cell r="C1017">
            <v>244714</v>
          </cell>
          <cell r="D1017" t="str">
            <v>204</v>
          </cell>
          <cell r="E1017" t="str">
            <v>453</v>
          </cell>
          <cell r="F1017">
            <v>0</v>
          </cell>
          <cell r="G1017">
            <v>6</v>
          </cell>
          <cell r="H1017" t="str">
            <v>2010-06-30</v>
          </cell>
        </row>
        <row r="1018">
          <cell r="A1018" t="str">
            <v>480000</v>
          </cell>
          <cell r="B1018" t="str">
            <v>1015</v>
          </cell>
          <cell r="C1018">
            <v>-1914655.36</v>
          </cell>
          <cell r="D1018" t="str">
            <v>204</v>
          </cell>
          <cell r="E1018" t="str">
            <v>453</v>
          </cell>
          <cell r="F1018">
            <v>0</v>
          </cell>
          <cell r="G1018">
            <v>1</v>
          </cell>
          <cell r="H1018" t="str">
            <v>2010-01-31</v>
          </cell>
        </row>
        <row r="1019">
          <cell r="A1019" t="str">
            <v>480001</v>
          </cell>
          <cell r="B1019" t="str">
            <v>1015</v>
          </cell>
          <cell r="C1019">
            <v>-7036.09</v>
          </cell>
          <cell r="D1019" t="str">
            <v>204</v>
          </cell>
          <cell r="E1019" t="str">
            <v>453</v>
          </cell>
          <cell r="F1019">
            <v>0</v>
          </cell>
          <cell r="G1019">
            <v>8</v>
          </cell>
          <cell r="H1019" t="str">
            <v>2009-08-31</v>
          </cell>
        </row>
        <row r="1020">
          <cell r="A1020" t="str">
            <v>480001</v>
          </cell>
          <cell r="B1020" t="str">
            <v>1015</v>
          </cell>
          <cell r="C1020">
            <v>164043</v>
          </cell>
          <cell r="D1020" t="str">
            <v>204</v>
          </cell>
          <cell r="E1020" t="str">
            <v>453</v>
          </cell>
          <cell r="F1020">
            <v>0</v>
          </cell>
          <cell r="G1020">
            <v>3</v>
          </cell>
          <cell r="H1020" t="str">
            <v>2010-03-31</v>
          </cell>
        </row>
        <row r="1021">
          <cell r="A1021" t="str">
            <v>480001</v>
          </cell>
          <cell r="B1021" t="str">
            <v>1015</v>
          </cell>
          <cell r="C1021">
            <v>38336</v>
          </cell>
          <cell r="D1021" t="str">
            <v>204</v>
          </cell>
          <cell r="E1021" t="str">
            <v>453</v>
          </cell>
          <cell r="F1021">
            <v>0</v>
          </cell>
          <cell r="G1021">
            <v>5</v>
          </cell>
          <cell r="H1021" t="str">
            <v>2010-05-31</v>
          </cell>
        </row>
        <row r="1022">
          <cell r="A1022" t="str">
            <v>481004</v>
          </cell>
          <cell r="B1022" t="str">
            <v>1015</v>
          </cell>
          <cell r="C1022">
            <v>-168126.47</v>
          </cell>
          <cell r="D1022" t="str">
            <v>204</v>
          </cell>
          <cell r="E1022" t="str">
            <v>453</v>
          </cell>
          <cell r="F1022">
            <v>0</v>
          </cell>
          <cell r="G1022">
            <v>7</v>
          </cell>
          <cell r="H1022" t="str">
            <v>2009-07-31</v>
          </cell>
        </row>
        <row r="1023">
          <cell r="A1023" t="str">
            <v>481004</v>
          </cell>
          <cell r="B1023" t="str">
            <v>1015</v>
          </cell>
          <cell r="C1023">
            <v>-346745.01</v>
          </cell>
          <cell r="D1023" t="str">
            <v>204</v>
          </cell>
          <cell r="E1023" t="str">
            <v>453</v>
          </cell>
          <cell r="F1023">
            <v>0</v>
          </cell>
          <cell r="G1023">
            <v>10</v>
          </cell>
          <cell r="H1023" t="str">
            <v>2009-10-31</v>
          </cell>
        </row>
        <row r="1024">
          <cell r="A1024" t="str">
            <v>481004</v>
          </cell>
          <cell r="B1024" t="str">
            <v>1015</v>
          </cell>
          <cell r="C1024">
            <v>605.30999999999995</v>
          </cell>
          <cell r="D1024" t="str">
            <v>204</v>
          </cell>
          <cell r="E1024" t="str">
            <v>455</v>
          </cell>
          <cell r="F1024">
            <v>0</v>
          </cell>
          <cell r="G1024">
            <v>7</v>
          </cell>
          <cell r="H1024" t="str">
            <v>2009-07-31</v>
          </cell>
        </row>
        <row r="1025">
          <cell r="A1025" t="str">
            <v>480000</v>
          </cell>
          <cell r="B1025" t="str">
            <v>1015</v>
          </cell>
          <cell r="C1025">
            <v>3.53</v>
          </cell>
          <cell r="D1025" t="str">
            <v>204</v>
          </cell>
          <cell r="E1025" t="str">
            <v>455</v>
          </cell>
          <cell r="F1025">
            <v>0</v>
          </cell>
          <cell r="G1025">
            <v>7</v>
          </cell>
          <cell r="H1025" t="str">
            <v>2009-07-31</v>
          </cell>
        </row>
        <row r="1026">
          <cell r="A1026" t="str">
            <v>481002</v>
          </cell>
          <cell r="B1026" t="str">
            <v>1015</v>
          </cell>
          <cell r="C1026">
            <v>-8232.36</v>
          </cell>
          <cell r="D1026" t="str">
            <v>204</v>
          </cell>
          <cell r="E1026" t="str">
            <v>457</v>
          </cell>
          <cell r="F1026">
            <v>0</v>
          </cell>
          <cell r="G1026">
            <v>2</v>
          </cell>
          <cell r="H1026" t="str">
            <v>2010-02-28</v>
          </cell>
        </row>
        <row r="1027">
          <cell r="A1027" t="str">
            <v>481005</v>
          </cell>
          <cell r="B1027" t="str">
            <v>1015</v>
          </cell>
          <cell r="C1027">
            <v>-50548.88</v>
          </cell>
          <cell r="D1027" t="str">
            <v>204</v>
          </cell>
          <cell r="E1027" t="str">
            <v>457</v>
          </cell>
          <cell r="F1027">
            <v>0</v>
          </cell>
          <cell r="G1027">
            <v>4</v>
          </cell>
          <cell r="H1027" t="str">
            <v>2010-04-30</v>
          </cell>
        </row>
        <row r="1028">
          <cell r="A1028" t="str">
            <v>481002</v>
          </cell>
          <cell r="B1028" t="str">
            <v>1015</v>
          </cell>
          <cell r="C1028">
            <v>-10041.43</v>
          </cell>
          <cell r="D1028" t="str">
            <v>204</v>
          </cell>
          <cell r="E1028" t="str">
            <v>457</v>
          </cell>
          <cell r="F1028">
            <v>0</v>
          </cell>
          <cell r="G1028">
            <v>5</v>
          </cell>
          <cell r="H1028" t="str">
            <v>2010-05-31</v>
          </cell>
        </row>
        <row r="1029">
          <cell r="A1029" t="str">
            <v>481002</v>
          </cell>
          <cell r="B1029" t="str">
            <v>1015</v>
          </cell>
          <cell r="C1029">
            <v>-5085</v>
          </cell>
          <cell r="D1029" t="str">
            <v>204</v>
          </cell>
          <cell r="E1029" t="str">
            <v>457</v>
          </cell>
          <cell r="F1029">
            <v>0</v>
          </cell>
          <cell r="G1029">
            <v>7</v>
          </cell>
          <cell r="H1029" t="str">
            <v>2009-07-31</v>
          </cell>
        </row>
        <row r="1030">
          <cell r="A1030" t="str">
            <v>481002</v>
          </cell>
          <cell r="B1030" t="str">
            <v>1015</v>
          </cell>
          <cell r="C1030">
            <v>-2927</v>
          </cell>
          <cell r="D1030" t="str">
            <v>204</v>
          </cell>
          <cell r="E1030" t="str">
            <v>457</v>
          </cell>
          <cell r="F1030">
            <v>0</v>
          </cell>
          <cell r="G1030">
            <v>9</v>
          </cell>
          <cell r="H1030" t="str">
            <v>2009-09-30</v>
          </cell>
        </row>
        <row r="1031">
          <cell r="A1031" t="str">
            <v>481005</v>
          </cell>
          <cell r="B1031" t="str">
            <v>1015</v>
          </cell>
          <cell r="C1031">
            <v>-74279.95</v>
          </cell>
          <cell r="D1031" t="str">
            <v>204</v>
          </cell>
          <cell r="E1031" t="str">
            <v>457</v>
          </cell>
          <cell r="F1031">
            <v>0</v>
          </cell>
          <cell r="G1031">
            <v>2</v>
          </cell>
          <cell r="H1031" t="str">
            <v>2010-02-28</v>
          </cell>
        </row>
        <row r="1032">
          <cell r="A1032" t="str">
            <v>481002</v>
          </cell>
          <cell r="B1032" t="str">
            <v>1015</v>
          </cell>
          <cell r="C1032">
            <v>-7575.29</v>
          </cell>
          <cell r="D1032" t="str">
            <v>204</v>
          </cell>
          <cell r="E1032" t="str">
            <v>457</v>
          </cell>
          <cell r="F1032">
            <v>0</v>
          </cell>
          <cell r="G1032">
            <v>4</v>
          </cell>
          <cell r="H1032" t="str">
            <v>2010-04-30</v>
          </cell>
        </row>
        <row r="1033">
          <cell r="A1033" t="str">
            <v>481002</v>
          </cell>
          <cell r="B1033" t="str">
            <v>1015</v>
          </cell>
          <cell r="C1033">
            <v>-5855</v>
          </cell>
          <cell r="D1033" t="str">
            <v>204</v>
          </cell>
          <cell r="E1033" t="str">
            <v>457</v>
          </cell>
          <cell r="F1033">
            <v>0</v>
          </cell>
          <cell r="G1033">
            <v>10</v>
          </cell>
          <cell r="H1033" t="str">
            <v>2009-10-31</v>
          </cell>
        </row>
        <row r="1034">
          <cell r="A1034" t="str">
            <v>481002</v>
          </cell>
          <cell r="B1034" t="str">
            <v>1015</v>
          </cell>
          <cell r="C1034">
            <v>-13591.92</v>
          </cell>
          <cell r="D1034" t="str">
            <v>204</v>
          </cell>
          <cell r="E1034" t="str">
            <v>457</v>
          </cell>
          <cell r="F1034">
            <v>0</v>
          </cell>
          <cell r="G1034">
            <v>1</v>
          </cell>
          <cell r="H1034" t="str">
            <v>2010-01-31</v>
          </cell>
        </row>
        <row r="1035">
          <cell r="A1035" t="str">
            <v>481002</v>
          </cell>
          <cell r="B1035" t="str">
            <v>1015</v>
          </cell>
          <cell r="C1035">
            <v>-15602.7</v>
          </cell>
          <cell r="D1035" t="str">
            <v>204</v>
          </cell>
          <cell r="E1035" t="str">
            <v>457</v>
          </cell>
          <cell r="F1035">
            <v>0</v>
          </cell>
          <cell r="G1035">
            <v>6</v>
          </cell>
          <cell r="H1035" t="str">
            <v>2010-06-30</v>
          </cell>
        </row>
        <row r="1036">
          <cell r="A1036" t="str">
            <v>481005</v>
          </cell>
          <cell r="B1036" t="str">
            <v>1015</v>
          </cell>
          <cell r="C1036">
            <v>-8767.58</v>
          </cell>
          <cell r="D1036" t="str">
            <v>204</v>
          </cell>
          <cell r="E1036" t="str">
            <v>457</v>
          </cell>
          <cell r="F1036">
            <v>0</v>
          </cell>
          <cell r="G1036">
            <v>6</v>
          </cell>
          <cell r="H1036" t="str">
            <v>2010-06-30</v>
          </cell>
        </row>
        <row r="1037">
          <cell r="A1037" t="str">
            <v>481005</v>
          </cell>
          <cell r="B1037" t="str">
            <v>1015</v>
          </cell>
          <cell r="C1037">
            <v>-18232</v>
          </cell>
          <cell r="D1037" t="str">
            <v>204</v>
          </cell>
          <cell r="E1037" t="str">
            <v>457</v>
          </cell>
          <cell r="F1037">
            <v>0</v>
          </cell>
          <cell r="G1037">
            <v>8</v>
          </cell>
          <cell r="H1037" t="str">
            <v>2009-08-31</v>
          </cell>
        </row>
        <row r="1038">
          <cell r="A1038" t="str">
            <v>481005</v>
          </cell>
          <cell r="B1038" t="str">
            <v>1015</v>
          </cell>
          <cell r="C1038">
            <v>-12195</v>
          </cell>
          <cell r="D1038" t="str">
            <v>204</v>
          </cell>
          <cell r="E1038" t="str">
            <v>457</v>
          </cell>
          <cell r="F1038">
            <v>0</v>
          </cell>
          <cell r="G1038">
            <v>9</v>
          </cell>
          <cell r="H1038" t="str">
            <v>2009-09-30</v>
          </cell>
        </row>
        <row r="1039">
          <cell r="A1039" t="str">
            <v>481002</v>
          </cell>
          <cell r="B1039" t="str">
            <v>1015</v>
          </cell>
          <cell r="C1039">
            <v>-8811</v>
          </cell>
          <cell r="D1039" t="str">
            <v>204</v>
          </cell>
          <cell r="E1039" t="str">
            <v>457</v>
          </cell>
          <cell r="F1039">
            <v>0</v>
          </cell>
          <cell r="G1039">
            <v>12</v>
          </cell>
          <cell r="H1039" t="str">
            <v>2009-12-31</v>
          </cell>
        </row>
        <row r="1040">
          <cell r="A1040" t="str">
            <v>481005</v>
          </cell>
          <cell r="B1040" t="str">
            <v>1015</v>
          </cell>
          <cell r="C1040">
            <v>-108843.45</v>
          </cell>
          <cell r="D1040" t="str">
            <v>204</v>
          </cell>
          <cell r="E1040" t="str">
            <v>457</v>
          </cell>
          <cell r="F1040">
            <v>0</v>
          </cell>
          <cell r="G1040">
            <v>1</v>
          </cell>
          <cell r="H1040" t="str">
            <v>2010-01-31</v>
          </cell>
        </row>
        <row r="1041">
          <cell r="A1041" t="str">
            <v>481005</v>
          </cell>
          <cell r="B1041" t="str">
            <v>1015</v>
          </cell>
          <cell r="C1041">
            <v>-64159.23</v>
          </cell>
          <cell r="D1041" t="str">
            <v>204</v>
          </cell>
          <cell r="E1041" t="str">
            <v>457</v>
          </cell>
          <cell r="F1041">
            <v>0</v>
          </cell>
          <cell r="G1041">
            <v>3</v>
          </cell>
          <cell r="H1041" t="str">
            <v>2010-03-31</v>
          </cell>
        </row>
        <row r="1042">
          <cell r="A1042" t="str">
            <v>481005</v>
          </cell>
          <cell r="B1042" t="str">
            <v>1015</v>
          </cell>
          <cell r="C1042">
            <v>-19776</v>
          </cell>
          <cell r="D1042" t="str">
            <v>204</v>
          </cell>
          <cell r="E1042" t="str">
            <v>457</v>
          </cell>
          <cell r="F1042">
            <v>0</v>
          </cell>
          <cell r="G1042">
            <v>7</v>
          </cell>
          <cell r="H1042" t="str">
            <v>2009-07-31</v>
          </cell>
        </row>
        <row r="1043">
          <cell r="A1043" t="str">
            <v>481002</v>
          </cell>
          <cell r="B1043" t="str">
            <v>1015</v>
          </cell>
          <cell r="C1043">
            <v>-8471</v>
          </cell>
          <cell r="D1043" t="str">
            <v>204</v>
          </cell>
          <cell r="E1043" t="str">
            <v>457</v>
          </cell>
          <cell r="F1043">
            <v>0</v>
          </cell>
          <cell r="G1043">
            <v>11</v>
          </cell>
          <cell r="H1043" t="str">
            <v>2009-11-30</v>
          </cell>
        </row>
        <row r="1044">
          <cell r="A1044" t="str">
            <v>481002</v>
          </cell>
          <cell r="B1044" t="str">
            <v>1015</v>
          </cell>
          <cell r="C1044">
            <v>-6344.15</v>
          </cell>
          <cell r="D1044" t="str">
            <v>204</v>
          </cell>
          <cell r="E1044" t="str">
            <v>457</v>
          </cell>
          <cell r="F1044">
            <v>0</v>
          </cell>
          <cell r="G1044">
            <v>3</v>
          </cell>
          <cell r="H1044" t="str">
            <v>2010-03-31</v>
          </cell>
        </row>
        <row r="1045">
          <cell r="A1045" t="str">
            <v>481005</v>
          </cell>
          <cell r="B1045" t="str">
            <v>1015</v>
          </cell>
          <cell r="C1045">
            <v>-46116.33</v>
          </cell>
          <cell r="D1045" t="str">
            <v>204</v>
          </cell>
          <cell r="E1045" t="str">
            <v>457</v>
          </cell>
          <cell r="F1045">
            <v>0</v>
          </cell>
          <cell r="G1045">
            <v>5</v>
          </cell>
          <cell r="H1045" t="str">
            <v>2010-05-31</v>
          </cell>
        </row>
        <row r="1046">
          <cell r="A1046" t="str">
            <v>481002</v>
          </cell>
          <cell r="B1046" t="str">
            <v>1015</v>
          </cell>
          <cell r="C1046">
            <v>-5312</v>
          </cell>
          <cell r="D1046" t="str">
            <v>204</v>
          </cell>
          <cell r="E1046" t="str">
            <v>457</v>
          </cell>
          <cell r="F1046">
            <v>0</v>
          </cell>
          <cell r="G1046">
            <v>8</v>
          </cell>
          <cell r="H1046" t="str">
            <v>2009-08-31</v>
          </cell>
        </row>
        <row r="1047">
          <cell r="A1047" t="str">
            <v>481005</v>
          </cell>
          <cell r="B1047" t="str">
            <v>1015</v>
          </cell>
          <cell r="C1047">
            <v>-22604</v>
          </cell>
          <cell r="D1047" t="str">
            <v>204</v>
          </cell>
          <cell r="E1047" t="str">
            <v>457</v>
          </cell>
          <cell r="F1047">
            <v>0</v>
          </cell>
          <cell r="G1047">
            <v>10</v>
          </cell>
          <cell r="H1047" t="str">
            <v>2009-10-31</v>
          </cell>
        </row>
        <row r="1048">
          <cell r="A1048" t="str">
            <v>481005</v>
          </cell>
          <cell r="B1048" t="str">
            <v>1015</v>
          </cell>
          <cell r="C1048">
            <v>-60934</v>
          </cell>
          <cell r="D1048" t="str">
            <v>204</v>
          </cell>
          <cell r="E1048" t="str">
            <v>457</v>
          </cell>
          <cell r="F1048">
            <v>0</v>
          </cell>
          <cell r="G1048">
            <v>12</v>
          </cell>
          <cell r="H1048" t="str">
            <v>2009-12-31</v>
          </cell>
        </row>
        <row r="1049">
          <cell r="A1049" t="str">
            <v>481005</v>
          </cell>
          <cell r="B1049" t="str">
            <v>1015</v>
          </cell>
          <cell r="C1049">
            <v>-65072</v>
          </cell>
          <cell r="D1049" t="str">
            <v>204</v>
          </cell>
          <cell r="E1049" t="str">
            <v>457</v>
          </cell>
          <cell r="F1049">
            <v>0</v>
          </cell>
          <cell r="G1049">
            <v>11</v>
          </cell>
          <cell r="H1049" t="str">
            <v>2009-11-30</v>
          </cell>
        </row>
        <row r="1050">
          <cell r="A1050" t="str">
            <v>480001</v>
          </cell>
          <cell r="B1050" t="str">
            <v>1015</v>
          </cell>
          <cell r="C1050">
            <v>-2913.12</v>
          </cell>
          <cell r="D1050" t="str">
            <v>205</v>
          </cell>
          <cell r="E1050" t="str">
            <v>407</v>
          </cell>
          <cell r="F1050">
            <v>0</v>
          </cell>
          <cell r="G1050">
            <v>8</v>
          </cell>
          <cell r="H1050" t="str">
            <v>2009-08-31</v>
          </cell>
        </row>
        <row r="1051">
          <cell r="A1051" t="str">
            <v>480001</v>
          </cell>
          <cell r="B1051" t="str">
            <v>1015</v>
          </cell>
          <cell r="C1051">
            <v>1148.5999999999999</v>
          </cell>
          <cell r="D1051" t="str">
            <v>205</v>
          </cell>
          <cell r="E1051" t="str">
            <v>407</v>
          </cell>
          <cell r="F1051">
            <v>0</v>
          </cell>
          <cell r="G1051">
            <v>10</v>
          </cell>
          <cell r="H1051" t="str">
            <v>2009-10-31</v>
          </cell>
        </row>
        <row r="1052">
          <cell r="A1052" t="str">
            <v>480001</v>
          </cell>
          <cell r="B1052" t="str">
            <v>1015</v>
          </cell>
          <cell r="C1052">
            <v>-590765</v>
          </cell>
          <cell r="D1052" t="str">
            <v>205</v>
          </cell>
          <cell r="E1052" t="str">
            <v>407</v>
          </cell>
          <cell r="F1052">
            <v>0</v>
          </cell>
          <cell r="G1052">
            <v>11</v>
          </cell>
          <cell r="H1052" t="str">
            <v>2009-11-30</v>
          </cell>
        </row>
        <row r="1053">
          <cell r="A1053" t="str">
            <v>480001</v>
          </cell>
          <cell r="B1053" t="str">
            <v>1015</v>
          </cell>
          <cell r="C1053">
            <v>-2297028.54</v>
          </cell>
          <cell r="D1053" t="str">
            <v>205</v>
          </cell>
          <cell r="E1053" t="str">
            <v>407</v>
          </cell>
          <cell r="F1053">
            <v>0</v>
          </cell>
          <cell r="G1053">
            <v>1</v>
          </cell>
          <cell r="H1053" t="str">
            <v>2010-01-31</v>
          </cell>
        </row>
        <row r="1054">
          <cell r="A1054" t="str">
            <v>481006</v>
          </cell>
          <cell r="B1054" t="str">
            <v>1015</v>
          </cell>
          <cell r="C1054">
            <v>-788</v>
          </cell>
          <cell r="D1054" t="str">
            <v>205</v>
          </cell>
          <cell r="E1054" t="str">
            <v>407</v>
          </cell>
          <cell r="F1054">
            <v>0</v>
          </cell>
          <cell r="G1054">
            <v>3</v>
          </cell>
          <cell r="H1054" t="str">
            <v>2010-03-31</v>
          </cell>
        </row>
        <row r="1055">
          <cell r="A1055" t="str">
            <v>480001</v>
          </cell>
          <cell r="B1055" t="str">
            <v>1015</v>
          </cell>
          <cell r="C1055">
            <v>2638774</v>
          </cell>
          <cell r="D1055" t="str">
            <v>205</v>
          </cell>
          <cell r="E1055" t="str">
            <v>407</v>
          </cell>
          <cell r="F1055">
            <v>0</v>
          </cell>
          <cell r="G1055">
            <v>5</v>
          </cell>
          <cell r="H1055" t="str">
            <v>2010-05-31</v>
          </cell>
        </row>
        <row r="1056">
          <cell r="A1056" t="str">
            <v>480000</v>
          </cell>
          <cell r="B1056" t="str">
            <v>1015</v>
          </cell>
          <cell r="C1056">
            <v>-878.24</v>
          </cell>
          <cell r="D1056" t="str">
            <v>205</v>
          </cell>
          <cell r="E1056" t="str">
            <v>407</v>
          </cell>
          <cell r="F1056">
            <v>0</v>
          </cell>
          <cell r="G1056">
            <v>9</v>
          </cell>
          <cell r="H1056" t="str">
            <v>2009-09-30</v>
          </cell>
        </row>
        <row r="1057">
          <cell r="A1057" t="str">
            <v>480000</v>
          </cell>
          <cell r="B1057" t="str">
            <v>1015</v>
          </cell>
          <cell r="C1057">
            <v>-1027289.52</v>
          </cell>
          <cell r="D1057" t="str">
            <v>205</v>
          </cell>
          <cell r="E1057" t="str">
            <v>407</v>
          </cell>
          <cell r="F1057">
            <v>0</v>
          </cell>
          <cell r="G1057">
            <v>2</v>
          </cell>
          <cell r="H1057" t="str">
            <v>2010-02-28</v>
          </cell>
        </row>
        <row r="1058">
          <cell r="A1058" t="str">
            <v>480000</v>
          </cell>
          <cell r="B1058" t="str">
            <v>1015</v>
          </cell>
          <cell r="C1058">
            <v>2965472.08</v>
          </cell>
          <cell r="D1058" t="str">
            <v>205</v>
          </cell>
          <cell r="E1058" t="str">
            <v>407</v>
          </cell>
          <cell r="F1058">
            <v>0</v>
          </cell>
          <cell r="G1058">
            <v>1</v>
          </cell>
          <cell r="H1058" t="str">
            <v>2010-01-31</v>
          </cell>
        </row>
        <row r="1059">
          <cell r="A1059" t="str">
            <v>480000</v>
          </cell>
          <cell r="B1059" t="str">
            <v>1015</v>
          </cell>
          <cell r="C1059">
            <v>490430.99</v>
          </cell>
          <cell r="D1059" t="str">
            <v>205</v>
          </cell>
          <cell r="E1059" t="str">
            <v>407</v>
          </cell>
          <cell r="F1059">
            <v>0</v>
          </cell>
          <cell r="G1059">
            <v>3</v>
          </cell>
          <cell r="H1059" t="str">
            <v>2010-03-31</v>
          </cell>
        </row>
        <row r="1060">
          <cell r="A1060" t="str">
            <v>481004</v>
          </cell>
          <cell r="B1060" t="str">
            <v>1015</v>
          </cell>
          <cell r="C1060">
            <v>731.96</v>
          </cell>
          <cell r="D1060" t="str">
            <v>205</v>
          </cell>
          <cell r="E1060" t="str">
            <v>407</v>
          </cell>
          <cell r="F1060">
            <v>0</v>
          </cell>
          <cell r="G1060">
            <v>6</v>
          </cell>
          <cell r="H1060" t="str">
            <v>2010-06-30</v>
          </cell>
        </row>
        <row r="1061">
          <cell r="A1061" t="str">
            <v>480001</v>
          </cell>
          <cell r="B1061" t="str">
            <v>1015</v>
          </cell>
          <cell r="C1061">
            <v>295801.63</v>
          </cell>
          <cell r="D1061" t="str">
            <v>205</v>
          </cell>
          <cell r="E1061" t="str">
            <v>407</v>
          </cell>
          <cell r="F1061">
            <v>0</v>
          </cell>
          <cell r="G1061">
            <v>9</v>
          </cell>
          <cell r="H1061" t="str">
            <v>2009-09-30</v>
          </cell>
        </row>
        <row r="1062">
          <cell r="A1062" t="str">
            <v>481006</v>
          </cell>
          <cell r="B1062" t="str">
            <v>1015</v>
          </cell>
          <cell r="C1062">
            <v>-276010</v>
          </cell>
          <cell r="D1062" t="str">
            <v>205</v>
          </cell>
          <cell r="E1062" t="str">
            <v>407</v>
          </cell>
          <cell r="F1062">
            <v>0</v>
          </cell>
          <cell r="G1062">
            <v>10</v>
          </cell>
          <cell r="H1062" t="str">
            <v>2009-10-31</v>
          </cell>
        </row>
        <row r="1063">
          <cell r="A1063" t="str">
            <v>480001</v>
          </cell>
          <cell r="B1063" t="str">
            <v>1015</v>
          </cell>
          <cell r="C1063">
            <v>1888.7</v>
          </cell>
          <cell r="D1063" t="str">
            <v>205</v>
          </cell>
          <cell r="E1063" t="str">
            <v>407</v>
          </cell>
          <cell r="F1063">
            <v>0</v>
          </cell>
          <cell r="G1063">
            <v>12</v>
          </cell>
          <cell r="H1063" t="str">
            <v>2009-12-31</v>
          </cell>
        </row>
        <row r="1064">
          <cell r="A1064" t="str">
            <v>480001</v>
          </cell>
          <cell r="B1064" t="str">
            <v>1015</v>
          </cell>
          <cell r="C1064">
            <v>-668</v>
          </cell>
          <cell r="D1064" t="str">
            <v>205</v>
          </cell>
          <cell r="E1064" t="str">
            <v>407</v>
          </cell>
          <cell r="F1064">
            <v>0</v>
          </cell>
          <cell r="G1064">
            <v>4</v>
          </cell>
          <cell r="H1064" t="str">
            <v>2010-04-30</v>
          </cell>
        </row>
        <row r="1065">
          <cell r="A1065" t="str">
            <v>481006</v>
          </cell>
          <cell r="B1065" t="str">
            <v>1015</v>
          </cell>
          <cell r="C1065">
            <v>1019</v>
          </cell>
          <cell r="D1065" t="str">
            <v>205</v>
          </cell>
          <cell r="E1065" t="str">
            <v>407</v>
          </cell>
          <cell r="F1065">
            <v>0</v>
          </cell>
          <cell r="G1065">
            <v>5</v>
          </cell>
          <cell r="H1065" t="str">
            <v>2010-05-31</v>
          </cell>
        </row>
        <row r="1066">
          <cell r="A1066" t="str">
            <v>480000</v>
          </cell>
          <cell r="B1066" t="str">
            <v>1015</v>
          </cell>
          <cell r="C1066">
            <v>496494.93</v>
          </cell>
          <cell r="D1066" t="str">
            <v>205</v>
          </cell>
          <cell r="E1066" t="str">
            <v>407</v>
          </cell>
          <cell r="F1066">
            <v>0</v>
          </cell>
          <cell r="G1066">
            <v>10</v>
          </cell>
          <cell r="H1066" t="str">
            <v>2009-10-31</v>
          </cell>
        </row>
        <row r="1067">
          <cell r="A1067" t="str">
            <v>480000</v>
          </cell>
          <cell r="B1067" t="str">
            <v>1015</v>
          </cell>
          <cell r="C1067">
            <v>519.12</v>
          </cell>
          <cell r="D1067" t="str">
            <v>205</v>
          </cell>
          <cell r="E1067" t="str">
            <v>407</v>
          </cell>
          <cell r="F1067">
            <v>0</v>
          </cell>
          <cell r="G1067">
            <v>8</v>
          </cell>
          <cell r="H1067" t="str">
            <v>2009-08-31</v>
          </cell>
        </row>
        <row r="1068">
          <cell r="A1068" t="str">
            <v>481004</v>
          </cell>
          <cell r="B1068" t="str">
            <v>1015</v>
          </cell>
          <cell r="C1068">
            <v>-211824.06</v>
          </cell>
          <cell r="D1068" t="str">
            <v>205</v>
          </cell>
          <cell r="E1068" t="str">
            <v>407</v>
          </cell>
          <cell r="F1068">
            <v>0</v>
          </cell>
          <cell r="G1068">
            <v>2</v>
          </cell>
          <cell r="H1068" t="str">
            <v>2010-02-28</v>
          </cell>
        </row>
        <row r="1069">
          <cell r="A1069" t="str">
            <v>480000</v>
          </cell>
          <cell r="B1069" t="str">
            <v>1015</v>
          </cell>
          <cell r="C1069">
            <v>2430.8000000000002</v>
          </cell>
          <cell r="D1069" t="str">
            <v>205</v>
          </cell>
          <cell r="E1069" t="str">
            <v>407</v>
          </cell>
          <cell r="F1069">
            <v>0</v>
          </cell>
          <cell r="G1069">
            <v>6</v>
          </cell>
          <cell r="H1069" t="str">
            <v>2010-06-30</v>
          </cell>
        </row>
        <row r="1070">
          <cell r="A1070" t="str">
            <v>481006</v>
          </cell>
          <cell r="B1070" t="str">
            <v>1015</v>
          </cell>
          <cell r="C1070">
            <v>-35115.24</v>
          </cell>
          <cell r="D1070" t="str">
            <v>205</v>
          </cell>
          <cell r="E1070" t="str">
            <v>407</v>
          </cell>
          <cell r="F1070">
            <v>0</v>
          </cell>
          <cell r="G1070">
            <v>7</v>
          </cell>
          <cell r="H1070" t="str">
            <v>2009-07-31</v>
          </cell>
        </row>
        <row r="1071">
          <cell r="A1071" t="str">
            <v>480001</v>
          </cell>
          <cell r="B1071" t="str">
            <v>1015</v>
          </cell>
          <cell r="C1071">
            <v>50654.07</v>
          </cell>
          <cell r="D1071" t="str">
            <v>205</v>
          </cell>
          <cell r="E1071" t="str">
            <v>407</v>
          </cell>
          <cell r="F1071">
            <v>0</v>
          </cell>
          <cell r="G1071">
            <v>10</v>
          </cell>
          <cell r="H1071" t="str">
            <v>2009-10-31</v>
          </cell>
        </row>
        <row r="1072">
          <cell r="A1072" t="str">
            <v>481006</v>
          </cell>
          <cell r="B1072" t="str">
            <v>1015</v>
          </cell>
          <cell r="C1072">
            <v>-491841.36</v>
          </cell>
          <cell r="D1072" t="str">
            <v>205</v>
          </cell>
          <cell r="E1072" t="str">
            <v>407</v>
          </cell>
          <cell r="F1072">
            <v>0</v>
          </cell>
          <cell r="G1072">
            <v>1</v>
          </cell>
          <cell r="H1072" t="str">
            <v>2010-01-31</v>
          </cell>
        </row>
        <row r="1073">
          <cell r="A1073" t="str">
            <v>480000</v>
          </cell>
          <cell r="B1073" t="str">
            <v>1015</v>
          </cell>
          <cell r="C1073">
            <v>175573</v>
          </cell>
          <cell r="D1073" t="str">
            <v>205</v>
          </cell>
          <cell r="E1073" t="str">
            <v>407</v>
          </cell>
          <cell r="F1073">
            <v>0</v>
          </cell>
          <cell r="G1073">
            <v>11</v>
          </cell>
          <cell r="H1073" t="str">
            <v>2009-11-30</v>
          </cell>
        </row>
        <row r="1074">
          <cell r="A1074" t="str">
            <v>481004</v>
          </cell>
          <cell r="B1074" t="str">
            <v>1015</v>
          </cell>
          <cell r="C1074">
            <v>58.21</v>
          </cell>
          <cell r="D1074" t="str">
            <v>205</v>
          </cell>
          <cell r="E1074" t="str">
            <v>407</v>
          </cell>
          <cell r="F1074">
            <v>0</v>
          </cell>
          <cell r="G1074">
            <v>7</v>
          </cell>
          <cell r="H1074" t="str">
            <v>2009-07-31</v>
          </cell>
        </row>
        <row r="1075">
          <cell r="A1075" t="str">
            <v>480000</v>
          </cell>
          <cell r="B1075" t="str">
            <v>1015</v>
          </cell>
          <cell r="C1075">
            <v>76599.78</v>
          </cell>
          <cell r="D1075" t="str">
            <v>205</v>
          </cell>
          <cell r="E1075" t="str">
            <v>407</v>
          </cell>
          <cell r="F1075">
            <v>0</v>
          </cell>
          <cell r="G1075">
            <v>8</v>
          </cell>
          <cell r="H1075" t="str">
            <v>2009-08-31</v>
          </cell>
        </row>
        <row r="1076">
          <cell r="A1076" t="str">
            <v>481004</v>
          </cell>
          <cell r="B1076" t="str">
            <v>1015</v>
          </cell>
          <cell r="C1076">
            <v>104.49</v>
          </cell>
          <cell r="D1076" t="str">
            <v>205</v>
          </cell>
          <cell r="E1076" t="str">
            <v>407</v>
          </cell>
          <cell r="F1076">
            <v>0</v>
          </cell>
          <cell r="G1076">
            <v>8</v>
          </cell>
          <cell r="H1076" t="str">
            <v>2009-08-31</v>
          </cell>
        </row>
        <row r="1077">
          <cell r="A1077" t="str">
            <v>481004</v>
          </cell>
          <cell r="B1077" t="str">
            <v>1015</v>
          </cell>
          <cell r="C1077">
            <v>-27561.69</v>
          </cell>
          <cell r="D1077" t="str">
            <v>205</v>
          </cell>
          <cell r="E1077" t="str">
            <v>407</v>
          </cell>
          <cell r="F1077">
            <v>0</v>
          </cell>
          <cell r="G1077">
            <v>9</v>
          </cell>
          <cell r="H1077" t="str">
            <v>2009-09-30</v>
          </cell>
        </row>
        <row r="1078">
          <cell r="A1078" t="str">
            <v>480000</v>
          </cell>
          <cell r="B1078" t="str">
            <v>1015</v>
          </cell>
          <cell r="C1078">
            <v>5917.3</v>
          </cell>
          <cell r="D1078" t="str">
            <v>205</v>
          </cell>
          <cell r="E1078" t="str">
            <v>407</v>
          </cell>
          <cell r="F1078">
            <v>0</v>
          </cell>
          <cell r="G1078">
            <v>12</v>
          </cell>
          <cell r="H1078" t="str">
            <v>2009-12-31</v>
          </cell>
        </row>
        <row r="1079">
          <cell r="A1079" t="str">
            <v>480000</v>
          </cell>
          <cell r="B1079" t="str">
            <v>1015</v>
          </cell>
          <cell r="C1079">
            <v>5952.61</v>
          </cell>
          <cell r="D1079" t="str">
            <v>205</v>
          </cell>
          <cell r="E1079" t="str">
            <v>407</v>
          </cell>
          <cell r="F1079">
            <v>0</v>
          </cell>
          <cell r="G1079">
            <v>1</v>
          </cell>
          <cell r="H1079" t="str">
            <v>2010-01-31</v>
          </cell>
        </row>
        <row r="1080">
          <cell r="A1080" t="str">
            <v>481004</v>
          </cell>
          <cell r="B1080" t="str">
            <v>1015</v>
          </cell>
          <cell r="C1080">
            <v>1776.01</v>
          </cell>
          <cell r="D1080" t="str">
            <v>205</v>
          </cell>
          <cell r="E1080" t="str">
            <v>407</v>
          </cell>
          <cell r="F1080">
            <v>0</v>
          </cell>
          <cell r="G1080">
            <v>1</v>
          </cell>
          <cell r="H1080" t="str">
            <v>2010-01-31</v>
          </cell>
        </row>
        <row r="1081">
          <cell r="A1081" t="str">
            <v>481004</v>
          </cell>
          <cell r="B1081" t="str">
            <v>1015</v>
          </cell>
          <cell r="C1081">
            <v>158.41999999999999</v>
          </cell>
          <cell r="D1081" t="str">
            <v>205</v>
          </cell>
          <cell r="E1081" t="str">
            <v>407</v>
          </cell>
          <cell r="F1081">
            <v>0</v>
          </cell>
          <cell r="G1081">
            <v>2</v>
          </cell>
          <cell r="H1081" t="str">
            <v>2010-02-28</v>
          </cell>
        </row>
        <row r="1082">
          <cell r="A1082" t="str">
            <v>481004</v>
          </cell>
          <cell r="B1082" t="str">
            <v>1015</v>
          </cell>
          <cell r="C1082">
            <v>107223.35</v>
          </cell>
          <cell r="D1082" t="str">
            <v>205</v>
          </cell>
          <cell r="E1082" t="str">
            <v>407</v>
          </cell>
          <cell r="F1082">
            <v>0</v>
          </cell>
          <cell r="G1082">
            <v>3</v>
          </cell>
          <cell r="H1082" t="str">
            <v>2010-03-31</v>
          </cell>
        </row>
        <row r="1083">
          <cell r="A1083" t="str">
            <v>481004</v>
          </cell>
          <cell r="B1083" t="str">
            <v>1015</v>
          </cell>
          <cell r="C1083">
            <v>1526.12</v>
          </cell>
          <cell r="D1083" t="str">
            <v>205</v>
          </cell>
          <cell r="E1083" t="str">
            <v>407</v>
          </cell>
          <cell r="F1083">
            <v>0</v>
          </cell>
          <cell r="G1083">
            <v>3</v>
          </cell>
          <cell r="H1083" t="str">
            <v>2010-03-31</v>
          </cell>
        </row>
        <row r="1084">
          <cell r="A1084" t="str">
            <v>480000</v>
          </cell>
          <cell r="B1084" t="str">
            <v>1015</v>
          </cell>
          <cell r="C1084">
            <v>1900.4</v>
          </cell>
          <cell r="D1084" t="str">
            <v>205</v>
          </cell>
          <cell r="E1084" t="str">
            <v>407</v>
          </cell>
          <cell r="F1084">
            <v>0</v>
          </cell>
          <cell r="G1084">
            <v>4</v>
          </cell>
          <cell r="H1084" t="str">
            <v>2010-04-30</v>
          </cell>
        </row>
        <row r="1085">
          <cell r="A1085" t="str">
            <v>480001</v>
          </cell>
          <cell r="B1085" t="str">
            <v>1015</v>
          </cell>
          <cell r="C1085">
            <v>-171880.49</v>
          </cell>
          <cell r="D1085" t="str">
            <v>205</v>
          </cell>
          <cell r="E1085" t="str">
            <v>407</v>
          </cell>
          <cell r="F1085">
            <v>0</v>
          </cell>
          <cell r="G1085">
            <v>7</v>
          </cell>
          <cell r="H1085" t="str">
            <v>2009-07-31</v>
          </cell>
        </row>
        <row r="1086">
          <cell r="A1086" t="str">
            <v>481006</v>
          </cell>
          <cell r="B1086" t="str">
            <v>1015</v>
          </cell>
          <cell r="C1086">
            <v>-850.75</v>
          </cell>
          <cell r="D1086" t="str">
            <v>205</v>
          </cell>
          <cell r="E1086" t="str">
            <v>407</v>
          </cell>
          <cell r="F1086">
            <v>0</v>
          </cell>
          <cell r="G1086">
            <v>1</v>
          </cell>
          <cell r="H1086" t="str">
            <v>2010-01-31</v>
          </cell>
        </row>
        <row r="1087">
          <cell r="A1087" t="str">
            <v>481006</v>
          </cell>
          <cell r="B1087" t="str">
            <v>1015</v>
          </cell>
          <cell r="C1087">
            <v>956</v>
          </cell>
          <cell r="D1087" t="str">
            <v>205</v>
          </cell>
          <cell r="E1087" t="str">
            <v>407</v>
          </cell>
          <cell r="F1087">
            <v>0</v>
          </cell>
          <cell r="G1087">
            <v>2</v>
          </cell>
          <cell r="H1087" t="str">
            <v>2010-02-28</v>
          </cell>
        </row>
        <row r="1088">
          <cell r="A1088" t="str">
            <v>480001</v>
          </cell>
          <cell r="B1088" t="str">
            <v>1015</v>
          </cell>
          <cell r="C1088">
            <v>-1139776</v>
          </cell>
          <cell r="D1088" t="str">
            <v>205</v>
          </cell>
          <cell r="E1088" t="str">
            <v>407</v>
          </cell>
          <cell r="F1088">
            <v>0</v>
          </cell>
          <cell r="G1088">
            <v>6</v>
          </cell>
          <cell r="H1088" t="str">
            <v>2010-06-30</v>
          </cell>
        </row>
        <row r="1089">
          <cell r="A1089" t="str">
            <v>480000</v>
          </cell>
          <cell r="B1089" t="str">
            <v>1015</v>
          </cell>
          <cell r="C1089">
            <v>1479.4</v>
          </cell>
          <cell r="D1089" t="str">
            <v>205</v>
          </cell>
          <cell r="E1089" t="str">
            <v>407</v>
          </cell>
          <cell r="F1089">
            <v>0</v>
          </cell>
          <cell r="G1089">
            <v>10</v>
          </cell>
          <cell r="H1089" t="str">
            <v>2009-10-31</v>
          </cell>
        </row>
        <row r="1090">
          <cell r="A1090" t="str">
            <v>481004</v>
          </cell>
          <cell r="B1090" t="str">
            <v>1015</v>
          </cell>
          <cell r="C1090">
            <v>368726.82</v>
          </cell>
          <cell r="D1090" t="str">
            <v>205</v>
          </cell>
          <cell r="E1090" t="str">
            <v>407</v>
          </cell>
          <cell r="F1090">
            <v>0</v>
          </cell>
          <cell r="G1090">
            <v>4</v>
          </cell>
          <cell r="H1090" t="str">
            <v>2010-04-30</v>
          </cell>
        </row>
        <row r="1091">
          <cell r="A1091" t="str">
            <v>481004</v>
          </cell>
          <cell r="B1091" t="str">
            <v>1015</v>
          </cell>
          <cell r="C1091">
            <v>962.61</v>
          </cell>
          <cell r="D1091" t="str">
            <v>205</v>
          </cell>
          <cell r="E1091" t="str">
            <v>407</v>
          </cell>
          <cell r="F1091">
            <v>0</v>
          </cell>
          <cell r="G1091">
            <v>5</v>
          </cell>
          <cell r="H1091" t="str">
            <v>2010-05-31</v>
          </cell>
        </row>
        <row r="1092">
          <cell r="A1092" t="str">
            <v>481006</v>
          </cell>
          <cell r="B1092" t="str">
            <v>1015</v>
          </cell>
          <cell r="C1092">
            <v>2680.06</v>
          </cell>
          <cell r="D1092" t="str">
            <v>205</v>
          </cell>
          <cell r="E1092" t="str">
            <v>407</v>
          </cell>
          <cell r="F1092">
            <v>0</v>
          </cell>
          <cell r="G1092">
            <v>10</v>
          </cell>
          <cell r="H1092" t="str">
            <v>2009-10-31</v>
          </cell>
        </row>
        <row r="1093">
          <cell r="A1093" t="str">
            <v>480001</v>
          </cell>
          <cell r="B1093" t="str">
            <v>1015</v>
          </cell>
          <cell r="C1093">
            <v>-1544.64</v>
          </cell>
          <cell r="D1093" t="str">
            <v>205</v>
          </cell>
          <cell r="E1093" t="str">
            <v>407</v>
          </cell>
          <cell r="F1093">
            <v>0</v>
          </cell>
          <cell r="G1093">
            <v>11</v>
          </cell>
          <cell r="H1093" t="str">
            <v>2009-11-30</v>
          </cell>
        </row>
        <row r="1094">
          <cell r="A1094" t="str">
            <v>481006</v>
          </cell>
          <cell r="B1094" t="str">
            <v>1015</v>
          </cell>
          <cell r="C1094">
            <v>-477.06</v>
          </cell>
          <cell r="D1094" t="str">
            <v>205</v>
          </cell>
          <cell r="E1094" t="str">
            <v>407</v>
          </cell>
          <cell r="F1094">
            <v>0</v>
          </cell>
          <cell r="G1094">
            <v>11</v>
          </cell>
          <cell r="H1094" t="str">
            <v>2009-11-30</v>
          </cell>
        </row>
        <row r="1095">
          <cell r="A1095" t="str">
            <v>480001</v>
          </cell>
          <cell r="B1095" t="str">
            <v>1015</v>
          </cell>
          <cell r="C1095">
            <v>1821810.97</v>
          </cell>
          <cell r="D1095" t="str">
            <v>205</v>
          </cell>
          <cell r="E1095" t="str">
            <v>407</v>
          </cell>
          <cell r="F1095">
            <v>0</v>
          </cell>
          <cell r="G1095">
            <v>12</v>
          </cell>
          <cell r="H1095" t="str">
            <v>2009-12-31</v>
          </cell>
        </row>
        <row r="1096">
          <cell r="A1096" t="str">
            <v>480001</v>
          </cell>
          <cell r="B1096" t="str">
            <v>1015</v>
          </cell>
          <cell r="C1096">
            <v>-3234.32</v>
          </cell>
          <cell r="D1096" t="str">
            <v>205</v>
          </cell>
          <cell r="E1096" t="str">
            <v>407</v>
          </cell>
          <cell r="F1096">
            <v>0</v>
          </cell>
          <cell r="G1096">
            <v>1</v>
          </cell>
          <cell r="H1096" t="str">
            <v>2010-01-31</v>
          </cell>
        </row>
        <row r="1097">
          <cell r="A1097" t="str">
            <v>480001</v>
          </cell>
          <cell r="B1097" t="str">
            <v>1015</v>
          </cell>
          <cell r="C1097">
            <v>2801</v>
          </cell>
          <cell r="D1097" t="str">
            <v>205</v>
          </cell>
          <cell r="E1097" t="str">
            <v>407</v>
          </cell>
          <cell r="F1097">
            <v>0</v>
          </cell>
          <cell r="G1097">
            <v>2</v>
          </cell>
          <cell r="H1097" t="str">
            <v>2010-02-28</v>
          </cell>
        </row>
        <row r="1098">
          <cell r="A1098" t="str">
            <v>480001</v>
          </cell>
          <cell r="B1098" t="str">
            <v>1015</v>
          </cell>
          <cell r="C1098">
            <v>4006</v>
          </cell>
          <cell r="D1098" t="str">
            <v>205</v>
          </cell>
          <cell r="E1098" t="str">
            <v>407</v>
          </cell>
          <cell r="F1098">
            <v>0</v>
          </cell>
          <cell r="G1098">
            <v>5</v>
          </cell>
          <cell r="H1098" t="str">
            <v>2010-05-31</v>
          </cell>
        </row>
        <row r="1099">
          <cell r="A1099" t="str">
            <v>480000</v>
          </cell>
          <cell r="B1099" t="str">
            <v>1015</v>
          </cell>
          <cell r="C1099">
            <v>235.27</v>
          </cell>
          <cell r="D1099" t="str">
            <v>205</v>
          </cell>
          <cell r="E1099" t="str">
            <v>407</v>
          </cell>
          <cell r="F1099">
            <v>0</v>
          </cell>
          <cell r="G1099">
            <v>7</v>
          </cell>
          <cell r="H1099" t="str">
            <v>2009-07-31</v>
          </cell>
        </row>
        <row r="1100">
          <cell r="A1100" t="str">
            <v>480000</v>
          </cell>
          <cell r="B1100" t="str">
            <v>1015</v>
          </cell>
          <cell r="C1100">
            <v>-170246.63</v>
          </cell>
          <cell r="D1100" t="str">
            <v>205</v>
          </cell>
          <cell r="E1100" t="str">
            <v>407</v>
          </cell>
          <cell r="F1100">
            <v>0</v>
          </cell>
          <cell r="G1100">
            <v>9</v>
          </cell>
          <cell r="H1100" t="str">
            <v>2009-09-30</v>
          </cell>
        </row>
        <row r="1101">
          <cell r="A1101" t="str">
            <v>481004</v>
          </cell>
          <cell r="B1101" t="str">
            <v>1015</v>
          </cell>
          <cell r="C1101">
            <v>-167.63</v>
          </cell>
          <cell r="D1101" t="str">
            <v>205</v>
          </cell>
          <cell r="E1101" t="str">
            <v>407</v>
          </cell>
          <cell r="F1101">
            <v>0</v>
          </cell>
          <cell r="G1101">
            <v>9</v>
          </cell>
          <cell r="H1101" t="str">
            <v>2009-09-30</v>
          </cell>
        </row>
        <row r="1102">
          <cell r="A1102" t="str">
            <v>481004</v>
          </cell>
          <cell r="B1102" t="str">
            <v>1015</v>
          </cell>
          <cell r="C1102">
            <v>489.06</v>
          </cell>
          <cell r="D1102" t="str">
            <v>205</v>
          </cell>
          <cell r="E1102" t="str">
            <v>407</v>
          </cell>
          <cell r="F1102">
            <v>0</v>
          </cell>
          <cell r="G1102">
            <v>11</v>
          </cell>
          <cell r="H1102" t="str">
            <v>2009-11-30</v>
          </cell>
        </row>
        <row r="1103">
          <cell r="A1103" t="str">
            <v>481004</v>
          </cell>
          <cell r="B1103" t="str">
            <v>1015</v>
          </cell>
          <cell r="C1103">
            <v>690631.6</v>
          </cell>
          <cell r="D1103" t="str">
            <v>205</v>
          </cell>
          <cell r="E1103" t="str">
            <v>407</v>
          </cell>
          <cell r="F1103">
            <v>0</v>
          </cell>
          <cell r="G1103">
            <v>1</v>
          </cell>
          <cell r="H1103" t="str">
            <v>2010-01-31</v>
          </cell>
        </row>
        <row r="1104">
          <cell r="A1104" t="str">
            <v>481004</v>
          </cell>
          <cell r="B1104" t="str">
            <v>1015</v>
          </cell>
          <cell r="C1104">
            <v>256388.99</v>
          </cell>
          <cell r="D1104" t="str">
            <v>205</v>
          </cell>
          <cell r="E1104" t="str">
            <v>407</v>
          </cell>
          <cell r="F1104">
            <v>0</v>
          </cell>
          <cell r="G1104">
            <v>6</v>
          </cell>
          <cell r="H1104" t="str">
            <v>2010-06-30</v>
          </cell>
        </row>
        <row r="1105">
          <cell r="A1105" t="str">
            <v>481006</v>
          </cell>
          <cell r="B1105" t="str">
            <v>1015</v>
          </cell>
          <cell r="C1105">
            <v>-775.49</v>
          </cell>
          <cell r="D1105" t="str">
            <v>205</v>
          </cell>
          <cell r="E1105" t="str">
            <v>407</v>
          </cell>
          <cell r="F1105">
            <v>0</v>
          </cell>
          <cell r="G1105">
            <v>8</v>
          </cell>
          <cell r="H1105" t="str">
            <v>2009-08-31</v>
          </cell>
        </row>
        <row r="1106">
          <cell r="A1106" t="str">
            <v>480001</v>
          </cell>
          <cell r="B1106" t="str">
            <v>1015</v>
          </cell>
          <cell r="C1106">
            <v>1748.24</v>
          </cell>
          <cell r="D1106" t="str">
            <v>205</v>
          </cell>
          <cell r="E1106" t="str">
            <v>407</v>
          </cell>
          <cell r="F1106">
            <v>0</v>
          </cell>
          <cell r="G1106">
            <v>9</v>
          </cell>
          <cell r="H1106" t="str">
            <v>2009-09-30</v>
          </cell>
        </row>
        <row r="1107">
          <cell r="A1107" t="str">
            <v>481006</v>
          </cell>
          <cell r="B1107" t="str">
            <v>1015</v>
          </cell>
          <cell r="C1107">
            <v>-144422.18</v>
          </cell>
          <cell r="D1107" t="str">
            <v>205</v>
          </cell>
          <cell r="E1107" t="str">
            <v>407</v>
          </cell>
          <cell r="F1107">
            <v>0</v>
          </cell>
          <cell r="G1107">
            <v>11</v>
          </cell>
          <cell r="H1107" t="str">
            <v>2009-11-30</v>
          </cell>
        </row>
        <row r="1108">
          <cell r="A1108" t="str">
            <v>481006</v>
          </cell>
          <cell r="B1108" t="str">
            <v>1015</v>
          </cell>
          <cell r="C1108">
            <v>704.16</v>
          </cell>
          <cell r="D1108" t="str">
            <v>205</v>
          </cell>
          <cell r="E1108" t="str">
            <v>407</v>
          </cell>
          <cell r="F1108">
            <v>0</v>
          </cell>
          <cell r="G1108">
            <v>12</v>
          </cell>
          <cell r="H1108" t="str">
            <v>2009-12-31</v>
          </cell>
        </row>
        <row r="1109">
          <cell r="A1109" t="str">
            <v>480001</v>
          </cell>
          <cell r="B1109" t="str">
            <v>1015</v>
          </cell>
          <cell r="C1109">
            <v>483757</v>
          </cell>
          <cell r="D1109" t="str">
            <v>205</v>
          </cell>
          <cell r="E1109" t="str">
            <v>407</v>
          </cell>
          <cell r="F1109">
            <v>0</v>
          </cell>
          <cell r="G1109">
            <v>3</v>
          </cell>
          <cell r="H1109" t="str">
            <v>2010-03-31</v>
          </cell>
        </row>
        <row r="1110">
          <cell r="A1110" t="str">
            <v>481006</v>
          </cell>
          <cell r="B1110" t="str">
            <v>1015</v>
          </cell>
          <cell r="C1110">
            <v>-306444</v>
          </cell>
          <cell r="D1110" t="str">
            <v>205</v>
          </cell>
          <cell r="E1110" t="str">
            <v>407</v>
          </cell>
          <cell r="F1110">
            <v>0</v>
          </cell>
          <cell r="G1110">
            <v>6</v>
          </cell>
          <cell r="H1110" t="str">
            <v>2010-06-30</v>
          </cell>
        </row>
        <row r="1111">
          <cell r="A1111" t="str">
            <v>481004</v>
          </cell>
          <cell r="B1111" t="str">
            <v>1015</v>
          </cell>
          <cell r="C1111">
            <v>15133.45</v>
          </cell>
          <cell r="D1111" t="str">
            <v>205</v>
          </cell>
          <cell r="E1111" t="str">
            <v>407</v>
          </cell>
          <cell r="F1111">
            <v>0</v>
          </cell>
          <cell r="G1111">
            <v>8</v>
          </cell>
          <cell r="H1111" t="str">
            <v>2009-08-31</v>
          </cell>
        </row>
        <row r="1112">
          <cell r="A1112" t="str">
            <v>481004</v>
          </cell>
          <cell r="B1112" t="str">
            <v>1015</v>
          </cell>
          <cell r="C1112">
            <v>106600</v>
          </cell>
          <cell r="D1112" t="str">
            <v>205</v>
          </cell>
          <cell r="E1112" t="str">
            <v>407</v>
          </cell>
          <cell r="F1112">
            <v>0</v>
          </cell>
          <cell r="G1112">
            <v>10</v>
          </cell>
          <cell r="H1112" t="str">
            <v>2009-10-31</v>
          </cell>
        </row>
        <row r="1113">
          <cell r="A1113" t="str">
            <v>480000</v>
          </cell>
          <cell r="B1113" t="str">
            <v>1015</v>
          </cell>
          <cell r="C1113">
            <v>1642.64</v>
          </cell>
          <cell r="D1113" t="str">
            <v>205</v>
          </cell>
          <cell r="E1113" t="str">
            <v>407</v>
          </cell>
          <cell r="F1113">
            <v>0</v>
          </cell>
          <cell r="G1113">
            <v>11</v>
          </cell>
          <cell r="H1113" t="str">
            <v>2009-11-30</v>
          </cell>
        </row>
        <row r="1114">
          <cell r="A1114" t="str">
            <v>481004</v>
          </cell>
          <cell r="B1114" t="str">
            <v>1015</v>
          </cell>
          <cell r="C1114">
            <v>1913.84</v>
          </cell>
          <cell r="D1114" t="str">
            <v>205</v>
          </cell>
          <cell r="E1114" t="str">
            <v>407</v>
          </cell>
          <cell r="F1114">
            <v>0</v>
          </cell>
          <cell r="G1114">
            <v>12</v>
          </cell>
          <cell r="H1114" t="str">
            <v>2009-12-31</v>
          </cell>
        </row>
        <row r="1115">
          <cell r="A1115" t="str">
            <v>480000</v>
          </cell>
          <cell r="B1115" t="str">
            <v>1015</v>
          </cell>
          <cell r="C1115">
            <v>2306171.0299999998</v>
          </cell>
          <cell r="D1115" t="str">
            <v>205</v>
          </cell>
          <cell r="E1115" t="str">
            <v>407</v>
          </cell>
          <cell r="F1115">
            <v>0</v>
          </cell>
          <cell r="G1115">
            <v>12</v>
          </cell>
          <cell r="H1115" t="str">
            <v>2009-12-31</v>
          </cell>
        </row>
        <row r="1116">
          <cell r="A1116" t="str">
            <v>480000</v>
          </cell>
          <cell r="B1116" t="str">
            <v>1015</v>
          </cell>
          <cell r="C1116">
            <v>4604.17</v>
          </cell>
          <cell r="D1116" t="str">
            <v>205</v>
          </cell>
          <cell r="E1116" t="str">
            <v>407</v>
          </cell>
          <cell r="F1116">
            <v>0</v>
          </cell>
          <cell r="G1116">
            <v>3</v>
          </cell>
          <cell r="H1116" t="str">
            <v>2010-03-31</v>
          </cell>
        </row>
        <row r="1117">
          <cell r="A1117" t="str">
            <v>481004</v>
          </cell>
          <cell r="B1117" t="str">
            <v>1015</v>
          </cell>
          <cell r="C1117">
            <v>313941.34000000003</v>
          </cell>
          <cell r="D1117" t="str">
            <v>205</v>
          </cell>
          <cell r="E1117" t="str">
            <v>407</v>
          </cell>
          <cell r="F1117">
            <v>0</v>
          </cell>
          <cell r="G1117">
            <v>5</v>
          </cell>
          <cell r="H1117" t="str">
            <v>2010-05-31</v>
          </cell>
        </row>
        <row r="1118">
          <cell r="A1118" t="str">
            <v>480001</v>
          </cell>
          <cell r="B1118" t="str">
            <v>1015</v>
          </cell>
          <cell r="C1118">
            <v>-360.27</v>
          </cell>
          <cell r="D1118" t="str">
            <v>205</v>
          </cell>
          <cell r="E1118" t="str">
            <v>407</v>
          </cell>
          <cell r="F1118">
            <v>0</v>
          </cell>
          <cell r="G1118">
            <v>7</v>
          </cell>
          <cell r="H1118" t="str">
            <v>2009-07-31</v>
          </cell>
        </row>
        <row r="1119">
          <cell r="A1119" t="str">
            <v>480001</v>
          </cell>
          <cell r="B1119" t="str">
            <v>1015</v>
          </cell>
          <cell r="C1119">
            <v>-1657520.31</v>
          </cell>
          <cell r="D1119" t="str">
            <v>205</v>
          </cell>
          <cell r="E1119" t="str">
            <v>407</v>
          </cell>
          <cell r="F1119">
            <v>0</v>
          </cell>
          <cell r="G1119">
            <v>8</v>
          </cell>
          <cell r="H1119" t="str">
            <v>2009-08-31</v>
          </cell>
        </row>
        <row r="1120">
          <cell r="A1120" t="str">
            <v>481006</v>
          </cell>
          <cell r="B1120" t="str">
            <v>1015</v>
          </cell>
          <cell r="C1120">
            <v>-590056.26</v>
          </cell>
          <cell r="D1120" t="str">
            <v>205</v>
          </cell>
          <cell r="E1120" t="str">
            <v>407</v>
          </cell>
          <cell r="F1120">
            <v>0</v>
          </cell>
          <cell r="G1120">
            <v>8</v>
          </cell>
          <cell r="H1120" t="str">
            <v>2009-08-31</v>
          </cell>
        </row>
        <row r="1121">
          <cell r="A1121" t="str">
            <v>481006</v>
          </cell>
          <cell r="B1121" t="str">
            <v>1015</v>
          </cell>
          <cell r="C1121">
            <v>546826.31999999995</v>
          </cell>
          <cell r="D1121" t="str">
            <v>205</v>
          </cell>
          <cell r="E1121" t="str">
            <v>407</v>
          </cell>
          <cell r="F1121">
            <v>0</v>
          </cell>
          <cell r="G1121">
            <v>12</v>
          </cell>
          <cell r="H1121" t="str">
            <v>2009-12-31</v>
          </cell>
        </row>
        <row r="1122">
          <cell r="A1122" t="str">
            <v>480001</v>
          </cell>
          <cell r="B1122" t="str">
            <v>1015</v>
          </cell>
          <cell r="C1122">
            <v>453016</v>
          </cell>
          <cell r="D1122" t="str">
            <v>205</v>
          </cell>
          <cell r="E1122" t="str">
            <v>407</v>
          </cell>
          <cell r="F1122">
            <v>0</v>
          </cell>
          <cell r="G1122">
            <v>2</v>
          </cell>
          <cell r="H1122" t="str">
            <v>2010-02-28</v>
          </cell>
        </row>
        <row r="1123">
          <cell r="A1123" t="str">
            <v>481006</v>
          </cell>
          <cell r="B1123" t="str">
            <v>1015</v>
          </cell>
          <cell r="C1123">
            <v>65656</v>
          </cell>
          <cell r="D1123" t="str">
            <v>205</v>
          </cell>
          <cell r="E1123" t="str">
            <v>407</v>
          </cell>
          <cell r="F1123">
            <v>0</v>
          </cell>
          <cell r="G1123">
            <v>2</v>
          </cell>
          <cell r="H1123" t="str">
            <v>2010-02-28</v>
          </cell>
        </row>
        <row r="1124">
          <cell r="A1124" t="str">
            <v>480001</v>
          </cell>
          <cell r="B1124" t="str">
            <v>1015</v>
          </cell>
          <cell r="C1124">
            <v>-2483</v>
          </cell>
          <cell r="D1124" t="str">
            <v>205</v>
          </cell>
          <cell r="E1124" t="str">
            <v>407</v>
          </cell>
          <cell r="F1124">
            <v>0</v>
          </cell>
          <cell r="G1124">
            <v>3</v>
          </cell>
          <cell r="H1124" t="str">
            <v>2010-03-31</v>
          </cell>
        </row>
        <row r="1125">
          <cell r="A1125" t="str">
            <v>481006</v>
          </cell>
          <cell r="B1125" t="str">
            <v>1015</v>
          </cell>
          <cell r="C1125">
            <v>-232</v>
          </cell>
          <cell r="D1125" t="str">
            <v>205</v>
          </cell>
          <cell r="E1125" t="str">
            <v>407</v>
          </cell>
          <cell r="F1125">
            <v>0</v>
          </cell>
          <cell r="G1125">
            <v>4</v>
          </cell>
          <cell r="H1125" t="str">
            <v>2010-04-30</v>
          </cell>
        </row>
        <row r="1126">
          <cell r="A1126" t="str">
            <v>481006</v>
          </cell>
          <cell r="B1126" t="str">
            <v>1015</v>
          </cell>
          <cell r="C1126">
            <v>1018002</v>
          </cell>
          <cell r="D1126" t="str">
            <v>205</v>
          </cell>
          <cell r="E1126" t="str">
            <v>407</v>
          </cell>
          <cell r="F1126">
            <v>0</v>
          </cell>
          <cell r="G1126">
            <v>5</v>
          </cell>
          <cell r="H1126" t="str">
            <v>2010-05-31</v>
          </cell>
        </row>
        <row r="1127">
          <cell r="A1127" t="str">
            <v>480001</v>
          </cell>
          <cell r="B1127" t="str">
            <v>1015</v>
          </cell>
          <cell r="C1127">
            <v>-2191</v>
          </cell>
          <cell r="D1127" t="str">
            <v>205</v>
          </cell>
          <cell r="E1127" t="str">
            <v>407</v>
          </cell>
          <cell r="F1127">
            <v>0</v>
          </cell>
          <cell r="G1127">
            <v>6</v>
          </cell>
          <cell r="H1127" t="str">
            <v>2010-06-30</v>
          </cell>
        </row>
        <row r="1128">
          <cell r="A1128" t="str">
            <v>481006</v>
          </cell>
          <cell r="B1128" t="str">
            <v>1015</v>
          </cell>
          <cell r="C1128">
            <v>-776</v>
          </cell>
          <cell r="D1128" t="str">
            <v>205</v>
          </cell>
          <cell r="E1128" t="str">
            <v>407</v>
          </cell>
          <cell r="F1128">
            <v>0</v>
          </cell>
          <cell r="G1128">
            <v>6</v>
          </cell>
          <cell r="H1128" t="str">
            <v>2010-06-30</v>
          </cell>
        </row>
        <row r="1129">
          <cell r="A1129" t="str">
            <v>480000</v>
          </cell>
          <cell r="B1129" t="str">
            <v>1015</v>
          </cell>
          <cell r="C1129">
            <v>172314.49</v>
          </cell>
          <cell r="D1129" t="str">
            <v>205</v>
          </cell>
          <cell r="E1129" t="str">
            <v>407</v>
          </cell>
          <cell r="F1129">
            <v>0</v>
          </cell>
          <cell r="G1129">
            <v>7</v>
          </cell>
          <cell r="H1129" t="str">
            <v>2009-07-31</v>
          </cell>
        </row>
        <row r="1130">
          <cell r="A1130" t="str">
            <v>480000</v>
          </cell>
          <cell r="B1130" t="str">
            <v>1015</v>
          </cell>
          <cell r="C1130">
            <v>1368471.92</v>
          </cell>
          <cell r="D1130" t="str">
            <v>205</v>
          </cell>
          <cell r="E1130" t="str">
            <v>407</v>
          </cell>
          <cell r="F1130">
            <v>0</v>
          </cell>
          <cell r="G1130">
            <v>5</v>
          </cell>
          <cell r="H1130" t="str">
            <v>2010-05-31</v>
          </cell>
        </row>
        <row r="1131">
          <cell r="A1131" t="str">
            <v>480000</v>
          </cell>
          <cell r="B1131" t="str">
            <v>1015</v>
          </cell>
          <cell r="C1131">
            <v>3324.87</v>
          </cell>
          <cell r="D1131" t="str">
            <v>205</v>
          </cell>
          <cell r="E1131" t="str">
            <v>407</v>
          </cell>
          <cell r="F1131">
            <v>0</v>
          </cell>
          <cell r="G1131">
            <v>5</v>
          </cell>
          <cell r="H1131" t="str">
            <v>2010-05-31</v>
          </cell>
        </row>
        <row r="1132">
          <cell r="A1132" t="str">
            <v>480000</v>
          </cell>
          <cell r="B1132" t="str">
            <v>1015</v>
          </cell>
          <cell r="C1132">
            <v>1037058.93</v>
          </cell>
          <cell r="D1132" t="str">
            <v>205</v>
          </cell>
          <cell r="E1132" t="str">
            <v>407</v>
          </cell>
          <cell r="F1132">
            <v>0</v>
          </cell>
          <cell r="G1132">
            <v>6</v>
          </cell>
          <cell r="H1132" t="str">
            <v>2010-06-30</v>
          </cell>
        </row>
        <row r="1133">
          <cell r="A1133" t="str">
            <v>481006</v>
          </cell>
          <cell r="B1133" t="str">
            <v>1015</v>
          </cell>
          <cell r="C1133">
            <v>-202.21</v>
          </cell>
          <cell r="D1133" t="str">
            <v>205</v>
          </cell>
          <cell r="E1133" t="str">
            <v>407</v>
          </cell>
          <cell r="F1133">
            <v>0</v>
          </cell>
          <cell r="G1133">
            <v>7</v>
          </cell>
          <cell r="H1133" t="str">
            <v>2009-07-31</v>
          </cell>
        </row>
        <row r="1134">
          <cell r="A1134" t="str">
            <v>481006</v>
          </cell>
          <cell r="B1134" t="str">
            <v>1015</v>
          </cell>
          <cell r="C1134">
            <v>-111835.31</v>
          </cell>
          <cell r="D1134" t="str">
            <v>205</v>
          </cell>
          <cell r="E1134" t="str">
            <v>407</v>
          </cell>
          <cell r="F1134">
            <v>0</v>
          </cell>
          <cell r="G1134">
            <v>9</v>
          </cell>
          <cell r="H1134" t="str">
            <v>2009-09-30</v>
          </cell>
        </row>
        <row r="1135">
          <cell r="A1135" t="str">
            <v>481006</v>
          </cell>
          <cell r="B1135" t="str">
            <v>1015</v>
          </cell>
          <cell r="C1135">
            <v>-498.37</v>
          </cell>
          <cell r="D1135" t="str">
            <v>205</v>
          </cell>
          <cell r="E1135" t="str">
            <v>407</v>
          </cell>
          <cell r="F1135">
            <v>0</v>
          </cell>
          <cell r="G1135">
            <v>9</v>
          </cell>
          <cell r="H1135" t="str">
            <v>2009-09-30</v>
          </cell>
        </row>
        <row r="1136">
          <cell r="A1136" t="str">
            <v>481006</v>
          </cell>
          <cell r="B1136" t="str">
            <v>1015</v>
          </cell>
          <cell r="C1136">
            <v>143569</v>
          </cell>
          <cell r="D1136" t="str">
            <v>205</v>
          </cell>
          <cell r="E1136" t="str">
            <v>407</v>
          </cell>
          <cell r="F1136">
            <v>0</v>
          </cell>
          <cell r="G1136">
            <v>3</v>
          </cell>
          <cell r="H1136" t="str">
            <v>2010-03-31</v>
          </cell>
        </row>
        <row r="1137">
          <cell r="A1137" t="str">
            <v>480001</v>
          </cell>
          <cell r="B1137" t="str">
            <v>1015</v>
          </cell>
          <cell r="C1137">
            <v>-598421</v>
          </cell>
          <cell r="D1137" t="str">
            <v>205</v>
          </cell>
          <cell r="E1137" t="str">
            <v>407</v>
          </cell>
          <cell r="F1137">
            <v>0</v>
          </cell>
          <cell r="G1137">
            <v>4</v>
          </cell>
          <cell r="H1137" t="str">
            <v>2010-04-30</v>
          </cell>
        </row>
        <row r="1138">
          <cell r="A1138" t="str">
            <v>481006</v>
          </cell>
          <cell r="B1138" t="str">
            <v>1015</v>
          </cell>
          <cell r="C1138">
            <v>-119329</v>
          </cell>
          <cell r="D1138" t="str">
            <v>205</v>
          </cell>
          <cell r="E1138" t="str">
            <v>407</v>
          </cell>
          <cell r="F1138">
            <v>0</v>
          </cell>
          <cell r="G1138">
            <v>4</v>
          </cell>
          <cell r="H1138" t="str">
            <v>2010-04-30</v>
          </cell>
        </row>
        <row r="1139">
          <cell r="A1139" t="str">
            <v>481004</v>
          </cell>
          <cell r="B1139" t="str">
            <v>1015</v>
          </cell>
          <cell r="C1139">
            <v>38034.239999999998</v>
          </cell>
          <cell r="D1139" t="str">
            <v>205</v>
          </cell>
          <cell r="E1139" t="str">
            <v>407</v>
          </cell>
          <cell r="F1139">
            <v>0</v>
          </cell>
          <cell r="G1139">
            <v>7</v>
          </cell>
          <cell r="H1139" t="str">
            <v>2009-07-31</v>
          </cell>
        </row>
        <row r="1140">
          <cell r="A1140" t="str">
            <v>481004</v>
          </cell>
          <cell r="B1140" t="str">
            <v>1015</v>
          </cell>
          <cell r="C1140">
            <v>411.94</v>
          </cell>
          <cell r="D1140" t="str">
            <v>205</v>
          </cell>
          <cell r="E1140" t="str">
            <v>407</v>
          </cell>
          <cell r="F1140">
            <v>0</v>
          </cell>
          <cell r="G1140">
            <v>10</v>
          </cell>
          <cell r="H1140" t="str">
            <v>2009-10-31</v>
          </cell>
        </row>
        <row r="1141">
          <cell r="A1141" t="str">
            <v>481004</v>
          </cell>
          <cell r="B1141" t="str">
            <v>1015</v>
          </cell>
          <cell r="C1141">
            <v>37487.18</v>
          </cell>
          <cell r="D1141" t="str">
            <v>205</v>
          </cell>
          <cell r="E1141" t="str">
            <v>407</v>
          </cell>
          <cell r="F1141">
            <v>0</v>
          </cell>
          <cell r="G1141">
            <v>11</v>
          </cell>
          <cell r="H1141" t="str">
            <v>2009-11-30</v>
          </cell>
        </row>
        <row r="1142">
          <cell r="A1142" t="str">
            <v>481004</v>
          </cell>
          <cell r="B1142" t="str">
            <v>1015</v>
          </cell>
          <cell r="C1142">
            <v>490238.68</v>
          </cell>
          <cell r="D1142" t="str">
            <v>205</v>
          </cell>
          <cell r="E1142" t="str">
            <v>407</v>
          </cell>
          <cell r="F1142">
            <v>0</v>
          </cell>
          <cell r="G1142">
            <v>12</v>
          </cell>
          <cell r="H1142" t="str">
            <v>2009-12-31</v>
          </cell>
        </row>
        <row r="1143">
          <cell r="A1143" t="str">
            <v>480000</v>
          </cell>
          <cell r="B1143" t="str">
            <v>1015</v>
          </cell>
          <cell r="C1143">
            <v>479.42</v>
          </cell>
          <cell r="D1143" t="str">
            <v>205</v>
          </cell>
          <cell r="E1143" t="str">
            <v>407</v>
          </cell>
          <cell r="F1143">
            <v>0</v>
          </cell>
          <cell r="G1143">
            <v>2</v>
          </cell>
          <cell r="H1143" t="str">
            <v>2010-02-28</v>
          </cell>
        </row>
        <row r="1144">
          <cell r="A1144" t="str">
            <v>480000</v>
          </cell>
          <cell r="B1144" t="str">
            <v>1015</v>
          </cell>
          <cell r="C1144">
            <v>1568322.81</v>
          </cell>
          <cell r="D1144" t="str">
            <v>205</v>
          </cell>
          <cell r="E1144" t="str">
            <v>407</v>
          </cell>
          <cell r="F1144">
            <v>0</v>
          </cell>
          <cell r="G1144">
            <v>4</v>
          </cell>
          <cell r="H1144" t="str">
            <v>2010-04-30</v>
          </cell>
        </row>
        <row r="1145">
          <cell r="A1145" t="str">
            <v>481004</v>
          </cell>
          <cell r="B1145" t="str">
            <v>1015</v>
          </cell>
          <cell r="C1145">
            <v>565.26</v>
          </cell>
          <cell r="D1145" t="str">
            <v>205</v>
          </cell>
          <cell r="E1145" t="str">
            <v>407</v>
          </cell>
          <cell r="F1145">
            <v>0</v>
          </cell>
          <cell r="G1145">
            <v>4</v>
          </cell>
          <cell r="H1145" t="str">
            <v>2010-04-30</v>
          </cell>
        </row>
        <row r="1146">
          <cell r="A1146" t="str">
            <v>480000</v>
          </cell>
          <cell r="B1146" t="str">
            <v>1015</v>
          </cell>
          <cell r="C1146">
            <v>0</v>
          </cell>
          <cell r="D1146" t="str">
            <v>205</v>
          </cell>
          <cell r="E1146" t="str">
            <v>408</v>
          </cell>
          <cell r="F1146">
            <v>0</v>
          </cell>
          <cell r="G1146">
            <v>9</v>
          </cell>
          <cell r="H1146" t="str">
            <v>2009-09-30</v>
          </cell>
        </row>
        <row r="1147">
          <cell r="A1147" t="str">
            <v>480001</v>
          </cell>
          <cell r="B1147" t="str">
            <v>1015</v>
          </cell>
          <cell r="C1147">
            <v>-42572.7</v>
          </cell>
          <cell r="D1147" t="str">
            <v>205</v>
          </cell>
          <cell r="E1147" t="str">
            <v>453</v>
          </cell>
          <cell r="F1147">
            <v>0</v>
          </cell>
          <cell r="G1147">
            <v>11</v>
          </cell>
          <cell r="H1147" t="str">
            <v>2009-11-30</v>
          </cell>
        </row>
        <row r="1148">
          <cell r="A1148" t="str">
            <v>481006</v>
          </cell>
          <cell r="B1148" t="str">
            <v>1015</v>
          </cell>
          <cell r="C1148">
            <v>28522.78</v>
          </cell>
          <cell r="D1148" t="str">
            <v>205</v>
          </cell>
          <cell r="E1148" t="str">
            <v>453</v>
          </cell>
          <cell r="F1148">
            <v>0</v>
          </cell>
          <cell r="G1148">
            <v>12</v>
          </cell>
          <cell r="H1148" t="str">
            <v>2009-12-31</v>
          </cell>
        </row>
        <row r="1149">
          <cell r="A1149" t="str">
            <v>481006</v>
          </cell>
          <cell r="B1149" t="str">
            <v>1015</v>
          </cell>
          <cell r="C1149">
            <v>6991</v>
          </cell>
          <cell r="D1149" t="str">
            <v>205</v>
          </cell>
          <cell r="E1149" t="str">
            <v>453</v>
          </cell>
          <cell r="F1149">
            <v>0</v>
          </cell>
          <cell r="G1149">
            <v>2</v>
          </cell>
          <cell r="H1149" t="str">
            <v>2010-02-28</v>
          </cell>
        </row>
        <row r="1150">
          <cell r="A1150" t="str">
            <v>481006</v>
          </cell>
          <cell r="B1150" t="str">
            <v>1015</v>
          </cell>
          <cell r="C1150">
            <v>6781</v>
          </cell>
          <cell r="D1150" t="str">
            <v>205</v>
          </cell>
          <cell r="E1150" t="str">
            <v>453</v>
          </cell>
          <cell r="F1150">
            <v>0</v>
          </cell>
          <cell r="G1150">
            <v>3</v>
          </cell>
          <cell r="H1150" t="str">
            <v>2010-03-31</v>
          </cell>
        </row>
        <row r="1151">
          <cell r="A1151" t="str">
            <v>480000</v>
          </cell>
          <cell r="B1151" t="str">
            <v>1015</v>
          </cell>
          <cell r="C1151">
            <v>2033.46</v>
          </cell>
          <cell r="D1151" t="str">
            <v>205</v>
          </cell>
          <cell r="E1151" t="str">
            <v>453</v>
          </cell>
          <cell r="F1151">
            <v>0</v>
          </cell>
          <cell r="G1151">
            <v>9</v>
          </cell>
          <cell r="H1151" t="str">
            <v>2009-09-30</v>
          </cell>
        </row>
        <row r="1152">
          <cell r="A1152" t="str">
            <v>480000</v>
          </cell>
          <cell r="B1152" t="str">
            <v>1015</v>
          </cell>
          <cell r="C1152">
            <v>36885.699999999997</v>
          </cell>
          <cell r="D1152" t="str">
            <v>205</v>
          </cell>
          <cell r="E1152" t="str">
            <v>453</v>
          </cell>
          <cell r="F1152">
            <v>0</v>
          </cell>
          <cell r="G1152">
            <v>11</v>
          </cell>
          <cell r="H1152" t="str">
            <v>2009-11-30</v>
          </cell>
        </row>
        <row r="1153">
          <cell r="A1153" t="str">
            <v>480000</v>
          </cell>
          <cell r="B1153" t="str">
            <v>1015</v>
          </cell>
          <cell r="C1153">
            <v>62863.87</v>
          </cell>
          <cell r="D1153" t="str">
            <v>205</v>
          </cell>
          <cell r="E1153" t="str">
            <v>453</v>
          </cell>
          <cell r="F1153">
            <v>0</v>
          </cell>
          <cell r="G1153">
            <v>12</v>
          </cell>
          <cell r="H1153" t="str">
            <v>2009-12-31</v>
          </cell>
        </row>
        <row r="1154">
          <cell r="A1154" t="str">
            <v>481004</v>
          </cell>
          <cell r="B1154" t="str">
            <v>1015</v>
          </cell>
          <cell r="C1154">
            <v>38740.01</v>
          </cell>
          <cell r="D1154" t="str">
            <v>205</v>
          </cell>
          <cell r="E1154" t="str">
            <v>453</v>
          </cell>
          <cell r="F1154">
            <v>0</v>
          </cell>
          <cell r="G1154">
            <v>4</v>
          </cell>
          <cell r="H1154" t="str">
            <v>2010-04-30</v>
          </cell>
        </row>
        <row r="1155">
          <cell r="A1155" t="str">
            <v>480001</v>
          </cell>
          <cell r="B1155" t="str">
            <v>1015</v>
          </cell>
          <cell r="C1155">
            <v>10964</v>
          </cell>
          <cell r="D1155" t="str">
            <v>205</v>
          </cell>
          <cell r="E1155" t="str">
            <v>453</v>
          </cell>
          <cell r="F1155">
            <v>0</v>
          </cell>
          <cell r="G1155">
            <v>3</v>
          </cell>
          <cell r="H1155" t="str">
            <v>2010-03-31</v>
          </cell>
        </row>
        <row r="1156">
          <cell r="A1156" t="str">
            <v>481004</v>
          </cell>
          <cell r="B1156" t="str">
            <v>1015</v>
          </cell>
          <cell r="C1156">
            <v>787.42</v>
          </cell>
          <cell r="D1156" t="str">
            <v>205</v>
          </cell>
          <cell r="E1156" t="str">
            <v>453</v>
          </cell>
          <cell r="F1156">
            <v>0</v>
          </cell>
          <cell r="G1156">
            <v>9</v>
          </cell>
          <cell r="H1156" t="str">
            <v>2009-09-30</v>
          </cell>
        </row>
        <row r="1157">
          <cell r="A1157" t="str">
            <v>481004</v>
          </cell>
          <cell r="B1157" t="str">
            <v>1015</v>
          </cell>
          <cell r="C1157">
            <v>15806.48</v>
          </cell>
          <cell r="D1157" t="str">
            <v>205</v>
          </cell>
          <cell r="E1157" t="str">
            <v>453</v>
          </cell>
          <cell r="F1157">
            <v>0</v>
          </cell>
          <cell r="G1157">
            <v>11</v>
          </cell>
          <cell r="H1157" t="str">
            <v>2009-11-30</v>
          </cell>
        </row>
        <row r="1158">
          <cell r="A1158" t="str">
            <v>481004</v>
          </cell>
          <cell r="B1158" t="str">
            <v>1015</v>
          </cell>
          <cell r="C1158">
            <v>31780.22</v>
          </cell>
          <cell r="D1158" t="str">
            <v>205</v>
          </cell>
          <cell r="E1158" t="str">
            <v>453</v>
          </cell>
          <cell r="F1158">
            <v>0</v>
          </cell>
          <cell r="G1158">
            <v>12</v>
          </cell>
          <cell r="H1158" t="str">
            <v>2009-12-31</v>
          </cell>
        </row>
        <row r="1159">
          <cell r="A1159" t="str">
            <v>481004</v>
          </cell>
          <cell r="B1159" t="str">
            <v>1015</v>
          </cell>
          <cell r="C1159">
            <v>18281.349999999999</v>
          </cell>
          <cell r="D1159" t="str">
            <v>205</v>
          </cell>
          <cell r="E1159" t="str">
            <v>453</v>
          </cell>
          <cell r="F1159">
            <v>0</v>
          </cell>
          <cell r="G1159">
            <v>1</v>
          </cell>
          <cell r="H1159" t="str">
            <v>2010-01-31</v>
          </cell>
        </row>
        <row r="1160">
          <cell r="A1160" t="str">
            <v>481004</v>
          </cell>
          <cell r="B1160" t="str">
            <v>1015</v>
          </cell>
          <cell r="C1160">
            <v>33611.24</v>
          </cell>
          <cell r="D1160" t="str">
            <v>205</v>
          </cell>
          <cell r="E1160" t="str">
            <v>453</v>
          </cell>
          <cell r="F1160">
            <v>0</v>
          </cell>
          <cell r="G1160">
            <v>5</v>
          </cell>
          <cell r="H1160" t="str">
            <v>2010-05-31</v>
          </cell>
        </row>
        <row r="1161">
          <cell r="A1161" t="str">
            <v>481006</v>
          </cell>
          <cell r="B1161" t="str">
            <v>1015</v>
          </cell>
          <cell r="C1161">
            <v>-18884.48</v>
          </cell>
          <cell r="D1161" t="str">
            <v>205</v>
          </cell>
          <cell r="E1161" t="str">
            <v>453</v>
          </cell>
          <cell r="F1161">
            <v>0</v>
          </cell>
          <cell r="G1161">
            <v>11</v>
          </cell>
          <cell r="H1161" t="str">
            <v>2009-11-30</v>
          </cell>
        </row>
        <row r="1162">
          <cell r="A1162" t="str">
            <v>480001</v>
          </cell>
          <cell r="B1162" t="str">
            <v>1015</v>
          </cell>
          <cell r="C1162">
            <v>-13494</v>
          </cell>
          <cell r="D1162" t="str">
            <v>205</v>
          </cell>
          <cell r="E1162" t="str">
            <v>453</v>
          </cell>
          <cell r="F1162">
            <v>0</v>
          </cell>
          <cell r="G1162">
            <v>4</v>
          </cell>
          <cell r="H1162" t="str">
            <v>2010-04-30</v>
          </cell>
        </row>
        <row r="1163">
          <cell r="A1163" t="str">
            <v>480001</v>
          </cell>
          <cell r="B1163" t="str">
            <v>1015</v>
          </cell>
          <cell r="C1163">
            <v>12932</v>
          </cell>
          <cell r="D1163" t="str">
            <v>205</v>
          </cell>
          <cell r="E1163" t="str">
            <v>453</v>
          </cell>
          <cell r="F1163">
            <v>0</v>
          </cell>
          <cell r="G1163">
            <v>5</v>
          </cell>
          <cell r="H1163" t="str">
            <v>2010-05-31</v>
          </cell>
        </row>
        <row r="1164">
          <cell r="A1164" t="str">
            <v>481004</v>
          </cell>
          <cell r="B1164" t="str">
            <v>1015</v>
          </cell>
          <cell r="C1164">
            <v>17699.12</v>
          </cell>
          <cell r="D1164" t="str">
            <v>205</v>
          </cell>
          <cell r="E1164" t="str">
            <v>453</v>
          </cell>
          <cell r="F1164">
            <v>0</v>
          </cell>
          <cell r="G1164">
            <v>10</v>
          </cell>
          <cell r="H1164" t="str">
            <v>2009-10-31</v>
          </cell>
        </row>
        <row r="1165">
          <cell r="A1165" t="str">
            <v>481004</v>
          </cell>
          <cell r="B1165" t="str">
            <v>1015</v>
          </cell>
          <cell r="C1165">
            <v>10639.67</v>
          </cell>
          <cell r="D1165" t="str">
            <v>205</v>
          </cell>
          <cell r="E1165" t="str">
            <v>453</v>
          </cell>
          <cell r="F1165">
            <v>0</v>
          </cell>
          <cell r="G1165">
            <v>2</v>
          </cell>
          <cell r="H1165" t="str">
            <v>2010-02-28</v>
          </cell>
        </row>
        <row r="1166">
          <cell r="A1166" t="str">
            <v>481006</v>
          </cell>
          <cell r="B1166" t="str">
            <v>1015</v>
          </cell>
          <cell r="C1166">
            <v>-6687</v>
          </cell>
          <cell r="D1166" t="str">
            <v>205</v>
          </cell>
          <cell r="E1166" t="str">
            <v>453</v>
          </cell>
          <cell r="F1166">
            <v>0</v>
          </cell>
          <cell r="G1166">
            <v>4</v>
          </cell>
          <cell r="H1166" t="str">
            <v>2010-04-30</v>
          </cell>
        </row>
        <row r="1167">
          <cell r="A1167" t="str">
            <v>481004</v>
          </cell>
          <cell r="B1167" t="str">
            <v>1015</v>
          </cell>
          <cell r="C1167">
            <v>9852.2999999999993</v>
          </cell>
          <cell r="D1167" t="str">
            <v>205</v>
          </cell>
          <cell r="E1167" t="str">
            <v>453</v>
          </cell>
          <cell r="F1167">
            <v>0</v>
          </cell>
          <cell r="G1167">
            <v>7</v>
          </cell>
          <cell r="H1167" t="str">
            <v>2009-07-31</v>
          </cell>
        </row>
        <row r="1168">
          <cell r="A1168" t="str">
            <v>480000</v>
          </cell>
          <cell r="B1168" t="str">
            <v>1015</v>
          </cell>
          <cell r="C1168">
            <v>32375.200000000001</v>
          </cell>
          <cell r="D1168" t="str">
            <v>205</v>
          </cell>
          <cell r="E1168" t="str">
            <v>453</v>
          </cell>
          <cell r="F1168">
            <v>0</v>
          </cell>
          <cell r="G1168">
            <v>10</v>
          </cell>
          <cell r="H1168" t="str">
            <v>2009-10-31</v>
          </cell>
        </row>
        <row r="1169">
          <cell r="A1169" t="str">
            <v>480000</v>
          </cell>
          <cell r="B1169" t="str">
            <v>1015</v>
          </cell>
          <cell r="C1169">
            <v>40926.620000000003</v>
          </cell>
          <cell r="D1169" t="str">
            <v>205</v>
          </cell>
          <cell r="E1169" t="str">
            <v>453</v>
          </cell>
          <cell r="F1169">
            <v>0</v>
          </cell>
          <cell r="G1169">
            <v>1</v>
          </cell>
          <cell r="H1169" t="str">
            <v>2010-01-31</v>
          </cell>
        </row>
        <row r="1170">
          <cell r="A1170" t="str">
            <v>481006</v>
          </cell>
          <cell r="B1170" t="str">
            <v>1015</v>
          </cell>
          <cell r="C1170">
            <v>-24861.59</v>
          </cell>
          <cell r="D1170" t="str">
            <v>205</v>
          </cell>
          <cell r="E1170" t="str">
            <v>453</v>
          </cell>
          <cell r="F1170">
            <v>0</v>
          </cell>
          <cell r="G1170">
            <v>8</v>
          </cell>
          <cell r="H1170" t="str">
            <v>2009-08-31</v>
          </cell>
        </row>
        <row r="1171">
          <cell r="A1171" t="str">
            <v>480001</v>
          </cell>
          <cell r="B1171" t="str">
            <v>1015</v>
          </cell>
          <cell r="C1171">
            <v>39821.800000000003</v>
          </cell>
          <cell r="D1171" t="str">
            <v>205</v>
          </cell>
          <cell r="E1171" t="str">
            <v>453</v>
          </cell>
          <cell r="F1171">
            <v>0</v>
          </cell>
          <cell r="G1171">
            <v>10</v>
          </cell>
          <cell r="H1171" t="str">
            <v>2009-10-31</v>
          </cell>
        </row>
        <row r="1172">
          <cell r="A1172" t="str">
            <v>480001</v>
          </cell>
          <cell r="B1172" t="str">
            <v>1015</v>
          </cell>
          <cell r="C1172">
            <v>57821.13</v>
          </cell>
          <cell r="D1172" t="str">
            <v>205</v>
          </cell>
          <cell r="E1172" t="str">
            <v>453</v>
          </cell>
          <cell r="F1172">
            <v>0</v>
          </cell>
          <cell r="G1172">
            <v>12</v>
          </cell>
          <cell r="H1172" t="str">
            <v>2009-12-31</v>
          </cell>
        </row>
        <row r="1173">
          <cell r="A1173" t="str">
            <v>480001</v>
          </cell>
          <cell r="B1173" t="str">
            <v>1015</v>
          </cell>
          <cell r="C1173">
            <v>-3560.74</v>
          </cell>
          <cell r="D1173" t="str">
            <v>205</v>
          </cell>
          <cell r="E1173" t="str">
            <v>453</v>
          </cell>
          <cell r="F1173">
            <v>0</v>
          </cell>
          <cell r="G1173">
            <v>1</v>
          </cell>
          <cell r="H1173" t="str">
            <v>2010-01-31</v>
          </cell>
        </row>
        <row r="1174">
          <cell r="A1174" t="str">
            <v>481006</v>
          </cell>
          <cell r="B1174" t="str">
            <v>1015</v>
          </cell>
          <cell r="C1174">
            <v>-25135</v>
          </cell>
          <cell r="D1174" t="str">
            <v>205</v>
          </cell>
          <cell r="E1174" t="str">
            <v>453</v>
          </cell>
          <cell r="F1174">
            <v>0</v>
          </cell>
          <cell r="G1174">
            <v>6</v>
          </cell>
          <cell r="H1174" t="str">
            <v>2010-06-30</v>
          </cell>
        </row>
        <row r="1175">
          <cell r="A1175" t="str">
            <v>480000</v>
          </cell>
          <cell r="B1175" t="str">
            <v>1015</v>
          </cell>
          <cell r="C1175">
            <v>21978.06</v>
          </cell>
          <cell r="D1175" t="str">
            <v>205</v>
          </cell>
          <cell r="E1175" t="str">
            <v>453</v>
          </cell>
          <cell r="F1175">
            <v>0</v>
          </cell>
          <cell r="G1175">
            <v>7</v>
          </cell>
          <cell r="H1175" t="str">
            <v>2009-07-31</v>
          </cell>
        </row>
        <row r="1176">
          <cell r="A1176" t="str">
            <v>480000</v>
          </cell>
          <cell r="B1176" t="str">
            <v>1015</v>
          </cell>
          <cell r="C1176">
            <v>10267.93</v>
          </cell>
          <cell r="D1176" t="str">
            <v>205</v>
          </cell>
          <cell r="E1176" t="str">
            <v>453</v>
          </cell>
          <cell r="F1176">
            <v>0</v>
          </cell>
          <cell r="G1176">
            <v>8</v>
          </cell>
          <cell r="H1176" t="str">
            <v>2009-08-31</v>
          </cell>
        </row>
        <row r="1177">
          <cell r="A1177" t="str">
            <v>480000</v>
          </cell>
          <cell r="B1177" t="str">
            <v>1015</v>
          </cell>
          <cell r="C1177">
            <v>67559.14</v>
          </cell>
          <cell r="D1177" t="str">
            <v>205</v>
          </cell>
          <cell r="E1177" t="str">
            <v>453</v>
          </cell>
          <cell r="F1177">
            <v>0</v>
          </cell>
          <cell r="G1177">
            <v>5</v>
          </cell>
          <cell r="H1177" t="str">
            <v>2010-05-31</v>
          </cell>
        </row>
        <row r="1178">
          <cell r="A1178" t="str">
            <v>481004</v>
          </cell>
          <cell r="B1178" t="str">
            <v>1015</v>
          </cell>
          <cell r="C1178">
            <v>34063.800000000003</v>
          </cell>
          <cell r="D1178" t="str">
            <v>205</v>
          </cell>
          <cell r="E1178" t="str">
            <v>453</v>
          </cell>
          <cell r="F1178">
            <v>0</v>
          </cell>
          <cell r="G1178">
            <v>6</v>
          </cell>
          <cell r="H1178" t="str">
            <v>2010-06-30</v>
          </cell>
        </row>
        <row r="1179">
          <cell r="A1179" t="str">
            <v>481006</v>
          </cell>
          <cell r="B1179" t="str">
            <v>1015</v>
          </cell>
          <cell r="C1179">
            <v>-6241.73</v>
          </cell>
          <cell r="D1179" t="str">
            <v>205</v>
          </cell>
          <cell r="E1179" t="str">
            <v>453</v>
          </cell>
          <cell r="F1179">
            <v>0</v>
          </cell>
          <cell r="G1179">
            <v>7</v>
          </cell>
          <cell r="H1179" t="str">
            <v>2009-07-31</v>
          </cell>
        </row>
        <row r="1180">
          <cell r="A1180" t="str">
            <v>480001</v>
          </cell>
          <cell r="B1180" t="str">
            <v>1015</v>
          </cell>
          <cell r="C1180">
            <v>-60566.61</v>
          </cell>
          <cell r="D1180" t="str">
            <v>205</v>
          </cell>
          <cell r="E1180" t="str">
            <v>453</v>
          </cell>
          <cell r="F1180">
            <v>0</v>
          </cell>
          <cell r="G1180">
            <v>8</v>
          </cell>
          <cell r="H1180" t="str">
            <v>2009-08-31</v>
          </cell>
        </row>
        <row r="1181">
          <cell r="A1181" t="str">
            <v>480000</v>
          </cell>
          <cell r="B1181" t="str">
            <v>1015</v>
          </cell>
          <cell r="C1181">
            <v>23504.36</v>
          </cell>
          <cell r="D1181" t="str">
            <v>205</v>
          </cell>
          <cell r="E1181" t="str">
            <v>453</v>
          </cell>
          <cell r="F1181">
            <v>0</v>
          </cell>
          <cell r="G1181">
            <v>2</v>
          </cell>
          <cell r="H1181" t="str">
            <v>2010-02-28</v>
          </cell>
        </row>
        <row r="1182">
          <cell r="A1182" t="str">
            <v>480001</v>
          </cell>
          <cell r="B1182" t="str">
            <v>1015</v>
          </cell>
          <cell r="C1182">
            <v>11685</v>
          </cell>
          <cell r="D1182" t="str">
            <v>205</v>
          </cell>
          <cell r="E1182" t="str">
            <v>453</v>
          </cell>
          <cell r="F1182">
            <v>0</v>
          </cell>
          <cell r="G1182">
            <v>2</v>
          </cell>
          <cell r="H1182" t="str">
            <v>2010-02-28</v>
          </cell>
        </row>
        <row r="1183">
          <cell r="A1183" t="str">
            <v>480001</v>
          </cell>
          <cell r="B1183" t="str">
            <v>1015</v>
          </cell>
          <cell r="C1183">
            <v>-42255</v>
          </cell>
          <cell r="D1183" t="str">
            <v>205</v>
          </cell>
          <cell r="E1183" t="str">
            <v>453</v>
          </cell>
          <cell r="F1183">
            <v>0</v>
          </cell>
          <cell r="G1183">
            <v>6</v>
          </cell>
          <cell r="H1183" t="str">
            <v>2010-06-30</v>
          </cell>
        </row>
        <row r="1184">
          <cell r="A1184" t="str">
            <v>481004</v>
          </cell>
          <cell r="B1184" t="str">
            <v>1015</v>
          </cell>
          <cell r="C1184">
            <v>3574.39</v>
          </cell>
          <cell r="D1184" t="str">
            <v>205</v>
          </cell>
          <cell r="E1184" t="str">
            <v>453</v>
          </cell>
          <cell r="F1184">
            <v>0</v>
          </cell>
          <cell r="G1184">
            <v>8</v>
          </cell>
          <cell r="H1184" t="str">
            <v>2009-08-31</v>
          </cell>
        </row>
        <row r="1185">
          <cell r="A1185" t="str">
            <v>481004</v>
          </cell>
          <cell r="B1185" t="str">
            <v>1015</v>
          </cell>
          <cell r="C1185">
            <v>11062.7</v>
          </cell>
          <cell r="D1185" t="str">
            <v>205</v>
          </cell>
          <cell r="E1185" t="str">
            <v>453</v>
          </cell>
          <cell r="F1185">
            <v>0</v>
          </cell>
          <cell r="G1185">
            <v>3</v>
          </cell>
          <cell r="H1185" t="str">
            <v>2010-03-31</v>
          </cell>
        </row>
        <row r="1186">
          <cell r="A1186" t="str">
            <v>480000</v>
          </cell>
          <cell r="B1186" t="str">
            <v>1015</v>
          </cell>
          <cell r="C1186">
            <v>75501.53</v>
          </cell>
          <cell r="D1186" t="str">
            <v>205</v>
          </cell>
          <cell r="E1186" t="str">
            <v>453</v>
          </cell>
          <cell r="F1186">
            <v>0</v>
          </cell>
          <cell r="G1186">
            <v>4</v>
          </cell>
          <cell r="H1186" t="str">
            <v>2010-04-30</v>
          </cell>
        </row>
        <row r="1187">
          <cell r="A1187" t="str">
            <v>480001</v>
          </cell>
          <cell r="B1187" t="str">
            <v>1015</v>
          </cell>
          <cell r="C1187">
            <v>-12718.36</v>
          </cell>
          <cell r="D1187" t="str">
            <v>205</v>
          </cell>
          <cell r="E1187" t="str">
            <v>453</v>
          </cell>
          <cell r="F1187">
            <v>0</v>
          </cell>
          <cell r="G1187">
            <v>7</v>
          </cell>
          <cell r="H1187" t="str">
            <v>2009-07-31</v>
          </cell>
        </row>
        <row r="1188">
          <cell r="A1188" t="str">
            <v>480001</v>
          </cell>
          <cell r="B1188" t="str">
            <v>1015</v>
          </cell>
          <cell r="C1188">
            <v>19343.54</v>
          </cell>
          <cell r="D1188" t="str">
            <v>205</v>
          </cell>
          <cell r="E1188" t="str">
            <v>453</v>
          </cell>
          <cell r="F1188">
            <v>0</v>
          </cell>
          <cell r="G1188">
            <v>9</v>
          </cell>
          <cell r="H1188" t="str">
            <v>2009-09-30</v>
          </cell>
        </row>
        <row r="1189">
          <cell r="A1189" t="str">
            <v>481006</v>
          </cell>
          <cell r="B1189" t="str">
            <v>1015</v>
          </cell>
          <cell r="C1189">
            <v>8152.58</v>
          </cell>
          <cell r="D1189" t="str">
            <v>205</v>
          </cell>
          <cell r="E1189" t="str">
            <v>453</v>
          </cell>
          <cell r="F1189">
            <v>0</v>
          </cell>
          <cell r="G1189">
            <v>9</v>
          </cell>
          <cell r="H1189" t="str">
            <v>2009-09-30</v>
          </cell>
        </row>
        <row r="1190">
          <cell r="A1190" t="str">
            <v>481006</v>
          </cell>
          <cell r="B1190" t="str">
            <v>1015</v>
          </cell>
          <cell r="C1190">
            <v>20107.88</v>
          </cell>
          <cell r="D1190" t="str">
            <v>205</v>
          </cell>
          <cell r="E1190" t="str">
            <v>453</v>
          </cell>
          <cell r="F1190">
            <v>0</v>
          </cell>
          <cell r="G1190">
            <v>10</v>
          </cell>
          <cell r="H1190" t="str">
            <v>2009-10-31</v>
          </cell>
        </row>
        <row r="1191">
          <cell r="A1191" t="str">
            <v>481006</v>
          </cell>
          <cell r="B1191" t="str">
            <v>1015</v>
          </cell>
          <cell r="C1191">
            <v>716.15</v>
          </cell>
          <cell r="D1191" t="str">
            <v>205</v>
          </cell>
          <cell r="E1191" t="str">
            <v>453</v>
          </cell>
          <cell r="F1191">
            <v>0</v>
          </cell>
          <cell r="G1191">
            <v>1</v>
          </cell>
          <cell r="H1191" t="str">
            <v>2010-01-31</v>
          </cell>
        </row>
        <row r="1192">
          <cell r="A1192" t="str">
            <v>481006</v>
          </cell>
          <cell r="B1192" t="str">
            <v>1015</v>
          </cell>
          <cell r="C1192">
            <v>1606</v>
          </cell>
          <cell r="D1192" t="str">
            <v>205</v>
          </cell>
          <cell r="E1192" t="str">
            <v>453</v>
          </cell>
          <cell r="F1192">
            <v>0</v>
          </cell>
          <cell r="G1192">
            <v>5</v>
          </cell>
          <cell r="H1192" t="str">
            <v>2010-05-31</v>
          </cell>
        </row>
        <row r="1193">
          <cell r="A1193" t="str">
            <v>480000</v>
          </cell>
          <cell r="B1193" t="str">
            <v>1015</v>
          </cell>
          <cell r="C1193">
            <v>24098.35</v>
          </cell>
          <cell r="D1193" t="str">
            <v>205</v>
          </cell>
          <cell r="E1193" t="str">
            <v>453</v>
          </cell>
          <cell r="F1193">
            <v>0</v>
          </cell>
          <cell r="G1193">
            <v>3</v>
          </cell>
          <cell r="H1193" t="str">
            <v>2010-03-31</v>
          </cell>
        </row>
        <row r="1194">
          <cell r="A1194" t="str">
            <v>480000</v>
          </cell>
          <cell r="B1194" t="str">
            <v>1015</v>
          </cell>
          <cell r="C1194">
            <v>67171.5</v>
          </cell>
          <cell r="D1194" t="str">
            <v>205</v>
          </cell>
          <cell r="E1194" t="str">
            <v>453</v>
          </cell>
          <cell r="F1194">
            <v>0</v>
          </cell>
          <cell r="G1194">
            <v>6</v>
          </cell>
          <cell r="H1194" t="str">
            <v>2010-06-30</v>
          </cell>
        </row>
        <row r="1195">
          <cell r="A1195" t="str">
            <v>480000</v>
          </cell>
          <cell r="B1195" t="str">
            <v>1015</v>
          </cell>
          <cell r="C1195">
            <v>4.3</v>
          </cell>
          <cell r="D1195" t="str">
            <v>205</v>
          </cell>
          <cell r="E1195" t="str">
            <v>455</v>
          </cell>
          <cell r="F1195">
            <v>0</v>
          </cell>
          <cell r="G1195">
            <v>7</v>
          </cell>
          <cell r="H1195" t="str">
            <v>2009-07-31</v>
          </cell>
        </row>
        <row r="1196">
          <cell r="A1196" t="str">
            <v>481004</v>
          </cell>
          <cell r="B1196" t="str">
            <v>1015</v>
          </cell>
          <cell r="C1196">
            <v>-15.57</v>
          </cell>
          <cell r="D1196" t="str">
            <v>205</v>
          </cell>
          <cell r="E1196" t="str">
            <v>455</v>
          </cell>
          <cell r="F1196">
            <v>0</v>
          </cell>
          <cell r="G1196">
            <v>7</v>
          </cell>
          <cell r="H1196" t="str">
            <v>2009-07-31</v>
          </cell>
        </row>
        <row r="1197">
          <cell r="A1197" t="str">
            <v>481000</v>
          </cell>
          <cell r="B1197" t="str">
            <v>1015</v>
          </cell>
          <cell r="C1197">
            <v>0</v>
          </cell>
          <cell r="D1197" t="str">
            <v>210</v>
          </cell>
          <cell r="E1197" t="str">
            <v>402</v>
          </cell>
          <cell r="F1197">
            <v>0</v>
          </cell>
          <cell r="G1197">
            <v>7</v>
          </cell>
          <cell r="H1197" t="str">
            <v>2009-07-31</v>
          </cell>
        </row>
        <row r="1198">
          <cell r="A1198" t="str">
            <v>481004</v>
          </cell>
          <cell r="B1198" t="str">
            <v>1015</v>
          </cell>
          <cell r="C1198">
            <v>0</v>
          </cell>
          <cell r="D1198" t="str">
            <v>210</v>
          </cell>
          <cell r="E1198" t="str">
            <v>402</v>
          </cell>
          <cell r="F1198">
            <v>0</v>
          </cell>
          <cell r="G1198">
            <v>10</v>
          </cell>
          <cell r="H1198" t="str">
            <v>2009-10-31</v>
          </cell>
        </row>
        <row r="1199">
          <cell r="A1199" t="str">
            <v>481000</v>
          </cell>
          <cell r="B1199" t="str">
            <v>1015</v>
          </cell>
          <cell r="C1199">
            <v>0</v>
          </cell>
          <cell r="D1199" t="str">
            <v>210</v>
          </cell>
          <cell r="E1199" t="str">
            <v>402</v>
          </cell>
          <cell r="F1199">
            <v>0</v>
          </cell>
          <cell r="G1199">
            <v>11</v>
          </cell>
          <cell r="H1199" t="str">
            <v>2009-11-30</v>
          </cell>
        </row>
        <row r="1200">
          <cell r="A1200" t="str">
            <v>481000</v>
          </cell>
          <cell r="B1200" t="str">
            <v>1015</v>
          </cell>
          <cell r="C1200">
            <v>0</v>
          </cell>
          <cell r="D1200" t="str">
            <v>210</v>
          </cell>
          <cell r="E1200" t="str">
            <v>402</v>
          </cell>
          <cell r="F1200">
            <v>0</v>
          </cell>
          <cell r="G1200">
            <v>10</v>
          </cell>
          <cell r="H1200" t="str">
            <v>2009-10-31</v>
          </cell>
        </row>
        <row r="1201">
          <cell r="A1201" t="str">
            <v>481000</v>
          </cell>
          <cell r="B1201" t="str">
            <v>1015</v>
          </cell>
          <cell r="C1201">
            <v>0</v>
          </cell>
          <cell r="D1201" t="str">
            <v>210</v>
          </cell>
          <cell r="E1201" t="str">
            <v>402</v>
          </cell>
          <cell r="F1201">
            <v>0</v>
          </cell>
          <cell r="G1201">
            <v>8</v>
          </cell>
          <cell r="H1201" t="str">
            <v>2009-08-31</v>
          </cell>
        </row>
        <row r="1202">
          <cell r="A1202" t="str">
            <v>481004</v>
          </cell>
          <cell r="B1202" t="str">
            <v>1015</v>
          </cell>
          <cell r="C1202">
            <v>0</v>
          </cell>
          <cell r="D1202" t="str">
            <v>210</v>
          </cell>
          <cell r="E1202" t="str">
            <v>402</v>
          </cell>
          <cell r="F1202">
            <v>0</v>
          </cell>
          <cell r="G1202">
            <v>7</v>
          </cell>
          <cell r="H1202" t="str">
            <v>2009-07-31</v>
          </cell>
        </row>
        <row r="1203">
          <cell r="A1203" t="str">
            <v>481004</v>
          </cell>
          <cell r="B1203" t="str">
            <v>1015</v>
          </cell>
          <cell r="C1203">
            <v>0</v>
          </cell>
          <cell r="D1203" t="str">
            <v>210</v>
          </cell>
          <cell r="E1203" t="str">
            <v>402</v>
          </cell>
          <cell r="F1203">
            <v>0</v>
          </cell>
          <cell r="G1203">
            <v>8</v>
          </cell>
          <cell r="H1203" t="str">
            <v>2009-08-31</v>
          </cell>
        </row>
        <row r="1204">
          <cell r="A1204" t="str">
            <v>481000</v>
          </cell>
          <cell r="B1204" t="str">
            <v>1015</v>
          </cell>
          <cell r="C1204">
            <v>0</v>
          </cell>
          <cell r="D1204" t="str">
            <v>210</v>
          </cell>
          <cell r="E1204" t="str">
            <v>402</v>
          </cell>
          <cell r="F1204">
            <v>0</v>
          </cell>
          <cell r="G1204">
            <v>9</v>
          </cell>
          <cell r="H1204" t="str">
            <v>2009-09-30</v>
          </cell>
        </row>
        <row r="1205">
          <cell r="A1205" t="str">
            <v>481004</v>
          </cell>
          <cell r="B1205" t="str">
            <v>1015</v>
          </cell>
          <cell r="C1205">
            <v>0</v>
          </cell>
          <cell r="D1205" t="str">
            <v>210</v>
          </cell>
          <cell r="E1205" t="str">
            <v>402</v>
          </cell>
          <cell r="F1205">
            <v>0</v>
          </cell>
          <cell r="G1205">
            <v>9</v>
          </cell>
          <cell r="H1205" t="str">
            <v>2009-09-30</v>
          </cell>
        </row>
        <row r="1206">
          <cell r="A1206" t="str">
            <v>481004</v>
          </cell>
          <cell r="B1206" t="str">
            <v>1015</v>
          </cell>
          <cell r="C1206">
            <v>0</v>
          </cell>
          <cell r="D1206" t="str">
            <v>210</v>
          </cell>
          <cell r="E1206" t="str">
            <v>402</v>
          </cell>
          <cell r="F1206">
            <v>0</v>
          </cell>
          <cell r="G1206">
            <v>12</v>
          </cell>
          <cell r="H1206" t="str">
            <v>2009-12-31</v>
          </cell>
        </row>
        <row r="1207">
          <cell r="A1207" t="str">
            <v>481004</v>
          </cell>
          <cell r="B1207" t="str">
            <v>1015</v>
          </cell>
          <cell r="C1207">
            <v>0</v>
          </cell>
          <cell r="D1207" t="str">
            <v>210</v>
          </cell>
          <cell r="E1207" t="str">
            <v>402</v>
          </cell>
          <cell r="F1207">
            <v>0</v>
          </cell>
          <cell r="G1207">
            <v>11</v>
          </cell>
          <cell r="H1207" t="str">
            <v>2009-11-30</v>
          </cell>
        </row>
        <row r="1208">
          <cell r="A1208" t="str">
            <v>481000</v>
          </cell>
          <cell r="B1208" t="str">
            <v>1015</v>
          </cell>
          <cell r="C1208">
            <v>0</v>
          </cell>
          <cell r="D1208" t="str">
            <v>210</v>
          </cell>
          <cell r="E1208" t="str">
            <v>402</v>
          </cell>
          <cell r="F1208">
            <v>0</v>
          </cell>
          <cell r="G1208">
            <v>12</v>
          </cell>
          <cell r="H1208" t="str">
            <v>2009-12-31</v>
          </cell>
        </row>
        <row r="1209">
          <cell r="A1209" t="str">
            <v>480000</v>
          </cell>
          <cell r="B1209" t="str">
            <v>1015</v>
          </cell>
          <cell r="C1209">
            <v>2033.58</v>
          </cell>
          <cell r="D1209" t="str">
            <v>210</v>
          </cell>
          <cell r="E1209" t="str">
            <v>407</v>
          </cell>
          <cell r="F1209">
            <v>169.1</v>
          </cell>
          <cell r="G1209">
            <v>8</v>
          </cell>
          <cell r="H1209" t="str">
            <v>2009-08-31</v>
          </cell>
        </row>
        <row r="1210">
          <cell r="A1210" t="str">
            <v>481004</v>
          </cell>
          <cell r="B1210" t="str">
            <v>1015</v>
          </cell>
          <cell r="C1210">
            <v>720.54</v>
          </cell>
          <cell r="D1210" t="str">
            <v>210</v>
          </cell>
          <cell r="E1210" t="str">
            <v>407</v>
          </cell>
          <cell r="F1210">
            <v>102.6</v>
          </cell>
          <cell r="G1210">
            <v>3</v>
          </cell>
          <cell r="H1210" t="str">
            <v>2010-03-31</v>
          </cell>
        </row>
        <row r="1211">
          <cell r="A1211" t="str">
            <v>480000</v>
          </cell>
          <cell r="B1211" t="str">
            <v>1015</v>
          </cell>
          <cell r="C1211">
            <v>40.72</v>
          </cell>
          <cell r="D1211" t="str">
            <v>210</v>
          </cell>
          <cell r="E1211" t="str">
            <v>407</v>
          </cell>
          <cell r="F1211">
            <v>0</v>
          </cell>
          <cell r="G1211">
            <v>12</v>
          </cell>
          <cell r="H1211" t="str">
            <v>2009-12-31</v>
          </cell>
        </row>
        <row r="1212">
          <cell r="A1212" t="str">
            <v>480001</v>
          </cell>
          <cell r="B1212" t="str">
            <v>1015</v>
          </cell>
          <cell r="C1212">
            <v>-1671.98</v>
          </cell>
          <cell r="D1212" t="str">
            <v>210</v>
          </cell>
          <cell r="E1212" t="str">
            <v>407</v>
          </cell>
          <cell r="F1212">
            <v>0</v>
          </cell>
          <cell r="G1212">
            <v>7</v>
          </cell>
          <cell r="H1212" t="str">
            <v>2009-07-31</v>
          </cell>
        </row>
        <row r="1213">
          <cell r="A1213" t="str">
            <v>480001</v>
          </cell>
          <cell r="B1213" t="str">
            <v>1015</v>
          </cell>
          <cell r="C1213">
            <v>-2033.58</v>
          </cell>
          <cell r="D1213" t="str">
            <v>210</v>
          </cell>
          <cell r="E1213" t="str">
            <v>407</v>
          </cell>
          <cell r="F1213">
            <v>-169.1</v>
          </cell>
          <cell r="G1213">
            <v>8</v>
          </cell>
          <cell r="H1213" t="str">
            <v>2009-08-31</v>
          </cell>
        </row>
        <row r="1214">
          <cell r="A1214" t="str">
            <v>480001</v>
          </cell>
          <cell r="B1214" t="str">
            <v>1015</v>
          </cell>
          <cell r="C1214">
            <v>-40.72</v>
          </cell>
          <cell r="D1214" t="str">
            <v>210</v>
          </cell>
          <cell r="E1214" t="str">
            <v>407</v>
          </cell>
          <cell r="F1214">
            <v>0</v>
          </cell>
          <cell r="G1214">
            <v>12</v>
          </cell>
          <cell r="H1214" t="str">
            <v>2009-12-31</v>
          </cell>
        </row>
        <row r="1215">
          <cell r="A1215" t="str">
            <v>480000</v>
          </cell>
          <cell r="B1215" t="str">
            <v>1015</v>
          </cell>
          <cell r="C1215">
            <v>1671.98</v>
          </cell>
          <cell r="D1215" t="str">
            <v>210</v>
          </cell>
          <cell r="E1215" t="str">
            <v>407</v>
          </cell>
          <cell r="F1215">
            <v>0</v>
          </cell>
          <cell r="G1215">
            <v>7</v>
          </cell>
          <cell r="H1215" t="str">
            <v>2009-07-31</v>
          </cell>
        </row>
        <row r="1216">
          <cell r="A1216" t="str">
            <v>481004</v>
          </cell>
          <cell r="B1216" t="str">
            <v>1015</v>
          </cell>
          <cell r="C1216">
            <v>4857.1499999999996</v>
          </cell>
          <cell r="D1216" t="str">
            <v>210</v>
          </cell>
          <cell r="E1216" t="str">
            <v>407</v>
          </cell>
          <cell r="F1216">
            <v>687.5</v>
          </cell>
          <cell r="G1216">
            <v>2</v>
          </cell>
          <cell r="H1216" t="str">
            <v>2010-02-28</v>
          </cell>
        </row>
        <row r="1217">
          <cell r="A1217" t="str">
            <v>481004</v>
          </cell>
          <cell r="B1217" t="str">
            <v>1015</v>
          </cell>
          <cell r="C1217">
            <v>0</v>
          </cell>
          <cell r="D1217" t="str">
            <v>210</v>
          </cell>
          <cell r="E1217" t="str">
            <v>451</v>
          </cell>
          <cell r="F1217">
            <v>0</v>
          </cell>
          <cell r="G1217">
            <v>7</v>
          </cell>
          <cell r="H1217" t="str">
            <v>2009-07-31</v>
          </cell>
        </row>
        <row r="1218">
          <cell r="A1218" t="str">
            <v>481004</v>
          </cell>
          <cell r="B1218" t="str">
            <v>1015</v>
          </cell>
          <cell r="C1218">
            <v>0</v>
          </cell>
          <cell r="D1218" t="str">
            <v>210</v>
          </cell>
          <cell r="E1218" t="str">
            <v>451</v>
          </cell>
          <cell r="F1218">
            <v>0</v>
          </cell>
          <cell r="G1218">
            <v>11</v>
          </cell>
          <cell r="H1218" t="str">
            <v>2009-11-30</v>
          </cell>
        </row>
        <row r="1219">
          <cell r="A1219" t="str">
            <v>481000</v>
          </cell>
          <cell r="B1219" t="str">
            <v>1015</v>
          </cell>
          <cell r="C1219">
            <v>0</v>
          </cell>
          <cell r="D1219" t="str">
            <v>210</v>
          </cell>
          <cell r="E1219" t="str">
            <v>451</v>
          </cell>
          <cell r="F1219">
            <v>0</v>
          </cell>
          <cell r="G1219">
            <v>9</v>
          </cell>
          <cell r="H1219" t="str">
            <v>2009-09-30</v>
          </cell>
        </row>
        <row r="1220">
          <cell r="A1220" t="str">
            <v>481004</v>
          </cell>
          <cell r="B1220" t="str">
            <v>1015</v>
          </cell>
          <cell r="C1220">
            <v>0</v>
          </cell>
          <cell r="D1220" t="str">
            <v>210</v>
          </cell>
          <cell r="E1220" t="str">
            <v>451</v>
          </cell>
          <cell r="F1220">
            <v>0</v>
          </cell>
          <cell r="G1220">
            <v>9</v>
          </cell>
          <cell r="H1220" t="str">
            <v>2009-09-30</v>
          </cell>
        </row>
        <row r="1221">
          <cell r="A1221" t="str">
            <v>481000</v>
          </cell>
          <cell r="B1221" t="str">
            <v>1015</v>
          </cell>
          <cell r="C1221">
            <v>0</v>
          </cell>
          <cell r="D1221" t="str">
            <v>210</v>
          </cell>
          <cell r="E1221" t="str">
            <v>451</v>
          </cell>
          <cell r="F1221">
            <v>0</v>
          </cell>
          <cell r="G1221">
            <v>12</v>
          </cell>
          <cell r="H1221" t="str">
            <v>2009-12-31</v>
          </cell>
        </row>
        <row r="1222">
          <cell r="A1222" t="str">
            <v>481004</v>
          </cell>
          <cell r="B1222" t="str">
            <v>1015</v>
          </cell>
          <cell r="C1222">
            <v>0</v>
          </cell>
          <cell r="D1222" t="str">
            <v>210</v>
          </cell>
          <cell r="E1222" t="str">
            <v>451</v>
          </cell>
          <cell r="F1222">
            <v>0</v>
          </cell>
          <cell r="G1222">
            <v>8</v>
          </cell>
          <cell r="H1222" t="str">
            <v>2009-08-31</v>
          </cell>
        </row>
        <row r="1223">
          <cell r="A1223" t="str">
            <v>481000</v>
          </cell>
          <cell r="B1223" t="str">
            <v>1015</v>
          </cell>
          <cell r="C1223">
            <v>0</v>
          </cell>
          <cell r="D1223" t="str">
            <v>210</v>
          </cell>
          <cell r="E1223" t="str">
            <v>451</v>
          </cell>
          <cell r="F1223">
            <v>0</v>
          </cell>
          <cell r="G1223">
            <v>7</v>
          </cell>
          <cell r="H1223" t="str">
            <v>2009-07-31</v>
          </cell>
        </row>
        <row r="1224">
          <cell r="A1224" t="str">
            <v>481000</v>
          </cell>
          <cell r="B1224" t="str">
            <v>1015</v>
          </cell>
          <cell r="C1224">
            <v>0</v>
          </cell>
          <cell r="D1224" t="str">
            <v>210</v>
          </cell>
          <cell r="E1224" t="str">
            <v>451</v>
          </cell>
          <cell r="F1224">
            <v>0</v>
          </cell>
          <cell r="G1224">
            <v>11</v>
          </cell>
          <cell r="H1224" t="str">
            <v>2009-11-30</v>
          </cell>
        </row>
        <row r="1225">
          <cell r="A1225" t="str">
            <v>481004</v>
          </cell>
          <cell r="B1225" t="str">
            <v>1015</v>
          </cell>
          <cell r="C1225">
            <v>0</v>
          </cell>
          <cell r="D1225" t="str">
            <v>210</v>
          </cell>
          <cell r="E1225" t="str">
            <v>451</v>
          </cell>
          <cell r="F1225">
            <v>0</v>
          </cell>
          <cell r="G1225">
            <v>12</v>
          </cell>
          <cell r="H1225" t="str">
            <v>2009-12-31</v>
          </cell>
        </row>
        <row r="1226">
          <cell r="A1226" t="str">
            <v>481000</v>
          </cell>
          <cell r="B1226" t="str">
            <v>1015</v>
          </cell>
          <cell r="C1226">
            <v>0</v>
          </cell>
          <cell r="D1226" t="str">
            <v>210</v>
          </cell>
          <cell r="E1226" t="str">
            <v>451</v>
          </cell>
          <cell r="F1226">
            <v>0</v>
          </cell>
          <cell r="G1226">
            <v>8</v>
          </cell>
          <cell r="H1226" t="str">
            <v>2009-08-31</v>
          </cell>
        </row>
        <row r="1227">
          <cell r="A1227" t="str">
            <v>481000</v>
          </cell>
          <cell r="B1227" t="str">
            <v>1015</v>
          </cell>
          <cell r="C1227">
            <v>0</v>
          </cell>
          <cell r="D1227" t="str">
            <v>210</v>
          </cell>
          <cell r="E1227" t="str">
            <v>451</v>
          </cell>
          <cell r="F1227">
            <v>0</v>
          </cell>
          <cell r="G1227">
            <v>10</v>
          </cell>
          <cell r="H1227" t="str">
            <v>2009-10-31</v>
          </cell>
        </row>
        <row r="1228">
          <cell r="A1228" t="str">
            <v>481004</v>
          </cell>
          <cell r="B1228" t="str">
            <v>1015</v>
          </cell>
          <cell r="C1228">
            <v>0</v>
          </cell>
          <cell r="D1228" t="str">
            <v>210</v>
          </cell>
          <cell r="E1228" t="str">
            <v>451</v>
          </cell>
          <cell r="F1228">
            <v>0</v>
          </cell>
          <cell r="G1228">
            <v>10</v>
          </cell>
          <cell r="H1228" t="str">
            <v>2009-10-31</v>
          </cell>
        </row>
        <row r="1229">
          <cell r="A1229" t="str">
            <v>481006</v>
          </cell>
          <cell r="B1229" t="str">
            <v>1015</v>
          </cell>
          <cell r="C1229">
            <v>-1429.65</v>
          </cell>
          <cell r="D1229" t="str">
            <v>210</v>
          </cell>
          <cell r="E1229" t="str">
            <v>453</v>
          </cell>
          <cell r="F1229">
            <v>-198</v>
          </cell>
          <cell r="G1229">
            <v>8</v>
          </cell>
          <cell r="H1229" t="str">
            <v>2009-08-31</v>
          </cell>
        </row>
        <row r="1230">
          <cell r="A1230" t="str">
            <v>480000</v>
          </cell>
          <cell r="B1230" t="str">
            <v>1015</v>
          </cell>
          <cell r="C1230">
            <v>7.16</v>
          </cell>
          <cell r="D1230" t="str">
            <v>210</v>
          </cell>
          <cell r="E1230" t="str">
            <v>453</v>
          </cell>
          <cell r="F1230">
            <v>0</v>
          </cell>
          <cell r="G1230">
            <v>8</v>
          </cell>
          <cell r="H1230" t="str">
            <v>2009-08-31</v>
          </cell>
        </row>
        <row r="1231">
          <cell r="A1231" t="str">
            <v>481004</v>
          </cell>
          <cell r="B1231" t="str">
            <v>1015</v>
          </cell>
          <cell r="C1231">
            <v>1429.65</v>
          </cell>
          <cell r="D1231" t="str">
            <v>210</v>
          </cell>
          <cell r="E1231" t="str">
            <v>453</v>
          </cell>
          <cell r="F1231">
            <v>198</v>
          </cell>
          <cell r="G1231">
            <v>8</v>
          </cell>
          <cell r="H1231" t="str">
            <v>2009-08-31</v>
          </cell>
        </row>
        <row r="1232">
          <cell r="A1232" t="str">
            <v>480001</v>
          </cell>
          <cell r="B1232" t="str">
            <v>1015</v>
          </cell>
          <cell r="C1232">
            <v>-7.16</v>
          </cell>
          <cell r="D1232" t="str">
            <v>210</v>
          </cell>
          <cell r="E1232" t="str">
            <v>453</v>
          </cell>
          <cell r="F1232">
            <v>0</v>
          </cell>
          <cell r="G1232">
            <v>8</v>
          </cell>
          <cell r="H1232" t="str">
            <v>2009-08-31</v>
          </cell>
        </row>
        <row r="1233">
          <cell r="A1233" t="str">
            <v>480004</v>
          </cell>
          <cell r="B1233" t="str">
            <v>1015</v>
          </cell>
          <cell r="C1233">
            <v>158298.88</v>
          </cell>
          <cell r="D1233" t="str">
            <v>215</v>
          </cell>
          <cell r="E1233" t="str">
            <v>CET</v>
          </cell>
          <cell r="F1233">
            <v>0</v>
          </cell>
          <cell r="G1233">
            <v>7</v>
          </cell>
          <cell r="H1233" t="str">
            <v>2009-07-31</v>
          </cell>
        </row>
        <row r="1234">
          <cell r="A1234" t="str">
            <v>480004</v>
          </cell>
          <cell r="B1234" t="str">
            <v>1015</v>
          </cell>
          <cell r="C1234">
            <v>-589040.35</v>
          </cell>
          <cell r="D1234" t="str">
            <v>215</v>
          </cell>
          <cell r="E1234" t="str">
            <v>CET</v>
          </cell>
          <cell r="F1234">
            <v>0</v>
          </cell>
          <cell r="G1234">
            <v>4</v>
          </cell>
          <cell r="H1234" t="str">
            <v>2010-04-30</v>
          </cell>
        </row>
        <row r="1235">
          <cell r="A1235" t="str">
            <v>480004</v>
          </cell>
          <cell r="B1235" t="str">
            <v>1015</v>
          </cell>
          <cell r="C1235">
            <v>75129.09</v>
          </cell>
          <cell r="D1235" t="str">
            <v>215</v>
          </cell>
          <cell r="E1235" t="str">
            <v>WY-CET</v>
          </cell>
          <cell r="F1235">
            <v>0</v>
          </cell>
          <cell r="G1235">
            <v>10</v>
          </cell>
          <cell r="H1235" t="str">
            <v>2009-10-31</v>
          </cell>
        </row>
        <row r="1236">
          <cell r="A1236" t="str">
            <v>480004</v>
          </cell>
          <cell r="B1236" t="str">
            <v>1015</v>
          </cell>
          <cell r="C1236">
            <v>118445.66</v>
          </cell>
          <cell r="D1236" t="str">
            <v>215</v>
          </cell>
          <cell r="E1236" t="str">
            <v>CET</v>
          </cell>
          <cell r="F1236">
            <v>0</v>
          </cell>
          <cell r="G1236">
            <v>11</v>
          </cell>
          <cell r="H1236" t="str">
            <v>2009-11-30</v>
          </cell>
        </row>
        <row r="1237">
          <cell r="A1237" t="str">
            <v>480004</v>
          </cell>
          <cell r="B1237" t="str">
            <v>1015</v>
          </cell>
          <cell r="C1237">
            <v>-2937</v>
          </cell>
          <cell r="D1237" t="str">
            <v>215</v>
          </cell>
          <cell r="E1237" t="str">
            <v>WY-CET</v>
          </cell>
          <cell r="F1237">
            <v>0</v>
          </cell>
          <cell r="G1237">
            <v>12</v>
          </cell>
          <cell r="H1237" t="str">
            <v>2009-12-31</v>
          </cell>
        </row>
        <row r="1238">
          <cell r="A1238" t="str">
            <v>480004</v>
          </cell>
          <cell r="B1238" t="str">
            <v>1015</v>
          </cell>
          <cell r="C1238">
            <v>18322.21</v>
          </cell>
          <cell r="D1238" t="str">
            <v>215</v>
          </cell>
          <cell r="E1238" t="str">
            <v>WY-CET</v>
          </cell>
          <cell r="F1238">
            <v>0</v>
          </cell>
          <cell r="G1238">
            <v>4</v>
          </cell>
          <cell r="H1238" t="str">
            <v>2010-04-30</v>
          </cell>
        </row>
        <row r="1239">
          <cell r="A1239" t="str">
            <v>480004</v>
          </cell>
          <cell r="B1239" t="str">
            <v>1015</v>
          </cell>
          <cell r="C1239">
            <v>-57420.3</v>
          </cell>
          <cell r="D1239" t="str">
            <v>215</v>
          </cell>
          <cell r="E1239" t="str">
            <v>WY-CET</v>
          </cell>
          <cell r="F1239">
            <v>0</v>
          </cell>
          <cell r="G1239">
            <v>5</v>
          </cell>
          <cell r="H1239" t="str">
            <v>2010-05-31</v>
          </cell>
        </row>
        <row r="1240">
          <cell r="A1240" t="str">
            <v>480004</v>
          </cell>
          <cell r="B1240" t="str">
            <v>1015</v>
          </cell>
          <cell r="C1240">
            <v>-866125.26</v>
          </cell>
          <cell r="D1240" t="str">
            <v>215</v>
          </cell>
          <cell r="E1240" t="str">
            <v>CET</v>
          </cell>
          <cell r="F1240">
            <v>0</v>
          </cell>
          <cell r="G1240">
            <v>6</v>
          </cell>
          <cell r="H1240" t="str">
            <v>2010-06-30</v>
          </cell>
        </row>
        <row r="1241">
          <cell r="A1241" t="str">
            <v>480004</v>
          </cell>
          <cell r="B1241" t="str">
            <v>1015</v>
          </cell>
          <cell r="C1241">
            <v>2685179.54</v>
          </cell>
          <cell r="D1241" t="str">
            <v>215</v>
          </cell>
          <cell r="E1241" t="str">
            <v>CET</v>
          </cell>
          <cell r="F1241">
            <v>0</v>
          </cell>
          <cell r="G1241">
            <v>3</v>
          </cell>
          <cell r="H1241" t="str">
            <v>2010-03-31</v>
          </cell>
        </row>
        <row r="1242">
          <cell r="A1242" t="str">
            <v>480004</v>
          </cell>
          <cell r="B1242" t="str">
            <v>1015</v>
          </cell>
          <cell r="C1242">
            <v>169494.74</v>
          </cell>
          <cell r="D1242" t="str">
            <v>215</v>
          </cell>
          <cell r="E1242" t="str">
            <v>WY-CET</v>
          </cell>
          <cell r="F1242">
            <v>0</v>
          </cell>
          <cell r="G1242">
            <v>8</v>
          </cell>
          <cell r="H1242" t="str">
            <v>2009-08-31</v>
          </cell>
        </row>
        <row r="1243">
          <cell r="A1243" t="str">
            <v>480004</v>
          </cell>
          <cell r="B1243" t="str">
            <v>1015</v>
          </cell>
          <cell r="C1243">
            <v>-857027.21</v>
          </cell>
          <cell r="D1243" t="str">
            <v>215</v>
          </cell>
          <cell r="E1243" t="str">
            <v>CET</v>
          </cell>
          <cell r="F1243">
            <v>0</v>
          </cell>
          <cell r="G1243">
            <v>9</v>
          </cell>
          <cell r="H1243" t="str">
            <v>2009-09-30</v>
          </cell>
        </row>
        <row r="1244">
          <cell r="A1244" t="str">
            <v>480004</v>
          </cell>
          <cell r="B1244" t="str">
            <v>1015</v>
          </cell>
          <cell r="C1244">
            <v>-36009.08</v>
          </cell>
          <cell r="D1244" t="str">
            <v>215</v>
          </cell>
          <cell r="E1244" t="str">
            <v>WY-CET</v>
          </cell>
          <cell r="F1244">
            <v>0</v>
          </cell>
          <cell r="G1244">
            <v>9</v>
          </cell>
          <cell r="H1244" t="str">
            <v>2009-09-30</v>
          </cell>
        </row>
        <row r="1245">
          <cell r="A1245" t="str">
            <v>480004</v>
          </cell>
          <cell r="B1245" t="str">
            <v>1015</v>
          </cell>
          <cell r="C1245">
            <v>1119002.45</v>
          </cell>
          <cell r="D1245" t="str">
            <v>215</v>
          </cell>
          <cell r="E1245" t="str">
            <v>CET</v>
          </cell>
          <cell r="F1245">
            <v>0</v>
          </cell>
          <cell r="G1245">
            <v>10</v>
          </cell>
          <cell r="H1245" t="str">
            <v>2009-10-31</v>
          </cell>
        </row>
        <row r="1246">
          <cell r="A1246" t="str">
            <v>480004</v>
          </cell>
          <cell r="B1246" t="str">
            <v>1015</v>
          </cell>
          <cell r="C1246">
            <v>-48575.09</v>
          </cell>
          <cell r="D1246" t="str">
            <v>215</v>
          </cell>
          <cell r="E1246" t="str">
            <v>WY-CET</v>
          </cell>
          <cell r="F1246">
            <v>0</v>
          </cell>
          <cell r="G1246">
            <v>11</v>
          </cell>
          <cell r="H1246" t="str">
            <v>2009-11-30</v>
          </cell>
        </row>
        <row r="1247">
          <cell r="A1247" t="str">
            <v>480004</v>
          </cell>
          <cell r="B1247" t="str">
            <v>1015</v>
          </cell>
          <cell r="C1247">
            <v>-93034.11</v>
          </cell>
          <cell r="D1247" t="str">
            <v>215</v>
          </cell>
          <cell r="E1247" t="str">
            <v>WY-CET</v>
          </cell>
          <cell r="F1247">
            <v>0</v>
          </cell>
          <cell r="G1247">
            <v>3</v>
          </cell>
          <cell r="H1247" t="str">
            <v>2010-03-31</v>
          </cell>
        </row>
        <row r="1248">
          <cell r="A1248" t="str">
            <v>480004</v>
          </cell>
          <cell r="B1248" t="str">
            <v>1015</v>
          </cell>
          <cell r="C1248">
            <v>-2742685.05</v>
          </cell>
          <cell r="D1248" t="str">
            <v>215</v>
          </cell>
          <cell r="E1248" t="str">
            <v>CET</v>
          </cell>
          <cell r="F1248">
            <v>0</v>
          </cell>
          <cell r="G1248">
            <v>5</v>
          </cell>
          <cell r="H1248" t="str">
            <v>2010-05-31</v>
          </cell>
        </row>
        <row r="1249">
          <cell r="A1249" t="str">
            <v>480004</v>
          </cell>
          <cell r="B1249" t="str">
            <v>1015</v>
          </cell>
          <cell r="C1249">
            <v>2536798.08</v>
          </cell>
          <cell r="D1249" t="str">
            <v>215</v>
          </cell>
          <cell r="E1249" t="str">
            <v>CET</v>
          </cell>
          <cell r="F1249">
            <v>0</v>
          </cell>
          <cell r="G1249">
            <v>8</v>
          </cell>
          <cell r="H1249" t="str">
            <v>2009-08-31</v>
          </cell>
        </row>
        <row r="1250">
          <cell r="A1250" t="str">
            <v>480004</v>
          </cell>
          <cell r="B1250" t="str">
            <v>1015</v>
          </cell>
          <cell r="C1250">
            <v>-781504.09</v>
          </cell>
          <cell r="D1250" t="str">
            <v>215</v>
          </cell>
          <cell r="E1250" t="str">
            <v>CET</v>
          </cell>
          <cell r="F1250">
            <v>0</v>
          </cell>
          <cell r="G1250">
            <v>1</v>
          </cell>
          <cell r="H1250" t="str">
            <v>2010-01-31</v>
          </cell>
        </row>
        <row r="1251">
          <cell r="A1251" t="str">
            <v>480004</v>
          </cell>
          <cell r="B1251" t="str">
            <v>1015</v>
          </cell>
          <cell r="C1251">
            <v>-97164.75</v>
          </cell>
          <cell r="D1251" t="str">
            <v>215</v>
          </cell>
          <cell r="E1251" t="str">
            <v>WY-CET</v>
          </cell>
          <cell r="F1251">
            <v>0</v>
          </cell>
          <cell r="G1251">
            <v>1</v>
          </cell>
          <cell r="H1251" t="str">
            <v>2010-01-31</v>
          </cell>
        </row>
        <row r="1252">
          <cell r="A1252" t="str">
            <v>480004</v>
          </cell>
          <cell r="B1252" t="str">
            <v>1015</v>
          </cell>
          <cell r="C1252">
            <v>-1313940.77</v>
          </cell>
          <cell r="D1252" t="str">
            <v>215</v>
          </cell>
          <cell r="E1252" t="str">
            <v>CET</v>
          </cell>
          <cell r="F1252">
            <v>0</v>
          </cell>
          <cell r="G1252">
            <v>2</v>
          </cell>
          <cell r="H1252" t="str">
            <v>2010-02-28</v>
          </cell>
        </row>
        <row r="1253">
          <cell r="A1253" t="str">
            <v>480004</v>
          </cell>
          <cell r="B1253" t="str">
            <v>1015</v>
          </cell>
          <cell r="C1253">
            <v>-4447.08</v>
          </cell>
          <cell r="D1253" t="str">
            <v>215</v>
          </cell>
          <cell r="E1253" t="str">
            <v>WY-CET</v>
          </cell>
          <cell r="F1253">
            <v>0</v>
          </cell>
          <cell r="G1253">
            <v>7</v>
          </cell>
          <cell r="H1253" t="str">
            <v>2009-07-31</v>
          </cell>
        </row>
        <row r="1254">
          <cell r="A1254" t="str">
            <v>480004</v>
          </cell>
          <cell r="B1254" t="str">
            <v>1015</v>
          </cell>
          <cell r="C1254">
            <v>3449981.86</v>
          </cell>
          <cell r="D1254" t="str">
            <v>215</v>
          </cell>
          <cell r="E1254" t="str">
            <v>CET</v>
          </cell>
          <cell r="F1254">
            <v>0</v>
          </cell>
          <cell r="G1254">
            <v>12</v>
          </cell>
          <cell r="H1254" t="str">
            <v>2009-12-31</v>
          </cell>
        </row>
        <row r="1255">
          <cell r="A1255" t="str">
            <v>480004</v>
          </cell>
          <cell r="B1255" t="str">
            <v>1015</v>
          </cell>
          <cell r="C1255">
            <v>-177802.72</v>
          </cell>
          <cell r="D1255" t="str">
            <v>215</v>
          </cell>
          <cell r="E1255" t="str">
            <v>WY-CET</v>
          </cell>
          <cell r="F1255">
            <v>0</v>
          </cell>
          <cell r="G1255">
            <v>2</v>
          </cell>
          <cell r="H1255" t="str">
            <v>2010-02-28</v>
          </cell>
        </row>
        <row r="1256">
          <cell r="A1256" t="str">
            <v>480004</v>
          </cell>
          <cell r="B1256" t="str">
            <v>1015</v>
          </cell>
          <cell r="C1256">
            <v>-11366.69</v>
          </cell>
          <cell r="D1256" t="str">
            <v>215</v>
          </cell>
          <cell r="E1256" t="str">
            <v>WY-CET</v>
          </cell>
          <cell r="F1256">
            <v>0</v>
          </cell>
          <cell r="G1256">
            <v>6</v>
          </cell>
          <cell r="H1256" t="str">
            <v>2010-06-30</v>
          </cell>
        </row>
        <row r="1257">
          <cell r="A1257" t="str">
            <v>480005</v>
          </cell>
          <cell r="B1257" t="str">
            <v>1015</v>
          </cell>
          <cell r="C1257">
            <v>-450992.28</v>
          </cell>
          <cell r="D1257" t="str">
            <v>216</v>
          </cell>
          <cell r="E1257" t="str">
            <v>407</v>
          </cell>
          <cell r="F1257">
            <v>0</v>
          </cell>
          <cell r="G1257">
            <v>9</v>
          </cell>
          <cell r="H1257" t="str">
            <v>2009-09-30</v>
          </cell>
        </row>
        <row r="1258">
          <cell r="A1258" t="str">
            <v>480005</v>
          </cell>
          <cell r="B1258" t="str">
            <v>1015</v>
          </cell>
          <cell r="C1258">
            <v>-2775026.15</v>
          </cell>
          <cell r="D1258" t="str">
            <v>216</v>
          </cell>
          <cell r="E1258" t="str">
            <v>407</v>
          </cell>
          <cell r="F1258">
            <v>0</v>
          </cell>
          <cell r="G1258">
            <v>10</v>
          </cell>
          <cell r="H1258" t="str">
            <v>2009-10-31</v>
          </cell>
        </row>
        <row r="1259">
          <cell r="A1259" t="str">
            <v>480005</v>
          </cell>
          <cell r="B1259" t="str">
            <v>1015</v>
          </cell>
          <cell r="C1259">
            <v>-6895.72</v>
          </cell>
          <cell r="D1259" t="str">
            <v>216</v>
          </cell>
          <cell r="E1259" t="str">
            <v>407</v>
          </cell>
          <cell r="F1259">
            <v>0</v>
          </cell>
          <cell r="G1259">
            <v>4</v>
          </cell>
          <cell r="H1259" t="str">
            <v>2010-04-30</v>
          </cell>
        </row>
        <row r="1260">
          <cell r="A1260" t="str">
            <v>480005</v>
          </cell>
          <cell r="B1260" t="str">
            <v>1015</v>
          </cell>
          <cell r="C1260">
            <v>-4958.7299999999996</v>
          </cell>
          <cell r="D1260" t="str">
            <v>216</v>
          </cell>
          <cell r="E1260" t="str">
            <v>407</v>
          </cell>
          <cell r="F1260">
            <v>0</v>
          </cell>
          <cell r="G1260">
            <v>5</v>
          </cell>
          <cell r="H1260" t="str">
            <v>2010-05-31</v>
          </cell>
        </row>
        <row r="1261">
          <cell r="A1261" t="str">
            <v>480005</v>
          </cell>
          <cell r="B1261" t="str">
            <v>1015</v>
          </cell>
          <cell r="C1261">
            <v>0</v>
          </cell>
          <cell r="D1261" t="str">
            <v>216W</v>
          </cell>
          <cell r="E1261" t="str">
            <v>407</v>
          </cell>
          <cell r="F1261">
            <v>0</v>
          </cell>
          <cell r="G1261">
            <v>6</v>
          </cell>
          <cell r="H1261" t="str">
            <v>2010-06-30</v>
          </cell>
        </row>
        <row r="1262">
          <cell r="A1262" t="str">
            <v>480005</v>
          </cell>
          <cell r="B1262" t="str">
            <v>1015</v>
          </cell>
          <cell r="C1262">
            <v>-489731.94</v>
          </cell>
          <cell r="D1262" t="str">
            <v>216</v>
          </cell>
          <cell r="E1262" t="str">
            <v>407</v>
          </cell>
          <cell r="F1262">
            <v>0</v>
          </cell>
          <cell r="G1262">
            <v>7</v>
          </cell>
          <cell r="H1262" t="str">
            <v>2009-07-31</v>
          </cell>
        </row>
        <row r="1263">
          <cell r="A1263" t="str">
            <v>480005</v>
          </cell>
          <cell r="B1263" t="str">
            <v>1015</v>
          </cell>
          <cell r="C1263">
            <v>-6158.6</v>
          </cell>
          <cell r="D1263" t="str">
            <v>216</v>
          </cell>
          <cell r="E1263" t="str">
            <v>407</v>
          </cell>
          <cell r="F1263">
            <v>0</v>
          </cell>
          <cell r="G1263">
            <v>10</v>
          </cell>
          <cell r="H1263" t="str">
            <v>2009-10-31</v>
          </cell>
        </row>
        <row r="1264">
          <cell r="A1264" t="str">
            <v>480005</v>
          </cell>
          <cell r="B1264" t="str">
            <v>1015</v>
          </cell>
          <cell r="C1264">
            <v>-8535068.5</v>
          </cell>
          <cell r="D1264" t="str">
            <v>216</v>
          </cell>
          <cell r="E1264" t="str">
            <v>407</v>
          </cell>
          <cell r="F1264">
            <v>0</v>
          </cell>
          <cell r="G1264">
            <v>12</v>
          </cell>
          <cell r="H1264" t="str">
            <v>2009-12-31</v>
          </cell>
        </row>
        <row r="1265">
          <cell r="A1265" t="str">
            <v>480005</v>
          </cell>
          <cell r="B1265" t="str">
            <v>1015</v>
          </cell>
          <cell r="C1265">
            <v>-1262436.31</v>
          </cell>
          <cell r="D1265" t="str">
            <v>216</v>
          </cell>
          <cell r="E1265" t="str">
            <v>407</v>
          </cell>
          <cell r="F1265">
            <v>0</v>
          </cell>
          <cell r="G1265">
            <v>5</v>
          </cell>
          <cell r="H1265" t="str">
            <v>2010-05-31</v>
          </cell>
        </row>
        <row r="1266">
          <cell r="A1266" t="str">
            <v>480005</v>
          </cell>
          <cell r="B1266" t="str">
            <v>1015</v>
          </cell>
          <cell r="C1266">
            <v>-462432.11</v>
          </cell>
          <cell r="D1266" t="str">
            <v>216</v>
          </cell>
          <cell r="E1266" t="str">
            <v>407</v>
          </cell>
          <cell r="F1266">
            <v>0</v>
          </cell>
          <cell r="G1266">
            <v>8</v>
          </cell>
          <cell r="H1266" t="str">
            <v>2009-08-31</v>
          </cell>
        </row>
        <row r="1267">
          <cell r="A1267" t="str">
            <v>480005</v>
          </cell>
          <cell r="B1267" t="str">
            <v>1015</v>
          </cell>
          <cell r="C1267">
            <v>-871.55</v>
          </cell>
          <cell r="D1267" t="str">
            <v>216</v>
          </cell>
          <cell r="E1267" t="str">
            <v>407</v>
          </cell>
          <cell r="F1267">
            <v>0</v>
          </cell>
          <cell r="G1267">
            <v>6</v>
          </cell>
          <cell r="H1267" t="str">
            <v>2010-06-30</v>
          </cell>
        </row>
        <row r="1268">
          <cell r="A1268" t="str">
            <v>480005</v>
          </cell>
          <cell r="B1268" t="str">
            <v>1015</v>
          </cell>
          <cell r="C1268">
            <v>-861.21</v>
          </cell>
          <cell r="D1268" t="str">
            <v>216</v>
          </cell>
          <cell r="E1268" t="str">
            <v>407</v>
          </cell>
          <cell r="F1268">
            <v>0</v>
          </cell>
          <cell r="G1268">
            <v>7</v>
          </cell>
          <cell r="H1268" t="str">
            <v>2009-07-31</v>
          </cell>
        </row>
        <row r="1269">
          <cell r="A1269" t="str">
            <v>480005</v>
          </cell>
          <cell r="B1269" t="str">
            <v>1015</v>
          </cell>
          <cell r="C1269">
            <v>-5655680.9699999997</v>
          </cell>
          <cell r="D1269" t="str">
            <v>216</v>
          </cell>
          <cell r="E1269" t="str">
            <v>407</v>
          </cell>
          <cell r="F1269">
            <v>0</v>
          </cell>
          <cell r="G1269">
            <v>2</v>
          </cell>
          <cell r="H1269" t="str">
            <v>2010-02-28</v>
          </cell>
        </row>
        <row r="1270">
          <cell r="A1270" t="str">
            <v>480005</v>
          </cell>
          <cell r="B1270" t="str">
            <v>1015</v>
          </cell>
          <cell r="C1270">
            <v>-945705.57</v>
          </cell>
          <cell r="D1270" t="str">
            <v>216</v>
          </cell>
          <cell r="E1270" t="str">
            <v>407</v>
          </cell>
          <cell r="F1270">
            <v>0</v>
          </cell>
          <cell r="G1270">
            <v>6</v>
          </cell>
          <cell r="H1270" t="str">
            <v>2010-06-30</v>
          </cell>
        </row>
        <row r="1271">
          <cell r="A1271" t="str">
            <v>480005</v>
          </cell>
          <cell r="B1271" t="str">
            <v>1015</v>
          </cell>
          <cell r="C1271">
            <v>-4172933.08</v>
          </cell>
          <cell r="D1271" t="str">
            <v>216</v>
          </cell>
          <cell r="E1271" t="str">
            <v>407</v>
          </cell>
          <cell r="F1271">
            <v>0</v>
          </cell>
          <cell r="G1271">
            <v>11</v>
          </cell>
          <cell r="H1271" t="str">
            <v>2009-11-30</v>
          </cell>
        </row>
        <row r="1272">
          <cell r="A1272" t="str">
            <v>480005</v>
          </cell>
          <cell r="B1272" t="str">
            <v>1015</v>
          </cell>
          <cell r="C1272">
            <v>-9930.61</v>
          </cell>
          <cell r="D1272" t="str">
            <v>216</v>
          </cell>
          <cell r="E1272" t="str">
            <v>407</v>
          </cell>
          <cell r="F1272">
            <v>0</v>
          </cell>
          <cell r="G1272">
            <v>11</v>
          </cell>
          <cell r="H1272" t="str">
            <v>2009-11-30</v>
          </cell>
        </row>
        <row r="1273">
          <cell r="A1273" t="str">
            <v>480005</v>
          </cell>
          <cell r="B1273" t="str">
            <v>1015</v>
          </cell>
          <cell r="C1273">
            <v>-1084.6600000000001</v>
          </cell>
          <cell r="D1273" t="str">
            <v>216</v>
          </cell>
          <cell r="E1273" t="str">
            <v>407</v>
          </cell>
          <cell r="F1273">
            <v>0</v>
          </cell>
          <cell r="G1273">
            <v>8</v>
          </cell>
          <cell r="H1273" t="str">
            <v>2009-08-31</v>
          </cell>
        </row>
        <row r="1274">
          <cell r="A1274" t="str">
            <v>480005</v>
          </cell>
          <cell r="B1274" t="str">
            <v>1015</v>
          </cell>
          <cell r="C1274">
            <v>-770.65</v>
          </cell>
          <cell r="D1274" t="str">
            <v>216</v>
          </cell>
          <cell r="E1274" t="str">
            <v>407</v>
          </cell>
          <cell r="F1274">
            <v>0</v>
          </cell>
          <cell r="G1274">
            <v>9</v>
          </cell>
          <cell r="H1274" t="str">
            <v>2009-09-30</v>
          </cell>
        </row>
        <row r="1275">
          <cell r="A1275" t="str">
            <v>480005</v>
          </cell>
          <cell r="B1275" t="str">
            <v>1015</v>
          </cell>
          <cell r="C1275">
            <v>-15804.84</v>
          </cell>
          <cell r="D1275" t="str">
            <v>216</v>
          </cell>
          <cell r="E1275" t="str">
            <v>407</v>
          </cell>
          <cell r="F1275">
            <v>0</v>
          </cell>
          <cell r="G1275">
            <v>12</v>
          </cell>
          <cell r="H1275" t="str">
            <v>2009-12-31</v>
          </cell>
        </row>
        <row r="1276">
          <cell r="A1276" t="str">
            <v>480005</v>
          </cell>
          <cell r="B1276" t="str">
            <v>1015</v>
          </cell>
          <cell r="C1276">
            <v>-3441488.52</v>
          </cell>
          <cell r="D1276" t="str">
            <v>216</v>
          </cell>
          <cell r="E1276" t="str">
            <v>407</v>
          </cell>
          <cell r="F1276">
            <v>0</v>
          </cell>
          <cell r="G1276">
            <v>4</v>
          </cell>
          <cell r="H1276" t="str">
            <v>2010-04-30</v>
          </cell>
        </row>
        <row r="1277">
          <cell r="A1277" t="str">
            <v>480005</v>
          </cell>
          <cell r="B1277" t="str">
            <v>1015</v>
          </cell>
          <cell r="C1277">
            <v>-7621557.9800000004</v>
          </cell>
          <cell r="D1277" t="str">
            <v>216</v>
          </cell>
          <cell r="E1277" t="str">
            <v>407</v>
          </cell>
          <cell r="F1277">
            <v>0</v>
          </cell>
          <cell r="G1277">
            <v>1</v>
          </cell>
          <cell r="H1277" t="str">
            <v>2010-01-31</v>
          </cell>
        </row>
        <row r="1278">
          <cell r="A1278" t="str">
            <v>480005</v>
          </cell>
          <cell r="B1278" t="str">
            <v>1015</v>
          </cell>
          <cell r="C1278">
            <v>-14222.04</v>
          </cell>
          <cell r="D1278" t="str">
            <v>216</v>
          </cell>
          <cell r="E1278" t="str">
            <v>407</v>
          </cell>
          <cell r="F1278">
            <v>0</v>
          </cell>
          <cell r="G1278">
            <v>1</v>
          </cell>
          <cell r="H1278" t="str">
            <v>2010-01-31</v>
          </cell>
        </row>
        <row r="1279">
          <cell r="A1279" t="str">
            <v>480005</v>
          </cell>
          <cell r="B1279" t="str">
            <v>1015</v>
          </cell>
          <cell r="C1279">
            <v>-10730.27</v>
          </cell>
          <cell r="D1279" t="str">
            <v>216</v>
          </cell>
          <cell r="E1279" t="str">
            <v>407</v>
          </cell>
          <cell r="F1279">
            <v>0</v>
          </cell>
          <cell r="G1279">
            <v>2</v>
          </cell>
          <cell r="H1279" t="str">
            <v>2010-02-28</v>
          </cell>
        </row>
        <row r="1280">
          <cell r="A1280" t="str">
            <v>480005</v>
          </cell>
          <cell r="B1280" t="str">
            <v>1015</v>
          </cell>
          <cell r="C1280">
            <v>-4944103.22</v>
          </cell>
          <cell r="D1280" t="str">
            <v>216</v>
          </cell>
          <cell r="E1280" t="str">
            <v>407</v>
          </cell>
          <cell r="F1280">
            <v>0</v>
          </cell>
          <cell r="G1280">
            <v>3</v>
          </cell>
          <cell r="H1280" t="str">
            <v>2010-03-31</v>
          </cell>
        </row>
        <row r="1281">
          <cell r="A1281" t="str">
            <v>480005</v>
          </cell>
          <cell r="B1281" t="str">
            <v>1015</v>
          </cell>
          <cell r="C1281">
            <v>-7810.31</v>
          </cell>
          <cell r="D1281" t="str">
            <v>216</v>
          </cell>
          <cell r="E1281" t="str">
            <v>407</v>
          </cell>
          <cell r="F1281">
            <v>0</v>
          </cell>
          <cell r="G1281">
            <v>3</v>
          </cell>
          <cell r="H1281" t="str">
            <v>2010-03-31</v>
          </cell>
        </row>
        <row r="1282">
          <cell r="A1282" t="str">
            <v>480005</v>
          </cell>
          <cell r="B1282" t="str">
            <v>1015</v>
          </cell>
          <cell r="C1282">
            <v>0</v>
          </cell>
          <cell r="D1282" t="str">
            <v>216</v>
          </cell>
          <cell r="E1282" t="str">
            <v>408</v>
          </cell>
          <cell r="F1282">
            <v>0</v>
          </cell>
          <cell r="G1282">
            <v>9</v>
          </cell>
          <cell r="H1282" t="str">
            <v>2009-09-30</v>
          </cell>
        </row>
        <row r="1283">
          <cell r="A1283" t="str">
            <v>480005</v>
          </cell>
          <cell r="B1283" t="str">
            <v>1015</v>
          </cell>
          <cell r="C1283">
            <v>-4990.59</v>
          </cell>
          <cell r="D1283" t="str">
            <v>216W</v>
          </cell>
          <cell r="E1283" t="str">
            <v>453</v>
          </cell>
          <cell r="F1283">
            <v>0</v>
          </cell>
          <cell r="G1283">
            <v>6</v>
          </cell>
          <cell r="H1283" t="str">
            <v>2010-06-30</v>
          </cell>
        </row>
        <row r="1284">
          <cell r="A1284" t="str">
            <v>489304</v>
          </cell>
          <cell r="B1284" t="str">
            <v>1015</v>
          </cell>
          <cell r="C1284">
            <v>-291658.95</v>
          </cell>
          <cell r="D1284" t="str">
            <v>250</v>
          </cell>
          <cell r="E1284" t="str">
            <v>405</v>
          </cell>
          <cell r="F1284">
            <v>-1148770</v>
          </cell>
          <cell r="G1284">
            <v>9</v>
          </cell>
          <cell r="H1284" t="str">
            <v>2009-09-30</v>
          </cell>
        </row>
        <row r="1285">
          <cell r="A1285" t="str">
            <v>489304</v>
          </cell>
          <cell r="B1285" t="str">
            <v>1015</v>
          </cell>
          <cell r="C1285">
            <v>-287561.18</v>
          </cell>
          <cell r="D1285" t="str">
            <v>250</v>
          </cell>
          <cell r="E1285" t="str">
            <v>405</v>
          </cell>
          <cell r="F1285">
            <v>-2177372</v>
          </cell>
          <cell r="G1285">
            <v>3</v>
          </cell>
          <cell r="H1285" t="str">
            <v>2010-03-31</v>
          </cell>
        </row>
        <row r="1286">
          <cell r="A1286" t="str">
            <v>489300</v>
          </cell>
          <cell r="B1286" t="str">
            <v>1015</v>
          </cell>
          <cell r="C1286">
            <v>-69973.87</v>
          </cell>
          <cell r="D1286" t="str">
            <v>250</v>
          </cell>
          <cell r="E1286" t="str">
            <v>405</v>
          </cell>
          <cell r="F1286">
            <v>-339993</v>
          </cell>
          <cell r="G1286">
            <v>11</v>
          </cell>
          <cell r="H1286" t="str">
            <v>2009-11-30</v>
          </cell>
        </row>
        <row r="1287">
          <cell r="A1287" t="str">
            <v>489300</v>
          </cell>
          <cell r="B1287" t="str">
            <v>1015</v>
          </cell>
          <cell r="C1287">
            <v>-87987.56</v>
          </cell>
          <cell r="D1287" t="str">
            <v>250</v>
          </cell>
          <cell r="E1287" t="str">
            <v>405</v>
          </cell>
          <cell r="F1287">
            <v>-482408</v>
          </cell>
          <cell r="G1287">
            <v>1</v>
          </cell>
          <cell r="H1287" t="str">
            <v>2010-01-31</v>
          </cell>
        </row>
        <row r="1288">
          <cell r="A1288" t="str">
            <v>489300</v>
          </cell>
          <cell r="B1288" t="str">
            <v>1015</v>
          </cell>
          <cell r="C1288">
            <v>-70178.679999999993</v>
          </cell>
          <cell r="D1288" t="str">
            <v>250</v>
          </cell>
          <cell r="E1288" t="str">
            <v>405</v>
          </cell>
          <cell r="F1288">
            <v>-343108</v>
          </cell>
          <cell r="G1288">
            <v>4</v>
          </cell>
          <cell r="H1288" t="str">
            <v>2010-04-30</v>
          </cell>
        </row>
        <row r="1289">
          <cell r="A1289" t="str">
            <v>489304</v>
          </cell>
          <cell r="B1289" t="str">
            <v>1015</v>
          </cell>
          <cell r="C1289">
            <v>-363511.34</v>
          </cell>
          <cell r="D1289" t="str">
            <v>250</v>
          </cell>
          <cell r="E1289" t="str">
            <v>405</v>
          </cell>
          <cell r="F1289">
            <v>-2469889</v>
          </cell>
          <cell r="G1289">
            <v>7</v>
          </cell>
          <cell r="H1289" t="str">
            <v>2009-07-31</v>
          </cell>
        </row>
        <row r="1290">
          <cell r="A1290" t="str">
            <v>489304</v>
          </cell>
          <cell r="B1290" t="str">
            <v>1015</v>
          </cell>
          <cell r="C1290">
            <v>-275339.95</v>
          </cell>
          <cell r="D1290" t="str">
            <v>250</v>
          </cell>
          <cell r="E1290" t="str">
            <v>405</v>
          </cell>
          <cell r="F1290">
            <v>-1848781</v>
          </cell>
          <cell r="G1290">
            <v>4</v>
          </cell>
          <cell r="H1290" t="str">
            <v>2010-04-30</v>
          </cell>
        </row>
        <row r="1291">
          <cell r="A1291" t="str">
            <v>489300</v>
          </cell>
          <cell r="B1291" t="str">
            <v>1015</v>
          </cell>
          <cell r="C1291">
            <v>-60362.94</v>
          </cell>
          <cell r="D1291" t="str">
            <v>250</v>
          </cell>
          <cell r="E1291" t="str">
            <v>405</v>
          </cell>
          <cell r="F1291">
            <v>-286859</v>
          </cell>
          <cell r="G1291">
            <v>7</v>
          </cell>
          <cell r="H1291" t="str">
            <v>2009-07-31</v>
          </cell>
        </row>
        <row r="1292">
          <cell r="A1292" t="str">
            <v>489300</v>
          </cell>
          <cell r="B1292" t="str">
            <v>1015</v>
          </cell>
          <cell r="C1292">
            <v>-66576.160000000003</v>
          </cell>
          <cell r="D1292" t="str">
            <v>250</v>
          </cell>
          <cell r="E1292" t="str">
            <v>405</v>
          </cell>
          <cell r="F1292">
            <v>-320002</v>
          </cell>
          <cell r="G1292">
            <v>2</v>
          </cell>
          <cell r="H1292" t="str">
            <v>2010-02-28</v>
          </cell>
        </row>
        <row r="1293">
          <cell r="A1293" t="str">
            <v>489304</v>
          </cell>
          <cell r="B1293" t="str">
            <v>1015</v>
          </cell>
          <cell r="C1293">
            <v>-406514.8</v>
          </cell>
          <cell r="D1293" t="str">
            <v>250</v>
          </cell>
          <cell r="E1293" t="str">
            <v>405</v>
          </cell>
          <cell r="F1293">
            <v>-2945854</v>
          </cell>
          <cell r="G1293">
            <v>12</v>
          </cell>
          <cell r="H1293" t="str">
            <v>2009-12-31</v>
          </cell>
        </row>
        <row r="1294">
          <cell r="A1294" t="str">
            <v>489300</v>
          </cell>
          <cell r="B1294" t="str">
            <v>1015</v>
          </cell>
          <cell r="C1294">
            <v>-63161.21</v>
          </cell>
          <cell r="D1294" t="str">
            <v>250</v>
          </cell>
          <cell r="E1294" t="str">
            <v>405</v>
          </cell>
          <cell r="F1294">
            <v>-311176</v>
          </cell>
          <cell r="G1294">
            <v>9</v>
          </cell>
          <cell r="H1294" t="str">
            <v>2009-09-30</v>
          </cell>
        </row>
        <row r="1295">
          <cell r="A1295" t="str">
            <v>489300</v>
          </cell>
          <cell r="B1295" t="str">
            <v>1015</v>
          </cell>
          <cell r="C1295">
            <v>-109550.93</v>
          </cell>
          <cell r="D1295" t="str">
            <v>250</v>
          </cell>
          <cell r="E1295" t="str">
            <v>405</v>
          </cell>
          <cell r="F1295">
            <v>-641454</v>
          </cell>
          <cell r="G1295">
            <v>12</v>
          </cell>
          <cell r="H1295" t="str">
            <v>2009-12-31</v>
          </cell>
        </row>
        <row r="1296">
          <cell r="A1296" t="str">
            <v>489304</v>
          </cell>
          <cell r="B1296" t="str">
            <v>1015</v>
          </cell>
          <cell r="C1296">
            <v>-343948.77</v>
          </cell>
          <cell r="D1296" t="str">
            <v>250</v>
          </cell>
          <cell r="E1296" t="str">
            <v>405</v>
          </cell>
          <cell r="F1296">
            <v>-2008060</v>
          </cell>
          <cell r="G1296">
            <v>8</v>
          </cell>
          <cell r="H1296" t="str">
            <v>2009-08-31</v>
          </cell>
        </row>
        <row r="1297">
          <cell r="A1297" t="str">
            <v>489304</v>
          </cell>
          <cell r="B1297" t="str">
            <v>1015</v>
          </cell>
          <cell r="C1297">
            <v>-275549.42</v>
          </cell>
          <cell r="D1297" t="str">
            <v>250</v>
          </cell>
          <cell r="E1297" t="str">
            <v>405</v>
          </cell>
          <cell r="F1297">
            <v>-2000760</v>
          </cell>
          <cell r="G1297">
            <v>2</v>
          </cell>
          <cell r="H1297" t="str">
            <v>2010-02-28</v>
          </cell>
        </row>
        <row r="1298">
          <cell r="A1298" t="str">
            <v>489304</v>
          </cell>
          <cell r="B1298" t="str">
            <v>1015</v>
          </cell>
          <cell r="C1298">
            <v>-253942.64</v>
          </cell>
          <cell r="D1298" t="str">
            <v>250</v>
          </cell>
          <cell r="E1298" t="str">
            <v>405</v>
          </cell>
          <cell r="F1298">
            <v>-1598412</v>
          </cell>
          <cell r="G1298">
            <v>5</v>
          </cell>
          <cell r="H1298" t="str">
            <v>2010-05-31</v>
          </cell>
        </row>
        <row r="1299">
          <cell r="A1299" t="str">
            <v>489300</v>
          </cell>
          <cell r="B1299" t="str">
            <v>1015</v>
          </cell>
          <cell r="C1299">
            <v>-75835.06</v>
          </cell>
          <cell r="D1299" t="str">
            <v>250</v>
          </cell>
          <cell r="E1299" t="str">
            <v>405</v>
          </cell>
          <cell r="F1299">
            <v>-401168</v>
          </cell>
          <cell r="G1299">
            <v>3</v>
          </cell>
          <cell r="H1299" t="str">
            <v>2010-03-31</v>
          </cell>
        </row>
        <row r="1300">
          <cell r="A1300" t="str">
            <v>489304</v>
          </cell>
          <cell r="B1300" t="str">
            <v>1015</v>
          </cell>
          <cell r="C1300">
            <v>-314883.42</v>
          </cell>
          <cell r="D1300" t="str">
            <v>250</v>
          </cell>
          <cell r="E1300" t="str">
            <v>405</v>
          </cell>
          <cell r="F1300">
            <v>-947057</v>
          </cell>
          <cell r="G1300">
            <v>10</v>
          </cell>
          <cell r="H1300" t="str">
            <v>2009-10-31</v>
          </cell>
        </row>
        <row r="1301">
          <cell r="A1301" t="str">
            <v>489304</v>
          </cell>
          <cell r="B1301" t="str">
            <v>1015</v>
          </cell>
          <cell r="C1301">
            <v>-293035.84000000003</v>
          </cell>
          <cell r="D1301" t="str">
            <v>250</v>
          </cell>
          <cell r="E1301" t="str">
            <v>405</v>
          </cell>
          <cell r="F1301">
            <v>-2317089</v>
          </cell>
          <cell r="G1301">
            <v>1</v>
          </cell>
          <cell r="H1301" t="str">
            <v>2010-01-31</v>
          </cell>
        </row>
        <row r="1302">
          <cell r="A1302" t="str">
            <v>489300</v>
          </cell>
          <cell r="B1302" t="str">
            <v>1015</v>
          </cell>
          <cell r="C1302">
            <v>-68937.59</v>
          </cell>
          <cell r="D1302" t="str">
            <v>250</v>
          </cell>
          <cell r="E1302" t="str">
            <v>405</v>
          </cell>
          <cell r="F1302">
            <v>-348838</v>
          </cell>
          <cell r="G1302">
            <v>8</v>
          </cell>
          <cell r="H1302" t="str">
            <v>2009-08-31</v>
          </cell>
        </row>
        <row r="1303">
          <cell r="A1303" t="str">
            <v>489300</v>
          </cell>
          <cell r="B1303" t="str">
            <v>1015</v>
          </cell>
          <cell r="C1303">
            <v>-76883.520000000004</v>
          </cell>
          <cell r="D1303" t="str">
            <v>250</v>
          </cell>
          <cell r="E1303" t="str">
            <v>405</v>
          </cell>
          <cell r="F1303">
            <v>-375049</v>
          </cell>
          <cell r="G1303">
            <v>10</v>
          </cell>
          <cell r="H1303" t="str">
            <v>2009-10-31</v>
          </cell>
        </row>
        <row r="1304">
          <cell r="A1304" t="str">
            <v>489304</v>
          </cell>
          <cell r="B1304" t="str">
            <v>1015</v>
          </cell>
          <cell r="C1304">
            <v>-918115.23</v>
          </cell>
          <cell r="D1304" t="str">
            <v>250</v>
          </cell>
          <cell r="E1304" t="str">
            <v>405</v>
          </cell>
          <cell r="F1304">
            <v>-1506190</v>
          </cell>
          <cell r="G1304">
            <v>11</v>
          </cell>
          <cell r="H1304" t="str">
            <v>2009-11-30</v>
          </cell>
        </row>
        <row r="1305">
          <cell r="A1305" t="str">
            <v>489300</v>
          </cell>
          <cell r="B1305" t="str">
            <v>1015</v>
          </cell>
          <cell r="C1305">
            <v>-58241.98</v>
          </cell>
          <cell r="D1305" t="str">
            <v>250</v>
          </cell>
          <cell r="E1305" t="str">
            <v>405</v>
          </cell>
          <cell r="F1305">
            <v>-264124</v>
          </cell>
          <cell r="G1305">
            <v>6</v>
          </cell>
          <cell r="H1305" t="str">
            <v>2010-06-30</v>
          </cell>
        </row>
        <row r="1306">
          <cell r="A1306" t="str">
            <v>489304</v>
          </cell>
          <cell r="B1306" t="str">
            <v>1015</v>
          </cell>
          <cell r="C1306">
            <v>-248055.98</v>
          </cell>
          <cell r="D1306" t="str">
            <v>250</v>
          </cell>
          <cell r="E1306" t="str">
            <v>405</v>
          </cell>
          <cell r="F1306">
            <v>-1231416</v>
          </cell>
          <cell r="G1306">
            <v>6</v>
          </cell>
          <cell r="H1306" t="str">
            <v>2010-06-30</v>
          </cell>
        </row>
        <row r="1307">
          <cell r="A1307" t="str">
            <v>489300</v>
          </cell>
          <cell r="B1307" t="str">
            <v>1015</v>
          </cell>
          <cell r="C1307">
            <v>-65674.06</v>
          </cell>
          <cell r="D1307" t="str">
            <v>250</v>
          </cell>
          <cell r="E1307" t="str">
            <v>405</v>
          </cell>
          <cell r="F1307">
            <v>-319440</v>
          </cell>
          <cell r="G1307">
            <v>5</v>
          </cell>
          <cell r="H1307" t="str">
            <v>2010-05-31</v>
          </cell>
        </row>
        <row r="1308">
          <cell r="A1308" t="str">
            <v>489300</v>
          </cell>
          <cell r="B1308" t="str">
            <v>1015</v>
          </cell>
          <cell r="C1308">
            <v>-334721.03999999998</v>
          </cell>
          <cell r="D1308" t="str">
            <v>250</v>
          </cell>
          <cell r="E1308" t="str">
            <v>406</v>
          </cell>
          <cell r="F1308">
            <v>-1598038</v>
          </cell>
          <cell r="G1308">
            <v>8</v>
          </cell>
          <cell r="H1308" t="str">
            <v>2009-08-31</v>
          </cell>
        </row>
        <row r="1309">
          <cell r="A1309" t="str">
            <v>489300</v>
          </cell>
          <cell r="B1309" t="str">
            <v>1015</v>
          </cell>
          <cell r="C1309">
            <v>-338349.27</v>
          </cell>
          <cell r="D1309" t="str">
            <v>250</v>
          </cell>
          <cell r="E1309" t="str">
            <v>406</v>
          </cell>
          <cell r="F1309">
            <v>-1613755</v>
          </cell>
          <cell r="G1309">
            <v>9</v>
          </cell>
          <cell r="H1309" t="str">
            <v>2009-09-30</v>
          </cell>
        </row>
        <row r="1310">
          <cell r="A1310" t="str">
            <v>489300</v>
          </cell>
          <cell r="B1310" t="str">
            <v>1015</v>
          </cell>
          <cell r="C1310">
            <v>-466127.07</v>
          </cell>
          <cell r="D1310" t="str">
            <v>250</v>
          </cell>
          <cell r="E1310" t="str">
            <v>406</v>
          </cell>
          <cell r="F1310">
            <v>-2159776</v>
          </cell>
          <cell r="G1310">
            <v>1</v>
          </cell>
          <cell r="H1310" t="str">
            <v>2010-01-31</v>
          </cell>
        </row>
        <row r="1311">
          <cell r="A1311" t="str">
            <v>489304</v>
          </cell>
          <cell r="B1311" t="str">
            <v>1015</v>
          </cell>
          <cell r="C1311">
            <v>-144079.79999999999</v>
          </cell>
          <cell r="D1311" t="str">
            <v>250</v>
          </cell>
          <cell r="E1311" t="str">
            <v>406</v>
          </cell>
          <cell r="F1311">
            <v>-609776</v>
          </cell>
          <cell r="G1311">
            <v>4</v>
          </cell>
          <cell r="H1311" t="str">
            <v>2010-04-30</v>
          </cell>
        </row>
        <row r="1312">
          <cell r="A1312" t="str">
            <v>489304</v>
          </cell>
          <cell r="B1312" t="str">
            <v>1015</v>
          </cell>
          <cell r="C1312">
            <v>-132041.71</v>
          </cell>
          <cell r="D1312" t="str">
            <v>250</v>
          </cell>
          <cell r="E1312" t="str">
            <v>406</v>
          </cell>
          <cell r="F1312">
            <v>-549846</v>
          </cell>
          <cell r="G1312">
            <v>5</v>
          </cell>
          <cell r="H1312" t="str">
            <v>2010-05-31</v>
          </cell>
        </row>
        <row r="1313">
          <cell r="A1313" t="str">
            <v>489304</v>
          </cell>
          <cell r="B1313" t="str">
            <v>1015</v>
          </cell>
          <cell r="C1313">
            <v>-154878.34</v>
          </cell>
          <cell r="D1313" t="str">
            <v>250</v>
          </cell>
          <cell r="E1313" t="str">
            <v>406</v>
          </cell>
          <cell r="F1313">
            <v>-684599</v>
          </cell>
          <cell r="G1313">
            <v>11</v>
          </cell>
          <cell r="H1313" t="str">
            <v>2009-11-30</v>
          </cell>
        </row>
        <row r="1314">
          <cell r="A1314" t="str">
            <v>489304</v>
          </cell>
          <cell r="B1314" t="str">
            <v>1015</v>
          </cell>
          <cell r="C1314">
            <v>-182684.11</v>
          </cell>
          <cell r="D1314" t="str">
            <v>250</v>
          </cell>
          <cell r="E1314" t="str">
            <v>406</v>
          </cell>
          <cell r="F1314">
            <v>-857280</v>
          </cell>
          <cell r="G1314">
            <v>12</v>
          </cell>
          <cell r="H1314" t="str">
            <v>2009-12-31</v>
          </cell>
        </row>
        <row r="1315">
          <cell r="A1315" t="str">
            <v>489304</v>
          </cell>
          <cell r="B1315" t="str">
            <v>1015</v>
          </cell>
          <cell r="C1315">
            <v>-202731.03</v>
          </cell>
          <cell r="D1315" t="str">
            <v>250</v>
          </cell>
          <cell r="E1315" t="str">
            <v>406</v>
          </cell>
          <cell r="F1315">
            <v>-878163</v>
          </cell>
          <cell r="G1315">
            <v>1</v>
          </cell>
          <cell r="H1315" t="str">
            <v>2010-01-31</v>
          </cell>
        </row>
        <row r="1316">
          <cell r="A1316" t="str">
            <v>489300</v>
          </cell>
          <cell r="B1316" t="str">
            <v>1015</v>
          </cell>
          <cell r="C1316">
            <v>-395509.73</v>
          </cell>
          <cell r="D1316" t="str">
            <v>250</v>
          </cell>
          <cell r="E1316" t="str">
            <v>406</v>
          </cell>
          <cell r="F1316">
            <v>-2010176</v>
          </cell>
          <cell r="G1316">
            <v>3</v>
          </cell>
          <cell r="H1316" t="str">
            <v>2010-03-31</v>
          </cell>
        </row>
        <row r="1317">
          <cell r="A1317" t="str">
            <v>489300</v>
          </cell>
          <cell r="B1317" t="str">
            <v>1015</v>
          </cell>
          <cell r="C1317">
            <v>-364896.75</v>
          </cell>
          <cell r="D1317" t="str">
            <v>250</v>
          </cell>
          <cell r="E1317" t="str">
            <v>406</v>
          </cell>
          <cell r="F1317">
            <v>-1804151</v>
          </cell>
          <cell r="G1317">
            <v>5</v>
          </cell>
          <cell r="H1317" t="str">
            <v>2010-05-31</v>
          </cell>
        </row>
        <row r="1318">
          <cell r="A1318" t="str">
            <v>489300</v>
          </cell>
          <cell r="B1318" t="str">
            <v>1015</v>
          </cell>
          <cell r="C1318">
            <v>-366150.13</v>
          </cell>
          <cell r="D1318" t="str">
            <v>250</v>
          </cell>
          <cell r="E1318" t="str">
            <v>406</v>
          </cell>
          <cell r="F1318">
            <v>-1822982</v>
          </cell>
          <cell r="G1318">
            <v>6</v>
          </cell>
          <cell r="H1318" t="str">
            <v>2010-06-30</v>
          </cell>
        </row>
        <row r="1319">
          <cell r="A1319" t="str">
            <v>489300</v>
          </cell>
          <cell r="B1319" t="str">
            <v>1015</v>
          </cell>
          <cell r="C1319">
            <v>-330874.81</v>
          </cell>
          <cell r="D1319" t="str">
            <v>250</v>
          </cell>
          <cell r="E1319" t="str">
            <v>406</v>
          </cell>
          <cell r="F1319">
            <v>-1591592</v>
          </cell>
          <cell r="G1319">
            <v>7</v>
          </cell>
          <cell r="H1319" t="str">
            <v>2009-07-31</v>
          </cell>
        </row>
        <row r="1320">
          <cell r="A1320" t="str">
            <v>489300</v>
          </cell>
          <cell r="B1320" t="str">
            <v>1015</v>
          </cell>
          <cell r="C1320">
            <v>-391375.38</v>
          </cell>
          <cell r="D1320" t="str">
            <v>250</v>
          </cell>
          <cell r="E1320" t="str">
            <v>406</v>
          </cell>
          <cell r="F1320">
            <v>-1965891</v>
          </cell>
          <cell r="G1320">
            <v>12</v>
          </cell>
          <cell r="H1320" t="str">
            <v>2009-12-31</v>
          </cell>
        </row>
        <row r="1321">
          <cell r="A1321" t="str">
            <v>489300</v>
          </cell>
          <cell r="B1321" t="str">
            <v>1015</v>
          </cell>
          <cell r="C1321">
            <v>-400973.93</v>
          </cell>
          <cell r="D1321" t="str">
            <v>250</v>
          </cell>
          <cell r="E1321" t="str">
            <v>406</v>
          </cell>
          <cell r="F1321">
            <v>-2042933</v>
          </cell>
          <cell r="G1321">
            <v>2</v>
          </cell>
          <cell r="H1321" t="str">
            <v>2010-02-28</v>
          </cell>
        </row>
        <row r="1322">
          <cell r="A1322" t="str">
            <v>489300</v>
          </cell>
          <cell r="B1322" t="str">
            <v>1015</v>
          </cell>
          <cell r="C1322">
            <v>-388540.71</v>
          </cell>
          <cell r="D1322" t="str">
            <v>250</v>
          </cell>
          <cell r="E1322" t="str">
            <v>406</v>
          </cell>
          <cell r="F1322">
            <v>-1997812</v>
          </cell>
          <cell r="G1322">
            <v>4</v>
          </cell>
          <cell r="H1322" t="str">
            <v>2010-04-30</v>
          </cell>
        </row>
        <row r="1323">
          <cell r="A1323" t="str">
            <v>489304</v>
          </cell>
          <cell r="B1323" t="str">
            <v>1015</v>
          </cell>
          <cell r="C1323">
            <v>-127768.51</v>
          </cell>
          <cell r="D1323" t="str">
            <v>250</v>
          </cell>
          <cell r="E1323" t="str">
            <v>406</v>
          </cell>
          <cell r="F1323">
            <v>-524384</v>
          </cell>
          <cell r="G1323">
            <v>6</v>
          </cell>
          <cell r="H1323" t="str">
            <v>2010-06-30</v>
          </cell>
        </row>
        <row r="1324">
          <cell r="A1324" t="str">
            <v>489304</v>
          </cell>
          <cell r="B1324" t="str">
            <v>1015</v>
          </cell>
          <cell r="C1324">
            <v>-166031.72</v>
          </cell>
          <cell r="D1324" t="str">
            <v>250</v>
          </cell>
          <cell r="E1324" t="str">
            <v>406</v>
          </cell>
          <cell r="F1324">
            <v>-755422</v>
          </cell>
          <cell r="G1324">
            <v>3</v>
          </cell>
          <cell r="H1324" t="str">
            <v>2010-03-31</v>
          </cell>
        </row>
        <row r="1325">
          <cell r="A1325" t="str">
            <v>489304</v>
          </cell>
          <cell r="B1325" t="str">
            <v>1015</v>
          </cell>
          <cell r="C1325">
            <v>-136275.31</v>
          </cell>
          <cell r="D1325" t="str">
            <v>250</v>
          </cell>
          <cell r="E1325" t="str">
            <v>406</v>
          </cell>
          <cell r="F1325">
            <v>-587180</v>
          </cell>
          <cell r="G1325">
            <v>9</v>
          </cell>
          <cell r="H1325" t="str">
            <v>2009-09-30</v>
          </cell>
        </row>
        <row r="1326">
          <cell r="A1326" t="str">
            <v>489304</v>
          </cell>
          <cell r="B1326" t="str">
            <v>1015</v>
          </cell>
          <cell r="C1326">
            <v>-159331.35999999999</v>
          </cell>
          <cell r="D1326" t="str">
            <v>250</v>
          </cell>
          <cell r="E1326" t="str">
            <v>406</v>
          </cell>
          <cell r="F1326">
            <v>-700556</v>
          </cell>
          <cell r="G1326">
            <v>2</v>
          </cell>
          <cell r="H1326" t="str">
            <v>2010-02-28</v>
          </cell>
        </row>
        <row r="1327">
          <cell r="A1327" t="str">
            <v>489304</v>
          </cell>
          <cell r="B1327" t="str">
            <v>1015</v>
          </cell>
          <cell r="C1327">
            <v>-122850.77</v>
          </cell>
          <cell r="D1327" t="str">
            <v>250</v>
          </cell>
          <cell r="E1327" t="str">
            <v>406</v>
          </cell>
          <cell r="F1327">
            <v>-499884</v>
          </cell>
          <cell r="G1327">
            <v>7</v>
          </cell>
          <cell r="H1327" t="str">
            <v>2009-07-31</v>
          </cell>
        </row>
        <row r="1328">
          <cell r="A1328" t="str">
            <v>489304</v>
          </cell>
          <cell r="B1328" t="str">
            <v>1015</v>
          </cell>
          <cell r="C1328">
            <v>-127987.58</v>
          </cell>
          <cell r="D1328" t="str">
            <v>250</v>
          </cell>
          <cell r="E1328" t="str">
            <v>406</v>
          </cell>
          <cell r="F1328">
            <v>-539375</v>
          </cell>
          <cell r="G1328">
            <v>10</v>
          </cell>
          <cell r="H1328" t="str">
            <v>2009-10-31</v>
          </cell>
        </row>
        <row r="1329">
          <cell r="A1329" t="str">
            <v>489300</v>
          </cell>
          <cell r="B1329" t="str">
            <v>1015</v>
          </cell>
          <cell r="C1329">
            <v>-372073.26</v>
          </cell>
          <cell r="D1329" t="str">
            <v>250</v>
          </cell>
          <cell r="E1329" t="str">
            <v>406</v>
          </cell>
          <cell r="F1329">
            <v>-1835976</v>
          </cell>
          <cell r="G1329">
            <v>11</v>
          </cell>
          <cell r="H1329" t="str">
            <v>2009-11-30</v>
          </cell>
        </row>
        <row r="1330">
          <cell r="A1330" t="str">
            <v>489304</v>
          </cell>
          <cell r="B1330" t="str">
            <v>1015</v>
          </cell>
          <cell r="C1330">
            <v>-143779.48000000001</v>
          </cell>
          <cell r="D1330" t="str">
            <v>250</v>
          </cell>
          <cell r="E1330" t="str">
            <v>406</v>
          </cell>
          <cell r="F1330">
            <v>-606158</v>
          </cell>
          <cell r="G1330">
            <v>8</v>
          </cell>
          <cell r="H1330" t="str">
            <v>2009-08-31</v>
          </cell>
        </row>
        <row r="1331">
          <cell r="A1331" t="str">
            <v>489300</v>
          </cell>
          <cell r="B1331" t="str">
            <v>1015</v>
          </cell>
          <cell r="C1331">
            <v>-370291.62</v>
          </cell>
          <cell r="D1331" t="str">
            <v>250</v>
          </cell>
          <cell r="E1331" t="str">
            <v>406</v>
          </cell>
          <cell r="F1331">
            <v>-1835908</v>
          </cell>
          <cell r="G1331">
            <v>10</v>
          </cell>
          <cell r="H1331" t="str">
            <v>2009-10-31</v>
          </cell>
        </row>
        <row r="1332">
          <cell r="A1332" t="str">
            <v>489304</v>
          </cell>
          <cell r="B1332" t="str">
            <v>1015</v>
          </cell>
          <cell r="C1332">
            <v>-1964.78</v>
          </cell>
          <cell r="D1332" t="str">
            <v>250</v>
          </cell>
          <cell r="E1332" t="str">
            <v>416</v>
          </cell>
          <cell r="F1332">
            <v>-2096</v>
          </cell>
          <cell r="G1332">
            <v>4</v>
          </cell>
          <cell r="H1332" t="str">
            <v>2010-04-30</v>
          </cell>
        </row>
        <row r="1333">
          <cell r="A1333" t="str">
            <v>489304</v>
          </cell>
          <cell r="B1333" t="str">
            <v>1015</v>
          </cell>
          <cell r="C1333">
            <v>-975.68</v>
          </cell>
          <cell r="D1333" t="str">
            <v>250</v>
          </cell>
          <cell r="E1333" t="str">
            <v>416</v>
          </cell>
          <cell r="F1333">
            <v>-847</v>
          </cell>
          <cell r="G1333">
            <v>8</v>
          </cell>
          <cell r="H1333" t="str">
            <v>2009-08-31</v>
          </cell>
        </row>
        <row r="1334">
          <cell r="A1334" t="str">
            <v>489304</v>
          </cell>
          <cell r="B1334" t="str">
            <v>1015</v>
          </cell>
          <cell r="C1334">
            <v>-3543.26</v>
          </cell>
          <cell r="D1334" t="str">
            <v>250</v>
          </cell>
          <cell r="E1334" t="str">
            <v>416</v>
          </cell>
          <cell r="F1334">
            <v>-4846</v>
          </cell>
          <cell r="G1334">
            <v>12</v>
          </cell>
          <cell r="H1334" t="str">
            <v>2009-12-31</v>
          </cell>
        </row>
        <row r="1335">
          <cell r="A1335" t="str">
            <v>489304</v>
          </cell>
          <cell r="B1335" t="str">
            <v>1015</v>
          </cell>
          <cell r="C1335">
            <v>-1312.53</v>
          </cell>
          <cell r="D1335" t="str">
            <v>250</v>
          </cell>
          <cell r="E1335" t="str">
            <v>416</v>
          </cell>
          <cell r="F1335">
            <v>-1080</v>
          </cell>
          <cell r="G1335">
            <v>6</v>
          </cell>
          <cell r="H1335" t="str">
            <v>2010-06-30</v>
          </cell>
        </row>
        <row r="1336">
          <cell r="A1336" t="str">
            <v>489304</v>
          </cell>
          <cell r="B1336" t="str">
            <v>1015</v>
          </cell>
          <cell r="C1336">
            <v>-969.83</v>
          </cell>
          <cell r="D1336" t="str">
            <v>250</v>
          </cell>
          <cell r="E1336" t="str">
            <v>416</v>
          </cell>
          <cell r="F1336">
            <v>-838</v>
          </cell>
          <cell r="G1336">
            <v>7</v>
          </cell>
          <cell r="H1336" t="str">
            <v>2009-07-31</v>
          </cell>
        </row>
        <row r="1337">
          <cell r="A1337" t="str">
            <v>489304</v>
          </cell>
          <cell r="B1337" t="str">
            <v>1015</v>
          </cell>
          <cell r="C1337">
            <v>-1821.14</v>
          </cell>
          <cell r="D1337" t="str">
            <v>250</v>
          </cell>
          <cell r="E1337" t="str">
            <v>416</v>
          </cell>
          <cell r="F1337">
            <v>-2164</v>
          </cell>
          <cell r="G1337">
            <v>11</v>
          </cell>
          <cell r="H1337" t="str">
            <v>2009-11-30</v>
          </cell>
        </row>
        <row r="1338">
          <cell r="A1338" t="str">
            <v>489304</v>
          </cell>
          <cell r="B1338" t="str">
            <v>1015</v>
          </cell>
          <cell r="C1338">
            <v>-1525.09</v>
          </cell>
          <cell r="D1338" t="str">
            <v>250</v>
          </cell>
          <cell r="E1338" t="str">
            <v>416</v>
          </cell>
          <cell r="F1338">
            <v>-1410</v>
          </cell>
          <cell r="G1338">
            <v>5</v>
          </cell>
          <cell r="H1338" t="str">
            <v>2010-05-31</v>
          </cell>
        </row>
        <row r="1339">
          <cell r="A1339" t="str">
            <v>489304</v>
          </cell>
          <cell r="B1339" t="str">
            <v>1015</v>
          </cell>
          <cell r="C1339">
            <v>-1439.56</v>
          </cell>
          <cell r="D1339" t="str">
            <v>250</v>
          </cell>
          <cell r="E1339" t="str">
            <v>416</v>
          </cell>
          <cell r="F1339">
            <v>-1569</v>
          </cell>
          <cell r="G1339">
            <v>10</v>
          </cell>
          <cell r="H1339" t="str">
            <v>2009-10-31</v>
          </cell>
        </row>
        <row r="1340">
          <cell r="A1340" t="str">
            <v>489304</v>
          </cell>
          <cell r="B1340" t="str">
            <v>1015</v>
          </cell>
          <cell r="C1340">
            <v>-2895.84</v>
          </cell>
          <cell r="D1340" t="str">
            <v>250</v>
          </cell>
          <cell r="E1340" t="str">
            <v>416</v>
          </cell>
          <cell r="F1340">
            <v>-3836</v>
          </cell>
          <cell r="G1340">
            <v>2</v>
          </cell>
          <cell r="H1340" t="str">
            <v>2010-02-28</v>
          </cell>
        </row>
        <row r="1341">
          <cell r="A1341" t="str">
            <v>489304</v>
          </cell>
          <cell r="B1341" t="str">
            <v>1015</v>
          </cell>
          <cell r="C1341">
            <v>-1016.46</v>
          </cell>
          <cell r="D1341" t="str">
            <v>250</v>
          </cell>
          <cell r="E1341" t="str">
            <v>416</v>
          </cell>
          <cell r="F1341">
            <v>-911</v>
          </cell>
          <cell r="G1341">
            <v>9</v>
          </cell>
          <cell r="H1341" t="str">
            <v>2009-09-30</v>
          </cell>
        </row>
        <row r="1342">
          <cell r="A1342" t="str">
            <v>489304</v>
          </cell>
          <cell r="B1342" t="str">
            <v>1015</v>
          </cell>
          <cell r="C1342">
            <v>-3399.7</v>
          </cell>
          <cell r="D1342" t="str">
            <v>250</v>
          </cell>
          <cell r="E1342" t="str">
            <v>416</v>
          </cell>
          <cell r="F1342">
            <v>-4622</v>
          </cell>
          <cell r="G1342">
            <v>1</v>
          </cell>
          <cell r="H1342" t="str">
            <v>2010-01-31</v>
          </cell>
        </row>
        <row r="1343">
          <cell r="A1343" t="str">
            <v>489304</v>
          </cell>
          <cell r="B1343" t="str">
            <v>1015</v>
          </cell>
          <cell r="C1343">
            <v>-2708.06</v>
          </cell>
          <cell r="D1343" t="str">
            <v>250</v>
          </cell>
          <cell r="E1343" t="str">
            <v>416</v>
          </cell>
          <cell r="F1343">
            <v>-3254</v>
          </cell>
          <cell r="G1343">
            <v>3</v>
          </cell>
          <cell r="H1343" t="str">
            <v>2010-03-31</v>
          </cell>
        </row>
        <row r="1344">
          <cell r="A1344" t="str">
            <v>489300</v>
          </cell>
          <cell r="B1344" t="str">
            <v>1015</v>
          </cell>
          <cell r="C1344">
            <v>-2328.87</v>
          </cell>
          <cell r="D1344" t="str">
            <v>250</v>
          </cell>
          <cell r="E1344" t="str">
            <v>418</v>
          </cell>
          <cell r="F1344">
            <v>-19197</v>
          </cell>
          <cell r="G1344">
            <v>12</v>
          </cell>
          <cell r="H1344" t="str">
            <v>2009-12-31</v>
          </cell>
        </row>
        <row r="1345">
          <cell r="A1345" t="str">
            <v>489300</v>
          </cell>
          <cell r="B1345" t="str">
            <v>1015</v>
          </cell>
          <cell r="C1345">
            <v>-1622.97</v>
          </cell>
          <cell r="D1345" t="str">
            <v>250</v>
          </cell>
          <cell r="E1345" t="str">
            <v>418</v>
          </cell>
          <cell r="F1345">
            <v>-10009</v>
          </cell>
          <cell r="G1345">
            <v>9</v>
          </cell>
          <cell r="H1345" t="str">
            <v>2009-09-30</v>
          </cell>
        </row>
        <row r="1346">
          <cell r="A1346" t="str">
            <v>489300</v>
          </cell>
          <cell r="B1346" t="str">
            <v>1015</v>
          </cell>
          <cell r="C1346">
            <v>-952.37</v>
          </cell>
          <cell r="D1346" t="str">
            <v>250</v>
          </cell>
          <cell r="E1346" t="str">
            <v>418</v>
          </cell>
          <cell r="F1346">
            <v>-16542</v>
          </cell>
          <cell r="G1346">
            <v>11</v>
          </cell>
          <cell r="H1346" t="str">
            <v>2009-11-30</v>
          </cell>
        </row>
        <row r="1347">
          <cell r="A1347" t="str">
            <v>489300</v>
          </cell>
          <cell r="B1347" t="str">
            <v>1015</v>
          </cell>
          <cell r="C1347">
            <v>-2091.5700000000002</v>
          </cell>
          <cell r="D1347" t="str">
            <v>250</v>
          </cell>
          <cell r="E1347" t="str">
            <v>418</v>
          </cell>
          <cell r="F1347">
            <v>-14697</v>
          </cell>
          <cell r="G1347">
            <v>10</v>
          </cell>
          <cell r="H1347" t="str">
            <v>2009-10-31</v>
          </cell>
        </row>
        <row r="1348">
          <cell r="A1348" t="str">
            <v>489300</v>
          </cell>
          <cell r="B1348" t="str">
            <v>1015</v>
          </cell>
          <cell r="C1348">
            <v>-1932.87</v>
          </cell>
          <cell r="D1348" t="str">
            <v>250</v>
          </cell>
          <cell r="E1348" t="str">
            <v>418</v>
          </cell>
          <cell r="F1348">
            <v>-13107</v>
          </cell>
          <cell r="G1348">
            <v>5</v>
          </cell>
          <cell r="H1348" t="str">
            <v>2010-05-31</v>
          </cell>
        </row>
        <row r="1349">
          <cell r="A1349" t="str">
            <v>489300</v>
          </cell>
          <cell r="B1349" t="str">
            <v>1015</v>
          </cell>
          <cell r="C1349">
            <v>-997.37</v>
          </cell>
          <cell r="D1349" t="str">
            <v>250</v>
          </cell>
          <cell r="E1349" t="str">
            <v>418</v>
          </cell>
          <cell r="F1349">
            <v>-3757</v>
          </cell>
          <cell r="G1349">
            <v>6</v>
          </cell>
          <cell r="H1349" t="str">
            <v>2010-06-30</v>
          </cell>
        </row>
        <row r="1350">
          <cell r="A1350" t="str">
            <v>489300</v>
          </cell>
          <cell r="B1350" t="str">
            <v>1015</v>
          </cell>
          <cell r="C1350">
            <v>-1353.07</v>
          </cell>
          <cell r="D1350" t="str">
            <v>250</v>
          </cell>
          <cell r="E1350" t="str">
            <v>418</v>
          </cell>
          <cell r="F1350">
            <v>-7309</v>
          </cell>
          <cell r="G1350">
            <v>7</v>
          </cell>
          <cell r="H1350" t="str">
            <v>2009-07-31</v>
          </cell>
        </row>
        <row r="1351">
          <cell r="A1351" t="str">
            <v>489300</v>
          </cell>
          <cell r="B1351" t="str">
            <v>1015</v>
          </cell>
          <cell r="C1351">
            <v>-870.45</v>
          </cell>
          <cell r="D1351" t="str">
            <v>250</v>
          </cell>
          <cell r="E1351" t="str">
            <v>418</v>
          </cell>
          <cell r="F1351">
            <v>-12882</v>
          </cell>
          <cell r="G1351">
            <v>4</v>
          </cell>
          <cell r="H1351" t="str">
            <v>2010-04-30</v>
          </cell>
        </row>
        <row r="1352">
          <cell r="A1352" t="str">
            <v>489300</v>
          </cell>
          <cell r="B1352" t="str">
            <v>1015</v>
          </cell>
          <cell r="C1352">
            <v>-1469.57</v>
          </cell>
          <cell r="D1352" t="str">
            <v>250</v>
          </cell>
          <cell r="E1352" t="str">
            <v>418</v>
          </cell>
          <cell r="F1352">
            <v>-8483</v>
          </cell>
          <cell r="G1352">
            <v>8</v>
          </cell>
          <cell r="H1352" t="str">
            <v>2009-08-31</v>
          </cell>
        </row>
        <row r="1353">
          <cell r="A1353" t="str">
            <v>489300</v>
          </cell>
          <cell r="B1353" t="str">
            <v>1015</v>
          </cell>
          <cell r="C1353">
            <v>-3450.89</v>
          </cell>
          <cell r="D1353" t="str">
            <v>250</v>
          </cell>
          <cell r="E1353" t="str">
            <v>418</v>
          </cell>
          <cell r="F1353">
            <v>-19535</v>
          </cell>
          <cell r="G1353">
            <v>1</v>
          </cell>
          <cell r="H1353" t="str">
            <v>2010-01-31</v>
          </cell>
        </row>
        <row r="1354">
          <cell r="A1354" t="str">
            <v>489300</v>
          </cell>
          <cell r="B1354" t="str">
            <v>1015</v>
          </cell>
          <cell r="C1354">
            <v>-576.37</v>
          </cell>
          <cell r="D1354" t="str">
            <v>250</v>
          </cell>
          <cell r="E1354" t="str">
            <v>418</v>
          </cell>
          <cell r="F1354">
            <v>-15181</v>
          </cell>
          <cell r="G1354">
            <v>2</v>
          </cell>
          <cell r="H1354" t="str">
            <v>2010-02-28</v>
          </cell>
        </row>
        <row r="1355">
          <cell r="A1355" t="str">
            <v>489300</v>
          </cell>
          <cell r="B1355" t="str">
            <v>1015</v>
          </cell>
          <cell r="C1355">
            <v>-706.29</v>
          </cell>
          <cell r="D1355" t="str">
            <v>250</v>
          </cell>
          <cell r="E1355" t="str">
            <v>418</v>
          </cell>
          <cell r="F1355">
            <v>-12989</v>
          </cell>
          <cell r="G1355">
            <v>3</v>
          </cell>
          <cell r="H1355" t="str">
            <v>2010-03-31</v>
          </cell>
        </row>
        <row r="1356">
          <cell r="A1356" t="str">
            <v>489300</v>
          </cell>
          <cell r="B1356" t="str">
            <v>1015</v>
          </cell>
          <cell r="C1356">
            <v>-3228.12</v>
          </cell>
          <cell r="D1356" t="str">
            <v>250</v>
          </cell>
          <cell r="E1356" t="str">
            <v>458</v>
          </cell>
          <cell r="F1356">
            <v>-19127</v>
          </cell>
          <cell r="G1356">
            <v>7</v>
          </cell>
          <cell r="H1356" t="str">
            <v>2009-07-31</v>
          </cell>
        </row>
        <row r="1357">
          <cell r="A1357" t="str">
            <v>489304</v>
          </cell>
          <cell r="B1357" t="str">
            <v>1015</v>
          </cell>
          <cell r="C1357">
            <v>-426.4</v>
          </cell>
          <cell r="D1357" t="str">
            <v>250</v>
          </cell>
          <cell r="E1357" t="str">
            <v>458</v>
          </cell>
          <cell r="F1357">
            <v>-1082</v>
          </cell>
          <cell r="G1357">
            <v>7</v>
          </cell>
          <cell r="H1357" t="str">
            <v>2009-07-31</v>
          </cell>
        </row>
        <row r="1358">
          <cell r="A1358" t="str">
            <v>489300</v>
          </cell>
          <cell r="B1358" t="str">
            <v>1015</v>
          </cell>
          <cell r="C1358">
            <v>-1827.45</v>
          </cell>
          <cell r="D1358" t="str">
            <v>250</v>
          </cell>
          <cell r="E1358" t="str">
            <v>458</v>
          </cell>
          <cell r="F1358">
            <v>-9707</v>
          </cell>
          <cell r="G1358">
            <v>8</v>
          </cell>
          <cell r="H1358" t="str">
            <v>2009-08-31</v>
          </cell>
        </row>
        <row r="1359">
          <cell r="A1359" t="str">
            <v>489300</v>
          </cell>
          <cell r="B1359" t="str">
            <v>1015</v>
          </cell>
          <cell r="C1359">
            <v>-7309.14</v>
          </cell>
          <cell r="D1359" t="str">
            <v>250</v>
          </cell>
          <cell r="E1359" t="str">
            <v>458</v>
          </cell>
          <cell r="F1359">
            <v>-120214</v>
          </cell>
          <cell r="G1359">
            <v>11</v>
          </cell>
          <cell r="H1359" t="str">
            <v>2009-11-30</v>
          </cell>
        </row>
        <row r="1360">
          <cell r="A1360" t="str">
            <v>489304</v>
          </cell>
          <cell r="B1360" t="str">
            <v>1015</v>
          </cell>
          <cell r="C1360">
            <v>-1256.0999999999999</v>
          </cell>
          <cell r="D1360" t="str">
            <v>250</v>
          </cell>
          <cell r="E1360" t="str">
            <v>458</v>
          </cell>
          <cell r="F1360">
            <v>-3851</v>
          </cell>
          <cell r="G1360">
            <v>12</v>
          </cell>
          <cell r="H1360" t="str">
            <v>2009-12-31</v>
          </cell>
        </row>
        <row r="1361">
          <cell r="A1361" t="str">
            <v>489304</v>
          </cell>
          <cell r="B1361" t="str">
            <v>1015</v>
          </cell>
          <cell r="C1361">
            <v>-713.2</v>
          </cell>
          <cell r="D1361" t="str">
            <v>250</v>
          </cell>
          <cell r="E1361" t="str">
            <v>458</v>
          </cell>
          <cell r="F1361">
            <v>-2039</v>
          </cell>
          <cell r="G1361">
            <v>4</v>
          </cell>
          <cell r="H1361" t="str">
            <v>2010-04-30</v>
          </cell>
        </row>
        <row r="1362">
          <cell r="A1362" t="str">
            <v>489304</v>
          </cell>
          <cell r="B1362" t="str">
            <v>1015</v>
          </cell>
          <cell r="C1362">
            <v>-802.1</v>
          </cell>
          <cell r="D1362" t="str">
            <v>250</v>
          </cell>
          <cell r="E1362" t="str">
            <v>458</v>
          </cell>
          <cell r="F1362">
            <v>-2337</v>
          </cell>
          <cell r="G1362">
            <v>11</v>
          </cell>
          <cell r="H1362" t="str">
            <v>2009-11-30</v>
          </cell>
        </row>
        <row r="1363">
          <cell r="A1363" t="str">
            <v>489304</v>
          </cell>
          <cell r="B1363" t="str">
            <v>1015</v>
          </cell>
          <cell r="C1363">
            <v>-824.5</v>
          </cell>
          <cell r="D1363" t="str">
            <v>250</v>
          </cell>
          <cell r="E1363" t="str">
            <v>458</v>
          </cell>
          <cell r="F1363">
            <v>-2414</v>
          </cell>
          <cell r="G1363">
            <v>3</v>
          </cell>
          <cell r="H1363" t="str">
            <v>2010-03-31</v>
          </cell>
        </row>
        <row r="1364">
          <cell r="A1364" t="str">
            <v>489304</v>
          </cell>
          <cell r="B1364" t="str">
            <v>1015</v>
          </cell>
          <cell r="C1364">
            <v>-642.70000000000005</v>
          </cell>
          <cell r="D1364" t="str">
            <v>250</v>
          </cell>
          <cell r="E1364" t="str">
            <v>458</v>
          </cell>
          <cell r="F1364">
            <v>-1805</v>
          </cell>
          <cell r="G1364">
            <v>5</v>
          </cell>
          <cell r="H1364" t="str">
            <v>2010-05-31</v>
          </cell>
        </row>
        <row r="1365">
          <cell r="A1365" t="str">
            <v>489300</v>
          </cell>
          <cell r="B1365" t="str">
            <v>1015</v>
          </cell>
          <cell r="C1365">
            <v>-1877.51</v>
          </cell>
          <cell r="D1365" t="str">
            <v>250</v>
          </cell>
          <cell r="E1365" t="str">
            <v>458</v>
          </cell>
          <cell r="F1365">
            <v>-11935</v>
          </cell>
          <cell r="G1365">
            <v>9</v>
          </cell>
          <cell r="H1365" t="str">
            <v>2009-09-30</v>
          </cell>
        </row>
        <row r="1366">
          <cell r="A1366" t="str">
            <v>489304</v>
          </cell>
          <cell r="B1366" t="str">
            <v>1015</v>
          </cell>
          <cell r="C1366">
            <v>-735.9</v>
          </cell>
          <cell r="D1366" t="str">
            <v>250</v>
          </cell>
          <cell r="E1366" t="str">
            <v>458</v>
          </cell>
          <cell r="F1366">
            <v>-2117</v>
          </cell>
          <cell r="G1366">
            <v>10</v>
          </cell>
          <cell r="H1366" t="str">
            <v>2009-10-31</v>
          </cell>
        </row>
        <row r="1367">
          <cell r="A1367" t="str">
            <v>489300</v>
          </cell>
          <cell r="B1367" t="str">
            <v>1015</v>
          </cell>
          <cell r="C1367">
            <v>-7240.81</v>
          </cell>
          <cell r="D1367" t="str">
            <v>250</v>
          </cell>
          <cell r="E1367" t="str">
            <v>458</v>
          </cell>
          <cell r="F1367">
            <v>-97467</v>
          </cell>
          <cell r="G1367">
            <v>12</v>
          </cell>
          <cell r="H1367" t="str">
            <v>2009-12-31</v>
          </cell>
        </row>
        <row r="1368">
          <cell r="A1368" t="str">
            <v>489300</v>
          </cell>
          <cell r="B1368" t="str">
            <v>1015</v>
          </cell>
          <cell r="C1368">
            <v>-4649.8900000000003</v>
          </cell>
          <cell r="D1368" t="str">
            <v>250</v>
          </cell>
          <cell r="E1368" t="str">
            <v>458</v>
          </cell>
          <cell r="F1368">
            <v>-30808</v>
          </cell>
          <cell r="G1368">
            <v>1</v>
          </cell>
          <cell r="H1368" t="str">
            <v>2010-01-31</v>
          </cell>
        </row>
        <row r="1369">
          <cell r="A1369" t="str">
            <v>489304</v>
          </cell>
          <cell r="B1369" t="str">
            <v>1015</v>
          </cell>
          <cell r="C1369">
            <v>-933.8</v>
          </cell>
          <cell r="D1369" t="str">
            <v>250</v>
          </cell>
          <cell r="E1369" t="str">
            <v>458</v>
          </cell>
          <cell r="F1369">
            <v>-2775</v>
          </cell>
          <cell r="G1369">
            <v>2</v>
          </cell>
          <cell r="H1369" t="str">
            <v>2010-02-28</v>
          </cell>
        </row>
        <row r="1370">
          <cell r="A1370" t="str">
            <v>489300</v>
          </cell>
          <cell r="B1370" t="str">
            <v>1015</v>
          </cell>
          <cell r="C1370">
            <v>-5608.3</v>
          </cell>
          <cell r="D1370" t="str">
            <v>250</v>
          </cell>
          <cell r="E1370" t="str">
            <v>458</v>
          </cell>
          <cell r="F1370">
            <v>-57040</v>
          </cell>
          <cell r="G1370">
            <v>5</v>
          </cell>
          <cell r="H1370" t="str">
            <v>2010-05-31</v>
          </cell>
        </row>
        <row r="1371">
          <cell r="A1371" t="str">
            <v>489300</v>
          </cell>
          <cell r="B1371" t="str">
            <v>1015</v>
          </cell>
          <cell r="C1371">
            <v>-3285.59</v>
          </cell>
          <cell r="D1371" t="str">
            <v>250</v>
          </cell>
          <cell r="E1371" t="str">
            <v>458</v>
          </cell>
          <cell r="F1371">
            <v>-20814</v>
          </cell>
          <cell r="G1371">
            <v>6</v>
          </cell>
          <cell r="H1371" t="str">
            <v>2010-06-30</v>
          </cell>
        </row>
        <row r="1372">
          <cell r="A1372" t="str">
            <v>489300</v>
          </cell>
          <cell r="B1372" t="str">
            <v>1015</v>
          </cell>
          <cell r="C1372">
            <v>-4888.33</v>
          </cell>
          <cell r="D1372" t="str">
            <v>250</v>
          </cell>
          <cell r="E1372" t="str">
            <v>458</v>
          </cell>
          <cell r="F1372">
            <v>-44137</v>
          </cell>
          <cell r="G1372">
            <v>3</v>
          </cell>
          <cell r="H1372" t="str">
            <v>2010-03-31</v>
          </cell>
        </row>
        <row r="1373">
          <cell r="A1373" t="str">
            <v>489304</v>
          </cell>
          <cell r="B1373" t="str">
            <v>1015</v>
          </cell>
          <cell r="C1373">
            <v>-463.6</v>
          </cell>
          <cell r="D1373" t="str">
            <v>250</v>
          </cell>
          <cell r="E1373" t="str">
            <v>458</v>
          </cell>
          <cell r="F1373">
            <v>-1210</v>
          </cell>
          <cell r="G1373">
            <v>8</v>
          </cell>
          <cell r="H1373" t="str">
            <v>2009-08-31</v>
          </cell>
        </row>
        <row r="1374">
          <cell r="A1374" t="str">
            <v>489300</v>
          </cell>
          <cell r="B1374" t="str">
            <v>1015</v>
          </cell>
          <cell r="C1374">
            <v>-3097.62</v>
          </cell>
          <cell r="D1374" t="str">
            <v>250</v>
          </cell>
          <cell r="E1374" t="str">
            <v>458</v>
          </cell>
          <cell r="F1374">
            <v>-22178</v>
          </cell>
          <cell r="G1374">
            <v>10</v>
          </cell>
          <cell r="H1374" t="str">
            <v>2009-10-31</v>
          </cell>
        </row>
        <row r="1375">
          <cell r="A1375" t="str">
            <v>489300</v>
          </cell>
          <cell r="B1375" t="str">
            <v>1015</v>
          </cell>
          <cell r="C1375">
            <v>-5152.87</v>
          </cell>
          <cell r="D1375" t="str">
            <v>250</v>
          </cell>
          <cell r="E1375" t="str">
            <v>458</v>
          </cell>
          <cell r="F1375">
            <v>-44325</v>
          </cell>
          <cell r="G1375">
            <v>2</v>
          </cell>
          <cell r="H1375" t="str">
            <v>2010-02-28</v>
          </cell>
        </row>
        <row r="1376">
          <cell r="A1376" t="str">
            <v>489304</v>
          </cell>
          <cell r="B1376" t="str">
            <v>1015</v>
          </cell>
          <cell r="C1376">
            <v>-350.5</v>
          </cell>
          <cell r="D1376" t="str">
            <v>250</v>
          </cell>
          <cell r="E1376" t="str">
            <v>458</v>
          </cell>
          <cell r="F1376">
            <v>-1171</v>
          </cell>
          <cell r="G1376">
            <v>6</v>
          </cell>
          <cell r="H1376" t="str">
            <v>2010-06-30</v>
          </cell>
        </row>
        <row r="1377">
          <cell r="A1377" t="str">
            <v>489304</v>
          </cell>
          <cell r="B1377" t="str">
            <v>1015</v>
          </cell>
          <cell r="C1377">
            <v>-558</v>
          </cell>
          <cell r="D1377" t="str">
            <v>250</v>
          </cell>
          <cell r="E1377" t="str">
            <v>458</v>
          </cell>
          <cell r="F1377">
            <v>-1523</v>
          </cell>
          <cell r="G1377">
            <v>9</v>
          </cell>
          <cell r="H1377" t="str">
            <v>2009-09-30</v>
          </cell>
        </row>
        <row r="1378">
          <cell r="A1378" t="str">
            <v>489304</v>
          </cell>
          <cell r="B1378" t="str">
            <v>1015</v>
          </cell>
          <cell r="C1378">
            <v>-1135.3</v>
          </cell>
          <cell r="D1378" t="str">
            <v>250</v>
          </cell>
          <cell r="E1378" t="str">
            <v>458</v>
          </cell>
          <cell r="F1378">
            <v>-3446</v>
          </cell>
          <cell r="G1378">
            <v>1</v>
          </cell>
          <cell r="H1378" t="str">
            <v>2010-01-31</v>
          </cell>
        </row>
        <row r="1379">
          <cell r="A1379" t="str">
            <v>489300</v>
          </cell>
          <cell r="B1379" t="str">
            <v>1015</v>
          </cell>
          <cell r="C1379">
            <v>-4493.3900000000003</v>
          </cell>
          <cell r="D1379" t="str">
            <v>250</v>
          </cell>
          <cell r="E1379" t="str">
            <v>458</v>
          </cell>
          <cell r="F1379">
            <v>-33633</v>
          </cell>
          <cell r="G1379">
            <v>4</v>
          </cell>
          <cell r="H1379" t="str">
            <v>2010-04-30</v>
          </cell>
        </row>
        <row r="1380">
          <cell r="A1380" t="str">
            <v>489300</v>
          </cell>
          <cell r="B1380" t="str">
            <v>1015</v>
          </cell>
          <cell r="C1380">
            <v>-1341.42</v>
          </cell>
          <cell r="D1380" t="str">
            <v>250</v>
          </cell>
          <cell r="E1380" t="str">
            <v>459</v>
          </cell>
          <cell r="F1380">
            <v>-1659</v>
          </cell>
          <cell r="G1380">
            <v>7</v>
          </cell>
          <cell r="H1380" t="str">
            <v>2009-07-31</v>
          </cell>
        </row>
        <row r="1381">
          <cell r="A1381" t="str">
            <v>489300</v>
          </cell>
          <cell r="B1381" t="str">
            <v>1015</v>
          </cell>
          <cell r="C1381">
            <v>-1614.54</v>
          </cell>
          <cell r="D1381" t="str">
            <v>250</v>
          </cell>
          <cell r="E1381" t="str">
            <v>459</v>
          </cell>
          <cell r="F1381">
            <v>-2401</v>
          </cell>
          <cell r="G1381">
            <v>9</v>
          </cell>
          <cell r="H1381" t="str">
            <v>2009-09-30</v>
          </cell>
        </row>
        <row r="1382">
          <cell r="A1382" t="str">
            <v>489300</v>
          </cell>
          <cell r="B1382" t="str">
            <v>1015</v>
          </cell>
          <cell r="C1382">
            <v>-1676.11</v>
          </cell>
          <cell r="D1382" t="str">
            <v>250</v>
          </cell>
          <cell r="E1382" t="str">
            <v>459</v>
          </cell>
          <cell r="F1382">
            <v>-3267</v>
          </cell>
          <cell r="G1382">
            <v>5</v>
          </cell>
          <cell r="H1382" t="str">
            <v>2010-05-31</v>
          </cell>
        </row>
        <row r="1383">
          <cell r="A1383" t="str">
            <v>489300</v>
          </cell>
          <cell r="B1383" t="str">
            <v>1015</v>
          </cell>
          <cell r="C1383">
            <v>-1599.03</v>
          </cell>
          <cell r="D1383" t="str">
            <v>250</v>
          </cell>
          <cell r="E1383" t="str">
            <v>459</v>
          </cell>
          <cell r="F1383">
            <v>-2390</v>
          </cell>
          <cell r="G1383">
            <v>6</v>
          </cell>
          <cell r="H1383" t="str">
            <v>2010-06-30</v>
          </cell>
        </row>
        <row r="1384">
          <cell r="A1384" t="str">
            <v>489300</v>
          </cell>
          <cell r="B1384" t="str">
            <v>1015</v>
          </cell>
          <cell r="C1384">
            <v>-1559.89</v>
          </cell>
          <cell r="D1384" t="str">
            <v>250</v>
          </cell>
          <cell r="E1384" t="str">
            <v>459</v>
          </cell>
          <cell r="F1384">
            <v>-1873</v>
          </cell>
          <cell r="G1384">
            <v>8</v>
          </cell>
          <cell r="H1384" t="str">
            <v>2009-08-31</v>
          </cell>
        </row>
        <row r="1385">
          <cell r="A1385" t="str">
            <v>489300</v>
          </cell>
          <cell r="B1385" t="str">
            <v>1015</v>
          </cell>
          <cell r="C1385">
            <v>-1944.56</v>
          </cell>
          <cell r="D1385" t="str">
            <v>250</v>
          </cell>
          <cell r="E1385" t="str">
            <v>459</v>
          </cell>
          <cell r="F1385">
            <v>-4343</v>
          </cell>
          <cell r="G1385">
            <v>10</v>
          </cell>
          <cell r="H1385" t="str">
            <v>2009-10-31</v>
          </cell>
        </row>
        <row r="1386">
          <cell r="A1386" t="str">
            <v>489300</v>
          </cell>
          <cell r="B1386" t="str">
            <v>1015</v>
          </cell>
          <cell r="C1386">
            <v>-1904.37</v>
          </cell>
          <cell r="D1386" t="str">
            <v>250</v>
          </cell>
          <cell r="E1386" t="str">
            <v>459</v>
          </cell>
          <cell r="F1386">
            <v>-5891</v>
          </cell>
          <cell r="G1386">
            <v>2</v>
          </cell>
          <cell r="H1386" t="str">
            <v>2010-02-28</v>
          </cell>
        </row>
        <row r="1387">
          <cell r="A1387" t="str">
            <v>489300</v>
          </cell>
          <cell r="B1387" t="str">
            <v>1015</v>
          </cell>
          <cell r="C1387">
            <v>-1803.71</v>
          </cell>
          <cell r="D1387" t="str">
            <v>250</v>
          </cell>
          <cell r="E1387" t="str">
            <v>459</v>
          </cell>
          <cell r="F1387">
            <v>-4725</v>
          </cell>
          <cell r="G1387">
            <v>3</v>
          </cell>
          <cell r="H1387" t="str">
            <v>2010-03-31</v>
          </cell>
        </row>
        <row r="1388">
          <cell r="A1388" t="str">
            <v>489300</v>
          </cell>
          <cell r="B1388" t="str">
            <v>1015</v>
          </cell>
          <cell r="C1388">
            <v>-2005.42</v>
          </cell>
          <cell r="D1388" t="str">
            <v>250</v>
          </cell>
          <cell r="E1388" t="str">
            <v>459</v>
          </cell>
          <cell r="F1388">
            <v>-7046</v>
          </cell>
          <cell r="G1388">
            <v>1</v>
          </cell>
          <cell r="H1388" t="str">
            <v>2010-01-31</v>
          </cell>
        </row>
        <row r="1389">
          <cell r="A1389" t="str">
            <v>489300</v>
          </cell>
          <cell r="B1389" t="str">
            <v>1015</v>
          </cell>
          <cell r="C1389">
            <v>-1693.09</v>
          </cell>
          <cell r="D1389" t="str">
            <v>250</v>
          </cell>
          <cell r="E1389" t="str">
            <v>459</v>
          </cell>
          <cell r="F1389">
            <v>-3463</v>
          </cell>
          <cell r="G1389">
            <v>4</v>
          </cell>
          <cell r="H1389" t="str">
            <v>2010-04-30</v>
          </cell>
        </row>
        <row r="1390">
          <cell r="A1390" t="str">
            <v>489300</v>
          </cell>
          <cell r="B1390" t="str">
            <v>1015</v>
          </cell>
          <cell r="C1390">
            <v>-2125.91</v>
          </cell>
          <cell r="D1390" t="str">
            <v>250</v>
          </cell>
          <cell r="E1390" t="str">
            <v>459</v>
          </cell>
          <cell r="F1390">
            <v>-8435</v>
          </cell>
          <cell r="G1390">
            <v>12</v>
          </cell>
          <cell r="H1390" t="str">
            <v>2009-12-31</v>
          </cell>
        </row>
        <row r="1391">
          <cell r="A1391" t="str">
            <v>489300</v>
          </cell>
          <cell r="B1391" t="str">
            <v>1015</v>
          </cell>
          <cell r="C1391">
            <v>-1898.8</v>
          </cell>
          <cell r="D1391" t="str">
            <v>250</v>
          </cell>
          <cell r="E1391" t="str">
            <v>459</v>
          </cell>
          <cell r="F1391">
            <v>-5813</v>
          </cell>
          <cell r="G1391">
            <v>11</v>
          </cell>
          <cell r="H1391" t="str">
            <v>2009-11-30</v>
          </cell>
        </row>
        <row r="1392">
          <cell r="C1392">
            <v>-853807509.32000065</v>
          </cell>
        </row>
      </sheetData>
      <sheetData sheetId="4" refreshError="1"/>
      <sheetData sheetId="5" refreshError="1"/>
      <sheetData sheetId="6" refreshError="1">
        <row r="89">
          <cell r="J89" t="str">
            <v>Account</v>
          </cell>
          <cell r="K89" t="str">
            <v>Dept</v>
          </cell>
          <cell r="L89" t="str">
            <v>Sum Amount</v>
          </cell>
          <cell r="M89" t="str">
            <v>Trans</v>
          </cell>
          <cell r="N89" t="str">
            <v>Product</v>
          </cell>
          <cell r="O89" t="str">
            <v>Sum Stat Amt</v>
          </cell>
          <cell r="P89" t="str">
            <v>Period</v>
          </cell>
          <cell r="Q89" t="str">
            <v>Date</v>
          </cell>
          <cell r="S89" t="str">
            <v>Account</v>
          </cell>
          <cell r="T89" t="str">
            <v>Dept</v>
          </cell>
          <cell r="U89" t="str">
            <v>Sum Amount</v>
          </cell>
          <cell r="V89" t="str">
            <v>Trans</v>
          </cell>
          <cell r="W89" t="str">
            <v>Product</v>
          </cell>
          <cell r="X89" t="str">
            <v>Sum Stat Amt</v>
          </cell>
          <cell r="Y89" t="str">
            <v>Period</v>
          </cell>
          <cell r="Z89" t="str">
            <v>Date</v>
          </cell>
          <cell r="AB89" t="str">
            <v>Account</v>
          </cell>
          <cell r="AC89" t="str">
            <v>Dept</v>
          </cell>
          <cell r="AD89" t="str">
            <v>Sum Amount</v>
          </cell>
          <cell r="AE89" t="str">
            <v>Trans</v>
          </cell>
          <cell r="AF89" t="str">
            <v>Product</v>
          </cell>
          <cell r="AG89" t="str">
            <v>Sum Stat Amt</v>
          </cell>
          <cell r="AH89" t="str">
            <v>Period</v>
          </cell>
          <cell r="AI89" t="str">
            <v>Date</v>
          </cell>
          <cell r="AK89" t="str">
            <v>Account</v>
          </cell>
          <cell r="AL89" t="str">
            <v>Dept</v>
          </cell>
          <cell r="AM89" t="str">
            <v>Sum Amount</v>
          </cell>
          <cell r="AN89" t="str">
            <v>Trans</v>
          </cell>
          <cell r="AO89" t="str">
            <v>Product</v>
          </cell>
          <cell r="AP89" t="str">
            <v>Sum Stat Amt</v>
          </cell>
          <cell r="AQ89" t="str">
            <v>Period</v>
          </cell>
          <cell r="AR89" t="str">
            <v>Date</v>
          </cell>
          <cell r="AT89" t="str">
            <v>Account</v>
          </cell>
          <cell r="AU89" t="str">
            <v>Dept</v>
          </cell>
          <cell r="AV89" t="str">
            <v>Sum Amount</v>
          </cell>
          <cell r="AW89" t="str">
            <v>Trans</v>
          </cell>
          <cell r="AX89" t="str">
            <v>Product</v>
          </cell>
          <cell r="AY89" t="str">
            <v>Sum Stat Amt</v>
          </cell>
          <cell r="AZ89" t="str">
            <v>Period</v>
          </cell>
          <cell r="BA89" t="str">
            <v>Date</v>
          </cell>
          <cell r="BC89" t="str">
            <v>Account</v>
          </cell>
          <cell r="BD89" t="str">
            <v>Dept</v>
          </cell>
          <cell r="BE89" t="str">
            <v>Sum Amount</v>
          </cell>
          <cell r="BF89" t="str">
            <v>Trans</v>
          </cell>
          <cell r="BG89" t="str">
            <v>Product</v>
          </cell>
          <cell r="BH89" t="str">
            <v>Sum Stat Amt</v>
          </cell>
          <cell r="BI89" t="str">
            <v>Period</v>
          </cell>
          <cell r="BJ89" t="str">
            <v>Date</v>
          </cell>
          <cell r="BL89" t="str">
            <v>Account</v>
          </cell>
          <cell r="BM89" t="str">
            <v>Dept</v>
          </cell>
          <cell r="BN89" t="str">
            <v>Sum Amount</v>
          </cell>
          <cell r="BO89" t="str">
            <v>Trans</v>
          </cell>
          <cell r="BP89" t="str">
            <v>Product</v>
          </cell>
          <cell r="BQ89" t="str">
            <v>Sum Stat Amt</v>
          </cell>
          <cell r="BR89" t="str">
            <v>Period</v>
          </cell>
          <cell r="BS89" t="str">
            <v>Date</v>
          </cell>
          <cell r="BU89" t="str">
            <v>Account</v>
          </cell>
          <cell r="BV89" t="str">
            <v>Dept</v>
          </cell>
          <cell r="BW89" t="str">
            <v>Sum Amount</v>
          </cell>
          <cell r="BX89" t="str">
            <v>Trans</v>
          </cell>
          <cell r="BY89" t="str">
            <v>Product</v>
          </cell>
          <cell r="BZ89" t="str">
            <v>Sum Stat Amt</v>
          </cell>
          <cell r="CA89" t="str">
            <v>Period</v>
          </cell>
          <cell r="CB89" t="str">
            <v>Date</v>
          </cell>
          <cell r="CD89" t="str">
            <v>Account</v>
          </cell>
          <cell r="CE89" t="str">
            <v>Dept</v>
          </cell>
          <cell r="CF89" t="str">
            <v>Sum Amount</v>
          </cell>
          <cell r="CG89" t="str">
            <v>Trans</v>
          </cell>
          <cell r="CH89" t="str">
            <v>Product</v>
          </cell>
          <cell r="CI89" t="str">
            <v>Sum Stat Amt</v>
          </cell>
          <cell r="CJ89" t="str">
            <v>Period</v>
          </cell>
          <cell r="CK89" t="str">
            <v>Date</v>
          </cell>
          <cell r="CM89" t="str">
            <v>Account</v>
          </cell>
          <cell r="CN89" t="str">
            <v>Dept</v>
          </cell>
          <cell r="CO89" t="str">
            <v>Sum Amount</v>
          </cell>
          <cell r="CP89" t="str">
            <v>Trans</v>
          </cell>
          <cell r="CQ89" t="str">
            <v>Product</v>
          </cell>
          <cell r="CR89" t="str">
            <v>Sum Stat Amt</v>
          </cell>
          <cell r="CS89" t="str">
            <v>Period</v>
          </cell>
          <cell r="CT89" t="str">
            <v>Date</v>
          </cell>
          <cell r="CV89" t="str">
            <v>Account</v>
          </cell>
          <cell r="CW89" t="str">
            <v>Dept</v>
          </cell>
          <cell r="CX89" t="str">
            <v>Sum Amount</v>
          </cell>
          <cell r="CY89" t="str">
            <v>Trans</v>
          </cell>
          <cell r="CZ89" t="str">
            <v>Product</v>
          </cell>
          <cell r="DA89" t="str">
            <v>Sum Stat Amt</v>
          </cell>
          <cell r="DB89" t="str">
            <v>Period</v>
          </cell>
          <cell r="DC89" t="str">
            <v>Date</v>
          </cell>
          <cell r="DE89" t="str">
            <v>Account</v>
          </cell>
          <cell r="DF89" t="str">
            <v>Dept</v>
          </cell>
          <cell r="DG89" t="str">
            <v>Sum Amount</v>
          </cell>
          <cell r="DH89" t="str">
            <v>Trans</v>
          </cell>
          <cell r="DI89" t="str">
            <v>Product</v>
          </cell>
          <cell r="DJ89" t="str">
            <v>Sum Stat Amt</v>
          </cell>
          <cell r="DK89" t="str">
            <v>Period</v>
          </cell>
          <cell r="DL89" t="str">
            <v>Date</v>
          </cell>
        </row>
        <row r="90">
          <cell r="M90">
            <v>204</v>
          </cell>
          <cell r="N90">
            <v>406</v>
          </cell>
          <cell r="Q90">
            <v>40025</v>
          </cell>
          <cell r="V90">
            <v>204</v>
          </cell>
          <cell r="W90">
            <v>406</v>
          </cell>
          <cell r="Z90">
            <v>40056</v>
          </cell>
          <cell r="AE90">
            <v>204</v>
          </cell>
          <cell r="AF90">
            <v>406</v>
          </cell>
          <cell r="AI90">
            <v>40086</v>
          </cell>
          <cell r="AN90">
            <v>204</v>
          </cell>
          <cell r="AO90">
            <v>406</v>
          </cell>
          <cell r="AR90">
            <v>40117</v>
          </cell>
          <cell r="AW90">
            <v>204</v>
          </cell>
          <cell r="AX90">
            <v>406</v>
          </cell>
          <cell r="BA90">
            <v>40147</v>
          </cell>
          <cell r="BF90">
            <v>204</v>
          </cell>
          <cell r="BG90">
            <v>406</v>
          </cell>
          <cell r="BJ90">
            <v>40178</v>
          </cell>
          <cell r="BO90">
            <v>204</v>
          </cell>
          <cell r="BP90">
            <v>406</v>
          </cell>
          <cell r="BS90">
            <v>40209</v>
          </cell>
          <cell r="BX90">
            <v>204</v>
          </cell>
          <cell r="BY90">
            <v>406</v>
          </cell>
          <cell r="CB90">
            <v>40237</v>
          </cell>
          <cell r="CG90">
            <v>204</v>
          </cell>
          <cell r="CH90">
            <v>406</v>
          </cell>
          <cell r="CK90">
            <v>40268</v>
          </cell>
          <cell r="CP90">
            <v>204</v>
          </cell>
          <cell r="CQ90">
            <v>406</v>
          </cell>
          <cell r="CT90">
            <v>40298</v>
          </cell>
          <cell r="CY90">
            <v>204</v>
          </cell>
          <cell r="CZ90">
            <v>406</v>
          </cell>
          <cell r="DC90">
            <v>40329</v>
          </cell>
          <cell r="DH90">
            <v>204</v>
          </cell>
          <cell r="DI90">
            <v>406</v>
          </cell>
          <cell r="DL90">
            <v>40359</v>
          </cell>
        </row>
        <row r="92">
          <cell r="J92" t="str">
            <v>Account</v>
          </cell>
          <cell r="K92" t="str">
            <v>Dept</v>
          </cell>
          <cell r="L92" t="str">
            <v>Sum Amount</v>
          </cell>
          <cell r="M92" t="str">
            <v>Trans</v>
          </cell>
          <cell r="N92" t="str">
            <v>Product</v>
          </cell>
          <cell r="O92" t="str">
            <v>Sum Stat Amt</v>
          </cell>
          <cell r="P92" t="str">
            <v>Period</v>
          </cell>
          <cell r="Q92" t="str">
            <v>Date</v>
          </cell>
          <cell r="S92" t="str">
            <v>Account</v>
          </cell>
          <cell r="T92" t="str">
            <v>Dept</v>
          </cell>
          <cell r="U92" t="str">
            <v>Sum Amount</v>
          </cell>
          <cell r="V92" t="str">
            <v>Trans</v>
          </cell>
          <cell r="W92" t="str">
            <v>Product</v>
          </cell>
          <cell r="X92" t="str">
            <v>Sum Stat Amt</v>
          </cell>
          <cell r="Y92" t="str">
            <v>Period</v>
          </cell>
          <cell r="Z92" t="str">
            <v>Date</v>
          </cell>
          <cell r="AB92" t="str">
            <v>Account</v>
          </cell>
          <cell r="AC92" t="str">
            <v>Dept</v>
          </cell>
          <cell r="AD92" t="str">
            <v>Sum Amount</v>
          </cell>
          <cell r="AE92" t="str">
            <v>Trans</v>
          </cell>
          <cell r="AF92" t="str">
            <v>Product</v>
          </cell>
          <cell r="AG92" t="str">
            <v>Sum Stat Amt</v>
          </cell>
          <cell r="AH92" t="str">
            <v>Period</v>
          </cell>
          <cell r="AI92" t="str">
            <v>Date</v>
          </cell>
          <cell r="AK92" t="str">
            <v>Account</v>
          </cell>
          <cell r="AL92" t="str">
            <v>Dept</v>
          </cell>
          <cell r="AM92" t="str">
            <v>Sum Amount</v>
          </cell>
          <cell r="AN92" t="str">
            <v>Trans</v>
          </cell>
          <cell r="AO92" t="str">
            <v>Product</v>
          </cell>
          <cell r="AP92" t="str">
            <v>Sum Stat Amt</v>
          </cell>
          <cell r="AQ92" t="str">
            <v>Period</v>
          </cell>
          <cell r="AR92" t="str">
            <v>Date</v>
          </cell>
          <cell r="AT92" t="str">
            <v>Account</v>
          </cell>
          <cell r="AU92" t="str">
            <v>Dept</v>
          </cell>
          <cell r="AV92" t="str">
            <v>Sum Amount</v>
          </cell>
          <cell r="AW92" t="str">
            <v>Trans</v>
          </cell>
          <cell r="AX92" t="str">
            <v>Product</v>
          </cell>
          <cell r="AY92" t="str">
            <v>Sum Stat Amt</v>
          </cell>
          <cell r="AZ92" t="str">
            <v>Period</v>
          </cell>
          <cell r="BA92" t="str">
            <v>Date</v>
          </cell>
          <cell r="BC92" t="str">
            <v>Account</v>
          </cell>
          <cell r="BD92" t="str">
            <v>Dept</v>
          </cell>
          <cell r="BE92" t="str">
            <v>Sum Amount</v>
          </cell>
          <cell r="BF92" t="str">
            <v>Trans</v>
          </cell>
          <cell r="BG92" t="str">
            <v>Product</v>
          </cell>
          <cell r="BH92" t="str">
            <v>Sum Stat Amt</v>
          </cell>
          <cell r="BI92" t="str">
            <v>Period</v>
          </cell>
          <cell r="BJ92" t="str">
            <v>Date</v>
          </cell>
          <cell r="BL92" t="str">
            <v>Account</v>
          </cell>
          <cell r="BM92" t="str">
            <v>Dept</v>
          </cell>
          <cell r="BN92" t="str">
            <v>Sum Amount</v>
          </cell>
          <cell r="BO92" t="str">
            <v>Trans</v>
          </cell>
          <cell r="BP92" t="str">
            <v>Product</v>
          </cell>
          <cell r="BQ92" t="str">
            <v>Sum Stat Amt</v>
          </cell>
          <cell r="BR92" t="str">
            <v>Period</v>
          </cell>
          <cell r="BS92" t="str">
            <v>Date</v>
          </cell>
          <cell r="BU92" t="str">
            <v>Account</v>
          </cell>
          <cell r="BV92" t="str">
            <v>Dept</v>
          </cell>
          <cell r="BW92" t="str">
            <v>Sum Amount</v>
          </cell>
          <cell r="BX92" t="str">
            <v>Trans</v>
          </cell>
          <cell r="BY92" t="str">
            <v>Product</v>
          </cell>
          <cell r="BZ92" t="str">
            <v>Sum Stat Amt</v>
          </cell>
          <cell r="CA92" t="str">
            <v>Period</v>
          </cell>
          <cell r="CB92" t="str">
            <v>Date</v>
          </cell>
          <cell r="CD92" t="str">
            <v>Account</v>
          </cell>
          <cell r="CE92" t="str">
            <v>Dept</v>
          </cell>
          <cell r="CF92" t="str">
            <v>Sum Amount</v>
          </cell>
          <cell r="CG92" t="str">
            <v>Trans</v>
          </cell>
          <cell r="CH92" t="str">
            <v>Product</v>
          </cell>
          <cell r="CI92" t="str">
            <v>Sum Stat Amt</v>
          </cell>
          <cell r="CJ92" t="str">
            <v>Period</v>
          </cell>
          <cell r="CK92" t="str">
            <v>Date</v>
          </cell>
          <cell r="CM92" t="str">
            <v>Account</v>
          </cell>
          <cell r="CN92" t="str">
            <v>Dept</v>
          </cell>
          <cell r="CO92" t="str">
            <v>Sum Amount</v>
          </cell>
          <cell r="CP92" t="str">
            <v>Trans</v>
          </cell>
          <cell r="CQ92" t="str">
            <v>Product</v>
          </cell>
          <cell r="CR92" t="str">
            <v>Sum Stat Amt</v>
          </cell>
          <cell r="CS92" t="str">
            <v>Period</v>
          </cell>
          <cell r="CT92" t="str">
            <v>Date</v>
          </cell>
          <cell r="CV92" t="str">
            <v>Account</v>
          </cell>
          <cell r="CW92" t="str">
            <v>Dept</v>
          </cell>
          <cell r="CX92" t="str">
            <v>Sum Amount</v>
          </cell>
          <cell r="CY92" t="str">
            <v>Trans</v>
          </cell>
          <cell r="CZ92" t="str">
            <v>Product</v>
          </cell>
          <cell r="DA92" t="str">
            <v>Sum Stat Amt</v>
          </cell>
          <cell r="DB92" t="str">
            <v>Period</v>
          </cell>
          <cell r="DC92" t="str">
            <v>Date</v>
          </cell>
          <cell r="DE92" t="str">
            <v>Account</v>
          </cell>
          <cell r="DF92" t="str">
            <v>Dept</v>
          </cell>
          <cell r="DG92" t="str">
            <v>Sum Amount</v>
          </cell>
          <cell r="DH92" t="str">
            <v>Trans</v>
          </cell>
          <cell r="DI92" t="str">
            <v>Product</v>
          </cell>
          <cell r="DJ92" t="str">
            <v>Sum Stat Amt</v>
          </cell>
          <cell r="DK92" t="str">
            <v>Period</v>
          </cell>
          <cell r="DL92" t="str">
            <v>Date</v>
          </cell>
        </row>
        <row r="93">
          <cell r="M93">
            <v>250</v>
          </cell>
          <cell r="N93">
            <v>406</v>
          </cell>
          <cell r="Q93">
            <v>40025</v>
          </cell>
          <cell r="V93">
            <v>250</v>
          </cell>
          <cell r="W93">
            <v>406</v>
          </cell>
          <cell r="Z93">
            <v>40056</v>
          </cell>
          <cell r="AE93">
            <v>250</v>
          </cell>
          <cell r="AF93">
            <v>406</v>
          </cell>
          <cell r="AI93">
            <v>40086</v>
          </cell>
          <cell r="AN93">
            <v>250</v>
          </cell>
          <cell r="AO93">
            <v>406</v>
          </cell>
          <cell r="AR93">
            <v>40117</v>
          </cell>
          <cell r="AW93">
            <v>250</v>
          </cell>
          <cell r="AX93">
            <v>406</v>
          </cell>
          <cell r="BA93">
            <v>40147</v>
          </cell>
          <cell r="BF93">
            <v>250</v>
          </cell>
          <cell r="BG93">
            <v>406</v>
          </cell>
          <cell r="BJ93">
            <v>40178</v>
          </cell>
          <cell r="BO93">
            <v>250</v>
          </cell>
          <cell r="BP93">
            <v>406</v>
          </cell>
          <cell r="BS93">
            <v>40209</v>
          </cell>
          <cell r="BX93">
            <v>250</v>
          </cell>
          <cell r="BY93">
            <v>406</v>
          </cell>
          <cell r="CB93">
            <v>40237</v>
          </cell>
          <cell r="CG93">
            <v>250</v>
          </cell>
          <cell r="CH93">
            <v>406</v>
          </cell>
          <cell r="CK93">
            <v>40268</v>
          </cell>
          <cell r="CP93">
            <v>250</v>
          </cell>
          <cell r="CQ93">
            <v>406</v>
          </cell>
          <cell r="CT93">
            <v>40298</v>
          </cell>
          <cell r="CY93">
            <v>250</v>
          </cell>
          <cell r="CZ93">
            <v>406</v>
          </cell>
          <cell r="DC93">
            <v>40329</v>
          </cell>
          <cell r="DH93">
            <v>250</v>
          </cell>
          <cell r="DI93">
            <v>406</v>
          </cell>
          <cell r="DL93">
            <v>40359</v>
          </cell>
        </row>
        <row r="172">
          <cell r="J172" t="str">
            <v>Account</v>
          </cell>
          <cell r="K172" t="str">
            <v>Dept</v>
          </cell>
          <cell r="L172" t="str">
            <v>Sum Amount</v>
          </cell>
          <cell r="M172" t="str">
            <v>Trans</v>
          </cell>
          <cell r="N172" t="str">
            <v>Product</v>
          </cell>
          <cell r="O172" t="str">
            <v>Sum Stat Amt</v>
          </cell>
          <cell r="P172" t="str">
            <v>Period</v>
          </cell>
          <cell r="Q172" t="str">
            <v>Date</v>
          </cell>
          <cell r="S172" t="str">
            <v>Account</v>
          </cell>
          <cell r="T172" t="str">
            <v>Dept</v>
          </cell>
          <cell r="U172" t="str">
            <v>Sum Amount</v>
          </cell>
          <cell r="V172" t="str">
            <v>Trans</v>
          </cell>
          <cell r="W172" t="str">
            <v>Product</v>
          </cell>
          <cell r="X172" t="str">
            <v>Sum Stat Amt</v>
          </cell>
          <cell r="Y172" t="str">
            <v>Period</v>
          </cell>
          <cell r="Z172" t="str">
            <v>Date</v>
          </cell>
          <cell r="AB172" t="str">
            <v>Account</v>
          </cell>
          <cell r="AC172" t="str">
            <v>Dept</v>
          </cell>
          <cell r="AD172" t="str">
            <v>Sum Amount</v>
          </cell>
          <cell r="AE172" t="str">
            <v>Trans</v>
          </cell>
          <cell r="AF172" t="str">
            <v>Product</v>
          </cell>
          <cell r="AG172" t="str">
            <v>Sum Stat Amt</v>
          </cell>
          <cell r="AH172" t="str">
            <v>Period</v>
          </cell>
          <cell r="AI172" t="str">
            <v>Date</v>
          </cell>
          <cell r="AK172" t="str">
            <v>Account</v>
          </cell>
          <cell r="AL172" t="str">
            <v>Dept</v>
          </cell>
          <cell r="AM172" t="str">
            <v>Sum Amount</v>
          </cell>
          <cell r="AN172" t="str">
            <v>Trans</v>
          </cell>
          <cell r="AO172" t="str">
            <v>Product</v>
          </cell>
          <cell r="AP172" t="str">
            <v>Sum Stat Amt</v>
          </cell>
          <cell r="AQ172" t="str">
            <v>Period</v>
          </cell>
          <cell r="AR172" t="str">
            <v>Date</v>
          </cell>
          <cell r="AT172" t="str">
            <v>Account</v>
          </cell>
          <cell r="AU172" t="str">
            <v>Dept</v>
          </cell>
          <cell r="AV172" t="str">
            <v>Sum Amount</v>
          </cell>
          <cell r="AW172" t="str">
            <v>Trans</v>
          </cell>
          <cell r="AX172" t="str">
            <v>Product</v>
          </cell>
          <cell r="AY172" t="str">
            <v>Sum Stat Amt</v>
          </cell>
          <cell r="AZ172" t="str">
            <v>Period</v>
          </cell>
          <cell r="BA172" t="str">
            <v>Date</v>
          </cell>
          <cell r="BC172" t="str">
            <v>Account</v>
          </cell>
          <cell r="BD172" t="str">
            <v>Dept</v>
          </cell>
          <cell r="BE172" t="str">
            <v>Sum Amount</v>
          </cell>
          <cell r="BF172" t="str">
            <v>Trans</v>
          </cell>
          <cell r="BG172" t="str">
            <v>Product</v>
          </cell>
          <cell r="BH172" t="str">
            <v>Sum Stat Amt</v>
          </cell>
          <cell r="BI172" t="str">
            <v>Period</v>
          </cell>
          <cell r="BJ172" t="str">
            <v>Date</v>
          </cell>
          <cell r="BL172" t="str">
            <v>Account</v>
          </cell>
          <cell r="BM172" t="str">
            <v>Dept</v>
          </cell>
          <cell r="BN172" t="str">
            <v>Sum Amount</v>
          </cell>
          <cell r="BO172" t="str">
            <v>Trans</v>
          </cell>
          <cell r="BP172" t="str">
            <v>Product</v>
          </cell>
          <cell r="BQ172" t="str">
            <v>Sum Stat Amt</v>
          </cell>
          <cell r="BR172" t="str">
            <v>Period</v>
          </cell>
          <cell r="BS172" t="str">
            <v>Date</v>
          </cell>
          <cell r="BU172" t="str">
            <v>Account</v>
          </cell>
          <cell r="BV172" t="str">
            <v>Dept</v>
          </cell>
          <cell r="BW172" t="str">
            <v>Sum Amount</v>
          </cell>
          <cell r="BX172" t="str">
            <v>Trans</v>
          </cell>
          <cell r="BY172" t="str">
            <v>Product</v>
          </cell>
          <cell r="BZ172" t="str">
            <v>Sum Stat Amt</v>
          </cell>
          <cell r="CA172" t="str">
            <v>Period</v>
          </cell>
          <cell r="CB172" t="str">
            <v>Date</v>
          </cell>
          <cell r="CD172" t="str">
            <v>Account</v>
          </cell>
          <cell r="CE172" t="str">
            <v>Dept</v>
          </cell>
          <cell r="CF172" t="str">
            <v>Sum Amount</v>
          </cell>
          <cell r="CG172" t="str">
            <v>Trans</v>
          </cell>
          <cell r="CH172" t="str">
            <v>Product</v>
          </cell>
          <cell r="CI172" t="str">
            <v>Sum Stat Amt</v>
          </cell>
          <cell r="CJ172" t="str">
            <v>Period</v>
          </cell>
          <cell r="CK172" t="str">
            <v>Date</v>
          </cell>
          <cell r="CM172" t="str">
            <v>Account</v>
          </cell>
          <cell r="CN172" t="str">
            <v>Dept</v>
          </cell>
          <cell r="CO172" t="str">
            <v>Sum Amount</v>
          </cell>
          <cell r="CP172" t="str">
            <v>Trans</v>
          </cell>
          <cell r="CQ172" t="str">
            <v>Product</v>
          </cell>
          <cell r="CR172" t="str">
            <v>Sum Stat Amt</v>
          </cell>
          <cell r="CS172" t="str">
            <v>Period</v>
          </cell>
          <cell r="CT172" t="str">
            <v>Date</v>
          </cell>
          <cell r="CV172" t="str">
            <v>Account</v>
          </cell>
          <cell r="CW172" t="str">
            <v>Dept</v>
          </cell>
          <cell r="CX172" t="str">
            <v>Sum Amount</v>
          </cell>
          <cell r="CY172" t="str">
            <v>Trans</v>
          </cell>
          <cell r="CZ172" t="str">
            <v>Product</v>
          </cell>
          <cell r="DA172" t="str">
            <v>Sum Stat Amt</v>
          </cell>
          <cell r="DB172" t="str">
            <v>Period</v>
          </cell>
          <cell r="DC172" t="str">
            <v>Date</v>
          </cell>
          <cell r="DE172" t="str">
            <v>Account</v>
          </cell>
          <cell r="DF172" t="str">
            <v>Dept</v>
          </cell>
          <cell r="DG172" t="str">
            <v>Sum Amount</v>
          </cell>
          <cell r="DH172" t="str">
            <v>Trans</v>
          </cell>
          <cell r="DI172" t="str">
            <v>Product</v>
          </cell>
          <cell r="DJ172" t="str">
            <v>Sum Stat Amt</v>
          </cell>
          <cell r="DK172" t="str">
            <v>Period</v>
          </cell>
          <cell r="DL172" t="str">
            <v>Date</v>
          </cell>
        </row>
        <row r="173">
          <cell r="M173">
            <v>250</v>
          </cell>
          <cell r="N173">
            <v>418</v>
          </cell>
          <cell r="Q173">
            <v>40025</v>
          </cell>
          <cell r="V173">
            <v>250</v>
          </cell>
          <cell r="W173">
            <v>418</v>
          </cell>
          <cell r="Z173">
            <v>40056</v>
          </cell>
          <cell r="AE173">
            <v>250</v>
          </cell>
          <cell r="AF173">
            <v>418</v>
          </cell>
          <cell r="AI173">
            <v>40086</v>
          </cell>
          <cell r="AN173">
            <v>250</v>
          </cell>
          <cell r="AO173">
            <v>418</v>
          </cell>
          <cell r="AR173">
            <v>40117</v>
          </cell>
          <cell r="AW173">
            <v>250</v>
          </cell>
          <cell r="AX173">
            <v>418</v>
          </cell>
          <cell r="BA173">
            <v>40147</v>
          </cell>
          <cell r="BF173">
            <v>250</v>
          </cell>
          <cell r="BG173">
            <v>418</v>
          </cell>
          <cell r="BJ173">
            <v>40178</v>
          </cell>
          <cell r="BO173">
            <v>250</v>
          </cell>
          <cell r="BP173">
            <v>418</v>
          </cell>
          <cell r="BS173">
            <v>40209</v>
          </cell>
          <cell r="BX173">
            <v>250</v>
          </cell>
          <cell r="BY173">
            <v>418</v>
          </cell>
          <cell r="CB173">
            <v>40237</v>
          </cell>
          <cell r="CG173">
            <v>250</v>
          </cell>
          <cell r="CH173">
            <v>418</v>
          </cell>
          <cell r="CK173">
            <v>40268</v>
          </cell>
          <cell r="CP173">
            <v>250</v>
          </cell>
          <cell r="CQ173">
            <v>418</v>
          </cell>
          <cell r="CT173">
            <v>40298</v>
          </cell>
          <cell r="CY173">
            <v>250</v>
          </cell>
          <cell r="CZ173">
            <v>418</v>
          </cell>
          <cell r="DC173">
            <v>40329</v>
          </cell>
          <cell r="DH173">
            <v>250</v>
          </cell>
          <cell r="DI173">
            <v>418</v>
          </cell>
          <cell r="DL173">
            <v>40359</v>
          </cell>
        </row>
        <row r="175">
          <cell r="J175" t="str">
            <v>Account</v>
          </cell>
          <cell r="K175" t="str">
            <v>Dept</v>
          </cell>
          <cell r="L175" t="str">
            <v>Sum Amount</v>
          </cell>
          <cell r="M175" t="str">
            <v>Trans</v>
          </cell>
          <cell r="N175" t="str">
            <v>Product</v>
          </cell>
          <cell r="O175" t="str">
            <v>Sum Stat Amt</v>
          </cell>
          <cell r="P175" t="str">
            <v>Period</v>
          </cell>
          <cell r="Q175" t="str">
            <v>Date</v>
          </cell>
          <cell r="S175" t="str">
            <v>Account</v>
          </cell>
          <cell r="T175" t="str">
            <v>Dept</v>
          </cell>
          <cell r="U175" t="str">
            <v>Sum Amount</v>
          </cell>
          <cell r="V175" t="str">
            <v>Trans</v>
          </cell>
          <cell r="W175" t="str">
            <v>Product</v>
          </cell>
          <cell r="X175" t="str">
            <v>Sum Stat Amt</v>
          </cell>
          <cell r="Y175" t="str">
            <v>Period</v>
          </cell>
          <cell r="Z175" t="str">
            <v>Date</v>
          </cell>
          <cell r="AB175" t="str">
            <v>Account</v>
          </cell>
          <cell r="AC175" t="str">
            <v>Dept</v>
          </cell>
          <cell r="AD175" t="str">
            <v>Sum Amount</v>
          </cell>
          <cell r="AE175" t="str">
            <v>Trans</v>
          </cell>
          <cell r="AF175" t="str">
            <v>Product</v>
          </cell>
          <cell r="AG175" t="str">
            <v>Sum Stat Amt</v>
          </cell>
          <cell r="AH175" t="str">
            <v>Period</v>
          </cell>
          <cell r="AI175" t="str">
            <v>Date</v>
          </cell>
          <cell r="AK175" t="str">
            <v>Account</v>
          </cell>
          <cell r="AL175" t="str">
            <v>Dept</v>
          </cell>
          <cell r="AM175" t="str">
            <v>Sum Amount</v>
          </cell>
          <cell r="AN175" t="str">
            <v>Trans</v>
          </cell>
          <cell r="AO175" t="str">
            <v>Product</v>
          </cell>
          <cell r="AP175" t="str">
            <v>Sum Stat Amt</v>
          </cell>
          <cell r="AQ175" t="str">
            <v>Period</v>
          </cell>
          <cell r="AR175" t="str">
            <v>Date</v>
          </cell>
          <cell r="AT175" t="str">
            <v>Account</v>
          </cell>
          <cell r="AU175" t="str">
            <v>Dept</v>
          </cell>
          <cell r="AV175" t="str">
            <v>Sum Amount</v>
          </cell>
          <cell r="AW175" t="str">
            <v>Trans</v>
          </cell>
          <cell r="AX175" t="str">
            <v>Product</v>
          </cell>
          <cell r="AY175" t="str">
            <v>Sum Stat Amt</v>
          </cell>
          <cell r="AZ175" t="str">
            <v>Period</v>
          </cell>
          <cell r="BA175" t="str">
            <v>Date</v>
          </cell>
          <cell r="BC175" t="str">
            <v>Account</v>
          </cell>
          <cell r="BD175" t="str">
            <v>Dept</v>
          </cell>
          <cell r="BE175" t="str">
            <v>Sum Amount</v>
          </cell>
          <cell r="BF175" t="str">
            <v>Trans</v>
          </cell>
          <cell r="BG175" t="str">
            <v>Product</v>
          </cell>
          <cell r="BH175" t="str">
            <v>Sum Stat Amt</v>
          </cell>
          <cell r="BI175" t="str">
            <v>Period</v>
          </cell>
          <cell r="BJ175" t="str">
            <v>Date</v>
          </cell>
          <cell r="BL175" t="str">
            <v>Account</v>
          </cell>
          <cell r="BM175" t="str">
            <v>Dept</v>
          </cell>
          <cell r="BN175" t="str">
            <v>Sum Amount</v>
          </cell>
          <cell r="BO175" t="str">
            <v>Trans</v>
          </cell>
          <cell r="BP175" t="str">
            <v>Product</v>
          </cell>
          <cell r="BQ175" t="str">
            <v>Sum Stat Amt</v>
          </cell>
          <cell r="BR175" t="str">
            <v>Period</v>
          </cell>
          <cell r="BS175" t="str">
            <v>Date</v>
          </cell>
          <cell r="BU175" t="str">
            <v>Account</v>
          </cell>
          <cell r="BV175" t="str">
            <v>Dept</v>
          </cell>
          <cell r="BW175" t="str">
            <v>Sum Amount</v>
          </cell>
          <cell r="BX175" t="str">
            <v>Trans</v>
          </cell>
          <cell r="BY175" t="str">
            <v>Product</v>
          </cell>
          <cell r="BZ175" t="str">
            <v>Sum Stat Amt</v>
          </cell>
          <cell r="CA175" t="str">
            <v>Period</v>
          </cell>
          <cell r="CB175" t="str">
            <v>Date</v>
          </cell>
          <cell r="CD175" t="str">
            <v>Account</v>
          </cell>
          <cell r="CE175" t="str">
            <v>Dept</v>
          </cell>
          <cell r="CF175" t="str">
            <v>Sum Amount</v>
          </cell>
          <cell r="CG175" t="str">
            <v>Trans</v>
          </cell>
          <cell r="CH175" t="str">
            <v>Product</v>
          </cell>
          <cell r="CI175" t="str">
            <v>Sum Stat Amt</v>
          </cell>
          <cell r="CJ175" t="str">
            <v>Period</v>
          </cell>
          <cell r="CK175" t="str">
            <v>Date</v>
          </cell>
          <cell r="CM175" t="str">
            <v>Account</v>
          </cell>
          <cell r="CN175" t="str">
            <v>Dept</v>
          </cell>
          <cell r="CO175" t="str">
            <v>Sum Amount</v>
          </cell>
          <cell r="CP175" t="str">
            <v>Trans</v>
          </cell>
          <cell r="CQ175" t="str">
            <v>Product</v>
          </cell>
          <cell r="CR175" t="str">
            <v>Sum Stat Amt</v>
          </cell>
          <cell r="CS175" t="str">
            <v>Period</v>
          </cell>
          <cell r="CT175" t="str">
            <v>Date</v>
          </cell>
          <cell r="CV175" t="str">
            <v>Account</v>
          </cell>
          <cell r="CW175" t="str">
            <v>Dept</v>
          </cell>
          <cell r="CX175" t="str">
            <v>Sum Amount</v>
          </cell>
          <cell r="CY175" t="str">
            <v>Trans</v>
          </cell>
          <cell r="CZ175" t="str">
            <v>Product</v>
          </cell>
          <cell r="DA175" t="str">
            <v>Sum Stat Amt</v>
          </cell>
          <cell r="DB175" t="str">
            <v>Period</v>
          </cell>
          <cell r="DC175" t="str">
            <v>Date</v>
          </cell>
          <cell r="DE175" t="str">
            <v>Account</v>
          </cell>
          <cell r="DF175" t="str">
            <v>Dept</v>
          </cell>
          <cell r="DG175" t="str">
            <v>Sum Amount</v>
          </cell>
          <cell r="DH175" t="str">
            <v>Trans</v>
          </cell>
          <cell r="DI175" t="str">
            <v>Product</v>
          </cell>
          <cell r="DJ175" t="str">
            <v>Sum Stat Amt</v>
          </cell>
          <cell r="DK175" t="str">
            <v>Period</v>
          </cell>
          <cell r="DL175" t="str">
            <v>Date</v>
          </cell>
        </row>
        <row r="176">
          <cell r="M176">
            <v>250</v>
          </cell>
          <cell r="N176">
            <v>452</v>
          </cell>
          <cell r="Q176">
            <v>40025</v>
          </cell>
          <cell r="V176">
            <v>250</v>
          </cell>
          <cell r="W176">
            <v>452</v>
          </cell>
          <cell r="Z176">
            <v>40056</v>
          </cell>
          <cell r="AE176">
            <v>250</v>
          </cell>
          <cell r="AF176">
            <v>452</v>
          </cell>
          <cell r="AI176">
            <v>40086</v>
          </cell>
          <cell r="AN176">
            <v>250</v>
          </cell>
          <cell r="AO176">
            <v>452</v>
          </cell>
          <cell r="AR176">
            <v>40117</v>
          </cell>
          <cell r="AW176">
            <v>250</v>
          </cell>
          <cell r="AX176">
            <v>452</v>
          </cell>
          <cell r="BA176">
            <v>40147</v>
          </cell>
          <cell r="BF176">
            <v>250</v>
          </cell>
          <cell r="BG176">
            <v>452</v>
          </cell>
          <cell r="BJ176">
            <v>40178</v>
          </cell>
          <cell r="BO176">
            <v>250</v>
          </cell>
          <cell r="BP176">
            <v>452</v>
          </cell>
          <cell r="BS176">
            <v>40209</v>
          </cell>
          <cell r="BX176">
            <v>250</v>
          </cell>
          <cell r="BY176">
            <v>452</v>
          </cell>
          <cell r="CB176">
            <v>40237</v>
          </cell>
          <cell r="CG176">
            <v>250</v>
          </cell>
          <cell r="CH176">
            <v>452</v>
          </cell>
          <cell r="CK176">
            <v>40268</v>
          </cell>
          <cell r="CP176">
            <v>250</v>
          </cell>
          <cell r="CQ176">
            <v>452</v>
          </cell>
          <cell r="CT176">
            <v>40298</v>
          </cell>
          <cell r="CY176">
            <v>250</v>
          </cell>
          <cell r="CZ176">
            <v>452</v>
          </cell>
          <cell r="DC176">
            <v>40329</v>
          </cell>
          <cell r="DH176">
            <v>250</v>
          </cell>
          <cell r="DI176">
            <v>452</v>
          </cell>
          <cell r="DL176">
            <v>40359</v>
          </cell>
        </row>
        <row r="184">
          <cell r="J184" t="str">
            <v>Account</v>
          </cell>
          <cell r="K184" t="str">
            <v>Dept</v>
          </cell>
          <cell r="L184" t="str">
            <v>Sum Amount</v>
          </cell>
          <cell r="M184" t="str">
            <v>Trans</v>
          </cell>
          <cell r="N184" t="str">
            <v>Product</v>
          </cell>
          <cell r="O184" t="str">
            <v>Sum Stat Amt</v>
          </cell>
          <cell r="P184" t="str">
            <v>Period</v>
          </cell>
          <cell r="Q184" t="str">
            <v>Date</v>
          </cell>
          <cell r="S184" t="str">
            <v>Account</v>
          </cell>
          <cell r="T184" t="str">
            <v>Dept</v>
          </cell>
          <cell r="U184" t="str">
            <v>Sum Amount</v>
          </cell>
          <cell r="V184" t="str">
            <v>Trans</v>
          </cell>
          <cell r="W184" t="str">
            <v>Product</v>
          </cell>
          <cell r="X184" t="str">
            <v>Sum Stat Amt</v>
          </cell>
          <cell r="Y184" t="str">
            <v>Period</v>
          </cell>
          <cell r="Z184" t="str">
            <v>Date</v>
          </cell>
          <cell r="AB184" t="str">
            <v>Account</v>
          </cell>
          <cell r="AC184" t="str">
            <v>Dept</v>
          </cell>
          <cell r="AD184" t="str">
            <v>Sum Amount</v>
          </cell>
          <cell r="AE184" t="str">
            <v>Trans</v>
          </cell>
          <cell r="AF184" t="str">
            <v>Product</v>
          </cell>
          <cell r="AG184" t="str">
            <v>Sum Stat Amt</v>
          </cell>
          <cell r="AH184" t="str">
            <v>Period</v>
          </cell>
          <cell r="AI184" t="str">
            <v>Date</v>
          </cell>
          <cell r="AK184" t="str">
            <v>Account</v>
          </cell>
          <cell r="AL184" t="str">
            <v>Dept</v>
          </cell>
          <cell r="AM184" t="str">
            <v>Sum Amount</v>
          </cell>
          <cell r="AN184" t="str">
            <v>Trans</v>
          </cell>
          <cell r="AO184" t="str">
            <v>Product</v>
          </cell>
          <cell r="AP184" t="str">
            <v>Sum Stat Amt</v>
          </cell>
          <cell r="AQ184" t="str">
            <v>Period</v>
          </cell>
          <cell r="AR184" t="str">
            <v>Date</v>
          </cell>
          <cell r="AT184" t="str">
            <v>Account</v>
          </cell>
          <cell r="AU184" t="str">
            <v>Dept</v>
          </cell>
          <cell r="AV184" t="str">
            <v>Sum Amount</v>
          </cell>
          <cell r="AW184" t="str">
            <v>Trans</v>
          </cell>
          <cell r="AX184" t="str">
            <v>Product</v>
          </cell>
          <cell r="AY184" t="str">
            <v>Sum Stat Amt</v>
          </cell>
          <cell r="AZ184" t="str">
            <v>Period</v>
          </cell>
          <cell r="BA184" t="str">
            <v>Date</v>
          </cell>
          <cell r="BC184" t="str">
            <v>Account</v>
          </cell>
          <cell r="BD184" t="str">
            <v>Dept</v>
          </cell>
          <cell r="BE184" t="str">
            <v>Sum Amount</v>
          </cell>
          <cell r="BF184" t="str">
            <v>Trans</v>
          </cell>
          <cell r="BG184" t="str">
            <v>Product</v>
          </cell>
          <cell r="BH184" t="str">
            <v>Sum Stat Amt</v>
          </cell>
          <cell r="BI184" t="str">
            <v>Period</v>
          </cell>
          <cell r="BJ184" t="str">
            <v>Date</v>
          </cell>
          <cell r="BL184" t="str">
            <v>Account</v>
          </cell>
          <cell r="BM184" t="str">
            <v>Dept</v>
          </cell>
          <cell r="BN184" t="str">
            <v>Sum Amount</v>
          </cell>
          <cell r="BO184" t="str">
            <v>Trans</v>
          </cell>
          <cell r="BP184" t="str">
            <v>Product</v>
          </cell>
          <cell r="BQ184" t="str">
            <v>Sum Stat Amt</v>
          </cell>
          <cell r="BR184" t="str">
            <v>Period</v>
          </cell>
          <cell r="BS184" t="str">
            <v>Date</v>
          </cell>
          <cell r="BU184" t="str">
            <v>Account</v>
          </cell>
          <cell r="BV184" t="str">
            <v>Dept</v>
          </cell>
          <cell r="BW184" t="str">
            <v>Sum Amount</v>
          </cell>
          <cell r="BX184" t="str">
            <v>Trans</v>
          </cell>
          <cell r="BY184" t="str">
            <v>Product</v>
          </cell>
          <cell r="BZ184" t="str">
            <v>Sum Stat Amt</v>
          </cell>
          <cell r="CA184" t="str">
            <v>Period</v>
          </cell>
          <cell r="CB184" t="str">
            <v>Date</v>
          </cell>
          <cell r="CD184" t="str">
            <v>Account</v>
          </cell>
          <cell r="CE184" t="str">
            <v>Dept</v>
          </cell>
          <cell r="CF184" t="str">
            <v>Sum Amount</v>
          </cell>
          <cell r="CG184" t="str">
            <v>Trans</v>
          </cell>
          <cell r="CH184" t="str">
            <v>Product</v>
          </cell>
          <cell r="CI184" t="str">
            <v>Sum Stat Amt</v>
          </cell>
          <cell r="CJ184" t="str">
            <v>Period</v>
          </cell>
          <cell r="CK184" t="str">
            <v>Date</v>
          </cell>
          <cell r="CM184" t="str">
            <v>Account</v>
          </cell>
          <cell r="CN184" t="str">
            <v>Dept</v>
          </cell>
          <cell r="CO184" t="str">
            <v>Sum Amount</v>
          </cell>
          <cell r="CP184" t="str">
            <v>Trans</v>
          </cell>
          <cell r="CQ184" t="str">
            <v>Product</v>
          </cell>
          <cell r="CR184" t="str">
            <v>Sum Stat Amt</v>
          </cell>
          <cell r="CS184" t="str">
            <v>Period</v>
          </cell>
          <cell r="CT184" t="str">
            <v>Date</v>
          </cell>
          <cell r="CV184" t="str">
            <v>Account</v>
          </cell>
          <cell r="CW184" t="str">
            <v>Dept</v>
          </cell>
          <cell r="CX184" t="str">
            <v>Sum Amount</v>
          </cell>
          <cell r="CY184" t="str">
            <v>Trans</v>
          </cell>
          <cell r="CZ184" t="str">
            <v>Product</v>
          </cell>
          <cell r="DA184" t="str">
            <v>Sum Stat Amt</v>
          </cell>
          <cell r="DB184" t="str">
            <v>Period</v>
          </cell>
          <cell r="DC184" t="str">
            <v>Date</v>
          </cell>
          <cell r="DE184" t="str">
            <v>Account</v>
          </cell>
          <cell r="DF184" t="str">
            <v>Dept</v>
          </cell>
          <cell r="DG184" t="str">
            <v>Sum Amount</v>
          </cell>
          <cell r="DH184" t="str">
            <v>Trans</v>
          </cell>
          <cell r="DI184" t="str">
            <v>Product</v>
          </cell>
          <cell r="DJ184" t="str">
            <v>Sum Stat Amt</v>
          </cell>
          <cell r="DK184" t="str">
            <v>Period</v>
          </cell>
          <cell r="DL184" t="str">
            <v>Date</v>
          </cell>
        </row>
        <row r="185">
          <cell r="M185" t="str">
            <v>215</v>
          </cell>
          <cell r="N185" t="str">
            <v>WY-CET</v>
          </cell>
          <cell r="Q185">
            <v>40025</v>
          </cell>
          <cell r="V185" t="str">
            <v>215</v>
          </cell>
          <cell r="W185" t="str">
            <v>WY-CET</v>
          </cell>
          <cell r="Z185">
            <v>40056</v>
          </cell>
          <cell r="AE185" t="str">
            <v>215</v>
          </cell>
          <cell r="AF185" t="str">
            <v>WY-CET</v>
          </cell>
          <cell r="AI185">
            <v>40086</v>
          </cell>
          <cell r="AN185" t="str">
            <v>215</v>
          </cell>
          <cell r="AO185" t="str">
            <v>WY-CET</v>
          </cell>
          <cell r="AR185">
            <v>40117</v>
          </cell>
          <cell r="AW185" t="str">
            <v>215</v>
          </cell>
          <cell r="AX185" t="str">
            <v>WY-CET</v>
          </cell>
          <cell r="BA185">
            <v>40147</v>
          </cell>
          <cell r="BF185" t="str">
            <v>215</v>
          </cell>
          <cell r="BG185" t="str">
            <v>WY-CET</v>
          </cell>
          <cell r="BJ185">
            <v>40178</v>
          </cell>
          <cell r="BO185" t="str">
            <v>215</v>
          </cell>
          <cell r="BP185" t="str">
            <v>WY-CET</v>
          </cell>
          <cell r="BS185">
            <v>40209</v>
          </cell>
          <cell r="BX185" t="str">
            <v>215</v>
          </cell>
          <cell r="BY185" t="str">
            <v>WY-CET</v>
          </cell>
          <cell r="CB185">
            <v>40237</v>
          </cell>
          <cell r="CG185" t="str">
            <v>215</v>
          </cell>
          <cell r="CH185" t="str">
            <v>WY-CET</v>
          </cell>
          <cell r="CK185">
            <v>40268</v>
          </cell>
          <cell r="CP185" t="str">
            <v>215</v>
          </cell>
          <cell r="CQ185" t="str">
            <v>WY-CET</v>
          </cell>
          <cell r="CT185">
            <v>40298</v>
          </cell>
          <cell r="CY185" t="str">
            <v>215</v>
          </cell>
          <cell r="CZ185" t="str">
            <v>WY-CET</v>
          </cell>
          <cell r="DC185">
            <v>40329</v>
          </cell>
          <cell r="DH185" t="str">
            <v>215</v>
          </cell>
          <cell r="DI185" t="str">
            <v>WY-CET</v>
          </cell>
          <cell r="DL185">
            <v>40359</v>
          </cell>
        </row>
        <row r="187">
          <cell r="J187" t="str">
            <v>Account</v>
          </cell>
          <cell r="K187" t="str">
            <v>Dept</v>
          </cell>
          <cell r="L187" t="str">
            <v>Sum Amount</v>
          </cell>
          <cell r="M187" t="str">
            <v>Trans</v>
          </cell>
          <cell r="N187" t="str">
            <v>Product</v>
          </cell>
          <cell r="O187" t="str">
            <v>Sum Stat Amt</v>
          </cell>
          <cell r="P187" t="str">
            <v>Period</v>
          </cell>
          <cell r="Q187" t="str">
            <v>Date</v>
          </cell>
          <cell r="S187" t="str">
            <v>Account</v>
          </cell>
          <cell r="T187" t="str">
            <v>Dept</v>
          </cell>
          <cell r="U187" t="str">
            <v>Sum Amount</v>
          </cell>
          <cell r="V187" t="str">
            <v>Trans</v>
          </cell>
          <cell r="W187" t="str">
            <v>Product</v>
          </cell>
          <cell r="X187" t="str">
            <v>Sum Stat Amt</v>
          </cell>
          <cell r="Y187" t="str">
            <v>Period</v>
          </cell>
          <cell r="Z187" t="str">
            <v>Date</v>
          </cell>
          <cell r="AB187" t="str">
            <v>Account</v>
          </cell>
          <cell r="AC187" t="str">
            <v>Dept</v>
          </cell>
          <cell r="AD187" t="str">
            <v>Sum Amount</v>
          </cell>
          <cell r="AE187" t="str">
            <v>Trans</v>
          </cell>
          <cell r="AF187" t="str">
            <v>Product</v>
          </cell>
          <cell r="AG187" t="str">
            <v>Sum Stat Amt</v>
          </cell>
          <cell r="AH187" t="str">
            <v>Period</v>
          </cell>
          <cell r="AI187" t="str">
            <v>Date</v>
          </cell>
          <cell r="AK187" t="str">
            <v>Account</v>
          </cell>
          <cell r="AL187" t="str">
            <v>Dept</v>
          </cell>
          <cell r="AM187" t="str">
            <v>Sum Amount</v>
          </cell>
          <cell r="AN187" t="str">
            <v>Trans</v>
          </cell>
          <cell r="AO187" t="str">
            <v>Product</v>
          </cell>
          <cell r="AP187" t="str">
            <v>Sum Stat Amt</v>
          </cell>
          <cell r="AQ187" t="str">
            <v>Period</v>
          </cell>
          <cell r="AR187" t="str">
            <v>Date</v>
          </cell>
          <cell r="AT187" t="str">
            <v>Account</v>
          </cell>
          <cell r="AU187" t="str">
            <v>Dept</v>
          </cell>
          <cell r="AV187" t="str">
            <v>Sum Amount</v>
          </cell>
          <cell r="AW187" t="str">
            <v>Trans</v>
          </cell>
          <cell r="AX187" t="str">
            <v>Product</v>
          </cell>
          <cell r="AY187" t="str">
            <v>Sum Stat Amt</v>
          </cell>
          <cell r="AZ187" t="str">
            <v>Period</v>
          </cell>
          <cell r="BA187" t="str">
            <v>Date</v>
          </cell>
          <cell r="BC187" t="str">
            <v>Account</v>
          </cell>
          <cell r="BD187" t="str">
            <v>Dept</v>
          </cell>
          <cell r="BE187" t="str">
            <v>Sum Amount</v>
          </cell>
          <cell r="BF187" t="str">
            <v>Trans</v>
          </cell>
          <cell r="BG187" t="str">
            <v>Product</v>
          </cell>
          <cell r="BH187" t="str">
            <v>Sum Stat Amt</v>
          </cell>
          <cell r="BI187" t="str">
            <v>Period</v>
          </cell>
          <cell r="BJ187" t="str">
            <v>Date</v>
          </cell>
          <cell r="BL187" t="str">
            <v>Account</v>
          </cell>
          <cell r="BM187" t="str">
            <v>Dept</v>
          </cell>
          <cell r="BN187" t="str">
            <v>Sum Amount</v>
          </cell>
          <cell r="BO187" t="str">
            <v>Trans</v>
          </cell>
          <cell r="BP187" t="str">
            <v>Product</v>
          </cell>
          <cell r="BQ187" t="str">
            <v>Sum Stat Amt</v>
          </cell>
          <cell r="BR187" t="str">
            <v>Period</v>
          </cell>
          <cell r="BS187" t="str">
            <v>Date</v>
          </cell>
          <cell r="BU187" t="str">
            <v>Account</v>
          </cell>
          <cell r="BV187" t="str">
            <v>Dept</v>
          </cell>
          <cell r="BW187" t="str">
            <v>Sum Amount</v>
          </cell>
          <cell r="BX187" t="str">
            <v>Trans</v>
          </cell>
          <cell r="BY187" t="str">
            <v>Product</v>
          </cell>
          <cell r="BZ187" t="str">
            <v>Sum Stat Amt</v>
          </cell>
          <cell r="CA187" t="str">
            <v>Period</v>
          </cell>
          <cell r="CB187" t="str">
            <v>Date</v>
          </cell>
          <cell r="CD187" t="str">
            <v>Account</v>
          </cell>
          <cell r="CE187" t="str">
            <v>Dept</v>
          </cell>
          <cell r="CF187" t="str">
            <v>Sum Amount</v>
          </cell>
          <cell r="CG187" t="str">
            <v>Trans</v>
          </cell>
          <cell r="CH187" t="str">
            <v>Product</v>
          </cell>
          <cell r="CI187" t="str">
            <v>Sum Stat Amt</v>
          </cell>
          <cell r="CJ187" t="str">
            <v>Period</v>
          </cell>
          <cell r="CK187" t="str">
            <v>Date</v>
          </cell>
          <cell r="CM187" t="str">
            <v>Account</v>
          </cell>
          <cell r="CN187" t="str">
            <v>Dept</v>
          </cell>
          <cell r="CO187" t="str">
            <v>Sum Amount</v>
          </cell>
          <cell r="CP187" t="str">
            <v>Trans</v>
          </cell>
          <cell r="CQ187" t="str">
            <v>Product</v>
          </cell>
          <cell r="CR187" t="str">
            <v>Sum Stat Amt</v>
          </cell>
          <cell r="CS187" t="str">
            <v>Period</v>
          </cell>
          <cell r="CT187" t="str">
            <v>Date</v>
          </cell>
          <cell r="CV187" t="str">
            <v>Account</v>
          </cell>
          <cell r="CW187" t="str">
            <v>Dept</v>
          </cell>
          <cell r="CX187" t="str">
            <v>Sum Amount</v>
          </cell>
          <cell r="CY187" t="str">
            <v>Trans</v>
          </cell>
          <cell r="CZ187" t="str">
            <v>Product</v>
          </cell>
          <cell r="DA187" t="str">
            <v>Sum Stat Amt</v>
          </cell>
          <cell r="DB187" t="str">
            <v>Period</v>
          </cell>
          <cell r="DC187" t="str">
            <v>Date</v>
          </cell>
          <cell r="DE187" t="str">
            <v>Account</v>
          </cell>
          <cell r="DF187" t="str">
            <v>Dept</v>
          </cell>
          <cell r="DG187" t="str">
            <v>Sum Amount</v>
          </cell>
          <cell r="DH187" t="str">
            <v>Trans</v>
          </cell>
          <cell r="DI187" t="str">
            <v>Product</v>
          </cell>
          <cell r="DJ187" t="str">
            <v>Sum Stat Amt</v>
          </cell>
          <cell r="DK187" t="str">
            <v>Period</v>
          </cell>
          <cell r="DL187" t="str">
            <v>Date</v>
          </cell>
        </row>
        <row r="188">
          <cell r="M188" t="str">
            <v>216W</v>
          </cell>
          <cell r="Q188">
            <v>40025</v>
          </cell>
          <cell r="V188" t="str">
            <v>216W</v>
          </cell>
          <cell r="Z188">
            <v>40056</v>
          </cell>
          <cell r="AE188" t="str">
            <v>216W</v>
          </cell>
          <cell r="AI188">
            <v>40086</v>
          </cell>
          <cell r="AN188" t="str">
            <v>216W</v>
          </cell>
          <cell r="AR188">
            <v>40117</v>
          </cell>
          <cell r="AW188" t="str">
            <v>216W</v>
          </cell>
          <cell r="BA188">
            <v>40147</v>
          </cell>
          <cell r="BF188" t="str">
            <v>216W</v>
          </cell>
          <cell r="BJ188">
            <v>40178</v>
          </cell>
          <cell r="BO188" t="str">
            <v>216W</v>
          </cell>
          <cell r="BS188">
            <v>40209</v>
          </cell>
          <cell r="BX188" t="str">
            <v>216W</v>
          </cell>
          <cell r="CB188">
            <v>40237</v>
          </cell>
          <cell r="CG188" t="str">
            <v>216W</v>
          </cell>
          <cell r="CK188">
            <v>40268</v>
          </cell>
          <cell r="CP188" t="str">
            <v>216W</v>
          </cell>
          <cell r="CT188">
            <v>40298</v>
          </cell>
          <cell r="CY188" t="str">
            <v>216W</v>
          </cell>
          <cell r="DC188">
            <v>40329</v>
          </cell>
          <cell r="DH188" t="str">
            <v>216W</v>
          </cell>
          <cell r="DL188">
            <v>40359</v>
          </cell>
        </row>
        <row r="190">
          <cell r="J190" t="str">
            <v>Account</v>
          </cell>
          <cell r="K190" t="str">
            <v>Dept</v>
          </cell>
          <cell r="L190" t="str">
            <v>Sum Amount</v>
          </cell>
          <cell r="M190" t="str">
            <v>Trans</v>
          </cell>
          <cell r="N190" t="str">
            <v>Product</v>
          </cell>
          <cell r="O190" t="str">
            <v>Sum Stat Amt</v>
          </cell>
          <cell r="P190" t="str">
            <v>Period</v>
          </cell>
          <cell r="Q190" t="str">
            <v>Date</v>
          </cell>
          <cell r="S190" t="str">
            <v>Account</v>
          </cell>
          <cell r="T190" t="str">
            <v>Dept</v>
          </cell>
          <cell r="U190" t="str">
            <v>Sum Amount</v>
          </cell>
          <cell r="V190" t="str">
            <v>Trans</v>
          </cell>
          <cell r="W190" t="str">
            <v>Product</v>
          </cell>
          <cell r="X190" t="str">
            <v>Sum Stat Amt</v>
          </cell>
          <cell r="Y190" t="str">
            <v>Period</v>
          </cell>
          <cell r="Z190" t="str">
            <v>Date</v>
          </cell>
          <cell r="AB190" t="str">
            <v>Account</v>
          </cell>
          <cell r="AC190" t="str">
            <v>Dept</v>
          </cell>
          <cell r="AD190" t="str">
            <v>Sum Amount</v>
          </cell>
          <cell r="AE190" t="str">
            <v>Trans</v>
          </cell>
          <cell r="AF190" t="str">
            <v>Product</v>
          </cell>
          <cell r="AG190" t="str">
            <v>Sum Stat Amt</v>
          </cell>
          <cell r="AH190" t="str">
            <v>Period</v>
          </cell>
          <cell r="AI190" t="str">
            <v>Date</v>
          </cell>
          <cell r="AK190" t="str">
            <v>Account</v>
          </cell>
          <cell r="AL190" t="str">
            <v>Dept</v>
          </cell>
          <cell r="AM190" t="str">
            <v>Sum Amount</v>
          </cell>
          <cell r="AN190" t="str">
            <v>Trans</v>
          </cell>
          <cell r="AO190" t="str">
            <v>Product</v>
          </cell>
          <cell r="AP190" t="str">
            <v>Sum Stat Amt</v>
          </cell>
          <cell r="AQ190" t="str">
            <v>Period</v>
          </cell>
          <cell r="AR190" t="str">
            <v>Date</v>
          </cell>
          <cell r="AT190" t="str">
            <v>Account</v>
          </cell>
          <cell r="AU190" t="str">
            <v>Dept</v>
          </cell>
          <cell r="AV190" t="str">
            <v>Sum Amount</v>
          </cell>
          <cell r="AW190" t="str">
            <v>Trans</v>
          </cell>
          <cell r="AX190" t="str">
            <v>Product</v>
          </cell>
          <cell r="AY190" t="str">
            <v>Sum Stat Amt</v>
          </cell>
          <cell r="AZ190" t="str">
            <v>Period</v>
          </cell>
          <cell r="BA190" t="str">
            <v>Date</v>
          </cell>
          <cell r="BC190" t="str">
            <v>Account</v>
          </cell>
          <cell r="BD190" t="str">
            <v>Dept</v>
          </cell>
          <cell r="BE190" t="str">
            <v>Sum Amount</v>
          </cell>
          <cell r="BF190" t="str">
            <v>Trans</v>
          </cell>
          <cell r="BG190" t="str">
            <v>Product</v>
          </cell>
          <cell r="BH190" t="str">
            <v>Sum Stat Amt</v>
          </cell>
          <cell r="BI190" t="str">
            <v>Period</v>
          </cell>
          <cell r="BJ190" t="str">
            <v>Date</v>
          </cell>
          <cell r="BL190" t="str">
            <v>Account</v>
          </cell>
          <cell r="BM190" t="str">
            <v>Dept</v>
          </cell>
          <cell r="BN190" t="str">
            <v>Sum Amount</v>
          </cell>
          <cell r="BO190" t="str">
            <v>Trans</v>
          </cell>
          <cell r="BP190" t="str">
            <v>Product</v>
          </cell>
          <cell r="BQ190" t="str">
            <v>Sum Stat Amt</v>
          </cell>
          <cell r="BR190" t="str">
            <v>Period</v>
          </cell>
          <cell r="BS190" t="str">
            <v>Date</v>
          </cell>
          <cell r="BU190" t="str">
            <v>Account</v>
          </cell>
          <cell r="BV190" t="str">
            <v>Dept</v>
          </cell>
          <cell r="BW190" t="str">
            <v>Sum Amount</v>
          </cell>
          <cell r="BX190" t="str">
            <v>Trans</v>
          </cell>
          <cell r="BY190" t="str">
            <v>Product</v>
          </cell>
          <cell r="BZ190" t="str">
            <v>Sum Stat Amt</v>
          </cell>
          <cell r="CA190" t="str">
            <v>Period</v>
          </cell>
          <cell r="CB190" t="str">
            <v>Date</v>
          </cell>
          <cell r="CD190" t="str">
            <v>Account</v>
          </cell>
          <cell r="CE190" t="str">
            <v>Dept</v>
          </cell>
          <cell r="CF190" t="str">
            <v>Sum Amount</v>
          </cell>
          <cell r="CG190" t="str">
            <v>Trans</v>
          </cell>
          <cell r="CH190" t="str">
            <v>Product</v>
          </cell>
          <cell r="CI190" t="str">
            <v>Sum Stat Amt</v>
          </cell>
          <cell r="CJ190" t="str">
            <v>Period</v>
          </cell>
          <cell r="CK190" t="str">
            <v>Date</v>
          </cell>
          <cell r="CM190" t="str">
            <v>Account</v>
          </cell>
          <cell r="CN190" t="str">
            <v>Dept</v>
          </cell>
          <cell r="CO190" t="str">
            <v>Sum Amount</v>
          </cell>
          <cell r="CP190" t="str">
            <v>Trans</v>
          </cell>
          <cell r="CQ190" t="str">
            <v>Product</v>
          </cell>
          <cell r="CR190" t="str">
            <v>Sum Stat Amt</v>
          </cell>
          <cell r="CS190" t="str">
            <v>Period</v>
          </cell>
          <cell r="CT190" t="str">
            <v>Date</v>
          </cell>
          <cell r="CV190" t="str">
            <v>Account</v>
          </cell>
          <cell r="CW190" t="str">
            <v>Dept</v>
          </cell>
          <cell r="CX190" t="str">
            <v>Sum Amount</v>
          </cell>
          <cell r="CY190" t="str">
            <v>Trans</v>
          </cell>
          <cell r="CZ190" t="str">
            <v>Product</v>
          </cell>
          <cell r="DA190" t="str">
            <v>Sum Stat Amt</v>
          </cell>
          <cell r="DB190" t="str">
            <v>Period</v>
          </cell>
          <cell r="DC190" t="str">
            <v>Date</v>
          </cell>
          <cell r="DE190" t="str">
            <v>Account</v>
          </cell>
          <cell r="DF190" t="str">
            <v>Dept</v>
          </cell>
          <cell r="DG190" t="str">
            <v>Sum Amount</v>
          </cell>
          <cell r="DH190" t="str">
            <v>Trans</v>
          </cell>
          <cell r="DI190" t="str">
            <v>Product</v>
          </cell>
          <cell r="DJ190" t="str">
            <v>Sum Stat Amt</v>
          </cell>
          <cell r="DK190" t="str">
            <v>Period</v>
          </cell>
          <cell r="DL190" t="str">
            <v>Date</v>
          </cell>
        </row>
        <row r="191">
          <cell r="M191">
            <v>210</v>
          </cell>
          <cell r="N191">
            <v>407</v>
          </cell>
          <cell r="Q191">
            <v>40025</v>
          </cell>
          <cell r="V191">
            <v>210</v>
          </cell>
          <cell r="W191">
            <v>407</v>
          </cell>
          <cell r="Z191">
            <v>40056</v>
          </cell>
          <cell r="AE191">
            <v>210</v>
          </cell>
          <cell r="AF191">
            <v>407</v>
          </cell>
          <cell r="AI191">
            <v>40086</v>
          </cell>
          <cell r="AN191">
            <v>210</v>
          </cell>
          <cell r="AO191">
            <v>407</v>
          </cell>
          <cell r="AR191">
            <v>40117</v>
          </cell>
          <cell r="AW191">
            <v>210</v>
          </cell>
          <cell r="AX191">
            <v>407</v>
          </cell>
          <cell r="BA191">
            <v>40147</v>
          </cell>
          <cell r="BF191">
            <v>210</v>
          </cell>
          <cell r="BG191">
            <v>407</v>
          </cell>
          <cell r="BJ191">
            <v>40178</v>
          </cell>
          <cell r="BO191">
            <v>210</v>
          </cell>
          <cell r="BP191">
            <v>407</v>
          </cell>
          <cell r="BS191">
            <v>40209</v>
          </cell>
          <cell r="BX191">
            <v>210</v>
          </cell>
          <cell r="BY191">
            <v>407</v>
          </cell>
          <cell r="CB191">
            <v>40237</v>
          </cell>
          <cell r="CG191">
            <v>210</v>
          </cell>
          <cell r="CH191">
            <v>407</v>
          </cell>
          <cell r="CK191">
            <v>40268</v>
          </cell>
          <cell r="CP191">
            <v>210</v>
          </cell>
          <cell r="CQ191">
            <v>407</v>
          </cell>
          <cell r="CT191">
            <v>40298</v>
          </cell>
          <cell r="CY191">
            <v>210</v>
          </cell>
          <cell r="CZ191">
            <v>407</v>
          </cell>
          <cell r="DC191">
            <v>40329</v>
          </cell>
          <cell r="DH191">
            <v>210</v>
          </cell>
          <cell r="DI191">
            <v>407</v>
          </cell>
          <cell r="DL191">
            <v>40359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ATE CLASS"/>
      <sheetName val="PIVOT"/>
      <sheetName val="QUERY_FOR PIVOT"/>
      <sheetName val="NGV RATES"/>
      <sheetName val="NGV Query"/>
      <sheetName val="CRITERIA"/>
      <sheetName val="BOOKED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3">
          <cell r="J193" t="str">
            <v>Account</v>
          </cell>
          <cell r="K193" t="str">
            <v>Dept</v>
          </cell>
          <cell r="L193" t="str">
            <v>Sum Amount</v>
          </cell>
          <cell r="M193" t="str">
            <v>Trans</v>
          </cell>
          <cell r="N193" t="str">
            <v>Product</v>
          </cell>
          <cell r="O193" t="str">
            <v>Sum Stat Amt</v>
          </cell>
          <cell r="P193" t="str">
            <v>Period</v>
          </cell>
          <cell r="Q193" t="str">
            <v>Date</v>
          </cell>
          <cell r="S193" t="str">
            <v>Account</v>
          </cell>
          <cell r="T193" t="str">
            <v>Dept</v>
          </cell>
          <cell r="U193" t="str">
            <v>Sum Amount</v>
          </cell>
          <cell r="V193" t="str">
            <v>Trans</v>
          </cell>
          <cell r="W193" t="str">
            <v>Product</v>
          </cell>
          <cell r="X193" t="str">
            <v>Sum Stat Amt</v>
          </cell>
          <cell r="Y193" t="str">
            <v>Period</v>
          </cell>
          <cell r="Z193" t="str">
            <v>Date</v>
          </cell>
          <cell r="AB193" t="str">
            <v>Account</v>
          </cell>
          <cell r="AC193" t="str">
            <v>Dept</v>
          </cell>
          <cell r="AD193" t="str">
            <v>Sum Amount</v>
          </cell>
          <cell r="AE193" t="str">
            <v>Trans</v>
          </cell>
          <cell r="AF193" t="str">
            <v>Product</v>
          </cell>
          <cell r="AG193" t="str">
            <v>Sum Stat Amt</v>
          </cell>
          <cell r="AH193" t="str">
            <v>Period</v>
          </cell>
          <cell r="AI193" t="str">
            <v>Date</v>
          </cell>
          <cell r="AK193" t="str">
            <v>Account</v>
          </cell>
          <cell r="AL193" t="str">
            <v>Dept</v>
          </cell>
          <cell r="AM193" t="str">
            <v>Sum Amount</v>
          </cell>
          <cell r="AN193" t="str">
            <v>Trans</v>
          </cell>
          <cell r="AO193" t="str">
            <v>Product</v>
          </cell>
          <cell r="AP193" t="str">
            <v>Sum Stat Amt</v>
          </cell>
          <cell r="AQ193" t="str">
            <v>Period</v>
          </cell>
          <cell r="AR193" t="str">
            <v>Date</v>
          </cell>
          <cell r="AT193" t="str">
            <v>Account</v>
          </cell>
          <cell r="AU193" t="str">
            <v>Dept</v>
          </cell>
          <cell r="AV193" t="str">
            <v>Sum Amount</v>
          </cell>
          <cell r="AW193" t="str">
            <v>Trans</v>
          </cell>
          <cell r="AX193" t="str">
            <v>Product</v>
          </cell>
          <cell r="AY193" t="str">
            <v>Sum Stat Amt</v>
          </cell>
          <cell r="AZ193" t="str">
            <v>Period</v>
          </cell>
          <cell r="BA193" t="str">
            <v>Date</v>
          </cell>
          <cell r="BC193" t="str">
            <v>Account</v>
          </cell>
          <cell r="BD193" t="str">
            <v>Dept</v>
          </cell>
          <cell r="BE193" t="str">
            <v>Sum Amount</v>
          </cell>
          <cell r="BF193" t="str">
            <v>Trans</v>
          </cell>
          <cell r="BG193" t="str">
            <v>Product</v>
          </cell>
          <cell r="BH193" t="str">
            <v>Sum Stat Amt</v>
          </cell>
          <cell r="BI193" t="str">
            <v>Period</v>
          </cell>
          <cell r="BJ193" t="str">
            <v>Date</v>
          </cell>
          <cell r="BL193" t="str">
            <v>Account</v>
          </cell>
          <cell r="BM193" t="str">
            <v>Dept</v>
          </cell>
          <cell r="BN193" t="str">
            <v>Sum Amount</v>
          </cell>
          <cell r="BO193" t="str">
            <v>Trans</v>
          </cell>
          <cell r="BP193" t="str">
            <v>Product</v>
          </cell>
          <cell r="BQ193" t="str">
            <v>Sum Stat Amt</v>
          </cell>
          <cell r="BR193" t="str">
            <v>Period</v>
          </cell>
          <cell r="BS193" t="str">
            <v>Date</v>
          </cell>
          <cell r="BU193" t="str">
            <v>Account</v>
          </cell>
          <cell r="BV193" t="str">
            <v>Dept</v>
          </cell>
          <cell r="BW193" t="str">
            <v>Sum Amount</v>
          </cell>
          <cell r="BX193" t="str">
            <v>Trans</v>
          </cell>
          <cell r="BY193" t="str">
            <v>Product</v>
          </cell>
          <cell r="BZ193" t="str">
            <v>Sum Stat Amt</v>
          </cell>
          <cell r="CA193" t="str">
            <v>Period</v>
          </cell>
          <cell r="CB193" t="str">
            <v>Date</v>
          </cell>
          <cell r="CD193" t="str">
            <v>Account</v>
          </cell>
          <cell r="CE193" t="str">
            <v>Dept</v>
          </cell>
          <cell r="CF193" t="str">
            <v>Sum Amount</v>
          </cell>
          <cell r="CG193" t="str">
            <v>Trans</v>
          </cell>
          <cell r="CH193" t="str">
            <v>Product</v>
          </cell>
          <cell r="CI193" t="str">
            <v>Sum Stat Amt</v>
          </cell>
          <cell r="CJ193" t="str">
            <v>Period</v>
          </cell>
          <cell r="CK193" t="str">
            <v>Date</v>
          </cell>
          <cell r="CM193" t="str">
            <v>Account</v>
          </cell>
          <cell r="CN193" t="str">
            <v>Dept</v>
          </cell>
          <cell r="CO193" t="str">
            <v>Sum Amount</v>
          </cell>
          <cell r="CP193" t="str">
            <v>Trans</v>
          </cell>
          <cell r="CQ193" t="str">
            <v>Product</v>
          </cell>
          <cell r="CR193" t="str">
            <v>Sum Stat Amt</v>
          </cell>
          <cell r="CS193" t="str">
            <v>Period</v>
          </cell>
          <cell r="CT193" t="str">
            <v>Date</v>
          </cell>
          <cell r="CV193" t="str">
            <v>Account</v>
          </cell>
          <cell r="CW193" t="str">
            <v>Dept</v>
          </cell>
          <cell r="CX193" t="str">
            <v>Sum Amount</v>
          </cell>
          <cell r="CY193" t="str">
            <v>Trans</v>
          </cell>
          <cell r="CZ193" t="str">
            <v>Product</v>
          </cell>
          <cell r="DA193" t="str">
            <v>Sum Stat Amt</v>
          </cell>
          <cell r="DB193" t="str">
            <v>Period</v>
          </cell>
          <cell r="DC193" t="str">
            <v>Date</v>
          </cell>
          <cell r="DE193" t="str">
            <v>Account</v>
          </cell>
          <cell r="DF193" t="str">
            <v>Dept</v>
          </cell>
          <cell r="DG193" t="str">
            <v>Sum Amount</v>
          </cell>
          <cell r="DH193" t="str">
            <v>Trans</v>
          </cell>
          <cell r="DI193" t="str">
            <v>Product</v>
          </cell>
          <cell r="DJ193" t="str">
            <v>Sum Stat Amt</v>
          </cell>
          <cell r="DK193" t="str">
            <v>Period</v>
          </cell>
          <cell r="DL193" t="str">
            <v>Date</v>
          </cell>
        </row>
        <row r="194">
          <cell r="M194">
            <v>217</v>
          </cell>
          <cell r="N194">
            <v>407</v>
          </cell>
          <cell r="Q194">
            <v>40390</v>
          </cell>
          <cell r="V194">
            <v>217</v>
          </cell>
          <cell r="W194">
            <v>407</v>
          </cell>
          <cell r="Z194">
            <v>40421</v>
          </cell>
          <cell r="AE194">
            <v>217</v>
          </cell>
          <cell r="AF194">
            <v>407</v>
          </cell>
          <cell r="AI194">
            <v>40451</v>
          </cell>
          <cell r="AN194">
            <v>217</v>
          </cell>
          <cell r="AO194">
            <v>407</v>
          </cell>
          <cell r="AR194">
            <v>40482</v>
          </cell>
          <cell r="AW194">
            <v>217</v>
          </cell>
          <cell r="AX194">
            <v>407</v>
          </cell>
          <cell r="BA194">
            <v>40512</v>
          </cell>
          <cell r="BF194">
            <v>217</v>
          </cell>
          <cell r="BG194">
            <v>407</v>
          </cell>
          <cell r="BJ194">
            <v>40543</v>
          </cell>
          <cell r="BO194">
            <v>217</v>
          </cell>
          <cell r="BP194">
            <v>407</v>
          </cell>
          <cell r="BS194">
            <v>40574</v>
          </cell>
          <cell r="BX194">
            <v>217</v>
          </cell>
          <cell r="BY194">
            <v>407</v>
          </cell>
          <cell r="CB194">
            <v>40602</v>
          </cell>
          <cell r="CG194">
            <v>217</v>
          </cell>
          <cell r="CH194">
            <v>407</v>
          </cell>
          <cell r="CK194">
            <v>40633</v>
          </cell>
          <cell r="CP194">
            <v>217</v>
          </cell>
          <cell r="CQ194">
            <v>407</v>
          </cell>
          <cell r="CT194">
            <v>40663</v>
          </cell>
          <cell r="CY194">
            <v>217</v>
          </cell>
          <cell r="CZ194">
            <v>407</v>
          </cell>
          <cell r="DC194">
            <v>40694</v>
          </cell>
          <cell r="DH194">
            <v>217</v>
          </cell>
          <cell r="DI194">
            <v>407</v>
          </cell>
          <cell r="DL194">
            <v>40724</v>
          </cell>
        </row>
        <row r="196">
          <cell r="J196" t="str">
            <v>Account</v>
          </cell>
          <cell r="K196" t="str">
            <v>Dept</v>
          </cell>
          <cell r="L196" t="str">
            <v>Sum Amount</v>
          </cell>
          <cell r="M196" t="str">
            <v>Trans</v>
          </cell>
          <cell r="N196" t="str">
            <v>Product</v>
          </cell>
          <cell r="O196" t="str">
            <v>Sum Stat Amt</v>
          </cell>
          <cell r="P196" t="str">
            <v>Period</v>
          </cell>
          <cell r="Q196" t="str">
            <v>Date</v>
          </cell>
          <cell r="S196" t="str">
            <v>Account</v>
          </cell>
          <cell r="T196" t="str">
            <v>Dept</v>
          </cell>
          <cell r="U196" t="str">
            <v>Sum Amount</v>
          </cell>
          <cell r="V196" t="str">
            <v>Trans</v>
          </cell>
          <cell r="W196" t="str">
            <v>Product</v>
          </cell>
          <cell r="X196" t="str">
            <v>Sum Stat Amt</v>
          </cell>
          <cell r="Y196" t="str">
            <v>Period</v>
          </cell>
          <cell r="Z196" t="str">
            <v>Date</v>
          </cell>
          <cell r="AB196" t="str">
            <v>Account</v>
          </cell>
          <cell r="AC196" t="str">
            <v>Dept</v>
          </cell>
          <cell r="AD196" t="str">
            <v>Sum Amount</v>
          </cell>
          <cell r="AE196" t="str">
            <v>Trans</v>
          </cell>
          <cell r="AF196" t="str">
            <v>Product</v>
          </cell>
          <cell r="AG196" t="str">
            <v>Sum Stat Amt</v>
          </cell>
          <cell r="AH196" t="str">
            <v>Period</v>
          </cell>
          <cell r="AI196" t="str">
            <v>Date</v>
          </cell>
          <cell r="AK196" t="str">
            <v>Account</v>
          </cell>
          <cell r="AL196" t="str">
            <v>Dept</v>
          </cell>
          <cell r="AM196" t="str">
            <v>Sum Amount</v>
          </cell>
          <cell r="AN196" t="str">
            <v>Trans</v>
          </cell>
          <cell r="AO196" t="str">
            <v>Product</v>
          </cell>
          <cell r="AP196" t="str">
            <v>Sum Stat Amt</v>
          </cell>
          <cell r="AQ196" t="str">
            <v>Period</v>
          </cell>
          <cell r="AR196" t="str">
            <v>Date</v>
          </cell>
          <cell r="AT196" t="str">
            <v>Account</v>
          </cell>
          <cell r="AU196" t="str">
            <v>Dept</v>
          </cell>
          <cell r="AV196" t="str">
            <v>Sum Amount</v>
          </cell>
          <cell r="AW196" t="str">
            <v>Trans</v>
          </cell>
          <cell r="AX196" t="str">
            <v>Product</v>
          </cell>
          <cell r="AY196" t="str">
            <v>Sum Stat Amt</v>
          </cell>
          <cell r="AZ196" t="str">
            <v>Period</v>
          </cell>
          <cell r="BA196" t="str">
            <v>Date</v>
          </cell>
          <cell r="BC196" t="str">
            <v>Account</v>
          </cell>
          <cell r="BD196" t="str">
            <v>Dept</v>
          </cell>
          <cell r="BE196" t="str">
            <v>Sum Amount</v>
          </cell>
          <cell r="BF196" t="str">
            <v>Trans</v>
          </cell>
          <cell r="BG196" t="str">
            <v>Product</v>
          </cell>
          <cell r="BH196" t="str">
            <v>Sum Stat Amt</v>
          </cell>
          <cell r="BI196" t="str">
            <v>Period</v>
          </cell>
          <cell r="BJ196" t="str">
            <v>Date</v>
          </cell>
          <cell r="BL196" t="str">
            <v>Account</v>
          </cell>
          <cell r="BM196" t="str">
            <v>Dept</v>
          </cell>
          <cell r="BN196" t="str">
            <v>Sum Amount</v>
          </cell>
          <cell r="BO196" t="str">
            <v>Trans</v>
          </cell>
          <cell r="BP196" t="str">
            <v>Product</v>
          </cell>
          <cell r="BQ196" t="str">
            <v>Sum Stat Amt</v>
          </cell>
          <cell r="BR196" t="str">
            <v>Period</v>
          </cell>
          <cell r="BS196" t="str">
            <v>Date</v>
          </cell>
          <cell r="BU196" t="str">
            <v>Account</v>
          </cell>
          <cell r="BV196" t="str">
            <v>Dept</v>
          </cell>
          <cell r="BW196" t="str">
            <v>Sum Amount</v>
          </cell>
          <cell r="BX196" t="str">
            <v>Trans</v>
          </cell>
          <cell r="BY196" t="str">
            <v>Product</v>
          </cell>
          <cell r="BZ196" t="str">
            <v>Sum Stat Amt</v>
          </cell>
          <cell r="CA196" t="str">
            <v>Period</v>
          </cell>
          <cell r="CB196" t="str">
            <v>Date</v>
          </cell>
          <cell r="CD196" t="str">
            <v>Account</v>
          </cell>
          <cell r="CE196" t="str">
            <v>Dept</v>
          </cell>
          <cell r="CF196" t="str">
            <v>Sum Amount</v>
          </cell>
          <cell r="CG196" t="str">
            <v>Trans</v>
          </cell>
          <cell r="CH196" t="str">
            <v>Product</v>
          </cell>
          <cell r="CI196" t="str">
            <v>Sum Stat Amt</v>
          </cell>
          <cell r="CJ196" t="str">
            <v>Period</v>
          </cell>
          <cell r="CK196" t="str">
            <v>Date</v>
          </cell>
          <cell r="CM196" t="str">
            <v>Account</v>
          </cell>
          <cell r="CN196" t="str">
            <v>Dept</v>
          </cell>
          <cell r="CO196" t="str">
            <v>Sum Amount</v>
          </cell>
          <cell r="CP196" t="str">
            <v>Trans</v>
          </cell>
          <cell r="CQ196" t="str">
            <v>Product</v>
          </cell>
          <cell r="CR196" t="str">
            <v>Sum Stat Amt</v>
          </cell>
          <cell r="CS196" t="str">
            <v>Period</v>
          </cell>
          <cell r="CT196" t="str">
            <v>Date</v>
          </cell>
          <cell r="CV196" t="str">
            <v>Account</v>
          </cell>
          <cell r="CW196" t="str">
            <v>Dept</v>
          </cell>
          <cell r="CX196" t="str">
            <v>Sum Amount</v>
          </cell>
          <cell r="CY196" t="str">
            <v>Trans</v>
          </cell>
          <cell r="CZ196" t="str">
            <v>Product</v>
          </cell>
          <cell r="DA196" t="str">
            <v>Sum Stat Amt</v>
          </cell>
          <cell r="DB196" t="str">
            <v>Period</v>
          </cell>
          <cell r="DC196" t="str">
            <v>Date</v>
          </cell>
          <cell r="DE196" t="str">
            <v>Account</v>
          </cell>
          <cell r="DF196" t="str">
            <v>Dept</v>
          </cell>
          <cell r="DG196" t="str">
            <v>Sum Amount</v>
          </cell>
          <cell r="DH196" t="str">
            <v>Trans</v>
          </cell>
          <cell r="DI196" t="str">
            <v>Product</v>
          </cell>
          <cell r="DJ196" t="str">
            <v>Sum Stat Amt</v>
          </cell>
          <cell r="DK196" t="str">
            <v>Period</v>
          </cell>
          <cell r="DL196" t="str">
            <v>Date</v>
          </cell>
        </row>
        <row r="197">
          <cell r="M197">
            <v>217</v>
          </cell>
          <cell r="N197">
            <v>402</v>
          </cell>
          <cell r="Q197">
            <v>40390</v>
          </cell>
          <cell r="V197">
            <v>217</v>
          </cell>
          <cell r="W197">
            <v>402</v>
          </cell>
          <cell r="Z197">
            <v>40421</v>
          </cell>
          <cell r="AE197">
            <v>217</v>
          </cell>
          <cell r="AF197">
            <v>402</v>
          </cell>
          <cell r="AI197">
            <v>40451</v>
          </cell>
          <cell r="AN197">
            <v>217</v>
          </cell>
          <cell r="AO197">
            <v>402</v>
          </cell>
          <cell r="AR197">
            <v>40482</v>
          </cell>
          <cell r="AW197">
            <v>217</v>
          </cell>
          <cell r="AX197">
            <v>402</v>
          </cell>
          <cell r="BA197">
            <v>40512</v>
          </cell>
          <cell r="BF197">
            <v>217</v>
          </cell>
          <cell r="BG197">
            <v>402</v>
          </cell>
          <cell r="BJ197">
            <v>40543</v>
          </cell>
          <cell r="BO197">
            <v>217</v>
          </cell>
          <cell r="BP197">
            <v>402</v>
          </cell>
          <cell r="BS197">
            <v>40574</v>
          </cell>
          <cell r="BX197">
            <v>217</v>
          </cell>
          <cell r="BY197">
            <v>402</v>
          </cell>
          <cell r="CB197">
            <v>40602</v>
          </cell>
          <cell r="CG197">
            <v>217</v>
          </cell>
          <cell r="CH197">
            <v>402</v>
          </cell>
          <cell r="CK197">
            <v>40633</v>
          </cell>
          <cell r="CP197">
            <v>217</v>
          </cell>
          <cell r="CQ197">
            <v>402</v>
          </cell>
          <cell r="CT197">
            <v>40663</v>
          </cell>
          <cell r="CY197">
            <v>217</v>
          </cell>
          <cell r="CZ197">
            <v>402</v>
          </cell>
          <cell r="DC197">
            <v>40694</v>
          </cell>
          <cell r="DH197">
            <v>217</v>
          </cell>
          <cell r="DI197">
            <v>402</v>
          </cell>
          <cell r="DL197">
            <v>40724</v>
          </cell>
        </row>
        <row r="199">
          <cell r="J199" t="str">
            <v>Account</v>
          </cell>
          <cell r="K199" t="str">
            <v>Dept</v>
          </cell>
          <cell r="L199" t="str">
            <v>Sum Amount</v>
          </cell>
          <cell r="M199" t="str">
            <v>Trans</v>
          </cell>
          <cell r="N199" t="str">
            <v>Product</v>
          </cell>
          <cell r="O199" t="str">
            <v>Sum Stat Amt</v>
          </cell>
          <cell r="P199" t="str">
            <v>Period</v>
          </cell>
          <cell r="Q199" t="str">
            <v>Date</v>
          </cell>
          <cell r="S199" t="str">
            <v>Account</v>
          </cell>
          <cell r="T199" t="str">
            <v>Dept</v>
          </cell>
          <cell r="U199" t="str">
            <v>Sum Amount</v>
          </cell>
          <cell r="V199" t="str">
            <v>Trans</v>
          </cell>
          <cell r="W199" t="str">
            <v>Product</v>
          </cell>
          <cell r="X199" t="str">
            <v>Sum Stat Amt</v>
          </cell>
          <cell r="Y199" t="str">
            <v>Period</v>
          </cell>
          <cell r="Z199" t="str">
            <v>Date</v>
          </cell>
          <cell r="AB199" t="str">
            <v>Account</v>
          </cell>
          <cell r="AC199" t="str">
            <v>Dept</v>
          </cell>
          <cell r="AD199" t="str">
            <v>Sum Amount</v>
          </cell>
          <cell r="AE199" t="str">
            <v>Trans</v>
          </cell>
          <cell r="AF199" t="str">
            <v>Product</v>
          </cell>
          <cell r="AG199" t="str">
            <v>Sum Stat Amt</v>
          </cell>
          <cell r="AH199" t="str">
            <v>Period</v>
          </cell>
          <cell r="AI199" t="str">
            <v>Date</v>
          </cell>
          <cell r="AK199" t="str">
            <v>Account</v>
          </cell>
          <cell r="AL199" t="str">
            <v>Dept</v>
          </cell>
          <cell r="AM199" t="str">
            <v>Sum Amount</v>
          </cell>
          <cell r="AN199" t="str">
            <v>Trans</v>
          </cell>
          <cell r="AO199" t="str">
            <v>Product</v>
          </cell>
          <cell r="AP199" t="str">
            <v>Sum Stat Amt</v>
          </cell>
          <cell r="AQ199" t="str">
            <v>Period</v>
          </cell>
          <cell r="AR199" t="str">
            <v>Date</v>
          </cell>
          <cell r="AT199" t="str">
            <v>Account</v>
          </cell>
          <cell r="AU199" t="str">
            <v>Dept</v>
          </cell>
          <cell r="AV199" t="str">
            <v>Sum Amount</v>
          </cell>
          <cell r="AW199" t="str">
            <v>Trans</v>
          </cell>
          <cell r="AX199" t="str">
            <v>Product</v>
          </cell>
          <cell r="AY199" t="str">
            <v>Sum Stat Amt</v>
          </cell>
          <cell r="AZ199" t="str">
            <v>Period</v>
          </cell>
          <cell r="BA199" t="str">
            <v>Date</v>
          </cell>
          <cell r="BC199" t="str">
            <v>Account</v>
          </cell>
          <cell r="BD199" t="str">
            <v>Dept</v>
          </cell>
          <cell r="BE199" t="str">
            <v>Sum Amount</v>
          </cell>
          <cell r="BF199" t="str">
            <v>Trans</v>
          </cell>
          <cell r="BG199" t="str">
            <v>Product</v>
          </cell>
          <cell r="BH199" t="str">
            <v>Sum Stat Amt</v>
          </cell>
          <cell r="BI199" t="str">
            <v>Period</v>
          </cell>
          <cell r="BJ199" t="str">
            <v>Date</v>
          </cell>
          <cell r="BL199" t="str">
            <v>Account</v>
          </cell>
          <cell r="BM199" t="str">
            <v>Dept</v>
          </cell>
          <cell r="BN199" t="str">
            <v>Sum Amount</v>
          </cell>
          <cell r="BO199" t="str">
            <v>Trans</v>
          </cell>
          <cell r="BP199" t="str">
            <v>Product</v>
          </cell>
          <cell r="BQ199" t="str">
            <v>Sum Stat Amt</v>
          </cell>
          <cell r="BR199" t="str">
            <v>Period</v>
          </cell>
          <cell r="BS199" t="str">
            <v>Date</v>
          </cell>
          <cell r="BU199" t="str">
            <v>Account</v>
          </cell>
          <cell r="BV199" t="str">
            <v>Dept</v>
          </cell>
          <cell r="BW199" t="str">
            <v>Sum Amount</v>
          </cell>
          <cell r="BX199" t="str">
            <v>Trans</v>
          </cell>
          <cell r="BY199" t="str">
            <v>Product</v>
          </cell>
          <cell r="BZ199" t="str">
            <v>Sum Stat Amt</v>
          </cell>
          <cell r="CA199" t="str">
            <v>Period</v>
          </cell>
          <cell r="CB199" t="str">
            <v>Date</v>
          </cell>
          <cell r="CD199" t="str">
            <v>Account</v>
          </cell>
          <cell r="CE199" t="str">
            <v>Dept</v>
          </cell>
          <cell r="CF199" t="str">
            <v>Sum Amount</v>
          </cell>
          <cell r="CG199" t="str">
            <v>Trans</v>
          </cell>
          <cell r="CH199" t="str">
            <v>Product</v>
          </cell>
          <cell r="CI199" t="str">
            <v>Sum Stat Amt</v>
          </cell>
          <cell r="CJ199" t="str">
            <v>Period</v>
          </cell>
          <cell r="CK199" t="str">
            <v>Date</v>
          </cell>
          <cell r="CM199" t="str">
            <v>Account</v>
          </cell>
          <cell r="CN199" t="str">
            <v>Dept</v>
          </cell>
          <cell r="CO199" t="str">
            <v>Sum Amount</v>
          </cell>
          <cell r="CP199" t="str">
            <v>Trans</v>
          </cell>
          <cell r="CQ199" t="str">
            <v>Product</v>
          </cell>
          <cell r="CR199" t="str">
            <v>Sum Stat Amt</v>
          </cell>
          <cell r="CS199" t="str">
            <v>Period</v>
          </cell>
          <cell r="CT199" t="str">
            <v>Date</v>
          </cell>
          <cell r="CV199" t="str">
            <v>Account</v>
          </cell>
          <cell r="CW199" t="str">
            <v>Dept</v>
          </cell>
          <cell r="CX199" t="str">
            <v>Sum Amount</v>
          </cell>
          <cell r="CY199" t="str">
            <v>Trans</v>
          </cell>
          <cell r="CZ199" t="str">
            <v>Product</v>
          </cell>
          <cell r="DA199" t="str">
            <v>Sum Stat Amt</v>
          </cell>
          <cell r="DB199" t="str">
            <v>Period</v>
          </cell>
          <cell r="DC199" t="str">
            <v>Date</v>
          </cell>
          <cell r="DE199" t="str">
            <v>Account</v>
          </cell>
          <cell r="DF199" t="str">
            <v>Dept</v>
          </cell>
          <cell r="DG199" t="str">
            <v>Sum Amount</v>
          </cell>
          <cell r="DH199" t="str">
            <v>Trans</v>
          </cell>
          <cell r="DI199" t="str">
            <v>Product</v>
          </cell>
          <cell r="DJ199" t="str">
            <v>Sum Stat Amt</v>
          </cell>
          <cell r="DK199" t="str">
            <v>Period</v>
          </cell>
          <cell r="DL199" t="str">
            <v>Date</v>
          </cell>
        </row>
        <row r="200">
          <cell r="M200">
            <v>217</v>
          </cell>
          <cell r="N200">
            <v>411</v>
          </cell>
          <cell r="Q200">
            <v>40390</v>
          </cell>
          <cell r="V200">
            <v>217</v>
          </cell>
          <cell r="W200">
            <v>411</v>
          </cell>
          <cell r="Z200">
            <v>40421</v>
          </cell>
          <cell r="AE200">
            <v>217</v>
          </cell>
          <cell r="AF200">
            <v>411</v>
          </cell>
          <cell r="AI200">
            <v>40451</v>
          </cell>
          <cell r="AN200">
            <v>217</v>
          </cell>
          <cell r="AO200">
            <v>411</v>
          </cell>
          <cell r="AR200">
            <v>40482</v>
          </cell>
          <cell r="AW200">
            <v>217</v>
          </cell>
          <cell r="AX200">
            <v>411</v>
          </cell>
          <cell r="BA200">
            <v>40512</v>
          </cell>
          <cell r="BF200">
            <v>217</v>
          </cell>
          <cell r="BG200">
            <v>411</v>
          </cell>
          <cell r="BJ200">
            <v>40543</v>
          </cell>
          <cell r="BO200">
            <v>217</v>
          </cell>
          <cell r="BP200">
            <v>411</v>
          </cell>
          <cell r="BS200">
            <v>40574</v>
          </cell>
          <cell r="BX200">
            <v>217</v>
          </cell>
          <cell r="BY200">
            <v>411</v>
          </cell>
          <cell r="CB200">
            <v>40602</v>
          </cell>
          <cell r="CG200">
            <v>217</v>
          </cell>
          <cell r="CH200">
            <v>411</v>
          </cell>
          <cell r="CK200">
            <v>40633</v>
          </cell>
          <cell r="CP200">
            <v>217</v>
          </cell>
          <cell r="CQ200">
            <v>411</v>
          </cell>
          <cell r="CT200">
            <v>40663</v>
          </cell>
          <cell r="CY200">
            <v>217</v>
          </cell>
          <cell r="CZ200">
            <v>411</v>
          </cell>
          <cell r="DC200">
            <v>40694</v>
          </cell>
          <cell r="DH200">
            <v>217</v>
          </cell>
          <cell r="DI200">
            <v>411</v>
          </cell>
          <cell r="DL200">
            <v>40724</v>
          </cell>
        </row>
        <row r="202">
          <cell r="J202" t="str">
            <v>Account</v>
          </cell>
          <cell r="K202" t="str">
            <v>Dept</v>
          </cell>
          <cell r="L202" t="str">
            <v>Sum Amount</v>
          </cell>
          <cell r="M202" t="str">
            <v>Trans</v>
          </cell>
          <cell r="N202" t="str">
            <v>Product</v>
          </cell>
          <cell r="O202" t="str">
            <v>Sum Stat Amt</v>
          </cell>
          <cell r="P202" t="str">
            <v>Period</v>
          </cell>
          <cell r="Q202" t="str">
            <v>Date</v>
          </cell>
          <cell r="S202" t="str">
            <v>Account</v>
          </cell>
          <cell r="T202" t="str">
            <v>Dept</v>
          </cell>
          <cell r="U202" t="str">
            <v>Sum Amount</v>
          </cell>
          <cell r="V202" t="str">
            <v>Trans</v>
          </cell>
          <cell r="W202" t="str">
            <v>Product</v>
          </cell>
          <cell r="X202" t="str">
            <v>Sum Stat Amt</v>
          </cell>
          <cell r="Y202" t="str">
            <v>Period</v>
          </cell>
          <cell r="Z202" t="str">
            <v>Date</v>
          </cell>
          <cell r="AB202" t="str">
            <v>Account</v>
          </cell>
          <cell r="AC202" t="str">
            <v>Dept</v>
          </cell>
          <cell r="AD202" t="str">
            <v>Sum Amount</v>
          </cell>
          <cell r="AE202" t="str">
            <v>Trans</v>
          </cell>
          <cell r="AF202" t="str">
            <v>Product</v>
          </cell>
          <cell r="AG202" t="str">
            <v>Sum Stat Amt</v>
          </cell>
          <cell r="AH202" t="str">
            <v>Period</v>
          </cell>
          <cell r="AI202" t="str">
            <v>Date</v>
          </cell>
          <cell r="AK202" t="str">
            <v>Account</v>
          </cell>
          <cell r="AL202" t="str">
            <v>Dept</v>
          </cell>
          <cell r="AM202" t="str">
            <v>Sum Amount</v>
          </cell>
          <cell r="AN202" t="str">
            <v>Trans</v>
          </cell>
          <cell r="AO202" t="str">
            <v>Product</v>
          </cell>
          <cell r="AP202" t="str">
            <v>Sum Stat Amt</v>
          </cell>
          <cell r="AQ202" t="str">
            <v>Period</v>
          </cell>
          <cell r="AR202" t="str">
            <v>Date</v>
          </cell>
          <cell r="AT202" t="str">
            <v>Account</v>
          </cell>
          <cell r="AU202" t="str">
            <v>Dept</v>
          </cell>
          <cell r="AV202" t="str">
            <v>Sum Amount</v>
          </cell>
          <cell r="AW202" t="str">
            <v>Trans</v>
          </cell>
          <cell r="AX202" t="str">
            <v>Product</v>
          </cell>
          <cell r="AY202" t="str">
            <v>Sum Stat Amt</v>
          </cell>
          <cell r="AZ202" t="str">
            <v>Period</v>
          </cell>
          <cell r="BA202" t="str">
            <v>Date</v>
          </cell>
          <cell r="BC202" t="str">
            <v>Account</v>
          </cell>
          <cell r="BD202" t="str">
            <v>Dept</v>
          </cell>
          <cell r="BE202" t="str">
            <v>Sum Amount</v>
          </cell>
          <cell r="BF202" t="str">
            <v>Trans</v>
          </cell>
          <cell r="BG202" t="str">
            <v>Product</v>
          </cell>
          <cell r="BH202" t="str">
            <v>Sum Stat Amt</v>
          </cell>
          <cell r="BI202" t="str">
            <v>Period</v>
          </cell>
          <cell r="BJ202" t="str">
            <v>Date</v>
          </cell>
          <cell r="BL202" t="str">
            <v>Account</v>
          </cell>
          <cell r="BM202" t="str">
            <v>Dept</v>
          </cell>
          <cell r="BN202" t="str">
            <v>Sum Amount</v>
          </cell>
          <cell r="BO202" t="str">
            <v>Trans</v>
          </cell>
          <cell r="BP202" t="str">
            <v>Product</v>
          </cell>
          <cell r="BQ202" t="str">
            <v>Sum Stat Amt</v>
          </cell>
          <cell r="BR202" t="str">
            <v>Period</v>
          </cell>
          <cell r="BS202" t="str">
            <v>Date</v>
          </cell>
          <cell r="BU202" t="str">
            <v>Account</v>
          </cell>
          <cell r="BV202" t="str">
            <v>Dept</v>
          </cell>
          <cell r="BW202" t="str">
            <v>Sum Amount</v>
          </cell>
          <cell r="BX202" t="str">
            <v>Trans</v>
          </cell>
          <cell r="BY202" t="str">
            <v>Product</v>
          </cell>
          <cell r="BZ202" t="str">
            <v>Sum Stat Amt</v>
          </cell>
          <cell r="CA202" t="str">
            <v>Period</v>
          </cell>
          <cell r="CB202" t="str">
            <v>Date</v>
          </cell>
          <cell r="CD202" t="str">
            <v>Account</v>
          </cell>
          <cell r="CE202" t="str">
            <v>Dept</v>
          </cell>
          <cell r="CF202" t="str">
            <v>Sum Amount</v>
          </cell>
          <cell r="CG202" t="str">
            <v>Trans</v>
          </cell>
          <cell r="CH202" t="str">
            <v>Product</v>
          </cell>
          <cell r="CI202" t="str">
            <v>Sum Stat Amt</v>
          </cell>
          <cell r="CJ202" t="str">
            <v>Period</v>
          </cell>
          <cell r="CK202" t="str">
            <v>Date</v>
          </cell>
          <cell r="CM202" t="str">
            <v>Account</v>
          </cell>
          <cell r="CN202" t="str">
            <v>Dept</v>
          </cell>
          <cell r="CO202" t="str">
            <v>Sum Amount</v>
          </cell>
          <cell r="CP202" t="str">
            <v>Trans</v>
          </cell>
          <cell r="CQ202" t="str">
            <v>Product</v>
          </cell>
          <cell r="CR202" t="str">
            <v>Sum Stat Amt</v>
          </cell>
          <cell r="CS202" t="str">
            <v>Period</v>
          </cell>
          <cell r="CT202" t="str">
            <v>Date</v>
          </cell>
          <cell r="CV202" t="str">
            <v>Account</v>
          </cell>
          <cell r="CW202" t="str">
            <v>Dept</v>
          </cell>
          <cell r="CX202" t="str">
            <v>Sum Amount</v>
          </cell>
          <cell r="CY202" t="str">
            <v>Trans</v>
          </cell>
          <cell r="CZ202" t="str">
            <v>Product</v>
          </cell>
          <cell r="DA202" t="str">
            <v>Sum Stat Amt</v>
          </cell>
          <cell r="DB202" t="str">
            <v>Period</v>
          </cell>
          <cell r="DC202" t="str">
            <v>Date</v>
          </cell>
          <cell r="DE202" t="str">
            <v>Account</v>
          </cell>
          <cell r="DF202" t="str">
            <v>Dept</v>
          </cell>
          <cell r="DG202" t="str">
            <v>Sum Amount</v>
          </cell>
          <cell r="DH202" t="str">
            <v>Trans</v>
          </cell>
          <cell r="DI202" t="str">
            <v>Product</v>
          </cell>
          <cell r="DJ202" t="str">
            <v>Sum Stat Amt</v>
          </cell>
          <cell r="DK202" t="str">
            <v>Period</v>
          </cell>
          <cell r="DL202" t="str">
            <v>Date</v>
          </cell>
        </row>
        <row r="203">
          <cell r="M203">
            <v>217</v>
          </cell>
          <cell r="N203">
            <v>405</v>
          </cell>
          <cell r="Q203">
            <v>40390</v>
          </cell>
          <cell r="V203">
            <v>217</v>
          </cell>
          <cell r="W203">
            <v>405</v>
          </cell>
          <cell r="Z203">
            <v>40421</v>
          </cell>
          <cell r="AE203">
            <v>217</v>
          </cell>
          <cell r="AF203">
            <v>405</v>
          </cell>
          <cell r="AI203">
            <v>40451</v>
          </cell>
          <cell r="AN203">
            <v>217</v>
          </cell>
          <cell r="AO203">
            <v>405</v>
          </cell>
          <cell r="AR203">
            <v>40482</v>
          </cell>
          <cell r="AW203">
            <v>217</v>
          </cell>
          <cell r="AX203">
            <v>405</v>
          </cell>
          <cell r="BA203">
            <v>40512</v>
          </cell>
          <cell r="BF203">
            <v>217</v>
          </cell>
          <cell r="BG203">
            <v>405</v>
          </cell>
          <cell r="BJ203">
            <v>40543</v>
          </cell>
          <cell r="BO203">
            <v>217</v>
          </cell>
          <cell r="BP203">
            <v>405</v>
          </cell>
          <cell r="BS203">
            <v>40574</v>
          </cell>
          <cell r="BX203">
            <v>217</v>
          </cell>
          <cell r="BY203">
            <v>405</v>
          </cell>
          <cell r="CB203">
            <v>40602</v>
          </cell>
          <cell r="CG203">
            <v>217</v>
          </cell>
          <cell r="CH203">
            <v>405</v>
          </cell>
          <cell r="CK203">
            <v>40633</v>
          </cell>
          <cell r="CP203">
            <v>217</v>
          </cell>
          <cell r="CQ203">
            <v>405</v>
          </cell>
          <cell r="CT203">
            <v>40663</v>
          </cell>
          <cell r="CY203">
            <v>217</v>
          </cell>
          <cell r="CZ203">
            <v>405</v>
          </cell>
          <cell r="DC203">
            <v>40694</v>
          </cell>
          <cell r="DH203">
            <v>217</v>
          </cell>
          <cell r="DI203">
            <v>405</v>
          </cell>
          <cell r="DL203">
            <v>40724</v>
          </cell>
        </row>
        <row r="205">
          <cell r="J205" t="str">
            <v>Account</v>
          </cell>
          <cell r="K205" t="str">
            <v>Dept</v>
          </cell>
          <cell r="L205" t="str">
            <v>Sum Amount</v>
          </cell>
          <cell r="M205" t="str">
            <v>Trans</v>
          </cell>
          <cell r="N205" t="str">
            <v>Product</v>
          </cell>
          <cell r="O205" t="str">
            <v>Sum Stat Amt</v>
          </cell>
          <cell r="P205" t="str">
            <v>Period</v>
          </cell>
          <cell r="Q205" t="str">
            <v>Date</v>
          </cell>
          <cell r="S205" t="str">
            <v>Account</v>
          </cell>
          <cell r="T205" t="str">
            <v>Dept</v>
          </cell>
          <cell r="U205" t="str">
            <v>Sum Amount</v>
          </cell>
          <cell r="V205" t="str">
            <v>Trans</v>
          </cell>
          <cell r="W205" t="str">
            <v>Product</v>
          </cell>
          <cell r="X205" t="str">
            <v>Sum Stat Amt</v>
          </cell>
          <cell r="Y205" t="str">
            <v>Period</v>
          </cell>
          <cell r="Z205" t="str">
            <v>Date</v>
          </cell>
          <cell r="AB205" t="str">
            <v>Account</v>
          </cell>
          <cell r="AC205" t="str">
            <v>Dept</v>
          </cell>
          <cell r="AD205" t="str">
            <v>Sum Amount</v>
          </cell>
          <cell r="AE205" t="str">
            <v>Trans</v>
          </cell>
          <cell r="AF205" t="str">
            <v>Product</v>
          </cell>
          <cell r="AG205" t="str">
            <v>Sum Stat Amt</v>
          </cell>
          <cell r="AH205" t="str">
            <v>Period</v>
          </cell>
          <cell r="AI205" t="str">
            <v>Date</v>
          </cell>
          <cell r="AK205" t="str">
            <v>Account</v>
          </cell>
          <cell r="AL205" t="str">
            <v>Dept</v>
          </cell>
          <cell r="AM205" t="str">
            <v>Sum Amount</v>
          </cell>
          <cell r="AN205" t="str">
            <v>Trans</v>
          </cell>
          <cell r="AO205" t="str">
            <v>Product</v>
          </cell>
          <cell r="AP205" t="str">
            <v>Sum Stat Amt</v>
          </cell>
          <cell r="AQ205" t="str">
            <v>Period</v>
          </cell>
          <cell r="AR205" t="str">
            <v>Date</v>
          </cell>
          <cell r="AT205" t="str">
            <v>Account</v>
          </cell>
          <cell r="AU205" t="str">
            <v>Dept</v>
          </cell>
          <cell r="AV205" t="str">
            <v>Sum Amount</v>
          </cell>
          <cell r="AW205" t="str">
            <v>Trans</v>
          </cell>
          <cell r="AX205" t="str">
            <v>Product</v>
          </cell>
          <cell r="AY205" t="str">
            <v>Sum Stat Amt</v>
          </cell>
          <cell r="AZ205" t="str">
            <v>Period</v>
          </cell>
          <cell r="BA205" t="str">
            <v>Date</v>
          </cell>
          <cell r="BC205" t="str">
            <v>Account</v>
          </cell>
          <cell r="BD205" t="str">
            <v>Dept</v>
          </cell>
          <cell r="BE205" t="str">
            <v>Sum Amount</v>
          </cell>
          <cell r="BF205" t="str">
            <v>Trans</v>
          </cell>
          <cell r="BG205" t="str">
            <v>Product</v>
          </cell>
          <cell r="BH205" t="str">
            <v>Sum Stat Amt</v>
          </cell>
          <cell r="BI205" t="str">
            <v>Period</v>
          </cell>
          <cell r="BJ205" t="str">
            <v>Date</v>
          </cell>
          <cell r="BL205" t="str">
            <v>Account</v>
          </cell>
          <cell r="BM205" t="str">
            <v>Dept</v>
          </cell>
          <cell r="BN205" t="str">
            <v>Sum Amount</v>
          </cell>
          <cell r="BO205" t="str">
            <v>Trans</v>
          </cell>
          <cell r="BP205" t="str">
            <v>Product</v>
          </cell>
          <cell r="BQ205" t="str">
            <v>Sum Stat Amt</v>
          </cell>
          <cell r="BR205" t="str">
            <v>Period</v>
          </cell>
          <cell r="BS205" t="str">
            <v>Date</v>
          </cell>
          <cell r="BU205" t="str">
            <v>Account</v>
          </cell>
          <cell r="BV205" t="str">
            <v>Dept</v>
          </cell>
          <cell r="BW205" t="str">
            <v>Sum Amount</v>
          </cell>
          <cell r="BX205" t="str">
            <v>Trans</v>
          </cell>
          <cell r="BY205" t="str">
            <v>Product</v>
          </cell>
          <cell r="BZ205" t="str">
            <v>Sum Stat Amt</v>
          </cell>
          <cell r="CA205" t="str">
            <v>Period</v>
          </cell>
          <cell r="CB205" t="str">
            <v>Date</v>
          </cell>
          <cell r="CD205" t="str">
            <v>Account</v>
          </cell>
          <cell r="CE205" t="str">
            <v>Dept</v>
          </cell>
          <cell r="CF205" t="str">
            <v>Sum Amount</v>
          </cell>
          <cell r="CG205" t="str">
            <v>Trans</v>
          </cell>
          <cell r="CH205" t="str">
            <v>Product</v>
          </cell>
          <cell r="CI205" t="str">
            <v>Sum Stat Amt</v>
          </cell>
          <cell r="CJ205" t="str">
            <v>Period</v>
          </cell>
          <cell r="CK205" t="str">
            <v>Date</v>
          </cell>
          <cell r="CM205" t="str">
            <v>Account</v>
          </cell>
          <cell r="CN205" t="str">
            <v>Dept</v>
          </cell>
          <cell r="CO205" t="str">
            <v>Sum Amount</v>
          </cell>
          <cell r="CP205" t="str">
            <v>Trans</v>
          </cell>
          <cell r="CQ205" t="str">
            <v>Product</v>
          </cell>
          <cell r="CR205" t="str">
            <v>Sum Stat Amt</v>
          </cell>
          <cell r="CS205" t="str">
            <v>Period</v>
          </cell>
          <cell r="CT205" t="str">
            <v>Date</v>
          </cell>
          <cell r="CV205" t="str">
            <v>Account</v>
          </cell>
          <cell r="CW205" t="str">
            <v>Dept</v>
          </cell>
          <cell r="CX205" t="str">
            <v>Sum Amount</v>
          </cell>
          <cell r="CY205" t="str">
            <v>Trans</v>
          </cell>
          <cell r="CZ205" t="str">
            <v>Product</v>
          </cell>
          <cell r="DA205" t="str">
            <v>Sum Stat Amt</v>
          </cell>
          <cell r="DB205" t="str">
            <v>Period</v>
          </cell>
          <cell r="DC205" t="str">
            <v>Date</v>
          </cell>
          <cell r="DE205" t="str">
            <v>Account</v>
          </cell>
          <cell r="DF205" t="str">
            <v>Dept</v>
          </cell>
          <cell r="DG205" t="str">
            <v>Sum Amount</v>
          </cell>
          <cell r="DH205" t="str">
            <v>Trans</v>
          </cell>
          <cell r="DI205" t="str">
            <v>Product</v>
          </cell>
          <cell r="DJ205" t="str">
            <v>Sum Stat Amt</v>
          </cell>
          <cell r="DK205" t="str">
            <v>Period</v>
          </cell>
          <cell r="DL205" t="str">
            <v>Date</v>
          </cell>
        </row>
        <row r="206">
          <cell r="M206">
            <v>217</v>
          </cell>
          <cell r="N206">
            <v>406</v>
          </cell>
          <cell r="Q206">
            <v>40390</v>
          </cell>
          <cell r="V206">
            <v>217</v>
          </cell>
          <cell r="W206">
            <v>406</v>
          </cell>
          <cell r="Z206">
            <v>40421</v>
          </cell>
          <cell r="AE206">
            <v>217</v>
          </cell>
          <cell r="AF206">
            <v>406</v>
          </cell>
          <cell r="AI206">
            <v>40451</v>
          </cell>
          <cell r="AN206">
            <v>217</v>
          </cell>
          <cell r="AO206">
            <v>406</v>
          </cell>
          <cell r="AR206">
            <v>40482</v>
          </cell>
          <cell r="AW206">
            <v>217</v>
          </cell>
          <cell r="AX206">
            <v>406</v>
          </cell>
          <cell r="BA206">
            <v>40512</v>
          </cell>
          <cell r="BF206">
            <v>217</v>
          </cell>
          <cell r="BG206">
            <v>406</v>
          </cell>
          <cell r="BJ206">
            <v>40543</v>
          </cell>
          <cell r="BO206">
            <v>217</v>
          </cell>
          <cell r="BP206">
            <v>406</v>
          </cell>
          <cell r="BS206">
            <v>40574</v>
          </cell>
          <cell r="BX206">
            <v>217</v>
          </cell>
          <cell r="BY206">
            <v>406</v>
          </cell>
          <cell r="CB206">
            <v>40602</v>
          </cell>
          <cell r="CG206">
            <v>217</v>
          </cell>
          <cell r="CH206">
            <v>406</v>
          </cell>
          <cell r="CK206">
            <v>40633</v>
          </cell>
          <cell r="CP206">
            <v>217</v>
          </cell>
          <cell r="CQ206">
            <v>406</v>
          </cell>
          <cell r="CT206">
            <v>40663</v>
          </cell>
          <cell r="CY206">
            <v>217</v>
          </cell>
          <cell r="CZ206">
            <v>406</v>
          </cell>
          <cell r="DC206">
            <v>40694</v>
          </cell>
          <cell r="DH206">
            <v>217</v>
          </cell>
          <cell r="DI206">
            <v>406</v>
          </cell>
          <cell r="DL206">
            <v>40724</v>
          </cell>
        </row>
        <row r="208">
          <cell r="J208" t="str">
            <v>Account</v>
          </cell>
          <cell r="K208" t="str">
            <v>Dept</v>
          </cell>
          <cell r="L208" t="str">
            <v>Sum Amount</v>
          </cell>
          <cell r="M208" t="str">
            <v>Trans</v>
          </cell>
          <cell r="N208" t="str">
            <v>Product</v>
          </cell>
          <cell r="O208" t="str">
            <v>Sum Stat Amt</v>
          </cell>
          <cell r="P208" t="str">
            <v>Period</v>
          </cell>
          <cell r="Q208" t="str">
            <v>Date</v>
          </cell>
          <cell r="S208" t="str">
            <v>Account</v>
          </cell>
          <cell r="T208" t="str">
            <v>Dept</v>
          </cell>
          <cell r="U208" t="str">
            <v>Sum Amount</v>
          </cell>
          <cell r="V208" t="str">
            <v>Trans</v>
          </cell>
          <cell r="W208" t="str">
            <v>Product</v>
          </cell>
          <cell r="X208" t="str">
            <v>Sum Stat Amt</v>
          </cell>
          <cell r="Y208" t="str">
            <v>Period</v>
          </cell>
          <cell r="Z208" t="str">
            <v>Date</v>
          </cell>
          <cell r="AB208" t="str">
            <v>Account</v>
          </cell>
          <cell r="AC208" t="str">
            <v>Dept</v>
          </cell>
          <cell r="AD208" t="str">
            <v>Sum Amount</v>
          </cell>
          <cell r="AE208" t="str">
            <v>Trans</v>
          </cell>
          <cell r="AF208" t="str">
            <v>Product</v>
          </cell>
          <cell r="AG208" t="str">
            <v>Sum Stat Amt</v>
          </cell>
          <cell r="AH208" t="str">
            <v>Period</v>
          </cell>
          <cell r="AI208" t="str">
            <v>Date</v>
          </cell>
          <cell r="AK208" t="str">
            <v>Account</v>
          </cell>
          <cell r="AL208" t="str">
            <v>Dept</v>
          </cell>
          <cell r="AM208" t="str">
            <v>Sum Amount</v>
          </cell>
          <cell r="AN208" t="str">
            <v>Trans</v>
          </cell>
          <cell r="AO208" t="str">
            <v>Product</v>
          </cell>
          <cell r="AP208" t="str">
            <v>Sum Stat Amt</v>
          </cell>
          <cell r="AQ208" t="str">
            <v>Period</v>
          </cell>
          <cell r="AR208" t="str">
            <v>Date</v>
          </cell>
          <cell r="AT208" t="str">
            <v>Account</v>
          </cell>
          <cell r="AU208" t="str">
            <v>Dept</v>
          </cell>
          <cell r="AV208" t="str">
            <v>Sum Amount</v>
          </cell>
          <cell r="AW208" t="str">
            <v>Trans</v>
          </cell>
          <cell r="AX208" t="str">
            <v>Product</v>
          </cell>
          <cell r="AY208" t="str">
            <v>Sum Stat Amt</v>
          </cell>
          <cell r="AZ208" t="str">
            <v>Period</v>
          </cell>
          <cell r="BA208" t="str">
            <v>Date</v>
          </cell>
          <cell r="BC208" t="str">
            <v>Account</v>
          </cell>
          <cell r="BD208" t="str">
            <v>Dept</v>
          </cell>
          <cell r="BE208" t="str">
            <v>Sum Amount</v>
          </cell>
          <cell r="BF208" t="str">
            <v>Trans</v>
          </cell>
          <cell r="BG208" t="str">
            <v>Product</v>
          </cell>
          <cell r="BH208" t="str">
            <v>Sum Stat Amt</v>
          </cell>
          <cell r="BI208" t="str">
            <v>Period</v>
          </cell>
          <cell r="BJ208" t="str">
            <v>Date</v>
          </cell>
          <cell r="BL208" t="str">
            <v>Account</v>
          </cell>
          <cell r="BM208" t="str">
            <v>Dept</v>
          </cell>
          <cell r="BN208" t="str">
            <v>Sum Amount</v>
          </cell>
          <cell r="BO208" t="str">
            <v>Trans</v>
          </cell>
          <cell r="BP208" t="str">
            <v>Product</v>
          </cell>
          <cell r="BQ208" t="str">
            <v>Sum Stat Amt</v>
          </cell>
          <cell r="BR208" t="str">
            <v>Period</v>
          </cell>
          <cell r="BS208" t="str">
            <v>Date</v>
          </cell>
          <cell r="BU208" t="str">
            <v>Account</v>
          </cell>
          <cell r="BV208" t="str">
            <v>Dept</v>
          </cell>
          <cell r="BW208" t="str">
            <v>Sum Amount</v>
          </cell>
          <cell r="BX208" t="str">
            <v>Trans</v>
          </cell>
          <cell r="BY208" t="str">
            <v>Product</v>
          </cell>
          <cell r="BZ208" t="str">
            <v>Sum Stat Amt</v>
          </cell>
          <cell r="CA208" t="str">
            <v>Period</v>
          </cell>
          <cell r="CB208" t="str">
            <v>Date</v>
          </cell>
          <cell r="CD208" t="str">
            <v>Account</v>
          </cell>
          <cell r="CE208" t="str">
            <v>Dept</v>
          </cell>
          <cell r="CF208" t="str">
            <v>Sum Amount</v>
          </cell>
          <cell r="CG208" t="str">
            <v>Trans</v>
          </cell>
          <cell r="CH208" t="str">
            <v>Product</v>
          </cell>
          <cell r="CI208" t="str">
            <v>Sum Stat Amt</v>
          </cell>
          <cell r="CJ208" t="str">
            <v>Period</v>
          </cell>
          <cell r="CK208" t="str">
            <v>Date</v>
          </cell>
          <cell r="CM208" t="str">
            <v>Account</v>
          </cell>
          <cell r="CN208" t="str">
            <v>Dept</v>
          </cell>
          <cell r="CO208" t="str">
            <v>Sum Amount</v>
          </cell>
          <cell r="CP208" t="str">
            <v>Trans</v>
          </cell>
          <cell r="CQ208" t="str">
            <v>Product</v>
          </cell>
          <cell r="CR208" t="str">
            <v>Sum Stat Amt</v>
          </cell>
          <cell r="CS208" t="str">
            <v>Period</v>
          </cell>
          <cell r="CT208" t="str">
            <v>Date</v>
          </cell>
          <cell r="CV208" t="str">
            <v>Account</v>
          </cell>
          <cell r="CW208" t="str">
            <v>Dept</v>
          </cell>
          <cell r="CX208" t="str">
            <v>Sum Amount</v>
          </cell>
          <cell r="CY208" t="str">
            <v>Trans</v>
          </cell>
          <cell r="CZ208" t="str">
            <v>Product</v>
          </cell>
          <cell r="DA208" t="str">
            <v>Sum Stat Amt</v>
          </cell>
          <cell r="DB208" t="str">
            <v>Period</v>
          </cell>
          <cell r="DC208" t="str">
            <v>Date</v>
          </cell>
          <cell r="DE208" t="str">
            <v>Account</v>
          </cell>
          <cell r="DF208" t="str">
            <v>Dept</v>
          </cell>
          <cell r="DG208" t="str">
            <v>Sum Amount</v>
          </cell>
          <cell r="DH208" t="str">
            <v>Trans</v>
          </cell>
          <cell r="DI208" t="str">
            <v>Product</v>
          </cell>
          <cell r="DJ208" t="str">
            <v>Sum Stat Amt</v>
          </cell>
          <cell r="DK208" t="str">
            <v>Period</v>
          </cell>
          <cell r="DL208" t="str">
            <v>Date</v>
          </cell>
        </row>
        <row r="209">
          <cell r="M209">
            <v>217</v>
          </cell>
          <cell r="N209">
            <v>416</v>
          </cell>
          <cell r="Q209">
            <v>40390</v>
          </cell>
          <cell r="V209">
            <v>217</v>
          </cell>
          <cell r="W209">
            <v>416</v>
          </cell>
          <cell r="Z209">
            <v>40421</v>
          </cell>
          <cell r="AE209">
            <v>217</v>
          </cell>
          <cell r="AF209">
            <v>416</v>
          </cell>
          <cell r="AI209">
            <v>40451</v>
          </cell>
          <cell r="AN209">
            <v>217</v>
          </cell>
          <cell r="AO209">
            <v>416</v>
          </cell>
          <cell r="AR209">
            <v>40482</v>
          </cell>
          <cell r="AW209">
            <v>217</v>
          </cell>
          <cell r="AX209">
            <v>416</v>
          </cell>
          <cell r="BA209">
            <v>40512</v>
          </cell>
          <cell r="BF209">
            <v>217</v>
          </cell>
          <cell r="BG209">
            <v>416</v>
          </cell>
          <cell r="BJ209">
            <v>40543</v>
          </cell>
          <cell r="BO209">
            <v>217</v>
          </cell>
          <cell r="BP209">
            <v>416</v>
          </cell>
          <cell r="BS209">
            <v>40574</v>
          </cell>
          <cell r="BX209">
            <v>217</v>
          </cell>
          <cell r="BY209">
            <v>416</v>
          </cell>
          <cell r="CB209">
            <v>40602</v>
          </cell>
          <cell r="CG209">
            <v>217</v>
          </cell>
          <cell r="CH209">
            <v>416</v>
          </cell>
          <cell r="CK209">
            <v>40633</v>
          </cell>
          <cell r="CP209">
            <v>217</v>
          </cell>
          <cell r="CQ209">
            <v>416</v>
          </cell>
          <cell r="CT209">
            <v>40663</v>
          </cell>
          <cell r="CY209">
            <v>217</v>
          </cell>
          <cell r="CZ209">
            <v>416</v>
          </cell>
          <cell r="DC209">
            <v>40694</v>
          </cell>
          <cell r="DH209">
            <v>217</v>
          </cell>
          <cell r="DI209">
            <v>416</v>
          </cell>
          <cell r="DL209">
            <v>40724</v>
          </cell>
        </row>
        <row r="211">
          <cell r="J211" t="str">
            <v>Account</v>
          </cell>
          <cell r="K211" t="str">
            <v>Dept</v>
          </cell>
          <cell r="L211" t="str">
            <v>Sum Amount</v>
          </cell>
          <cell r="M211" t="str">
            <v>Trans</v>
          </cell>
          <cell r="N211" t="str">
            <v>Product</v>
          </cell>
          <cell r="O211" t="str">
            <v>Sum Stat Amt</v>
          </cell>
          <cell r="P211" t="str">
            <v>Period</v>
          </cell>
          <cell r="Q211" t="str">
            <v>Date</v>
          </cell>
          <cell r="S211" t="str">
            <v>Account</v>
          </cell>
          <cell r="T211" t="str">
            <v>Dept</v>
          </cell>
          <cell r="U211" t="str">
            <v>Sum Amount</v>
          </cell>
          <cell r="V211" t="str">
            <v>Trans</v>
          </cell>
          <cell r="W211" t="str">
            <v>Product</v>
          </cell>
          <cell r="X211" t="str">
            <v>Sum Stat Amt</v>
          </cell>
          <cell r="Y211" t="str">
            <v>Period</v>
          </cell>
          <cell r="Z211" t="str">
            <v>Date</v>
          </cell>
          <cell r="AB211" t="str">
            <v>Account</v>
          </cell>
          <cell r="AC211" t="str">
            <v>Dept</v>
          </cell>
          <cell r="AD211" t="str">
            <v>Sum Amount</v>
          </cell>
          <cell r="AE211" t="str">
            <v>Trans</v>
          </cell>
          <cell r="AF211" t="str">
            <v>Product</v>
          </cell>
          <cell r="AG211" t="str">
            <v>Sum Stat Amt</v>
          </cell>
          <cell r="AH211" t="str">
            <v>Period</v>
          </cell>
          <cell r="AI211" t="str">
            <v>Date</v>
          </cell>
          <cell r="AK211" t="str">
            <v>Account</v>
          </cell>
          <cell r="AL211" t="str">
            <v>Dept</v>
          </cell>
          <cell r="AM211" t="str">
            <v>Sum Amount</v>
          </cell>
          <cell r="AN211" t="str">
            <v>Trans</v>
          </cell>
          <cell r="AO211" t="str">
            <v>Product</v>
          </cell>
          <cell r="AP211" t="str">
            <v>Sum Stat Amt</v>
          </cell>
          <cell r="AQ211" t="str">
            <v>Period</v>
          </cell>
          <cell r="AR211" t="str">
            <v>Date</v>
          </cell>
          <cell r="AT211" t="str">
            <v>Account</v>
          </cell>
          <cell r="AU211" t="str">
            <v>Dept</v>
          </cell>
          <cell r="AV211" t="str">
            <v>Sum Amount</v>
          </cell>
          <cell r="AW211" t="str">
            <v>Trans</v>
          </cell>
          <cell r="AX211" t="str">
            <v>Product</v>
          </cell>
          <cell r="AY211" t="str">
            <v>Sum Stat Amt</v>
          </cell>
          <cell r="AZ211" t="str">
            <v>Period</v>
          </cell>
          <cell r="BA211" t="str">
            <v>Date</v>
          </cell>
          <cell r="BC211" t="str">
            <v>Account</v>
          </cell>
          <cell r="BD211" t="str">
            <v>Dept</v>
          </cell>
          <cell r="BE211" t="str">
            <v>Sum Amount</v>
          </cell>
          <cell r="BF211" t="str">
            <v>Trans</v>
          </cell>
          <cell r="BG211" t="str">
            <v>Product</v>
          </cell>
          <cell r="BH211" t="str">
            <v>Sum Stat Amt</v>
          </cell>
          <cell r="BI211" t="str">
            <v>Period</v>
          </cell>
          <cell r="BJ211" t="str">
            <v>Date</v>
          </cell>
          <cell r="BL211" t="str">
            <v>Account</v>
          </cell>
          <cell r="BM211" t="str">
            <v>Dept</v>
          </cell>
          <cell r="BN211" t="str">
            <v>Sum Amount</v>
          </cell>
          <cell r="BO211" t="str">
            <v>Trans</v>
          </cell>
          <cell r="BP211" t="str">
            <v>Product</v>
          </cell>
          <cell r="BQ211" t="str">
            <v>Sum Stat Amt</v>
          </cell>
          <cell r="BR211" t="str">
            <v>Period</v>
          </cell>
          <cell r="BS211" t="str">
            <v>Date</v>
          </cell>
          <cell r="BU211" t="str">
            <v>Account</v>
          </cell>
          <cell r="BV211" t="str">
            <v>Dept</v>
          </cell>
          <cell r="BW211" t="str">
            <v>Sum Amount</v>
          </cell>
          <cell r="BX211" t="str">
            <v>Trans</v>
          </cell>
          <cell r="BY211" t="str">
            <v>Product</v>
          </cell>
          <cell r="BZ211" t="str">
            <v>Sum Stat Amt</v>
          </cell>
          <cell r="CA211" t="str">
            <v>Period</v>
          </cell>
          <cell r="CB211" t="str">
            <v>Date</v>
          </cell>
          <cell r="CD211" t="str">
            <v>Account</v>
          </cell>
          <cell r="CE211" t="str">
            <v>Dept</v>
          </cell>
          <cell r="CF211" t="str">
            <v>Sum Amount</v>
          </cell>
          <cell r="CG211" t="str">
            <v>Trans</v>
          </cell>
          <cell r="CH211" t="str">
            <v>Product</v>
          </cell>
          <cell r="CI211" t="str">
            <v>Sum Stat Amt</v>
          </cell>
          <cell r="CJ211" t="str">
            <v>Period</v>
          </cell>
          <cell r="CK211" t="str">
            <v>Date</v>
          </cell>
          <cell r="CM211" t="str">
            <v>Account</v>
          </cell>
          <cell r="CN211" t="str">
            <v>Dept</v>
          </cell>
          <cell r="CO211" t="str">
            <v>Sum Amount</v>
          </cell>
          <cell r="CP211" t="str">
            <v>Trans</v>
          </cell>
          <cell r="CQ211" t="str">
            <v>Product</v>
          </cell>
          <cell r="CR211" t="str">
            <v>Sum Stat Amt</v>
          </cell>
          <cell r="CS211" t="str">
            <v>Period</v>
          </cell>
          <cell r="CT211" t="str">
            <v>Date</v>
          </cell>
          <cell r="CV211" t="str">
            <v>Account</v>
          </cell>
          <cell r="CW211" t="str">
            <v>Dept</v>
          </cell>
          <cell r="CX211" t="str">
            <v>Sum Amount</v>
          </cell>
          <cell r="CY211" t="str">
            <v>Trans</v>
          </cell>
          <cell r="CZ211" t="str">
            <v>Product</v>
          </cell>
          <cell r="DA211" t="str">
            <v>Sum Stat Amt</v>
          </cell>
          <cell r="DB211" t="str">
            <v>Period</v>
          </cell>
          <cell r="DC211" t="str">
            <v>Date</v>
          </cell>
          <cell r="DE211" t="str">
            <v>Account</v>
          </cell>
          <cell r="DF211" t="str">
            <v>Dept</v>
          </cell>
          <cell r="DG211" t="str">
            <v>Sum Amount</v>
          </cell>
          <cell r="DH211" t="str">
            <v>Trans</v>
          </cell>
          <cell r="DI211" t="str">
            <v>Product</v>
          </cell>
          <cell r="DJ211" t="str">
            <v>Sum Stat Amt</v>
          </cell>
          <cell r="DK211" t="str">
            <v>Period</v>
          </cell>
          <cell r="DL211" t="str">
            <v>Date</v>
          </cell>
        </row>
        <row r="212">
          <cell r="M212">
            <v>210</v>
          </cell>
          <cell r="N212">
            <v>453</v>
          </cell>
          <cell r="Q212">
            <v>40390</v>
          </cell>
          <cell r="V212">
            <v>210</v>
          </cell>
          <cell r="W212">
            <v>453</v>
          </cell>
          <cell r="Z212">
            <v>40421</v>
          </cell>
          <cell r="AE212">
            <v>210</v>
          </cell>
          <cell r="AF212">
            <v>453</v>
          </cell>
          <cell r="AI212">
            <v>40451</v>
          </cell>
          <cell r="AN212">
            <v>210</v>
          </cell>
          <cell r="AO212">
            <v>453</v>
          </cell>
          <cell r="AR212">
            <v>40482</v>
          </cell>
          <cell r="AW212">
            <v>210</v>
          </cell>
          <cell r="AX212">
            <v>453</v>
          </cell>
          <cell r="BA212">
            <v>40512</v>
          </cell>
          <cell r="BF212">
            <v>210</v>
          </cell>
          <cell r="BG212">
            <v>453</v>
          </cell>
          <cell r="BJ212">
            <v>40543</v>
          </cell>
          <cell r="BO212">
            <v>210</v>
          </cell>
          <cell r="BP212">
            <v>453</v>
          </cell>
          <cell r="BS212">
            <v>40574</v>
          </cell>
          <cell r="BX212">
            <v>210</v>
          </cell>
          <cell r="BY212">
            <v>453</v>
          </cell>
          <cell r="CB212">
            <v>40602</v>
          </cell>
          <cell r="CG212">
            <v>210</v>
          </cell>
          <cell r="CH212">
            <v>453</v>
          </cell>
          <cell r="CK212">
            <v>40633</v>
          </cell>
          <cell r="CP212">
            <v>210</v>
          </cell>
          <cell r="CQ212">
            <v>453</v>
          </cell>
          <cell r="CT212">
            <v>40663</v>
          </cell>
          <cell r="CY212">
            <v>210</v>
          </cell>
          <cell r="CZ212">
            <v>453</v>
          </cell>
          <cell r="DC212">
            <v>40694</v>
          </cell>
          <cell r="DH212">
            <v>210</v>
          </cell>
          <cell r="DI212">
            <v>453</v>
          </cell>
          <cell r="DL212">
            <v>40724</v>
          </cell>
        </row>
      </sheetData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List"/>
      <sheetName val="IT Account"/>
      <sheetName val="F Account"/>
      <sheetName val="Multi History"/>
      <sheetName val="History"/>
      <sheetName val="F&amp;I Henery Hub"/>
      <sheetName val="Rates-Meter Categories-Charges"/>
      <sheetName val="Test Sheet"/>
      <sheetName val="Tax Table"/>
      <sheetName val="Rep Information"/>
      <sheetName val="Henry Hub Data"/>
      <sheetName val="Input HH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">
          <cell r="E53">
            <v>0.21317</v>
          </cell>
        </row>
        <row r="54">
          <cell r="E54">
            <v>0.19833999999999999</v>
          </cell>
        </row>
        <row r="55">
          <cell r="E55">
            <v>0.13486999999999999</v>
          </cell>
        </row>
        <row r="56">
          <cell r="E56">
            <v>3.6769999999999997E-2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Relationship Id="rId4" Type="http://schemas.openxmlformats.org/officeDocument/2006/relationships/ctrlProp" Target="../ctrlProps/ctrlProp1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46"/>
  <sheetViews>
    <sheetView tabSelected="1" topLeftCell="B1" zoomScale="85" zoomScaleNormal="85" workbookViewId="0">
      <selection activeCell="J25" sqref="J25"/>
    </sheetView>
  </sheetViews>
  <sheetFormatPr defaultColWidth="9.140625" defaultRowHeight="12.75"/>
  <cols>
    <col min="1" max="1" width="6.42578125" style="2" bestFit="1" customWidth="1"/>
    <col min="2" max="2" width="44.42578125" style="2" customWidth="1"/>
    <col min="3" max="3" width="26" style="2" customWidth="1"/>
    <col min="4" max="4" width="7.85546875" style="2" customWidth="1"/>
    <col min="5" max="5" width="8.85546875" style="2" customWidth="1"/>
    <col min="6" max="6" width="45.5703125" style="2" customWidth="1"/>
    <col min="7" max="7" width="9.5703125" style="2" customWidth="1"/>
    <col min="8" max="8" width="55.28515625" style="2" customWidth="1"/>
    <col min="9" max="9" width="9.7109375" style="2" customWidth="1"/>
    <col min="10" max="10" width="40.42578125" style="2" customWidth="1"/>
    <col min="11" max="11" width="13.28515625" style="2" customWidth="1"/>
    <col min="12" max="12" width="9.140625" style="2" customWidth="1"/>
    <col min="13" max="13" width="7.7109375" style="2" customWidth="1"/>
    <col min="14" max="14" width="9.140625" style="2" customWidth="1"/>
    <col min="15" max="15" width="20.140625" style="2" bestFit="1" customWidth="1"/>
    <col min="16" max="16" width="27.28515625" style="2" customWidth="1"/>
    <col min="17" max="17" width="34.5703125" style="2" customWidth="1"/>
    <col min="18" max="18" width="57.42578125" style="2" customWidth="1"/>
    <col min="19" max="19" width="61.5703125" style="2" customWidth="1"/>
    <col min="20" max="21" width="9.140625" style="2" customWidth="1"/>
    <col min="22" max="16384" width="9.140625" style="2"/>
  </cols>
  <sheetData>
    <row r="1" spans="1:13" ht="13.5" thickBot="1">
      <c r="A1" s="317">
        <v>2</v>
      </c>
      <c r="B1" s="458" t="s">
        <v>1562</v>
      </c>
      <c r="C1" s="482"/>
      <c r="D1" s="498"/>
      <c r="E1" s="109"/>
      <c r="F1" s="114" t="s">
        <v>789</v>
      </c>
      <c r="H1"/>
      <c r="I1" s="68"/>
      <c r="J1" s="7"/>
      <c r="M1" s="68"/>
    </row>
    <row r="2" spans="1:13" ht="13.5" thickBot="1">
      <c r="A2" s="1012"/>
      <c r="B2" s="318" t="str">
        <f>F11&amp;" - "&amp;F16</f>
        <v>Utah - Dec 2017 Adjusted Avg Results</v>
      </c>
      <c r="C2" s="112"/>
      <c r="D2" s="68"/>
      <c r="E2" s="77"/>
      <c r="F2" s="455">
        <f ca="1">Report!K13</f>
        <v>17832568.969880324</v>
      </c>
      <c r="H2"/>
      <c r="I2" s="68"/>
      <c r="M2" s="68"/>
    </row>
    <row r="3" spans="1:13" ht="13.5" thickBot="1">
      <c r="A3" s="1012"/>
      <c r="B3" s="458" t="str">
        <f>"12 Months Ended"&amp;" : "&amp; TEXT(F12,"mmm-yyyy")</f>
        <v>12 Months Ended : Dec-2017</v>
      </c>
      <c r="C3" s="68"/>
      <c r="D3" s="1015"/>
      <c r="E3" s="77"/>
      <c r="F3" s="114" t="s">
        <v>493</v>
      </c>
      <c r="H3"/>
      <c r="I3" s="68"/>
      <c r="M3" s="68"/>
    </row>
    <row r="4" spans="1:13" ht="13.5" thickBot="1">
      <c r="A4" s="1012"/>
      <c r="B4" s="456" t="str">
        <f>"Capital Structure"&amp;" : "&amp;F42</f>
        <v>Capital Structure : ORDERED CAP STR 13-057-05</v>
      </c>
      <c r="C4" s="68"/>
      <c r="D4" s="428"/>
      <c r="E4" s="77"/>
      <c r="F4" s="456">
        <f ca="1">+Report!J78</f>
        <v>8.2625573854267484E-2</v>
      </c>
      <c r="G4"/>
      <c r="H4"/>
      <c r="I4"/>
      <c r="J4"/>
      <c r="K4"/>
      <c r="L4"/>
      <c r="M4" s="68"/>
    </row>
    <row r="5" spans="1:13">
      <c r="C5" s="68"/>
      <c r="D5" s="730"/>
      <c r="E5" s="77"/>
      <c r="F5" s="697"/>
      <c r="G5"/>
      <c r="H5"/>
      <c r="I5"/>
      <c r="J5"/>
      <c r="K5"/>
      <c r="L5"/>
      <c r="M5" s="68"/>
    </row>
    <row r="6" spans="1:13">
      <c r="B6" s="80"/>
      <c r="C6" s="68"/>
      <c r="D6" s="68"/>
      <c r="E6" s="68"/>
      <c r="F6" s="112"/>
      <c r="G6"/>
      <c r="H6"/>
      <c r="I6"/>
      <c r="J6"/>
      <c r="K6"/>
      <c r="L6"/>
      <c r="M6" s="68"/>
    </row>
    <row r="7" spans="1:13">
      <c r="A7" s="68"/>
      <c r="B7" s="80"/>
      <c r="D7" s="68"/>
      <c r="E7" s="68"/>
      <c r="F7" s="1268"/>
      <c r="G7"/>
      <c r="H7"/>
      <c r="I7"/>
      <c r="J7"/>
      <c r="K7"/>
      <c r="L7"/>
      <c r="M7" s="68"/>
    </row>
    <row r="8" spans="1:13" ht="13.5" thickBot="1">
      <c r="A8" s="68"/>
      <c r="B8" s="80"/>
      <c r="C8" s="68"/>
      <c r="D8" s="420"/>
      <c r="E8" s="77"/>
      <c r="F8" s="68"/>
      <c r="H8" s="68"/>
      <c r="I8" s="68"/>
      <c r="J8" s="68"/>
      <c r="K8" s="68"/>
      <c r="M8" s="68"/>
    </row>
    <row r="9" spans="1:13" ht="13.5" thickBot="1">
      <c r="A9" s="68"/>
      <c r="B9" s="299" t="s">
        <v>636</v>
      </c>
      <c r="C9" s="457" t="str">
        <f ca="1">IF((SUM(Report!F13:H73)-SUM(Report!I13:I73))&lt;1,"0","ERROR")</f>
        <v>0</v>
      </c>
      <c r="D9" s="420"/>
      <c r="E9" s="526"/>
      <c r="F9" s="1230"/>
      <c r="H9" s="727" t="s">
        <v>1299</v>
      </c>
      <c r="I9" s="727"/>
      <c r="J9" s="727" t="s">
        <v>1300</v>
      </c>
      <c r="K9" s="727"/>
      <c r="M9" s="1011" t="s">
        <v>280</v>
      </c>
    </row>
    <row r="10" spans="1:13" ht="13.5" thickBot="1">
      <c r="A10" s="68"/>
      <c r="B10" s="458"/>
      <c r="D10" s="1013"/>
      <c r="E10" s="527" t="str">
        <f>F10&amp;" - "&amp;"A"</f>
        <v>2 - A</v>
      </c>
      <c r="F10" s="1231">
        <v>2</v>
      </c>
      <c r="H10" s="1016">
        <v>1</v>
      </c>
      <c r="I10" s="1026" t="str">
        <f>H10&amp;" - "&amp;"A"</f>
        <v>1 - A</v>
      </c>
      <c r="J10" s="1016">
        <v>2</v>
      </c>
      <c r="K10" s="1026" t="str">
        <f>J10&amp;" - "&amp;"A"</f>
        <v>2 - A</v>
      </c>
      <c r="M10" s="114">
        <v>1</v>
      </c>
    </row>
    <row r="11" spans="1:13" ht="14.25" customHeight="1" thickBot="1">
      <c r="A11" s="68"/>
      <c r="B11" s="727" t="s">
        <v>46</v>
      </c>
      <c r="D11" s="503"/>
      <c r="E11" s="528"/>
      <c r="F11" s="727" t="str">
        <f>HLOOKUP($F$10,Scenarios,M11,FALSE)</f>
        <v>Utah</v>
      </c>
      <c r="H11" s="727" t="s">
        <v>13</v>
      </c>
      <c r="I11" s="727"/>
      <c r="J11" s="727" t="s">
        <v>13</v>
      </c>
      <c r="K11" s="727"/>
      <c r="M11" s="116">
        <f>M10+1</f>
        <v>2</v>
      </c>
    </row>
    <row r="12" spans="1:13" ht="15.75" customHeight="1" thickBot="1">
      <c r="A12" s="68"/>
      <c r="B12" s="728" t="s">
        <v>739</v>
      </c>
      <c r="D12" s="214"/>
      <c r="E12" s="528"/>
      <c r="F12" s="729">
        <f>HLOOKUP($F$10,Scenarios,M12,FALSE)</f>
        <v>43100</v>
      </c>
      <c r="G12" s="1027"/>
      <c r="H12" s="1027">
        <v>43100</v>
      </c>
      <c r="I12" s="1027"/>
      <c r="J12" s="1027">
        <v>43100</v>
      </c>
      <c r="K12" s="1027"/>
      <c r="M12" s="116">
        <f t="shared" ref="M12:M42" si="0">M11+1</f>
        <v>3</v>
      </c>
    </row>
    <row r="13" spans="1:13" ht="13.5" customHeight="1" thickBot="1">
      <c r="A13" s="6"/>
      <c r="B13" s="731"/>
      <c r="D13" s="68"/>
      <c r="E13" s="552"/>
      <c r="F13" s="729"/>
      <c r="H13" s="1028"/>
      <c r="I13" s="1028"/>
      <c r="J13" s="1028"/>
      <c r="K13" s="1028"/>
      <c r="M13" s="116">
        <f t="shared" si="0"/>
        <v>4</v>
      </c>
    </row>
    <row r="14" spans="1:13" ht="15.75" customHeight="1">
      <c r="A14" s="68"/>
      <c r="B14" s="460"/>
      <c r="D14" s="68"/>
      <c r="E14" s="528"/>
      <c r="F14" s="1232"/>
      <c r="H14" s="1029"/>
      <c r="I14" s="1029"/>
      <c r="J14" s="1029"/>
      <c r="K14" s="1029"/>
      <c r="M14" s="116">
        <f t="shared" si="0"/>
        <v>5</v>
      </c>
    </row>
    <row r="15" spans="1:13" ht="21.75" customHeight="1" thickBot="1">
      <c r="A15" s="68"/>
      <c r="B15" s="569"/>
      <c r="C15" s="701"/>
      <c r="D15" s="701"/>
      <c r="E15" s="528"/>
      <c r="F15" s="569"/>
      <c r="H15" s="1030"/>
      <c r="I15" s="1030"/>
      <c r="J15" s="1030"/>
      <c r="K15" s="1030"/>
      <c r="M15" s="116">
        <f t="shared" si="0"/>
        <v>6</v>
      </c>
    </row>
    <row r="16" spans="1:13" ht="14.25" customHeight="1" thickBot="1">
      <c r="A16" s="6"/>
      <c r="B16" s="459" t="s">
        <v>740</v>
      </c>
      <c r="C16" s="364"/>
      <c r="D16" s="77"/>
      <c r="E16" s="528"/>
      <c r="F16" s="459" t="str">
        <f>HLOOKUP($F$10,Scenarios,M16,FALSE)</f>
        <v>Dec 2017 Adjusted Avg Results</v>
      </c>
      <c r="H16" s="1031" t="str">
        <f>+H9</f>
        <v>Dec 2017 Unadjusted Avg Results</v>
      </c>
      <c r="I16" s="1032"/>
      <c r="J16" s="1031" t="str">
        <f>+J9</f>
        <v>Dec 2017 Adjusted Avg Results</v>
      </c>
      <c r="K16" s="1032"/>
      <c r="M16" s="116">
        <f t="shared" si="0"/>
        <v>7</v>
      </c>
    </row>
    <row r="17" spans="1:13" ht="12.75" customHeight="1">
      <c r="A17" s="68"/>
      <c r="B17" s="729" t="s">
        <v>201</v>
      </c>
      <c r="C17" s="562"/>
      <c r="D17" s="68"/>
      <c r="E17" s="528"/>
      <c r="F17" s="729"/>
      <c r="H17" s="1028"/>
      <c r="I17" s="1028"/>
      <c r="J17" s="1028"/>
      <c r="K17" s="1028"/>
      <c r="M17" s="116">
        <f t="shared" si="0"/>
        <v>8</v>
      </c>
    </row>
    <row r="18" spans="1:13" ht="12.75" customHeight="1">
      <c r="A18" s="68"/>
      <c r="B18" s="729"/>
      <c r="C18" s="562"/>
      <c r="D18" s="68"/>
      <c r="E18" s="528"/>
      <c r="F18" s="729"/>
      <c r="H18" s="1028"/>
      <c r="I18" s="1028"/>
      <c r="J18" s="1028"/>
      <c r="K18" s="1028"/>
      <c r="M18" s="116">
        <f t="shared" si="0"/>
        <v>9</v>
      </c>
    </row>
    <row r="19" spans="1:13" ht="12.75" customHeight="1">
      <c r="A19" s="68"/>
      <c r="B19" s="729" t="s">
        <v>324</v>
      </c>
      <c r="C19" s="562"/>
      <c r="D19" s="68"/>
      <c r="E19" s="528"/>
      <c r="F19" s="1028">
        <f>HLOOKUP($F$10,Scenarios,M19,FALSE)</f>
        <v>9.8500000000000004E-2</v>
      </c>
      <c r="H19" s="1028">
        <v>9.8500000000000004E-2</v>
      </c>
      <c r="I19" s="1028"/>
      <c r="J19" s="1028">
        <v>9.8500000000000004E-2</v>
      </c>
      <c r="K19" s="1028"/>
      <c r="M19" s="116">
        <f t="shared" si="0"/>
        <v>10</v>
      </c>
    </row>
    <row r="20" spans="1:13" ht="12.75" customHeight="1">
      <c r="A20" s="6"/>
      <c r="B20" s="731"/>
      <c r="C20" s="1014"/>
      <c r="D20" s="1014"/>
      <c r="E20" s="528"/>
      <c r="F20" s="731"/>
      <c r="H20" s="731"/>
      <c r="I20" s="731"/>
      <c r="J20" s="731"/>
      <c r="K20" s="139"/>
      <c r="M20" s="116">
        <f t="shared" si="0"/>
        <v>11</v>
      </c>
    </row>
    <row r="21" spans="1:13">
      <c r="A21" s="6"/>
      <c r="B21" s="732" t="s">
        <v>812</v>
      </c>
      <c r="C21" s="1014"/>
      <c r="D21" s="1014"/>
      <c r="E21" s="528"/>
      <c r="F21" s="732">
        <f>HLOOKUP($F$10,Scenarios,M21,FALSE)</f>
        <v>1.0149999999999999</v>
      </c>
      <c r="H21" s="733">
        <v>1.0149999999999999</v>
      </c>
      <c r="I21" s="733"/>
      <c r="J21" s="733">
        <v>1.0149999999999999</v>
      </c>
      <c r="K21" s="733"/>
      <c r="M21" s="116">
        <f t="shared" si="0"/>
        <v>12</v>
      </c>
    </row>
    <row r="22" spans="1:13" ht="13.5" thickBot="1">
      <c r="A22" s="6"/>
      <c r="B22" s="734" t="s">
        <v>170</v>
      </c>
      <c r="C22" s="562"/>
      <c r="D22" s="562"/>
      <c r="E22" s="528"/>
      <c r="F22" s="734">
        <f>HLOOKUP($F$10,Scenarios,M22,FALSE)</f>
        <v>2.0388824180169176E-3</v>
      </c>
      <c r="H22" s="734">
        <f>+'Bad Debt'!$F$17</f>
        <v>2.0388824180169176E-3</v>
      </c>
      <c r="I22" s="734"/>
      <c r="J22" s="734">
        <f>+'Bad Debt'!$F$17</f>
        <v>2.0388824180169176E-3</v>
      </c>
      <c r="K22" s="734"/>
      <c r="M22" s="116">
        <f t="shared" si="0"/>
        <v>13</v>
      </c>
    </row>
    <row r="23" spans="1:13">
      <c r="A23" s="6"/>
      <c r="B23" s="731"/>
      <c r="C23" s="735"/>
      <c r="D23" s="736"/>
      <c r="E23" s="528"/>
      <c r="F23" s="731"/>
      <c r="H23" s="1033"/>
      <c r="I23" s="731"/>
      <c r="J23" s="1033"/>
      <c r="K23" s="731"/>
      <c r="M23" s="116">
        <f t="shared" si="0"/>
        <v>14</v>
      </c>
    </row>
    <row r="24" spans="1:13" ht="12.75" customHeight="1">
      <c r="A24" s="6"/>
      <c r="B24" s="733"/>
      <c r="C24" s="737"/>
      <c r="D24" s="738"/>
      <c r="E24" s="528"/>
      <c r="F24" s="733"/>
      <c r="H24" s="568"/>
      <c r="I24" s="733"/>
      <c r="J24" s="568"/>
      <c r="K24" s="733"/>
      <c r="M24" s="116">
        <f t="shared" si="0"/>
        <v>15</v>
      </c>
    </row>
    <row r="25" spans="1:13" ht="13.5" thickBot="1">
      <c r="A25" s="68"/>
      <c r="B25" s="739" t="s">
        <v>38</v>
      </c>
      <c r="C25" s="339" t="s">
        <v>168</v>
      </c>
      <c r="D25" s="468"/>
      <c r="E25" s="528"/>
      <c r="F25" s="739"/>
      <c r="H25" s="739"/>
      <c r="I25" s="739"/>
      <c r="J25" s="739"/>
      <c r="K25" s="739"/>
      <c r="M25" s="116">
        <f t="shared" si="0"/>
        <v>16</v>
      </c>
    </row>
    <row r="26" spans="1:13">
      <c r="A26" s="68"/>
      <c r="B26" s="740"/>
      <c r="C26" s="68"/>
      <c r="D26" s="68"/>
      <c r="E26" s="528"/>
      <c r="F26" s="1233"/>
      <c r="H26" s="461"/>
      <c r="I26" s="68"/>
      <c r="J26" s="461"/>
      <c r="K26" s="68"/>
      <c r="M26" s="116">
        <f t="shared" si="0"/>
        <v>17</v>
      </c>
    </row>
    <row r="27" spans="1:13">
      <c r="A27" s="774">
        <v>1</v>
      </c>
      <c r="B27" s="740" t="str">
        <f t="shared" ref="B27:B38" si="1">+F27</f>
        <v>AVG RB DEC 2017</v>
      </c>
      <c r="C27" s="741" t="s">
        <v>182</v>
      </c>
      <c r="D27" s="741"/>
      <c r="E27" s="461" t="str">
        <f t="shared" ref="E27:E39" si="2">HLOOKUP($E$10,Scenarios,M27,FALSE)</f>
        <v>Y</v>
      </c>
      <c r="F27" s="461" t="str">
        <f t="shared" ref="F27:F40" si="3">HLOOKUP($F$10,Scenarios,M27,FALSE)</f>
        <v>AVG RB DEC 2017</v>
      </c>
      <c r="H27" s="1035" t="s">
        <v>1303</v>
      </c>
      <c r="I27" s="139" t="s">
        <v>697</v>
      </c>
      <c r="J27" s="1035" t="s">
        <v>1303</v>
      </c>
      <c r="K27" s="1034" t="s">
        <v>697</v>
      </c>
      <c r="M27" s="116">
        <f t="shared" si="0"/>
        <v>18</v>
      </c>
    </row>
    <row r="28" spans="1:13">
      <c r="A28" s="774">
        <f>+A27+1</f>
        <v>2</v>
      </c>
      <c r="B28" s="740" t="str">
        <f t="shared" si="1"/>
        <v>Energy Efficiency Services Adjustment</v>
      </c>
      <c r="C28" s="842" t="s">
        <v>1068</v>
      </c>
      <c r="D28" s="741"/>
      <c r="E28" s="461" t="str">
        <f t="shared" si="2"/>
        <v>Y</v>
      </c>
      <c r="F28" s="461" t="str">
        <f t="shared" si="3"/>
        <v>Energy Efficiency Services Adjustment</v>
      </c>
      <c r="H28" s="1035" t="s">
        <v>971</v>
      </c>
      <c r="I28" s="139" t="s">
        <v>697</v>
      </c>
      <c r="J28" s="1035" t="s">
        <v>971</v>
      </c>
      <c r="K28" s="1034" t="s">
        <v>697</v>
      </c>
      <c r="M28" s="116">
        <f t="shared" si="0"/>
        <v>19</v>
      </c>
    </row>
    <row r="29" spans="1:13">
      <c r="A29" s="774">
        <f t="shared" ref="A29:A40" si="4">+A28+1</f>
        <v>3</v>
      </c>
      <c r="B29" s="740" t="str">
        <f t="shared" si="1"/>
        <v>Underground Storage</v>
      </c>
      <c r="C29" s="741" t="s">
        <v>72</v>
      </c>
      <c r="D29" s="741"/>
      <c r="E29" s="461" t="str">
        <f t="shared" si="2"/>
        <v>Y</v>
      </c>
      <c r="F29" s="461" t="str">
        <f t="shared" si="3"/>
        <v>Underground Storage</v>
      </c>
      <c r="H29" s="1035" t="s">
        <v>72</v>
      </c>
      <c r="I29" s="139" t="s">
        <v>697</v>
      </c>
      <c r="J29" s="1035" t="s">
        <v>72</v>
      </c>
      <c r="K29" s="1034" t="s">
        <v>697</v>
      </c>
      <c r="M29" s="116">
        <f t="shared" si="0"/>
        <v>20</v>
      </c>
    </row>
    <row r="30" spans="1:13">
      <c r="A30" s="774">
        <f t="shared" si="4"/>
        <v>4</v>
      </c>
      <c r="B30" s="740" t="str">
        <f t="shared" si="1"/>
        <v>Wexpro</v>
      </c>
      <c r="C30" s="741" t="s">
        <v>822</v>
      </c>
      <c r="D30" s="741"/>
      <c r="E30" s="461" t="str">
        <f t="shared" si="2"/>
        <v>Y</v>
      </c>
      <c r="F30" s="461" t="str">
        <f t="shared" si="3"/>
        <v>Wexpro</v>
      </c>
      <c r="H30" s="1035" t="s">
        <v>672</v>
      </c>
      <c r="I30" s="139" t="s">
        <v>697</v>
      </c>
      <c r="J30" s="1035" t="s">
        <v>672</v>
      </c>
      <c r="K30" s="1034" t="s">
        <v>697</v>
      </c>
      <c r="M30" s="116">
        <f t="shared" si="0"/>
        <v>21</v>
      </c>
    </row>
    <row r="31" spans="1:13">
      <c r="A31" s="774">
        <f t="shared" si="4"/>
        <v>5</v>
      </c>
      <c r="B31" s="740" t="str">
        <f t="shared" ref="B31" si="5">+F31</f>
        <v>Transition Costs</v>
      </c>
      <c r="C31" s="741"/>
      <c r="D31" s="741"/>
      <c r="E31" s="461" t="str">
        <f t="shared" ref="E31" si="6">HLOOKUP($E$10,Scenarios,M31,FALSE)</f>
        <v>Y</v>
      </c>
      <c r="F31" s="461" t="str">
        <f t="shared" ref="F31" si="7">HLOOKUP($F$10,Scenarios,M31,FALSE)</f>
        <v>Transition Costs</v>
      </c>
      <c r="H31" s="1035" t="s">
        <v>1292</v>
      </c>
      <c r="I31" s="139" t="s">
        <v>697</v>
      </c>
      <c r="J31" s="1035" t="s">
        <v>1292</v>
      </c>
      <c r="K31" s="1034" t="s">
        <v>697</v>
      </c>
      <c r="M31" s="116">
        <f t="shared" si="0"/>
        <v>22</v>
      </c>
    </row>
    <row r="32" spans="1:13">
      <c r="A32" s="774">
        <f t="shared" si="4"/>
        <v>6</v>
      </c>
      <c r="B32" s="740" t="str">
        <f>+F32</f>
        <v>Corp Overhead Adj</v>
      </c>
      <c r="C32" s="1389" t="s">
        <v>1505</v>
      </c>
      <c r="D32" s="741"/>
      <c r="E32" s="461" t="str">
        <f>HLOOKUP($E$10,Scenarios,M32,FALSE)</f>
        <v>Y</v>
      </c>
      <c r="F32" s="461" t="str">
        <f>HLOOKUP($F$10,Scenarios,M32,FALSE)</f>
        <v>Corp Overhead Adj</v>
      </c>
      <c r="H32" s="1035" t="s">
        <v>1504</v>
      </c>
      <c r="I32" s="139" t="s">
        <v>697</v>
      </c>
      <c r="J32" s="1035" t="s">
        <v>1504</v>
      </c>
      <c r="K32" s="1034" t="s">
        <v>697</v>
      </c>
      <c r="M32" s="116">
        <f t="shared" si="0"/>
        <v>23</v>
      </c>
    </row>
    <row r="33" spans="1:13">
      <c r="A33" s="774">
        <f t="shared" si="4"/>
        <v>7</v>
      </c>
      <c r="B33" s="740" t="str">
        <f t="shared" si="1"/>
        <v>Bad Debt</v>
      </c>
      <c r="C33" s="842" t="s">
        <v>951</v>
      </c>
      <c r="D33" s="741"/>
      <c r="E33" s="461" t="str">
        <f t="shared" si="2"/>
        <v>Y</v>
      </c>
      <c r="F33" s="461" t="str">
        <f t="shared" si="3"/>
        <v>Bad Debt</v>
      </c>
      <c r="H33" s="1035" t="s">
        <v>951</v>
      </c>
      <c r="I33" s="139" t="s">
        <v>323</v>
      </c>
      <c r="J33" s="1035" t="s">
        <v>951</v>
      </c>
      <c r="K33" s="1034" t="s">
        <v>697</v>
      </c>
      <c r="M33" s="116">
        <f t="shared" si="0"/>
        <v>24</v>
      </c>
    </row>
    <row r="34" spans="1:13">
      <c r="A34" s="774">
        <f t="shared" si="4"/>
        <v>8</v>
      </c>
      <c r="B34" s="740" t="str">
        <f t="shared" si="1"/>
        <v xml:space="preserve"> Incentives</v>
      </c>
      <c r="C34" s="741" t="s">
        <v>156</v>
      </c>
      <c r="D34" s="741"/>
      <c r="E34" s="461" t="str">
        <f t="shared" si="2"/>
        <v>Y</v>
      </c>
      <c r="F34" s="461" t="str">
        <f t="shared" si="3"/>
        <v xml:space="preserve"> Incentives</v>
      </c>
      <c r="H34" s="1035" t="s">
        <v>1563</v>
      </c>
      <c r="I34" s="139" t="s">
        <v>323</v>
      </c>
      <c r="J34" s="1035" t="s">
        <v>1563</v>
      </c>
      <c r="K34" s="1034" t="s">
        <v>697</v>
      </c>
      <c r="M34" s="116">
        <f t="shared" si="0"/>
        <v>25</v>
      </c>
    </row>
    <row r="35" spans="1:13">
      <c r="A35" s="774">
        <f t="shared" si="4"/>
        <v>9</v>
      </c>
      <c r="B35" s="740" t="str">
        <f t="shared" si="1"/>
        <v xml:space="preserve"> Sporting Events </v>
      </c>
      <c r="C35" s="741" t="s">
        <v>632</v>
      </c>
      <c r="D35" s="741"/>
      <c r="E35" s="461" t="str">
        <f t="shared" si="2"/>
        <v>Y</v>
      </c>
      <c r="F35" s="461" t="str">
        <f t="shared" si="3"/>
        <v xml:space="preserve"> Sporting Events </v>
      </c>
      <c r="H35" s="1035" t="s">
        <v>1564</v>
      </c>
      <c r="I35" s="139" t="s">
        <v>323</v>
      </c>
      <c r="J35" s="1035" t="s">
        <v>1564</v>
      </c>
      <c r="K35" s="1034" t="s">
        <v>697</v>
      </c>
      <c r="M35" s="116">
        <f t="shared" si="0"/>
        <v>26</v>
      </c>
    </row>
    <row r="36" spans="1:13">
      <c r="A36" s="774">
        <f t="shared" si="4"/>
        <v>10</v>
      </c>
      <c r="B36" s="740" t="str">
        <f t="shared" si="1"/>
        <v xml:space="preserve"> Advertising </v>
      </c>
      <c r="C36" s="741" t="s">
        <v>6</v>
      </c>
      <c r="D36" s="741"/>
      <c r="E36" s="461" t="str">
        <f t="shared" si="2"/>
        <v>Y</v>
      </c>
      <c r="F36" s="461" t="str">
        <f t="shared" si="3"/>
        <v xml:space="preserve"> Advertising </v>
      </c>
      <c r="H36" s="1035" t="s">
        <v>1565</v>
      </c>
      <c r="I36" s="139" t="s">
        <v>323</v>
      </c>
      <c r="J36" s="1035" t="s">
        <v>1565</v>
      </c>
      <c r="K36" s="1034" t="s">
        <v>697</v>
      </c>
      <c r="M36" s="116">
        <f t="shared" si="0"/>
        <v>27</v>
      </c>
    </row>
    <row r="37" spans="1:13">
      <c r="A37" s="774">
        <f t="shared" si="4"/>
        <v>11</v>
      </c>
      <c r="B37" s="740" t="str">
        <f t="shared" si="1"/>
        <v xml:space="preserve"> Don &amp; Membership </v>
      </c>
      <c r="C37" s="741" t="s">
        <v>910</v>
      </c>
      <c r="D37" s="741"/>
      <c r="E37" s="461" t="str">
        <f t="shared" si="2"/>
        <v>Y</v>
      </c>
      <c r="F37" s="461" t="str">
        <f t="shared" si="3"/>
        <v xml:space="preserve"> Don &amp; Membership </v>
      </c>
      <c r="H37" s="1035" t="s">
        <v>1566</v>
      </c>
      <c r="I37" s="139" t="s">
        <v>323</v>
      </c>
      <c r="J37" s="1035" t="s">
        <v>1566</v>
      </c>
      <c r="K37" s="1034" t="s">
        <v>697</v>
      </c>
      <c r="M37" s="116">
        <f t="shared" si="0"/>
        <v>28</v>
      </c>
    </row>
    <row r="38" spans="1:13">
      <c r="A38" s="774">
        <f t="shared" si="4"/>
        <v>12</v>
      </c>
      <c r="B38" s="740" t="str">
        <f t="shared" si="1"/>
        <v xml:space="preserve"> Reserve accrual </v>
      </c>
      <c r="C38" s="741" t="s">
        <v>155</v>
      </c>
      <c r="D38" s="741"/>
      <c r="E38" s="461" t="str">
        <f t="shared" si="2"/>
        <v>Y</v>
      </c>
      <c r="F38" s="461" t="str">
        <f t="shared" si="3"/>
        <v xml:space="preserve"> Reserve accrual </v>
      </c>
      <c r="H38" s="1035" t="s">
        <v>1567</v>
      </c>
      <c r="I38" s="139" t="s">
        <v>323</v>
      </c>
      <c r="J38" s="1035" t="s">
        <v>1567</v>
      </c>
      <c r="K38" s="1034" t="s">
        <v>697</v>
      </c>
      <c r="M38" s="116">
        <f t="shared" si="0"/>
        <v>29</v>
      </c>
    </row>
    <row r="39" spans="1:13">
      <c r="A39" s="774">
        <f t="shared" si="4"/>
        <v>13</v>
      </c>
      <c r="B39" s="740" t="str">
        <f>+F39</f>
        <v xml:space="preserve"> Labor Adj </v>
      </c>
      <c r="C39" s="741" t="s">
        <v>891</v>
      </c>
      <c r="D39" s="741"/>
      <c r="E39" s="461" t="str">
        <f t="shared" si="2"/>
        <v>Y</v>
      </c>
      <c r="F39" s="461" t="str">
        <f t="shared" si="3"/>
        <v xml:space="preserve"> Labor Adj </v>
      </c>
      <c r="H39" s="1035" t="s">
        <v>1568</v>
      </c>
      <c r="I39" s="139" t="s">
        <v>323</v>
      </c>
      <c r="J39" s="1035" t="s">
        <v>1568</v>
      </c>
      <c r="K39" s="1034" t="s">
        <v>697</v>
      </c>
      <c r="M39" s="116">
        <f t="shared" si="0"/>
        <v>30</v>
      </c>
    </row>
    <row r="40" spans="1:13" ht="13.5" thickBot="1">
      <c r="A40" s="774">
        <f t="shared" si="4"/>
        <v>14</v>
      </c>
      <c r="B40" s="740" t="str">
        <f>+F40</f>
        <v>Distrigas 2017</v>
      </c>
      <c r="C40" s="842" t="s">
        <v>1149</v>
      </c>
      <c r="D40" s="741"/>
      <c r="E40" s="461"/>
      <c r="F40" s="461" t="str">
        <f t="shared" si="3"/>
        <v>Distrigas 2017</v>
      </c>
      <c r="H40" s="1412" t="s">
        <v>1301</v>
      </c>
      <c r="I40" s="139"/>
      <c r="J40" s="1412" t="s">
        <v>1301</v>
      </c>
      <c r="K40" s="1034"/>
      <c r="M40" s="116">
        <f t="shared" si="0"/>
        <v>31</v>
      </c>
    </row>
    <row r="41" spans="1:13">
      <c r="A41" s="774"/>
      <c r="B41" s="740"/>
      <c r="C41" s="741"/>
      <c r="D41" s="741"/>
      <c r="E41" s="461"/>
      <c r="F41" s="461"/>
      <c r="H41" s="1035"/>
      <c r="I41" s="139"/>
      <c r="J41" s="1035"/>
      <c r="K41" s="1034"/>
      <c r="M41" s="116">
        <f t="shared" si="0"/>
        <v>32</v>
      </c>
    </row>
    <row r="42" spans="1:13">
      <c r="A42" s="774">
        <f>+A40+1</f>
        <v>15</v>
      </c>
      <c r="B42" s="740" t="str">
        <f>+F42</f>
        <v>ORDERED CAP STR 13-057-05</v>
      </c>
      <c r="C42" s="842" t="s">
        <v>149</v>
      </c>
      <c r="D42" s="741"/>
      <c r="E42" s="461"/>
      <c r="F42" s="461" t="str">
        <f>HLOOKUP($F$10,Scenarios,M42,FALSE)</f>
        <v>ORDERED CAP STR 13-057-05</v>
      </c>
      <c r="H42" s="1035" t="s">
        <v>1154</v>
      </c>
      <c r="I42" s="139"/>
      <c r="J42" s="1035" t="s">
        <v>1154</v>
      </c>
      <c r="K42" s="1034"/>
      <c r="M42" s="116">
        <f t="shared" si="0"/>
        <v>33</v>
      </c>
    </row>
    <row r="46" spans="1:13">
      <c r="C46"/>
      <c r="J46" s="840"/>
    </row>
  </sheetData>
  <dataConsolidate/>
  <phoneticPr fontId="0" type="noConversion"/>
  <dataValidations count="8">
    <dataValidation type="list" showInputMessage="1" showErrorMessage="1" sqref="H41 J41">
      <formula1>"Dist Gas Jun 09"</formula1>
    </dataValidation>
    <dataValidation type="whole" operator="equal" allowBlank="1" showInputMessage="1" showErrorMessage="1" sqref="E10:E31 F11:F31 E32:F42 B27:B42">
      <formula1>999</formula1>
    </dataValidation>
    <dataValidation showInputMessage="1" showErrorMessage="1" sqref="H29:H31"/>
    <dataValidation type="whole" operator="equal" allowBlank="1" showInputMessage="1" showErrorMessage="1" sqref="H10">
      <formula1>1</formula1>
    </dataValidation>
    <dataValidation type="whole" operator="equal" allowBlank="1" showInputMessage="1" showErrorMessage="1" sqref="J10">
      <formula1>2</formula1>
    </dataValidation>
    <dataValidation type="list" showInputMessage="1" showErrorMessage="1" sqref="H23:K23">
      <formula1>"Average,Actual 2004"</formula1>
    </dataValidation>
    <dataValidation type="list" showInputMessage="1" showErrorMessage="1" sqref="J28 H28">
      <formula1>"Rev booked DEC 2011,BOOKED REV LESS DSM DEC 2011,Energy Efficiency Services Adjustment"</formula1>
    </dataValidation>
    <dataValidation type="list" showInputMessage="1" showErrorMessage="1" sqref="J42 H42">
      <formula1>"AVG CAP STR,YE CAP STR,ORDERED CAP STR 13-057-05"</formula1>
    </dataValidation>
  </dataValidations>
  <hyperlinks>
    <hyperlink ref="C33" location="'Bad Debt'!Print_Area" display="Bad Debt"/>
    <hyperlink ref="C30" location="Wexpro!Print_Area" display="3-Wexpro'!A1"/>
    <hyperlink ref="C27" location="'Rate Base'!A1" display="RATE BASE"/>
    <hyperlink ref="C36" location="Advertising!A1" display="Advertising"/>
    <hyperlink ref="C29" location="UNDERGROUND_STORAGE" display="Underground Storage"/>
    <hyperlink ref="C34" location="INCENTIVESUMMARY" display="Incentives"/>
    <hyperlink ref="C38" location="'RESERVE ACCRUAL'!Print_Area" display="RESERVE ACCRUAL"/>
    <hyperlink ref="C39" location="'Lab Adj'!LABORSCENARIO" display="Labor Adjustment"/>
    <hyperlink ref="C37" location="Donations!A1" display="Donations"/>
    <hyperlink ref="C35" location="'Sporting Events'!A1" display="Sporting Events"/>
    <hyperlink ref="C28" location="'ENERGY EFFICIENCY SERVICES ADJ'!A1" display="Energy Efficiency Adj"/>
    <hyperlink ref="C42" location="'Capital Str'!A1" display="Capital Structure"/>
    <hyperlink ref="C40" location="'ALLOCATIONS&amp;PRETAX'!A1" display="Distrigas &amp; Pretax"/>
    <hyperlink ref="C32" location="'Corp Overhead Adj'!A1" display="'Corp Overhead Adj'!A1"/>
  </hyperlinks>
  <pageMargins left="0" right="0" top="0" bottom="0" header="0" footer="0"/>
  <pageSetup scale="36" orientation="landscape" r:id="rId1"/>
  <headerFooter alignWithMargins="0">
    <oddFooter>&amp;C&amp;Z&amp;F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'Rate Base'!$Y$8:$AB$8</xm:f>
          </x14:formula1>
          <xm:sqref>H27 J27</xm:sqref>
        </x14:dataValidation>
        <x14:dataValidation type="list" showInputMessage="1" showErrorMessage="1">
          <x14:formula1>
            <xm:f>'ALLOCATIONS&amp;PRETAX'!$B$6:$E$6</xm:f>
          </x14:formula1>
          <xm:sqref>J40 H40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43"/>
  <sheetViews>
    <sheetView workbookViewId="0">
      <selection activeCell="K18" sqref="K18"/>
    </sheetView>
  </sheetViews>
  <sheetFormatPr defaultColWidth="9.140625" defaultRowHeight="12.75"/>
  <cols>
    <col min="1" max="1" width="8.85546875" style="2" customWidth="1"/>
    <col min="2" max="2" width="15" style="2" customWidth="1"/>
    <col min="3" max="4" width="8.85546875" style="2" customWidth="1"/>
    <col min="5" max="5" width="17.140625" style="77" customWidth="1"/>
    <col min="6" max="6" width="3.28515625" style="2" customWidth="1"/>
    <col min="7" max="7" width="3" style="2" customWidth="1"/>
    <col min="8" max="8" width="9.140625" style="2" customWidth="1"/>
    <col min="9" max="9" width="8.85546875" style="2" customWidth="1"/>
    <col min="10" max="10" width="15.140625" customWidth="1"/>
    <col min="11" max="11" width="12.85546875" style="68" bestFit="1" customWidth="1"/>
    <col min="12" max="12" width="11" style="68" customWidth="1"/>
    <col min="13" max="13" width="10.85546875" style="68" customWidth="1"/>
    <col min="14" max="14" width="10.7109375" style="68" bestFit="1" customWidth="1"/>
    <col min="15" max="16384" width="9.140625" style="2"/>
  </cols>
  <sheetData>
    <row r="1" spans="1:14">
      <c r="A1" s="14" t="s">
        <v>970</v>
      </c>
    </row>
    <row r="2" spans="1:14">
      <c r="A2" s="14" t="str">
        <f>'Control Panel'!$B$1</f>
        <v>Dominion Energy</v>
      </c>
    </row>
    <row r="3" spans="1:14">
      <c r="A3" s="14" t="str">
        <f>'Control Panel'!$B$2</f>
        <v>Utah - Dec 2017 Adjusted Avg Results</v>
      </c>
    </row>
    <row r="4" spans="1:14">
      <c r="A4" s="14" t="str">
        <f>'Control Panel'!$B$3</f>
        <v>12 Months Ended : Dec-2017</v>
      </c>
    </row>
    <row r="5" spans="1:14">
      <c r="A5" s="14"/>
    </row>
    <row r="6" spans="1:14" ht="20.25">
      <c r="A6" s="14"/>
      <c r="K6" s="1200" t="s">
        <v>970</v>
      </c>
    </row>
    <row r="7" spans="1:14" ht="46.5" customHeight="1">
      <c r="A7" s="14"/>
      <c r="E7" s="902" t="s">
        <v>1571</v>
      </c>
      <c r="F7"/>
      <c r="G7" s="2">
        <v>1</v>
      </c>
      <c r="K7" s="1200"/>
    </row>
    <row r="8" spans="1:14">
      <c r="A8" s="14"/>
      <c r="E8" s="159">
        <f>'Control Panel'!F12</f>
        <v>43100</v>
      </c>
      <c r="G8" s="2">
        <f t="shared" ref="G8:G20" si="0">+G7+1</f>
        <v>2</v>
      </c>
      <c r="K8" s="77"/>
    </row>
    <row r="9" spans="1:14" ht="12.75" customHeight="1">
      <c r="E9" s="903"/>
      <c r="G9" s="2">
        <f t="shared" si="0"/>
        <v>3</v>
      </c>
      <c r="L9" s="68" t="s">
        <v>13</v>
      </c>
      <c r="M9" s="68" t="s">
        <v>24</v>
      </c>
      <c r="N9" s="68" t="s">
        <v>160</v>
      </c>
    </row>
    <row r="10" spans="1:14">
      <c r="E10" s="903"/>
      <c r="G10" s="2">
        <f t="shared" si="0"/>
        <v>4</v>
      </c>
      <c r="K10" s="435">
        <f t="shared" ref="K10:K19" si="1">K11-31</f>
        <v>42759</v>
      </c>
      <c r="L10" s="309">
        <f>'Booked Dec 2017 Rev'!H196</f>
        <v>3596351</v>
      </c>
      <c r="M10" s="294">
        <f>'Booked Dec 2017 Rev'!H320</f>
        <v>27627.95</v>
      </c>
      <c r="N10" s="294">
        <f>SUM(L10:M10)</f>
        <v>3623978.95</v>
      </c>
    </row>
    <row r="11" spans="1:14">
      <c r="B11" s="68"/>
      <c r="E11" s="900"/>
      <c r="G11" s="2">
        <f t="shared" si="0"/>
        <v>5</v>
      </c>
      <c r="K11" s="435">
        <f t="shared" si="1"/>
        <v>42790</v>
      </c>
      <c r="L11" s="309">
        <f>'Booked Dec 2017 Rev'!I196</f>
        <v>3190082</v>
      </c>
      <c r="M11" s="294">
        <f>'Booked Dec 2017 Rev'!I320</f>
        <v>24808.65</v>
      </c>
      <c r="N11" s="294">
        <f t="shared" ref="N11:N21" si="2">SUM(L11:M11)</f>
        <v>3214890.65</v>
      </c>
    </row>
    <row r="12" spans="1:14">
      <c r="A12" s="68" t="s">
        <v>74</v>
      </c>
      <c r="C12" s="309" t="s">
        <v>13</v>
      </c>
      <c r="D12" s="12"/>
      <c r="E12" s="900">
        <f>-L22</f>
        <v>-20806992</v>
      </c>
      <c r="F12" s="376"/>
      <c r="G12" s="2">
        <f t="shared" si="0"/>
        <v>6</v>
      </c>
      <c r="K12" s="435">
        <f t="shared" si="1"/>
        <v>42821</v>
      </c>
      <c r="L12" s="309">
        <f>'Booked Dec 2017 Rev'!J196</f>
        <v>2140865</v>
      </c>
      <c r="M12" s="294">
        <f>'Booked Dec 2017 Rev'!J320</f>
        <v>18899.490000000002</v>
      </c>
      <c r="N12" s="294">
        <f t="shared" si="2"/>
        <v>2159764.4900000002</v>
      </c>
    </row>
    <row r="13" spans="1:14" ht="13.5" thickBot="1">
      <c r="C13" s="309" t="s">
        <v>24</v>
      </c>
      <c r="E13" s="901">
        <f>-M22</f>
        <v>-165057.12000000002</v>
      </c>
      <c r="G13" s="2">
        <f t="shared" si="0"/>
        <v>7</v>
      </c>
      <c r="K13" s="435">
        <f t="shared" si="1"/>
        <v>42852</v>
      </c>
      <c r="L13" s="309">
        <f>'Booked Dec 2017 Rev'!K196</f>
        <v>1507130</v>
      </c>
      <c r="M13" s="294">
        <f>'Booked Dec 2017 Rev'!K320</f>
        <v>15445.45</v>
      </c>
      <c r="N13" s="294">
        <f t="shared" si="2"/>
        <v>1522575.45</v>
      </c>
    </row>
    <row r="14" spans="1:14">
      <c r="C14" s="309" t="s">
        <v>160</v>
      </c>
      <c r="E14" s="904">
        <f>SUM(E12:E13)</f>
        <v>-20972049.120000001</v>
      </c>
      <c r="G14" s="2">
        <f t="shared" si="0"/>
        <v>8</v>
      </c>
      <c r="K14" s="435">
        <f t="shared" si="1"/>
        <v>42883</v>
      </c>
      <c r="L14" s="309">
        <f>'Booked Dec 2017 Rev'!L196</f>
        <v>900846</v>
      </c>
      <c r="M14" s="294">
        <f>'Booked Dec 2017 Rev'!L320</f>
        <v>9145.25</v>
      </c>
      <c r="N14" s="294">
        <f t="shared" si="2"/>
        <v>909991.25</v>
      </c>
    </row>
    <row r="15" spans="1:14">
      <c r="G15" s="2">
        <f t="shared" si="0"/>
        <v>9</v>
      </c>
      <c r="K15" s="435">
        <f t="shared" si="1"/>
        <v>42914</v>
      </c>
      <c r="L15" s="309">
        <f>'Booked Dec 2017 Rev'!M196</f>
        <v>516273</v>
      </c>
      <c r="M15" s="294">
        <f>'Booked Dec 2017 Rev'!M320</f>
        <v>3078.21</v>
      </c>
      <c r="N15" s="294">
        <f t="shared" si="2"/>
        <v>519351.21</v>
      </c>
    </row>
    <row r="16" spans="1:14">
      <c r="F16" s="396"/>
      <c r="G16" s="2">
        <f t="shared" si="0"/>
        <v>10</v>
      </c>
      <c r="K16" s="435">
        <f t="shared" si="1"/>
        <v>42945</v>
      </c>
      <c r="L16" s="309">
        <f>'Booked Dec 2017 Rev'!N196</f>
        <v>417429</v>
      </c>
      <c r="M16" s="294">
        <f>'Booked Dec 2017 Rev'!N320</f>
        <v>2695.61</v>
      </c>
      <c r="N16" s="294">
        <f t="shared" si="2"/>
        <v>420124.61</v>
      </c>
    </row>
    <row r="17" spans="1:14">
      <c r="A17" s="518">
        <v>908</v>
      </c>
      <c r="B17" s="309" t="s">
        <v>394</v>
      </c>
      <c r="C17" s="309"/>
      <c r="D17" s="309"/>
      <c r="E17" s="58"/>
      <c r="F17" s="396"/>
      <c r="G17" s="2">
        <f t="shared" si="0"/>
        <v>11</v>
      </c>
      <c r="K17" s="435">
        <f t="shared" si="1"/>
        <v>42976</v>
      </c>
      <c r="L17" s="309">
        <f>'Booked Dec 2017 Rev'!O196</f>
        <v>404279</v>
      </c>
      <c r="M17" s="294">
        <f>'Booked Dec 2017 Rev'!O320</f>
        <v>2759.14</v>
      </c>
      <c r="N17" s="294">
        <f t="shared" si="2"/>
        <v>407038.14</v>
      </c>
    </row>
    <row r="18" spans="1:14">
      <c r="A18" s="518"/>
      <c r="B18" s="309"/>
      <c r="C18" s="309" t="s">
        <v>13</v>
      </c>
      <c r="D18" s="309"/>
      <c r="E18" s="900">
        <f>+E12</f>
        <v>-20806992</v>
      </c>
      <c r="G18" s="2">
        <f t="shared" si="0"/>
        <v>12</v>
      </c>
      <c r="K18" s="435">
        <f t="shared" si="1"/>
        <v>43007</v>
      </c>
      <c r="L18" s="309">
        <f>'Booked Dec 2017 Rev'!P196</f>
        <v>501596</v>
      </c>
      <c r="M18" s="294">
        <f>'Booked Dec 2017 Rev'!P320</f>
        <v>4119.1000000000004</v>
      </c>
      <c r="N18" s="294">
        <f t="shared" si="2"/>
        <v>505715.1</v>
      </c>
    </row>
    <row r="19" spans="1:14" ht="13.5" thickBot="1">
      <c r="A19" s="518"/>
      <c r="B19" s="309"/>
      <c r="C19" s="309" t="s">
        <v>24</v>
      </c>
      <c r="D19" s="309"/>
      <c r="E19" s="901">
        <f>+E13</f>
        <v>-165057.12000000002</v>
      </c>
      <c r="G19" s="2">
        <f t="shared" si="0"/>
        <v>13</v>
      </c>
      <c r="K19" s="435">
        <f t="shared" si="1"/>
        <v>43038</v>
      </c>
      <c r="L19" s="309">
        <f>'Booked Dec 2017 Rev'!Q196</f>
        <v>1254206</v>
      </c>
      <c r="M19" s="294">
        <f>'Booked Dec 2017 Rev'!Q320</f>
        <v>11695.87</v>
      </c>
      <c r="N19" s="294">
        <f t="shared" si="2"/>
        <v>1265901.8700000001</v>
      </c>
    </row>
    <row r="20" spans="1:14">
      <c r="A20" s="518"/>
      <c r="B20" s="309"/>
      <c r="C20" s="309" t="s">
        <v>160</v>
      </c>
      <c r="D20" s="309"/>
      <c r="E20" s="904">
        <f>SUM(E18:E19)</f>
        <v>-20972049.120000001</v>
      </c>
      <c r="G20" s="2">
        <f t="shared" si="0"/>
        <v>14</v>
      </c>
      <c r="K20" s="435">
        <f>K21-31</f>
        <v>43069</v>
      </c>
      <c r="L20" s="309">
        <f>'Booked Dec 2017 Rev'!R196</f>
        <v>2505884</v>
      </c>
      <c r="M20" s="294">
        <f>'Booked Dec 2017 Rev'!R320</f>
        <v>19441.43</v>
      </c>
      <c r="N20" s="294">
        <f t="shared" si="2"/>
        <v>2525325.4300000002</v>
      </c>
    </row>
    <row r="21" spans="1:14">
      <c r="K21" s="435">
        <f>E8</f>
        <v>43100</v>
      </c>
      <c r="L21" s="309">
        <f>'Booked Dec 2017 Rev'!S196</f>
        <v>3872051</v>
      </c>
      <c r="M21" s="294">
        <f>'Booked Dec 2017 Rev'!S320</f>
        <v>25340.97</v>
      </c>
      <c r="N21" s="294">
        <f t="shared" si="2"/>
        <v>3897391.97</v>
      </c>
    </row>
    <row r="22" spans="1:14">
      <c r="K22" s="435"/>
      <c r="L22" s="507">
        <f>SUM(L10:L21)</f>
        <v>20806992</v>
      </c>
      <c r="M22" s="507">
        <f>SUM(M10:M21)</f>
        <v>165057.12000000002</v>
      </c>
      <c r="N22" s="507">
        <f>SUM(N10:N21)</f>
        <v>20972049.119999997</v>
      </c>
    </row>
    <row r="23" spans="1:14">
      <c r="E23" s="868"/>
    </row>
    <row r="32" spans="1:14">
      <c r="K32" s="309"/>
    </row>
    <row r="33" spans="11:11">
      <c r="K33" s="309"/>
    </row>
    <row r="34" spans="11:11">
      <c r="K34" s="309"/>
    </row>
    <row r="35" spans="11:11">
      <c r="K35" s="309"/>
    </row>
    <row r="36" spans="11:11">
      <c r="K36" s="309"/>
    </row>
    <row r="37" spans="11:11">
      <c r="K37" s="309"/>
    </row>
    <row r="38" spans="11:11">
      <c r="K38" s="309"/>
    </row>
    <row r="39" spans="11:11">
      <c r="K39" s="309"/>
    </row>
    <row r="40" spans="11:11">
      <c r="K40" s="309"/>
    </row>
    <row r="41" spans="11:11">
      <c r="K41" s="309"/>
    </row>
    <row r="42" spans="11:11">
      <c r="K42" s="309"/>
    </row>
    <row r="43" spans="11:11">
      <c r="K43" s="309"/>
    </row>
  </sheetData>
  <dataValidations disablePrompts="1" count="1">
    <dataValidation type="list" showInputMessage="1" showErrorMessage="1" sqref="F17">
      <formula1>"Expense QGC,Expense DPU,Expense CCS,Expense FINAL ORDER,Expense HISTORICAL,,Expense Dec 08,Expense Jun 09"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15973" r:id="rId4" name="Button 5">
              <controlPr defaultSize="0" print="0" autoFill="0" autoPict="0" macro="[0]!Macro5">
                <anchor moveWithCells="1" sizeWithCells="1">
                  <from>
                    <xdr:col>0</xdr:col>
                    <xdr:colOff>0</xdr:colOff>
                    <xdr:row>5</xdr:row>
                    <xdr:rowOff>47625</xdr:rowOff>
                  </from>
                  <to>
                    <xdr:col>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403" r:id="rId5" name="Button 435">
              <controlPr defaultSize="0" print="0" autoFill="0" autoPict="0" macro="[0]!Macro5">
                <anchor moveWithCells="1" sizeWithCells="1">
                  <from>
                    <xdr:col>4</xdr:col>
                    <xdr:colOff>247650</xdr:colOff>
                    <xdr:row>1</xdr:row>
                    <xdr:rowOff>47625</xdr:rowOff>
                  </from>
                  <to>
                    <xdr:col>5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37"/>
  <sheetViews>
    <sheetView workbookViewId="0">
      <selection activeCell="D6" sqref="D6"/>
    </sheetView>
  </sheetViews>
  <sheetFormatPr defaultColWidth="9.140625" defaultRowHeight="12.75"/>
  <cols>
    <col min="1" max="1" width="4.140625" style="2" customWidth="1"/>
    <col min="2" max="2" width="11" style="2" customWidth="1"/>
    <col min="3" max="3" width="13.7109375" style="2" customWidth="1"/>
    <col min="4" max="4" width="12.7109375" style="2" customWidth="1"/>
    <col min="5" max="5" width="7.28515625" style="2" customWidth="1"/>
    <col min="6" max="7" width="12.7109375" style="2" customWidth="1"/>
    <col min="8" max="8" width="14.28515625" style="2" customWidth="1"/>
    <col min="9" max="9" width="12.7109375" style="2" customWidth="1"/>
    <col min="10" max="16384" width="9.140625" style="2"/>
  </cols>
  <sheetData>
    <row r="1" spans="1:6">
      <c r="A1" s="14" t="s">
        <v>72</v>
      </c>
      <c r="B1" s="30"/>
      <c r="F1" s="69"/>
    </row>
    <row r="2" spans="1:6">
      <c r="A2" s="14" t="str">
        <f>'Control Panel'!$B$1</f>
        <v>Dominion Energy</v>
      </c>
      <c r="B2" s="30"/>
      <c r="F2" s="133"/>
    </row>
    <row r="3" spans="1:6">
      <c r="A3" s="14" t="str">
        <f>'Control Panel'!$B$2</f>
        <v>Utah - Dec 2017 Adjusted Avg Results</v>
      </c>
      <c r="B3" s="30"/>
      <c r="C3" s="23"/>
    </row>
    <row r="4" spans="1:6">
      <c r="A4" s="14" t="str">
        <f>'Control Panel'!$B$3</f>
        <v>12 Months Ended : Dec-2017</v>
      </c>
    </row>
    <row r="5" spans="1:6">
      <c r="A5" s="47"/>
    </row>
    <row r="6" spans="1:6">
      <c r="A6" s="30"/>
    </row>
    <row r="7" spans="1:6">
      <c r="B7" s="1430" t="s">
        <v>821</v>
      </c>
      <c r="C7" s="1430"/>
      <c r="D7" s="1430"/>
    </row>
    <row r="8" spans="1:6">
      <c r="A8" s="30"/>
    </row>
    <row r="9" spans="1:6">
      <c r="A9" s="30"/>
      <c r="B9" s="3" t="s">
        <v>784</v>
      </c>
      <c r="D9" s="3" t="s">
        <v>785</v>
      </c>
    </row>
    <row r="10" spans="1:6">
      <c r="A10" s="30"/>
      <c r="B10" s="3"/>
      <c r="D10" s="3" t="s">
        <v>438</v>
      </c>
    </row>
    <row r="11" spans="1:6" ht="13.5" thickBot="1">
      <c r="A11" s="30"/>
      <c r="B11" s="53" t="s">
        <v>436</v>
      </c>
      <c r="C11" s="53"/>
      <c r="D11" s="53" t="s">
        <v>437</v>
      </c>
    </row>
    <row r="12" spans="1:6">
      <c r="A12" s="78">
        <v>1</v>
      </c>
      <c r="B12" s="134">
        <f>'Rate Base'!H9</f>
        <v>42725</v>
      </c>
      <c r="D12" s="63">
        <f>'Rate Base'!H203</f>
        <v>49333980.549999997</v>
      </c>
    </row>
    <row r="13" spans="1:6">
      <c r="A13" s="78">
        <v>2</v>
      </c>
      <c r="B13" s="134">
        <f>'Rate Base'!I9</f>
        <v>42755</v>
      </c>
      <c r="D13" s="63">
        <f>'Rate Base'!I203</f>
        <v>33078465.640000001</v>
      </c>
    </row>
    <row r="14" spans="1:6">
      <c r="A14" s="78">
        <v>3</v>
      </c>
      <c r="B14" s="134">
        <f>'Rate Base'!J9</f>
        <v>42785</v>
      </c>
      <c r="D14" s="63">
        <f>'Rate Base'!J203</f>
        <v>21745044.18</v>
      </c>
    </row>
    <row r="15" spans="1:6">
      <c r="A15" s="78">
        <v>4</v>
      </c>
      <c r="B15" s="134">
        <f>'Rate Base'!K9</f>
        <v>42815</v>
      </c>
      <c r="D15" s="63">
        <f>'Rate Base'!K203</f>
        <v>8937825.6400000006</v>
      </c>
    </row>
    <row r="16" spans="1:6">
      <c r="A16" s="78">
        <v>5</v>
      </c>
      <c r="B16" s="134">
        <f>'Rate Base'!L9</f>
        <v>42845</v>
      </c>
      <c r="D16" s="63">
        <f>'Rate Base'!L203</f>
        <v>5265628.42</v>
      </c>
    </row>
    <row r="17" spans="1:11">
      <c r="A17" s="78">
        <v>6</v>
      </c>
      <c r="B17" s="134">
        <f>'Rate Base'!M9</f>
        <v>42875</v>
      </c>
      <c r="D17" s="63">
        <f>'Rate Base'!M203</f>
        <v>9895288.8399999999</v>
      </c>
    </row>
    <row r="18" spans="1:11">
      <c r="A18" s="78">
        <v>7</v>
      </c>
      <c r="B18" s="134">
        <f>'Rate Base'!N9</f>
        <v>42905</v>
      </c>
      <c r="D18" s="63">
        <f>'Rate Base'!N203</f>
        <v>21769885.129999999</v>
      </c>
    </row>
    <row r="19" spans="1:11">
      <c r="A19" s="78">
        <v>8</v>
      </c>
      <c r="B19" s="134">
        <f>'Rate Base'!O9</f>
        <v>42935</v>
      </c>
      <c r="D19" s="63">
        <f>'Rate Base'!O203</f>
        <v>34448175.630000003</v>
      </c>
    </row>
    <row r="20" spans="1:11">
      <c r="A20" s="78">
        <v>9</v>
      </c>
      <c r="B20" s="134">
        <f>'Rate Base'!P9</f>
        <v>42965</v>
      </c>
      <c r="D20" s="63">
        <f>'Rate Base'!P203</f>
        <v>48018857.409999996</v>
      </c>
    </row>
    <row r="21" spans="1:11">
      <c r="A21" s="78">
        <v>10</v>
      </c>
      <c r="B21" s="134">
        <f>'Rate Base'!Q9</f>
        <v>42995</v>
      </c>
      <c r="D21" s="63">
        <f>'Rate Base'!Q203</f>
        <v>58860691.740000002</v>
      </c>
      <c r="G21" s="63"/>
      <c r="H21" s="63"/>
    </row>
    <row r="22" spans="1:11">
      <c r="A22" s="78">
        <v>11</v>
      </c>
      <c r="B22" s="134">
        <f>'Rate Base'!R9</f>
        <v>43025</v>
      </c>
      <c r="D22" s="63">
        <f>'Rate Base'!R203</f>
        <v>59031895.799999997</v>
      </c>
    </row>
    <row r="23" spans="1:11">
      <c r="A23" s="78">
        <v>12</v>
      </c>
      <c r="B23" s="134">
        <f>'Rate Base'!S9</f>
        <v>43055</v>
      </c>
      <c r="D23" s="63">
        <f>'Rate Base'!S203</f>
        <v>59289969.149999999</v>
      </c>
    </row>
    <row r="24" spans="1:11">
      <c r="A24" s="78">
        <v>13</v>
      </c>
      <c r="B24" s="134">
        <f>'Rate Base'!T9</f>
        <v>43085</v>
      </c>
      <c r="D24" s="63">
        <f>'Rate Base'!T204</f>
        <v>52891066.75</v>
      </c>
    </row>
    <row r="25" spans="1:11" ht="13.5" hidden="1" thickBot="1">
      <c r="A25" s="78">
        <v>14</v>
      </c>
      <c r="B25" s="134" t="s">
        <v>871</v>
      </c>
      <c r="D25" s="211">
        <f>(SUM(D13:D23)+(D12*0.5)+(D24*0.5))/12</f>
        <v>34287854.269166663</v>
      </c>
    </row>
    <row r="26" spans="1:11">
      <c r="A26" s="4"/>
    </row>
    <row r="27" spans="1:11">
      <c r="A27" s="78">
        <v>14</v>
      </c>
      <c r="B27" s="2" t="s">
        <v>41</v>
      </c>
      <c r="D27" s="303">
        <f>-D24</f>
        <v>-52891066.75</v>
      </c>
    </row>
    <row r="29" spans="1:11">
      <c r="D29" s="303"/>
    </row>
    <row r="30" spans="1:11">
      <c r="D30" s="7"/>
      <c r="G30" s="63"/>
      <c r="H30" s="7"/>
      <c r="I30" s="12"/>
      <c r="K30" s="7"/>
    </row>
    <row r="37" spans="6:6">
      <c r="F37" s="63"/>
    </row>
  </sheetData>
  <mergeCells count="1">
    <mergeCell ref="B7:D7"/>
  </mergeCells>
  <phoneticPr fontId="0" type="noConversion"/>
  <printOptions horizontalCentered="1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L39"/>
  <sheetViews>
    <sheetView workbookViewId="0">
      <selection activeCell="K20" sqref="K20"/>
    </sheetView>
  </sheetViews>
  <sheetFormatPr defaultColWidth="9.140625" defaultRowHeight="12.75"/>
  <cols>
    <col min="1" max="1" width="3.28515625" style="68" customWidth="1"/>
    <col min="2" max="2" width="2.140625" style="68" customWidth="1"/>
    <col min="3" max="3" width="5.7109375" style="68" customWidth="1"/>
    <col min="4" max="4" width="38.140625" style="68" customWidth="1"/>
    <col min="5" max="5" width="12.28515625" style="68" hidden="1" customWidth="1"/>
    <col min="6" max="6" width="11.5703125" style="68" customWidth="1"/>
    <col min="7" max="7" width="9.140625" style="68"/>
    <col min="8" max="8" width="12.28515625" style="68" customWidth="1"/>
    <col min="9" max="9" width="10.7109375" style="2" bestFit="1" customWidth="1"/>
    <col min="10" max="10" width="9.140625" style="2"/>
    <col min="11" max="11" width="10.140625" style="2" bestFit="1" customWidth="1"/>
    <col min="12" max="16384" width="9.140625" style="2"/>
  </cols>
  <sheetData>
    <row r="1" spans="1:12">
      <c r="A1" s="327" t="s">
        <v>71</v>
      </c>
      <c r="B1" s="67"/>
      <c r="C1" s="67"/>
      <c r="E1" s="385"/>
      <c r="F1" s="385"/>
      <c r="G1" s="380"/>
      <c r="H1" s="381"/>
      <c r="I1" s="382"/>
    </row>
    <row r="2" spans="1:12">
      <c r="A2" s="14" t="str">
        <f>'Control Panel'!$B$1</f>
        <v>Dominion Energy</v>
      </c>
      <c r="B2" s="67"/>
      <c r="C2" s="67"/>
      <c r="D2" s="70"/>
      <c r="E2" s="385"/>
      <c r="F2" s="385"/>
      <c r="G2" s="383"/>
      <c r="H2" s="384"/>
      <c r="I2" s="382"/>
    </row>
    <row r="3" spans="1:12">
      <c r="A3" s="14" t="str">
        <f>'Control Panel'!$B$2</f>
        <v>Utah - Dec 2017 Adjusted Avg Results</v>
      </c>
      <c r="B3" s="67"/>
      <c r="C3" s="67"/>
      <c r="D3" s="67"/>
      <c r="E3" s="385"/>
      <c r="F3" s="385"/>
      <c r="G3" s="379"/>
      <c r="H3" s="380"/>
      <c r="I3" s="382"/>
    </row>
    <row r="4" spans="1:12">
      <c r="A4" s="14" t="str">
        <f>'Control Panel'!$B$3</f>
        <v>12 Months Ended : Dec-2017</v>
      </c>
      <c r="B4" s="67"/>
      <c r="C4" s="67"/>
      <c r="D4" s="67"/>
      <c r="E4" s="379"/>
      <c r="F4" s="379"/>
      <c r="G4" s="379"/>
      <c r="H4" s="379"/>
      <c r="I4" s="382"/>
    </row>
    <row r="5" spans="1:12">
      <c r="A5" s="47"/>
      <c r="B5" s="67"/>
      <c r="C5" s="67"/>
      <c r="D5" s="67"/>
      <c r="E5" s="67"/>
      <c r="F5" s="67"/>
      <c r="G5" s="67"/>
      <c r="H5" s="67"/>
      <c r="I5" s="123"/>
    </row>
    <row r="6" spans="1:12" s="67" customFormat="1">
      <c r="B6" s="67" t="s">
        <v>71</v>
      </c>
    </row>
    <row r="7" spans="1:12">
      <c r="A7" s="66"/>
      <c r="B7" s="67"/>
      <c r="C7" s="67"/>
      <c r="D7" s="67"/>
      <c r="E7" s="67"/>
      <c r="F7" s="67"/>
      <c r="G7" s="67"/>
      <c r="H7" s="67"/>
    </row>
    <row r="8" spans="1:12">
      <c r="A8" s="66"/>
      <c r="C8" s="66"/>
      <c r="D8" s="66"/>
      <c r="E8" s="66"/>
      <c r="F8" s="66" t="s">
        <v>785</v>
      </c>
      <c r="G8" s="1163" t="s">
        <v>786</v>
      </c>
      <c r="H8" s="1163" t="s">
        <v>787</v>
      </c>
    </row>
    <row r="9" spans="1:12">
      <c r="A9" s="66"/>
      <c r="B9" s="66"/>
      <c r="C9" s="66"/>
      <c r="D9" s="66"/>
      <c r="E9" s="66"/>
      <c r="F9" s="66" t="s">
        <v>427</v>
      </c>
      <c r="G9" s="66" t="s">
        <v>186</v>
      </c>
      <c r="H9" s="66" t="s">
        <v>41</v>
      </c>
    </row>
    <row r="10" spans="1:12" ht="13.5" thickBot="1">
      <c r="A10" s="66"/>
      <c r="C10" s="59"/>
      <c r="D10" s="378" t="s">
        <v>187</v>
      </c>
      <c r="E10" s="60"/>
      <c r="F10" s="60" t="s">
        <v>188</v>
      </c>
      <c r="G10" s="60" t="s">
        <v>189</v>
      </c>
      <c r="H10" s="60" t="s">
        <v>190</v>
      </c>
    </row>
    <row r="11" spans="1:12">
      <c r="A11" s="66">
        <v>1</v>
      </c>
      <c r="B11" s="61" t="s">
        <v>502</v>
      </c>
      <c r="C11" s="67"/>
      <c r="D11" s="67"/>
      <c r="E11" s="62"/>
      <c r="F11" s="62"/>
      <c r="G11" s="62"/>
      <c r="H11" s="67"/>
    </row>
    <row r="12" spans="1:12">
      <c r="A12" s="66">
        <v>10</v>
      </c>
      <c r="B12" s="63"/>
      <c r="C12" s="61" t="s">
        <v>191</v>
      </c>
      <c r="D12" s="61" t="s">
        <v>778</v>
      </c>
      <c r="E12" s="72">
        <f>+'Rate Base'!$N$146</f>
        <v>79968136</v>
      </c>
      <c r="F12" s="72">
        <f>+'Rate Base'!$AC$146</f>
        <v>79968136</v>
      </c>
      <c r="G12" s="62">
        <v>6.3E-2</v>
      </c>
      <c r="H12" s="72">
        <f>-(F12*G12)</f>
        <v>-5037992.568</v>
      </c>
      <c r="I12" s="7"/>
      <c r="K12" s="147"/>
      <c r="L12" s="147"/>
    </row>
    <row r="13" spans="1:12">
      <c r="A13" s="66">
        <v>11</v>
      </c>
      <c r="B13" s="63"/>
      <c r="C13" s="61" t="s">
        <v>192</v>
      </c>
      <c r="D13" s="61" t="s">
        <v>285</v>
      </c>
      <c r="E13" s="67">
        <v>0</v>
      </c>
      <c r="F13" s="67">
        <v>0</v>
      </c>
      <c r="G13" s="62">
        <f t="shared" ref="G13:G18" si="0">$G$12</f>
        <v>6.3E-2</v>
      </c>
      <c r="H13" s="67">
        <f t="shared" ref="H13:H18" si="1">-ROUND(F13*G13,0)</f>
        <v>0</v>
      </c>
    </row>
    <row r="14" spans="1:12">
      <c r="A14" s="66">
        <v>12</v>
      </c>
      <c r="B14" s="63"/>
      <c r="C14" s="61" t="s">
        <v>193</v>
      </c>
      <c r="D14" s="61" t="s">
        <v>503</v>
      </c>
      <c r="E14" s="67">
        <v>0</v>
      </c>
      <c r="F14" s="67">
        <v>0</v>
      </c>
      <c r="G14" s="62">
        <f t="shared" si="0"/>
        <v>6.3E-2</v>
      </c>
      <c r="H14" s="67">
        <f t="shared" si="1"/>
        <v>0</v>
      </c>
    </row>
    <row r="15" spans="1:12">
      <c r="A15" s="66">
        <v>13</v>
      </c>
      <c r="B15" s="63"/>
      <c r="C15" s="61" t="s">
        <v>194</v>
      </c>
      <c r="D15" s="61" t="s">
        <v>504</v>
      </c>
      <c r="E15" s="67">
        <v>0</v>
      </c>
      <c r="F15" s="67">
        <v>0</v>
      </c>
      <c r="G15" s="62">
        <f t="shared" si="0"/>
        <v>6.3E-2</v>
      </c>
      <c r="H15" s="67">
        <f t="shared" si="1"/>
        <v>0</v>
      </c>
    </row>
    <row r="16" spans="1:12">
      <c r="A16" s="66">
        <v>14</v>
      </c>
      <c r="B16" s="63"/>
      <c r="C16" s="61" t="s">
        <v>195</v>
      </c>
      <c r="D16" s="61" t="s">
        <v>295</v>
      </c>
      <c r="E16" s="67">
        <v>0</v>
      </c>
      <c r="F16" s="67">
        <v>0</v>
      </c>
      <c r="G16" s="62">
        <f t="shared" si="0"/>
        <v>6.3E-2</v>
      </c>
      <c r="H16" s="67">
        <f t="shared" si="1"/>
        <v>0</v>
      </c>
    </row>
    <row r="17" spans="1:8">
      <c r="A17" s="66">
        <v>15</v>
      </c>
      <c r="B17" s="63"/>
      <c r="C17" s="61" t="s">
        <v>196</v>
      </c>
      <c r="D17" s="61" t="s">
        <v>296</v>
      </c>
      <c r="E17" s="67">
        <v>0</v>
      </c>
      <c r="F17" s="67">
        <v>0</v>
      </c>
      <c r="G17" s="62">
        <f t="shared" si="0"/>
        <v>6.3E-2</v>
      </c>
      <c r="H17" s="67">
        <f t="shared" si="1"/>
        <v>0</v>
      </c>
    </row>
    <row r="18" spans="1:8">
      <c r="A18" s="66">
        <v>16</v>
      </c>
      <c r="B18" s="67"/>
      <c r="C18" s="61"/>
      <c r="D18" s="61" t="s">
        <v>505</v>
      </c>
      <c r="E18" s="67">
        <v>0</v>
      </c>
      <c r="F18" s="67">
        <v>0</v>
      </c>
      <c r="G18" s="62">
        <f t="shared" si="0"/>
        <v>6.3E-2</v>
      </c>
      <c r="H18" s="67">
        <f t="shared" si="1"/>
        <v>0</v>
      </c>
    </row>
    <row r="19" spans="1:8" ht="13.5" thickBot="1">
      <c r="A19" s="66">
        <v>17</v>
      </c>
      <c r="B19" s="61" t="s">
        <v>506</v>
      </c>
      <c r="C19" s="63"/>
      <c r="D19" s="67"/>
      <c r="E19" s="170">
        <f>SUM(E11:E17)</f>
        <v>79968136</v>
      </c>
      <c r="F19" s="170">
        <f>SUM(F11:F17)</f>
        <v>79968136</v>
      </c>
      <c r="G19" s="170"/>
      <c r="H19" s="170">
        <f>SUM(H12:H18)</f>
        <v>-5037992.568</v>
      </c>
    </row>
    <row r="20" spans="1:8" ht="13.5" thickTop="1">
      <c r="A20" s="66"/>
      <c r="B20" s="67"/>
      <c r="C20" s="63"/>
      <c r="D20" s="67"/>
    </row>
    <row r="21" spans="1:8">
      <c r="A21" s="66">
        <v>18</v>
      </c>
      <c r="B21" s="61" t="s">
        <v>507</v>
      </c>
      <c r="C21" s="63"/>
      <c r="D21" s="67"/>
    </row>
    <row r="22" spans="1:8">
      <c r="A22" s="66">
        <v>19</v>
      </c>
      <c r="B22" s="63"/>
      <c r="C22" s="61" t="s">
        <v>197</v>
      </c>
      <c r="D22" s="61" t="s">
        <v>508</v>
      </c>
      <c r="E22" s="67">
        <f>+'Rate Base'!$N$164</f>
        <v>-69256660.719999999</v>
      </c>
      <c r="F22" s="67">
        <f>+'Rate Base'!$AC$164</f>
        <v>-69258056.713333353</v>
      </c>
      <c r="G22" s="62">
        <f t="shared" ref="G22:G29" si="2">$G$12</f>
        <v>6.3E-2</v>
      </c>
      <c r="H22" s="67">
        <f>-F22*G22</f>
        <v>4363257.5729400013</v>
      </c>
    </row>
    <row r="23" spans="1:8">
      <c r="A23" s="66">
        <v>20</v>
      </c>
      <c r="B23" s="61"/>
      <c r="C23" s="61" t="s">
        <v>198</v>
      </c>
      <c r="D23" s="61" t="s">
        <v>509</v>
      </c>
      <c r="E23" s="67">
        <f>+'Rate Base'!$N$171</f>
        <v>-6141845.8700000001</v>
      </c>
      <c r="F23" s="67">
        <f>+'Rate Base'!$AC$171</f>
        <v>-6141881.1287500001</v>
      </c>
      <c r="G23" s="62">
        <f t="shared" si="2"/>
        <v>6.3E-2</v>
      </c>
      <c r="H23" s="67">
        <f>-F23*G23</f>
        <v>386938.51111125003</v>
      </c>
    </row>
    <row r="24" spans="1:8">
      <c r="A24" s="66">
        <v>21</v>
      </c>
      <c r="B24" s="63"/>
      <c r="C24" s="61" t="s">
        <v>199</v>
      </c>
      <c r="D24" s="61" t="s">
        <v>297</v>
      </c>
      <c r="E24" s="67">
        <v>0</v>
      </c>
      <c r="F24" s="67">
        <v>0</v>
      </c>
      <c r="G24" s="62">
        <f t="shared" si="2"/>
        <v>6.3E-2</v>
      </c>
      <c r="H24" s="67">
        <f t="shared" ref="H24:H29" si="3">-ROUND(F24*G24,0)</f>
        <v>0</v>
      </c>
    </row>
    <row r="25" spans="1:8">
      <c r="A25" s="66">
        <v>22</v>
      </c>
      <c r="B25" s="63"/>
      <c r="C25" s="206">
        <v>252</v>
      </c>
      <c r="D25" s="61" t="s">
        <v>480</v>
      </c>
      <c r="E25" s="67">
        <v>0</v>
      </c>
      <c r="F25" s="67">
        <v>0</v>
      </c>
      <c r="G25" s="62">
        <f t="shared" si="2"/>
        <v>6.3E-2</v>
      </c>
      <c r="H25" s="67">
        <f t="shared" si="3"/>
        <v>0</v>
      </c>
    </row>
    <row r="26" spans="1:8">
      <c r="A26" s="66">
        <v>23</v>
      </c>
      <c r="B26" s="63"/>
      <c r="C26" s="61" t="s">
        <v>200</v>
      </c>
      <c r="D26" s="61" t="s">
        <v>298</v>
      </c>
      <c r="E26" s="67">
        <v>0</v>
      </c>
      <c r="F26" s="67">
        <v>0</v>
      </c>
      <c r="G26" s="62">
        <f t="shared" si="2"/>
        <v>6.3E-2</v>
      </c>
      <c r="H26" s="67">
        <f t="shared" si="3"/>
        <v>0</v>
      </c>
    </row>
    <row r="27" spans="1:8">
      <c r="A27" s="66">
        <v>24</v>
      </c>
      <c r="B27" s="63"/>
      <c r="C27" s="61" t="s">
        <v>428</v>
      </c>
      <c r="D27" s="61" t="s">
        <v>299</v>
      </c>
      <c r="E27" s="67">
        <v>0</v>
      </c>
      <c r="F27" s="67">
        <v>0</v>
      </c>
      <c r="G27" s="62">
        <f t="shared" si="2"/>
        <v>6.3E-2</v>
      </c>
      <c r="H27" s="67">
        <f t="shared" si="3"/>
        <v>0</v>
      </c>
    </row>
    <row r="28" spans="1:8">
      <c r="A28" s="66">
        <v>25</v>
      </c>
      <c r="B28" s="63"/>
      <c r="C28" s="61" t="s">
        <v>429</v>
      </c>
      <c r="D28" s="61" t="s">
        <v>464</v>
      </c>
      <c r="E28" s="67">
        <v>0</v>
      </c>
      <c r="F28" s="67">
        <v>0</v>
      </c>
      <c r="G28" s="62">
        <f t="shared" si="2"/>
        <v>6.3E-2</v>
      </c>
      <c r="H28" s="67">
        <f t="shared" si="3"/>
        <v>0</v>
      </c>
    </row>
    <row r="29" spans="1:8">
      <c r="A29" s="66">
        <v>26</v>
      </c>
      <c r="B29" s="63"/>
      <c r="C29" s="61" t="s">
        <v>430</v>
      </c>
      <c r="D29" s="61" t="s">
        <v>465</v>
      </c>
      <c r="E29" s="67">
        <v>0</v>
      </c>
      <c r="F29" s="67">
        <v>0</v>
      </c>
      <c r="G29" s="62">
        <f t="shared" si="2"/>
        <v>6.3E-2</v>
      </c>
      <c r="H29" s="67">
        <f t="shared" si="3"/>
        <v>0</v>
      </c>
    </row>
    <row r="30" spans="1:8">
      <c r="A30" s="66">
        <v>27</v>
      </c>
      <c r="B30" s="61" t="s">
        <v>35</v>
      </c>
      <c r="C30" s="63"/>
      <c r="D30" s="67"/>
      <c r="E30" s="64">
        <f>SUM(E22:E29)</f>
        <v>-75398506.590000004</v>
      </c>
      <c r="F30" s="64">
        <f>SUM(F22:F29)</f>
        <v>-75399937.84208335</v>
      </c>
      <c r="G30" s="64"/>
      <c r="H30" s="64">
        <f>SUM(H22:H29)</f>
        <v>4750196.0840512514</v>
      </c>
    </row>
    <row r="31" spans="1:8" ht="13.5" thickBot="1">
      <c r="A31" s="66"/>
      <c r="B31" s="67"/>
      <c r="C31" s="67"/>
      <c r="D31" s="67"/>
      <c r="E31" s="67"/>
      <c r="F31" s="67"/>
      <c r="G31" s="67"/>
      <c r="H31" s="65"/>
    </row>
    <row r="32" spans="1:8" ht="13.5" thickTop="1">
      <c r="A32" s="66"/>
      <c r="B32" s="67"/>
      <c r="C32" s="67"/>
      <c r="D32" s="67"/>
      <c r="E32" s="67"/>
      <c r="F32" s="67"/>
      <c r="G32" s="67"/>
      <c r="H32" s="67"/>
    </row>
    <row r="33" spans="1:8">
      <c r="A33" s="66">
        <v>28</v>
      </c>
      <c r="B33" s="71" t="s">
        <v>628</v>
      </c>
      <c r="C33" s="67"/>
      <c r="D33" s="67"/>
      <c r="E33" s="67"/>
      <c r="F33" s="67"/>
      <c r="G33" s="67"/>
      <c r="H33" s="72">
        <f>+H19+H30</f>
        <v>-287796.48394874856</v>
      </c>
    </row>
    <row r="34" spans="1:8">
      <c r="A34" s="66"/>
      <c r="B34" s="61"/>
      <c r="C34" s="67"/>
      <c r="D34" s="67"/>
      <c r="E34" s="67"/>
      <c r="F34" s="67"/>
      <c r="G34" s="67"/>
      <c r="H34" s="67"/>
    </row>
    <row r="35" spans="1:8">
      <c r="A35" s="73"/>
      <c r="B35" s="74"/>
      <c r="C35" s="74"/>
      <c r="D35" s="74"/>
      <c r="E35" s="67"/>
      <c r="F35" s="67"/>
      <c r="G35" s="67"/>
      <c r="H35" s="67"/>
    </row>
    <row r="36" spans="1:8" s="67" customFormat="1"/>
    <row r="37" spans="1:8" s="67" customFormat="1">
      <c r="A37" s="67" t="s">
        <v>431</v>
      </c>
      <c r="B37" s="67" t="s">
        <v>362</v>
      </c>
    </row>
    <row r="38" spans="1:8" s="67" customFormat="1">
      <c r="A38" s="67" t="s">
        <v>432</v>
      </c>
      <c r="B38" s="67" t="s">
        <v>433</v>
      </c>
    </row>
    <row r="39" spans="1:8">
      <c r="A39" s="67" t="s">
        <v>434</v>
      </c>
      <c r="B39" s="75" t="s">
        <v>435</v>
      </c>
      <c r="C39" s="67"/>
      <c r="D39" s="67"/>
      <c r="E39" s="67"/>
      <c r="F39" s="67"/>
      <c r="G39" s="67"/>
      <c r="H39" s="67"/>
    </row>
  </sheetData>
  <phoneticPr fontId="0" type="noConversion"/>
  <printOptions horizontalCentered="1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4994" r:id="rId4" name="Button 2">
              <controlPr defaultSize="0" print="0" autoFill="0" autoPict="0" macro="[0]!Macro5">
                <anchor moveWithCells="1" sizeWithCells="1">
                  <from>
                    <xdr:col>5</xdr:col>
                    <xdr:colOff>47625</xdr:colOff>
                    <xdr:row>1</xdr:row>
                    <xdr:rowOff>66675</xdr:rowOff>
                  </from>
                  <to>
                    <xdr:col>5</xdr:col>
                    <xdr:colOff>561975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M32"/>
  <sheetViews>
    <sheetView workbookViewId="0">
      <selection activeCell="B6" sqref="B6"/>
    </sheetView>
  </sheetViews>
  <sheetFormatPr defaultColWidth="9.140625" defaultRowHeight="12.75"/>
  <cols>
    <col min="1" max="1" width="4.42578125" style="1022" customWidth="1"/>
    <col min="2" max="2" width="36.28515625" style="2" bestFit="1" customWidth="1"/>
    <col min="3" max="3" width="15.7109375" style="2" customWidth="1"/>
    <col min="4" max="4" width="15" style="2" customWidth="1"/>
    <col min="5" max="5" width="3.5703125" style="2" customWidth="1"/>
    <col min="6" max="6" width="15" style="2" customWidth="1"/>
    <col min="7" max="7" width="3" style="2" customWidth="1"/>
    <col min="8" max="9" width="4.42578125" style="2" customWidth="1"/>
    <col min="10" max="12" width="9.140625" style="2"/>
    <col min="13" max="13" width="11.28515625" style="2" bestFit="1" customWidth="1"/>
    <col min="14" max="16384" width="9.140625" style="2"/>
  </cols>
  <sheetData>
    <row r="1" spans="1:13">
      <c r="A1" s="77" t="s">
        <v>879</v>
      </c>
      <c r="M1" s="68"/>
    </row>
    <row r="2" spans="1:13">
      <c r="A2" s="132" t="str">
        <f>'Control Panel'!$B$1</f>
        <v>Dominion Energy</v>
      </c>
      <c r="M2" s="68"/>
    </row>
    <row r="3" spans="1:13">
      <c r="A3" s="77" t="str">
        <f>'Control Panel'!$B$2</f>
        <v>Utah - Dec 2017 Adjusted Avg Results</v>
      </c>
      <c r="M3" s="86"/>
    </row>
    <row r="4" spans="1:13">
      <c r="A4" s="77" t="str">
        <f>'Control Panel'!$B$3</f>
        <v>12 Months Ended : Dec-2017</v>
      </c>
    </row>
    <row r="5" spans="1:13">
      <c r="A5" s="2"/>
      <c r="D5" s="1022"/>
      <c r="F5" s="1022" t="s">
        <v>756</v>
      </c>
      <c r="H5" s="68"/>
    </row>
    <row r="6" spans="1:13" ht="25.5">
      <c r="A6" s="77"/>
      <c r="B6" s="55"/>
      <c r="C6" s="467"/>
      <c r="D6" s="416" t="s">
        <v>1567</v>
      </c>
      <c r="E6" s="416"/>
      <c r="F6" s="416" t="str">
        <f>+'Control Panel'!B38</f>
        <v xml:space="preserve"> Reserve accrual </v>
      </c>
      <c r="G6" s="2">
        <v>1</v>
      </c>
      <c r="H6" s="68"/>
    </row>
    <row r="7" spans="1:13">
      <c r="B7" s="90"/>
      <c r="C7" s="90"/>
      <c r="G7" s="2">
        <f>+G6+1</f>
        <v>2</v>
      </c>
    </row>
    <row r="8" spans="1:13">
      <c r="B8" s="77" t="s">
        <v>625</v>
      </c>
      <c r="C8" s="77"/>
      <c r="G8" s="2">
        <f t="shared" ref="G8:G27" si="0">+G7+1</f>
        <v>3</v>
      </c>
    </row>
    <row r="9" spans="1:13" ht="13.5" thickBot="1">
      <c r="B9" s="1025" t="s">
        <v>784</v>
      </c>
      <c r="C9" s="1025"/>
      <c r="D9" s="1025"/>
      <c r="E9" s="1025"/>
      <c r="F9" s="1025"/>
      <c r="G9" s="2">
        <f t="shared" si="0"/>
        <v>4</v>
      </c>
    </row>
    <row r="10" spans="1:13">
      <c r="D10" s="593"/>
      <c r="F10" s="593"/>
      <c r="G10" s="2">
        <f t="shared" si="0"/>
        <v>5</v>
      </c>
    </row>
    <row r="11" spans="1:13">
      <c r="A11" s="1022">
        <v>1</v>
      </c>
      <c r="B11" s="68" t="s">
        <v>1090</v>
      </c>
      <c r="D11" s="594">
        <v>337092</v>
      </c>
      <c r="F11" s="594">
        <f t="shared" ref="F11:F17" si="1">HLOOKUP($F$6,RESERVEACCRUALSCENARIO,G11,FALSE)</f>
        <v>337092</v>
      </c>
      <c r="G11" s="2">
        <f t="shared" si="0"/>
        <v>6</v>
      </c>
    </row>
    <row r="12" spans="1:13">
      <c r="A12" s="1187">
        <f>A11+1</f>
        <v>2</v>
      </c>
      <c r="B12" s="68" t="s">
        <v>1131</v>
      </c>
      <c r="D12" s="594">
        <v>0</v>
      </c>
      <c r="F12" s="594">
        <f t="shared" si="1"/>
        <v>0</v>
      </c>
      <c r="G12" s="2">
        <f t="shared" si="0"/>
        <v>7</v>
      </c>
      <c r="J12" s="68"/>
    </row>
    <row r="13" spans="1:13">
      <c r="A13" s="1209">
        <f t="shared" ref="A13:A27" si="2">A12+1</f>
        <v>3</v>
      </c>
      <c r="B13" s="68" t="s">
        <v>1158</v>
      </c>
      <c r="D13" s="594">
        <v>34800</v>
      </c>
      <c r="F13" s="594">
        <f t="shared" si="1"/>
        <v>34800</v>
      </c>
      <c r="G13" s="2">
        <f t="shared" si="0"/>
        <v>8</v>
      </c>
      <c r="J13" s="68"/>
    </row>
    <row r="14" spans="1:13">
      <c r="A14" s="1245">
        <f t="shared" si="2"/>
        <v>4</v>
      </c>
      <c r="B14" s="68" t="s">
        <v>1247</v>
      </c>
      <c r="D14" s="594">
        <v>215113</v>
      </c>
      <c r="F14" s="594">
        <f t="shared" si="1"/>
        <v>215113</v>
      </c>
      <c r="G14" s="2">
        <f t="shared" si="0"/>
        <v>9</v>
      </c>
      <c r="J14" s="68"/>
    </row>
    <row r="15" spans="1:13">
      <c r="A15" s="1245">
        <f t="shared" si="2"/>
        <v>5</v>
      </c>
      <c r="B15" s="68" t="s">
        <v>1307</v>
      </c>
      <c r="D15" s="587">
        <v>107195</v>
      </c>
      <c r="F15" s="594">
        <f t="shared" si="1"/>
        <v>107195</v>
      </c>
      <c r="G15" s="2">
        <f t="shared" si="0"/>
        <v>10</v>
      </c>
      <c r="J15" s="68"/>
    </row>
    <row r="16" spans="1:13" ht="13.5" thickBot="1">
      <c r="A16" s="1245">
        <f t="shared" si="2"/>
        <v>6</v>
      </c>
      <c r="B16" s="2" t="s">
        <v>160</v>
      </c>
      <c r="D16" s="426">
        <f>SUM(D11:D15)</f>
        <v>694200</v>
      </c>
      <c r="F16" s="426">
        <f t="shared" si="1"/>
        <v>694200</v>
      </c>
      <c r="G16" s="2">
        <f t="shared" si="0"/>
        <v>11</v>
      </c>
    </row>
    <row r="17" spans="1:10" ht="13.5" thickTop="1">
      <c r="A17" s="1245">
        <f t="shared" si="2"/>
        <v>7</v>
      </c>
      <c r="B17" s="2" t="s">
        <v>633</v>
      </c>
      <c r="D17" s="425">
        <f>AVERAGE(D11:D15)</f>
        <v>138840</v>
      </c>
      <c r="F17" s="425">
        <f t="shared" si="1"/>
        <v>138840</v>
      </c>
      <c r="G17" s="2">
        <f t="shared" si="0"/>
        <v>12</v>
      </c>
    </row>
    <row r="18" spans="1:10">
      <c r="A18" s="1245">
        <f t="shared" si="2"/>
        <v>8</v>
      </c>
      <c r="D18" s="425"/>
      <c r="F18" s="425"/>
      <c r="G18" s="2">
        <f t="shared" si="0"/>
        <v>13</v>
      </c>
    </row>
    <row r="19" spans="1:10">
      <c r="A19" s="1245">
        <f t="shared" si="2"/>
        <v>9</v>
      </c>
      <c r="D19" s="425"/>
      <c r="F19" s="425"/>
      <c r="G19" s="2">
        <f t="shared" si="0"/>
        <v>14</v>
      </c>
    </row>
    <row r="20" spans="1:10">
      <c r="A20" s="1245">
        <f t="shared" si="2"/>
        <v>10</v>
      </c>
      <c r="B20" s="68" t="s">
        <v>1248</v>
      </c>
      <c r="D20" s="425">
        <v>143507</v>
      </c>
      <c r="F20" s="425">
        <f>HLOOKUP($F$6,RESERVEACCRUALSCENARIO,G20,FALSE)</f>
        <v>143507</v>
      </c>
      <c r="G20" s="2">
        <f t="shared" si="0"/>
        <v>15</v>
      </c>
      <c r="J20" s="68"/>
    </row>
    <row r="21" spans="1:10">
      <c r="A21" s="1245">
        <f t="shared" si="2"/>
        <v>11</v>
      </c>
      <c r="B21" s="68"/>
      <c r="F21" s="425"/>
      <c r="G21" s="2">
        <f t="shared" si="0"/>
        <v>16</v>
      </c>
    </row>
    <row r="22" spans="1:10">
      <c r="A22" s="1245">
        <f t="shared" si="2"/>
        <v>12</v>
      </c>
      <c r="B22" s="2" t="s">
        <v>463</v>
      </c>
      <c r="D22" s="425">
        <f>D17-D20</f>
        <v>-4667</v>
      </c>
      <c r="F22" s="425">
        <f>HLOOKUP($F$6,RESERVEACCRUALSCENARIO,G22,FALSE)</f>
        <v>-4667</v>
      </c>
      <c r="G22" s="2">
        <f t="shared" si="0"/>
        <v>17</v>
      </c>
    </row>
    <row r="23" spans="1:10">
      <c r="A23" s="1245">
        <f t="shared" si="2"/>
        <v>13</v>
      </c>
      <c r="D23" s="425"/>
      <c r="F23" s="425"/>
      <c r="G23" s="2">
        <f t="shared" si="0"/>
        <v>18</v>
      </c>
    </row>
    <row r="24" spans="1:10">
      <c r="A24" s="1245">
        <f t="shared" si="2"/>
        <v>14</v>
      </c>
      <c r="D24" s="425"/>
      <c r="F24" s="425"/>
      <c r="G24" s="2">
        <f t="shared" si="0"/>
        <v>19</v>
      </c>
    </row>
    <row r="25" spans="1:10">
      <c r="A25" s="1245">
        <f t="shared" si="2"/>
        <v>15</v>
      </c>
      <c r="B25" s="2" t="s">
        <v>119</v>
      </c>
      <c r="D25" s="425">
        <f>D22*'ROR-Model'!$M$2</f>
        <v>-4514.7687740051206</v>
      </c>
      <c r="F25" s="425">
        <f>HLOOKUP($F$6,RESERVEACCRUALSCENARIO,G25,FALSE)</f>
        <v>-4514.7687740051206</v>
      </c>
      <c r="G25" s="2">
        <f t="shared" si="0"/>
        <v>20</v>
      </c>
    </row>
    <row r="26" spans="1:10" ht="13.5" thickBot="1">
      <c r="A26" s="1245">
        <f t="shared" si="2"/>
        <v>16</v>
      </c>
      <c r="B26" s="2" t="s">
        <v>120</v>
      </c>
      <c r="D26" s="1050">
        <f>D22*'ROR-Model'!$N$2</f>
        <v>-152.23122599487928</v>
      </c>
      <c r="E26" s="376"/>
      <c r="F26" s="1050">
        <f>HLOOKUP($F$6,RESERVEACCRUALSCENARIO,G26,FALSE)</f>
        <v>-152.23122599487928</v>
      </c>
      <c r="G26" s="2">
        <f t="shared" si="0"/>
        <v>21</v>
      </c>
    </row>
    <row r="27" spans="1:10">
      <c r="A27" s="1245">
        <f t="shared" si="2"/>
        <v>17</v>
      </c>
      <c r="B27" s="68" t="s">
        <v>160</v>
      </c>
      <c r="D27" s="81">
        <f>SUM(D25:D26)</f>
        <v>-4667</v>
      </c>
      <c r="F27" s="81">
        <f>SUM(F25:F26)</f>
        <v>-4667</v>
      </c>
      <c r="G27" s="2">
        <f t="shared" si="0"/>
        <v>22</v>
      </c>
    </row>
    <row r="28" spans="1:10">
      <c r="B28" s="536"/>
    </row>
    <row r="29" spans="1:10">
      <c r="D29" s="81"/>
    </row>
    <row r="30" spans="1:10">
      <c r="D30" s="396"/>
      <c r="E30" s="396"/>
      <c r="F30" s="396"/>
    </row>
    <row r="31" spans="1:10">
      <c r="D31" s="396"/>
      <c r="E31" s="396"/>
      <c r="F31" s="396"/>
    </row>
    <row r="32" spans="1:10">
      <c r="A32" s="2"/>
      <c r="D32" s="396"/>
      <c r="E32" s="396"/>
      <c r="F32" s="396"/>
    </row>
  </sheetData>
  <phoneticPr fontId="23" type="noConversion"/>
  <dataValidations disablePrompts="1" count="2">
    <dataValidation type="list" showInputMessage="1" showErrorMessage="1" sqref="E31:F31">
      <formula1>"Expense QGC,Expense DPU,Expense CCS,Expense FINAL ORDER,Expense HISTORICAL,,Expense Dec 08,Expense Jun 09"</formula1>
    </dataValidation>
    <dataValidation type="list" showInputMessage="1" showErrorMessage="1" sqref="E6">
      <formula1>"Reserve Accrual Position 1,Reserve Accrual Position 2,Reserve Accrual Position 3,Reserve Accrual Position 4,QGC Reserve Accrual June 07,QGC Reserve Accrual Dec 08,QGC Reserve Accrual June 09"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B1:CF4849"/>
  <sheetViews>
    <sheetView zoomScaleNormal="100" workbookViewId="0">
      <selection activeCell="Q15" sqref="Q15"/>
    </sheetView>
  </sheetViews>
  <sheetFormatPr defaultColWidth="9.140625" defaultRowHeight="12.75"/>
  <cols>
    <col min="1" max="1" width="4.85546875" style="2" customWidth="1"/>
    <col min="2" max="2" width="4.28515625" style="2" customWidth="1"/>
    <col min="3" max="3" width="9.140625" style="46"/>
    <col min="4" max="8" width="9.140625" style="2"/>
    <col min="9" max="9" width="5.42578125" style="2" customWidth="1"/>
    <col min="10" max="10" width="15.140625" style="2" customWidth="1"/>
    <col min="11" max="11" width="6.140625" style="2" hidden="1" customWidth="1"/>
    <col min="12" max="12" width="15" style="2" hidden="1" customWidth="1"/>
    <col min="13" max="13" width="3.5703125" style="2" hidden="1" customWidth="1"/>
    <col min="14" max="14" width="4.85546875" style="2" customWidth="1"/>
    <col min="15" max="15" width="4.5703125" style="2" customWidth="1"/>
    <col min="16" max="16" width="41.85546875" style="2" bestFit="1" customWidth="1"/>
    <col min="17" max="17" width="53" style="2" customWidth="1"/>
    <col min="18" max="18" width="12.42578125" style="2" customWidth="1"/>
    <col min="19" max="20" width="4.7109375" style="2" customWidth="1"/>
    <col min="21" max="21" width="17.85546875" style="2" customWidth="1"/>
    <col min="22" max="22" width="43.140625" style="2" bestFit="1" customWidth="1"/>
    <col min="23" max="23" width="12.5703125" style="2" bestFit="1" customWidth="1"/>
    <col min="24" max="24" width="20" style="2" bestFit="1" customWidth="1"/>
    <col min="25" max="25" width="15.140625" style="2" bestFit="1" customWidth="1"/>
    <col min="26" max="26" width="6.140625" style="2" bestFit="1" customWidth="1"/>
    <col min="27" max="29" width="9.140625" style="2"/>
    <col min="30" max="30" width="34.7109375" style="2" bestFit="1" customWidth="1"/>
    <col min="31" max="31" width="11.7109375" style="2" bestFit="1" customWidth="1"/>
    <col min="32" max="32" width="39.85546875" style="2" bestFit="1" customWidth="1"/>
    <col min="33" max="33" width="9.140625" style="2"/>
    <col min="34" max="34" width="10.140625" style="2" bestFit="1" customWidth="1"/>
    <col min="35" max="35" width="11.5703125" style="2" bestFit="1" customWidth="1"/>
    <col min="36" max="36" width="11.5703125" style="2" customWidth="1"/>
    <col min="37" max="37" width="9.140625" style="2"/>
    <col min="38" max="38" width="19.28515625" style="2" customWidth="1"/>
    <col min="39" max="39" width="12.28515625" style="2" bestFit="1" customWidth="1"/>
    <col min="40" max="40" width="37.7109375" style="2" customWidth="1"/>
    <col min="41" max="41" width="12.140625" style="2" bestFit="1" customWidth="1"/>
    <col min="42" max="44" width="17.7109375" style="2" customWidth="1"/>
    <col min="45" max="45" width="9.140625" style="524"/>
    <col min="46" max="46" width="23.28515625" style="2" bestFit="1" customWidth="1"/>
    <col min="47" max="47" width="8" style="2" bestFit="1" customWidth="1"/>
    <col min="48" max="48" width="15.140625" style="2" bestFit="1" customWidth="1"/>
    <col min="49" max="49" width="39.7109375" style="2" bestFit="1" customWidth="1"/>
    <col min="50" max="50" width="11.5703125" style="2" bestFit="1" customWidth="1"/>
    <col min="51" max="51" width="13.7109375" bestFit="1" customWidth="1"/>
    <col min="52" max="52" width="15.7109375" style="2" bestFit="1" customWidth="1"/>
    <col min="53" max="53" width="6.42578125" style="2" bestFit="1" customWidth="1"/>
    <col min="54" max="54" width="15.140625" style="2" bestFit="1" customWidth="1"/>
    <col min="55" max="55" width="12.42578125" style="2" bestFit="1" customWidth="1"/>
    <col min="56" max="56" width="10.85546875" style="2" bestFit="1" customWidth="1"/>
    <col min="57" max="57" width="5.7109375" style="2" bestFit="1" customWidth="1"/>
    <col min="58" max="58" width="7.28515625" style="2" bestFit="1" customWidth="1"/>
    <col min="59" max="59" width="9.5703125" style="2" customWidth="1"/>
    <col min="60" max="83" width="9.140625" style="2"/>
    <col min="84" max="84" width="8.85546875" customWidth="1"/>
    <col min="85" max="16384" width="9.140625" style="2"/>
  </cols>
  <sheetData>
    <row r="1" spans="2:68">
      <c r="C1" s="976" t="s">
        <v>125</v>
      </c>
      <c r="O1" s="765" t="s">
        <v>125</v>
      </c>
      <c r="U1" s="765" t="s">
        <v>125</v>
      </c>
      <c r="AD1" s="525" t="s">
        <v>978</v>
      </c>
      <c r="AL1" s="525" t="s">
        <v>1572</v>
      </c>
      <c r="AT1" s="2" t="s">
        <v>860</v>
      </c>
      <c r="AZ1" s="68" t="s">
        <v>1573</v>
      </c>
    </row>
    <row r="2" spans="2:68" ht="26.25" thickBot="1">
      <c r="C2" s="976" t="str">
        <f>'Control Panel'!$B$1</f>
        <v>Dominion Energy</v>
      </c>
      <c r="O2" s="765" t="str">
        <f>'Control Panel'!$B$1</f>
        <v>Dominion Energy</v>
      </c>
      <c r="U2" s="765" t="str">
        <f>'Control Panel'!$B$1</f>
        <v>Dominion Energy</v>
      </c>
      <c r="AD2" s="1134" t="s">
        <v>7</v>
      </c>
      <c r="AE2" s="1134" t="s">
        <v>781</v>
      </c>
      <c r="AF2" s="988" t="s">
        <v>90</v>
      </c>
      <c r="AG2" s="988" t="s">
        <v>92</v>
      </c>
      <c r="AH2" s="988" t="s">
        <v>91</v>
      </c>
      <c r="AI2" s="988" t="s">
        <v>631</v>
      </c>
      <c r="AJ2" s="1134" t="s">
        <v>680</v>
      </c>
      <c r="AL2" s="525"/>
      <c r="AT2"/>
      <c r="AU2"/>
      <c r="AV2"/>
      <c r="AW2"/>
      <c r="AX2"/>
      <c r="AZ2" s="1177" t="s">
        <v>7</v>
      </c>
      <c r="BA2" s="1177" t="s">
        <v>631</v>
      </c>
      <c r="BB2" s="1177" t="s">
        <v>781</v>
      </c>
      <c r="BC2" s="1177" t="s">
        <v>90</v>
      </c>
      <c r="BD2" s="1177" t="s">
        <v>91</v>
      </c>
      <c r="BE2" s="1177" t="s">
        <v>92</v>
      </c>
      <c r="BF2" s="1177" t="s">
        <v>680</v>
      </c>
      <c r="BN2" s="859"/>
    </row>
    <row r="3" spans="2:68" ht="26.25" thickBot="1">
      <c r="C3" s="976" t="str">
        <f>'Control Panel'!$B$2</f>
        <v>Utah - Dec 2017 Adjusted Avg Results</v>
      </c>
      <c r="O3" s="765" t="str">
        <f>'Control Panel'!$B$2</f>
        <v>Utah - Dec 2017 Adjusted Avg Results</v>
      </c>
      <c r="U3" s="765" t="str">
        <f>'Control Panel'!$B$2</f>
        <v>Utah - Dec 2017 Adjusted Avg Results</v>
      </c>
      <c r="AD3" s="758" t="s">
        <v>758</v>
      </c>
      <c r="AE3" s="1377">
        <v>495</v>
      </c>
      <c r="AF3" s="758" t="s">
        <v>1424</v>
      </c>
      <c r="AG3" s="758" t="s">
        <v>779</v>
      </c>
      <c r="AH3" s="1375">
        <v>43069</v>
      </c>
      <c r="AI3" s="758" t="s">
        <v>1207</v>
      </c>
      <c r="AJ3" s="758" t="s">
        <v>852</v>
      </c>
      <c r="AL3" s="988" t="s">
        <v>7</v>
      </c>
      <c r="AM3" s="988" t="s">
        <v>781</v>
      </c>
      <c r="AN3" s="988" t="s">
        <v>90</v>
      </c>
      <c r="AO3" s="988" t="s">
        <v>92</v>
      </c>
      <c r="AP3" s="988" t="s">
        <v>91</v>
      </c>
      <c r="AQ3" s="1134" t="s">
        <v>631</v>
      </c>
      <c r="AR3" s="1134" t="s">
        <v>680</v>
      </c>
      <c r="AT3" s="988" t="s">
        <v>7</v>
      </c>
      <c r="AU3" s="988" t="s">
        <v>680</v>
      </c>
      <c r="AV3" s="988" t="s">
        <v>781</v>
      </c>
      <c r="AW3" s="988" t="s">
        <v>90</v>
      </c>
      <c r="AX3" s="988" t="s">
        <v>91</v>
      </c>
      <c r="AZ3" s="758" t="s">
        <v>144</v>
      </c>
      <c r="BA3" s="758" t="s">
        <v>1103</v>
      </c>
      <c r="BB3" s="759">
        <v>29716.87</v>
      </c>
      <c r="BC3" s="758" t="s">
        <v>851</v>
      </c>
      <c r="BD3" s="1376" t="s">
        <v>1308</v>
      </c>
      <c r="BE3" s="758" t="s">
        <v>780</v>
      </c>
      <c r="BF3" s="758" t="s">
        <v>852</v>
      </c>
      <c r="BN3" s="859"/>
    </row>
    <row r="4" spans="2:68">
      <c r="C4" s="976" t="str">
        <f>'Control Panel'!$B$3</f>
        <v>12 Months Ended : Dec-2017</v>
      </c>
      <c r="O4" s="765" t="str">
        <f>'Control Panel'!$B$3</f>
        <v>12 Months Ended : Dec-2017</v>
      </c>
      <c r="U4" s="765" t="str">
        <f>'Control Panel'!$B$3</f>
        <v>12 Months Ended : Dec-2017</v>
      </c>
      <c r="AD4" s="758" t="s">
        <v>758</v>
      </c>
      <c r="AE4" s="1377">
        <v>469</v>
      </c>
      <c r="AF4" s="758" t="s">
        <v>1425</v>
      </c>
      <c r="AG4" s="758" t="s">
        <v>779</v>
      </c>
      <c r="AH4" s="1375">
        <v>42794</v>
      </c>
      <c r="AI4" s="758" t="s">
        <v>1189</v>
      </c>
      <c r="AJ4" s="758" t="s">
        <v>852</v>
      </c>
      <c r="AL4" s="758" t="s">
        <v>1037</v>
      </c>
      <c r="AM4" s="1377">
        <v>155</v>
      </c>
      <c r="AN4" s="758" t="s">
        <v>1054</v>
      </c>
      <c r="AO4" s="758" t="s">
        <v>780</v>
      </c>
      <c r="AP4" s="1375">
        <v>42947</v>
      </c>
      <c r="AQ4" s="758" t="s">
        <v>1165</v>
      </c>
      <c r="AR4" s="758" t="s">
        <v>852</v>
      </c>
      <c r="AT4" s="758" t="s">
        <v>757</v>
      </c>
      <c r="AU4" s="758" t="s">
        <v>154</v>
      </c>
      <c r="AV4" s="1377">
        <v>12234.96</v>
      </c>
      <c r="AW4" s="758" t="s">
        <v>865</v>
      </c>
      <c r="AX4" s="1375">
        <v>42766</v>
      </c>
      <c r="AZ4" s="758" t="s">
        <v>144</v>
      </c>
      <c r="BA4" s="758" t="s">
        <v>1103</v>
      </c>
      <c r="BB4" s="759">
        <v>29716.83</v>
      </c>
      <c r="BC4" s="758" t="s">
        <v>851</v>
      </c>
      <c r="BD4" s="1376" t="s">
        <v>1310</v>
      </c>
      <c r="BE4" s="758" t="s">
        <v>780</v>
      </c>
      <c r="BF4" s="758" t="s">
        <v>852</v>
      </c>
      <c r="BN4" s="859"/>
    </row>
    <row r="5" spans="2:68">
      <c r="C5" s="976"/>
      <c r="L5" s="979" t="s">
        <v>756</v>
      </c>
      <c r="O5" s="766"/>
      <c r="U5" s="766"/>
      <c r="AD5" s="758" t="s">
        <v>758</v>
      </c>
      <c r="AE5" s="1377">
        <v>469</v>
      </c>
      <c r="AF5" s="758" t="s">
        <v>1425</v>
      </c>
      <c r="AG5" s="758" t="s">
        <v>779</v>
      </c>
      <c r="AH5" s="1375">
        <v>42825</v>
      </c>
      <c r="AI5" s="758" t="s">
        <v>1189</v>
      </c>
      <c r="AJ5" s="758" t="s">
        <v>852</v>
      </c>
      <c r="AL5" s="758" t="s">
        <v>1037</v>
      </c>
      <c r="AM5" s="1377">
        <v>129</v>
      </c>
      <c r="AN5" s="758" t="s">
        <v>1382</v>
      </c>
      <c r="AO5" s="758" t="s">
        <v>780</v>
      </c>
      <c r="AP5" s="1375">
        <v>42947</v>
      </c>
      <c r="AQ5" s="758" t="s">
        <v>1187</v>
      </c>
      <c r="AR5" s="758" t="s">
        <v>852</v>
      </c>
      <c r="AT5" s="758" t="s">
        <v>757</v>
      </c>
      <c r="AU5" s="758" t="s">
        <v>154</v>
      </c>
      <c r="AV5" s="1377">
        <v>16139.73</v>
      </c>
      <c r="AW5" s="758" t="s">
        <v>865</v>
      </c>
      <c r="AX5" s="1375">
        <v>42794</v>
      </c>
      <c r="AZ5" s="758" t="s">
        <v>144</v>
      </c>
      <c r="BA5" s="758" t="s">
        <v>1103</v>
      </c>
      <c r="BB5" s="759">
        <v>29716.83</v>
      </c>
      <c r="BC5" s="758" t="s">
        <v>851</v>
      </c>
      <c r="BD5" s="1376" t="s">
        <v>1309</v>
      </c>
      <c r="BE5" s="758" t="s">
        <v>780</v>
      </c>
      <c r="BF5" s="758" t="s">
        <v>852</v>
      </c>
      <c r="BN5" s="859"/>
    </row>
    <row r="6" spans="2:68" ht="25.5">
      <c r="B6" s="2">
        <v>1</v>
      </c>
      <c r="C6" s="976"/>
      <c r="H6" s="55"/>
      <c r="I6" s="449"/>
      <c r="J6" s="463" t="s">
        <v>1566</v>
      </c>
      <c r="K6" s="55"/>
      <c r="L6" s="463" t="str">
        <f>+'Control Panel'!F37</f>
        <v xml:space="preserve"> Don &amp; Membership </v>
      </c>
      <c r="M6" s="2">
        <v>1</v>
      </c>
      <c r="O6" s="93"/>
      <c r="U6" s="766"/>
      <c r="AD6" s="758" t="s">
        <v>758</v>
      </c>
      <c r="AE6" s="1377">
        <v>253.91</v>
      </c>
      <c r="AF6" s="758" t="s">
        <v>1426</v>
      </c>
      <c r="AG6" s="758" t="s">
        <v>779</v>
      </c>
      <c r="AH6" s="1375">
        <v>43069</v>
      </c>
      <c r="AI6" s="758" t="s">
        <v>1420</v>
      </c>
      <c r="AJ6" s="758" t="s">
        <v>852</v>
      </c>
      <c r="AL6" s="758" t="s">
        <v>1037</v>
      </c>
      <c r="AM6" s="1377">
        <v>0</v>
      </c>
      <c r="AN6" s="758" t="s">
        <v>1093</v>
      </c>
      <c r="AO6" s="758" t="s">
        <v>780</v>
      </c>
      <c r="AP6" s="1375">
        <v>43039</v>
      </c>
      <c r="AQ6" s="758" t="s">
        <v>1196</v>
      </c>
      <c r="AR6" s="758" t="s">
        <v>852</v>
      </c>
      <c r="AT6" s="758" t="s">
        <v>757</v>
      </c>
      <c r="AU6" s="758" t="s">
        <v>154</v>
      </c>
      <c r="AV6" s="1377">
        <v>20668.82</v>
      </c>
      <c r="AW6" s="758" t="s">
        <v>865</v>
      </c>
      <c r="AX6" s="1375">
        <v>42825</v>
      </c>
      <c r="AZ6" s="758" t="s">
        <v>144</v>
      </c>
      <c r="BA6" s="758" t="s">
        <v>1103</v>
      </c>
      <c r="BB6" s="759">
        <v>29716.83</v>
      </c>
      <c r="BC6" s="758" t="s">
        <v>851</v>
      </c>
      <c r="BD6" s="1376" t="s">
        <v>1311</v>
      </c>
      <c r="BE6" s="758" t="s">
        <v>780</v>
      </c>
      <c r="BF6" s="758" t="s">
        <v>852</v>
      </c>
      <c r="BN6" s="859"/>
    </row>
    <row r="7" spans="2:68" ht="15">
      <c r="B7" s="2">
        <v>2</v>
      </c>
      <c r="C7" s="976"/>
      <c r="I7" s="417"/>
      <c r="J7" s="417"/>
      <c r="L7" s="81"/>
      <c r="M7" s="2">
        <v>2</v>
      </c>
      <c r="O7" s="92"/>
      <c r="P7" s="1430" t="s">
        <v>125</v>
      </c>
      <c r="Q7" s="1430"/>
      <c r="U7" s="1433" t="s">
        <v>125</v>
      </c>
      <c r="V7" s="1433"/>
      <c r="W7" s="1433"/>
      <c r="X7" s="1433"/>
      <c r="AD7" s="758" t="s">
        <v>758</v>
      </c>
      <c r="AE7" s="1377">
        <v>69</v>
      </c>
      <c r="AF7" s="758" t="s">
        <v>1427</v>
      </c>
      <c r="AG7" s="758" t="s">
        <v>779</v>
      </c>
      <c r="AH7" s="1375">
        <v>43069</v>
      </c>
      <c r="AI7" s="758" t="s">
        <v>1222</v>
      </c>
      <c r="AJ7" s="758" t="s">
        <v>852</v>
      </c>
      <c r="AL7" s="758" t="s">
        <v>1037</v>
      </c>
      <c r="AM7" s="1377">
        <v>68</v>
      </c>
      <c r="AN7" s="758" t="s">
        <v>987</v>
      </c>
      <c r="AO7" s="758" t="s">
        <v>780</v>
      </c>
      <c r="AP7" s="1375">
        <v>42916</v>
      </c>
      <c r="AQ7" s="758" t="s">
        <v>1383</v>
      </c>
      <c r="AR7" s="758" t="s">
        <v>852</v>
      </c>
      <c r="AT7" s="758" t="s">
        <v>757</v>
      </c>
      <c r="AU7" s="758" t="s">
        <v>154</v>
      </c>
      <c r="AV7" s="1377">
        <v>7705.87</v>
      </c>
      <c r="AW7" s="758" t="s">
        <v>865</v>
      </c>
      <c r="AX7" s="1375">
        <v>42855</v>
      </c>
      <c r="AZ7" s="758" t="s">
        <v>144</v>
      </c>
      <c r="BA7" s="758" t="s">
        <v>1103</v>
      </c>
      <c r="BB7" s="759">
        <v>29716.83</v>
      </c>
      <c r="BC7" s="758" t="s">
        <v>851</v>
      </c>
      <c r="BD7" s="1376" t="s">
        <v>1312</v>
      </c>
      <c r="BE7" s="758" t="s">
        <v>780</v>
      </c>
      <c r="BF7" s="758" t="s">
        <v>852</v>
      </c>
      <c r="BN7" s="847"/>
    </row>
    <row r="8" spans="2:68" ht="15.75">
      <c r="B8" s="2">
        <v>3</v>
      </c>
      <c r="C8" s="327" t="s">
        <v>1619</v>
      </c>
      <c r="I8" s="81"/>
      <c r="J8" s="81">
        <f>R29</f>
        <v>-156846.26848200001</v>
      </c>
      <c r="L8" s="81">
        <f>HLOOKUP($L$6,DONATIONSSCENARIO,M8,FALSE)</f>
        <v>-156846.26848200001</v>
      </c>
      <c r="M8" s="2">
        <v>3</v>
      </c>
      <c r="O8" s="92"/>
      <c r="P8" s="1430" t="s">
        <v>1619</v>
      </c>
      <c r="Q8" s="1430"/>
      <c r="U8" s="1433" t="s">
        <v>69</v>
      </c>
      <c r="V8" s="1433"/>
      <c r="W8" s="1433"/>
      <c r="X8" s="1433"/>
      <c r="Y8" s="977"/>
      <c r="Z8" s="977"/>
      <c r="AD8" s="758" t="s">
        <v>758</v>
      </c>
      <c r="AE8" s="1377">
        <v>125</v>
      </c>
      <c r="AF8" s="758" t="s">
        <v>889</v>
      </c>
      <c r="AG8" s="758" t="s">
        <v>779</v>
      </c>
      <c r="AH8" s="1375">
        <v>42947</v>
      </c>
      <c r="AI8" s="758" t="s">
        <v>969</v>
      </c>
      <c r="AJ8" s="758" t="s">
        <v>852</v>
      </c>
      <c r="AL8" s="758" t="s">
        <v>1037</v>
      </c>
      <c r="AM8" s="1377">
        <v>162</v>
      </c>
      <c r="AN8" s="758" t="s">
        <v>1120</v>
      </c>
      <c r="AO8" s="758" t="s">
        <v>780</v>
      </c>
      <c r="AP8" s="1375">
        <v>42766</v>
      </c>
      <c r="AQ8" s="758" t="s">
        <v>1161</v>
      </c>
      <c r="AR8" s="758" t="s">
        <v>852</v>
      </c>
      <c r="AT8" s="758" t="s">
        <v>757</v>
      </c>
      <c r="AU8" s="758" t="s">
        <v>154</v>
      </c>
      <c r="AV8" s="1377">
        <v>16920.68</v>
      </c>
      <c r="AW8" s="758" t="s">
        <v>865</v>
      </c>
      <c r="AX8" s="1375">
        <v>42886</v>
      </c>
      <c r="AZ8" s="758" t="s">
        <v>144</v>
      </c>
      <c r="BA8" s="758" t="s">
        <v>1103</v>
      </c>
      <c r="BB8" s="759">
        <v>29716.83</v>
      </c>
      <c r="BC8" s="758" t="s">
        <v>851</v>
      </c>
      <c r="BD8" s="1376" t="s">
        <v>1313</v>
      </c>
      <c r="BE8" s="758" t="s">
        <v>780</v>
      </c>
      <c r="BF8" s="758" t="s">
        <v>852</v>
      </c>
      <c r="BN8" s="860"/>
    </row>
    <row r="9" spans="2:68" ht="16.5" thickBot="1">
      <c r="B9" s="2">
        <v>4</v>
      </c>
      <c r="C9" s="327" t="s">
        <v>1620</v>
      </c>
      <c r="I9" s="1347"/>
      <c r="J9" s="700">
        <f ca="1">W24</f>
        <v>-29569.379999999997</v>
      </c>
      <c r="K9" s="82"/>
      <c r="L9" s="700">
        <f ca="1">HLOOKUP($L$6,DONATIONSSCENARIO,M9,FALSE)</f>
        <v>-29569.379999999997</v>
      </c>
      <c r="M9" s="2">
        <v>4</v>
      </c>
      <c r="O9" s="92"/>
      <c r="P9" s="1431" t="s">
        <v>784</v>
      </c>
      <c r="Q9" s="1431"/>
      <c r="R9" s="1243" t="s">
        <v>785</v>
      </c>
      <c r="S9" s="1338"/>
      <c r="U9" s="977" t="s">
        <v>784</v>
      </c>
      <c r="V9" s="977" t="s">
        <v>785</v>
      </c>
      <c r="W9" s="977" t="s">
        <v>786</v>
      </c>
      <c r="X9" s="977" t="s">
        <v>787</v>
      </c>
      <c r="Y9" s="978"/>
      <c r="Z9" s="978"/>
      <c r="AD9" s="758" t="s">
        <v>758</v>
      </c>
      <c r="AE9" s="1377">
        <v>99</v>
      </c>
      <c r="AF9" s="758" t="s">
        <v>1268</v>
      </c>
      <c r="AG9" s="758" t="s">
        <v>779</v>
      </c>
      <c r="AH9" s="1375">
        <v>43069</v>
      </c>
      <c r="AI9" s="758" t="s">
        <v>1222</v>
      </c>
      <c r="AJ9" s="758" t="s">
        <v>852</v>
      </c>
      <c r="AL9" s="758" t="s">
        <v>1037</v>
      </c>
      <c r="AM9" s="1377">
        <v>323</v>
      </c>
      <c r="AN9" s="758" t="s">
        <v>1052</v>
      </c>
      <c r="AO9" s="758" t="s">
        <v>780</v>
      </c>
      <c r="AP9" s="1375">
        <v>42794</v>
      </c>
      <c r="AQ9" s="758" t="s">
        <v>1169</v>
      </c>
      <c r="AR9" s="758" t="s">
        <v>852</v>
      </c>
      <c r="AT9" s="758" t="s">
        <v>757</v>
      </c>
      <c r="AU9" s="758" t="s">
        <v>154</v>
      </c>
      <c r="AV9" s="1377">
        <v>13796.87</v>
      </c>
      <c r="AW9" s="758" t="s">
        <v>865</v>
      </c>
      <c r="AX9" s="1375">
        <v>42916</v>
      </c>
      <c r="AZ9" s="758" t="s">
        <v>144</v>
      </c>
      <c r="BA9" s="758" t="s">
        <v>1103</v>
      </c>
      <c r="BB9" s="759">
        <v>29716.83</v>
      </c>
      <c r="BC9" s="758" t="s">
        <v>851</v>
      </c>
      <c r="BD9" s="1376" t="s">
        <v>1314</v>
      </c>
      <c r="BE9" s="758" t="s">
        <v>780</v>
      </c>
      <c r="BF9" s="758" t="s">
        <v>852</v>
      </c>
      <c r="BN9" s="860"/>
    </row>
    <row r="10" spans="2:68" ht="15.75">
      <c r="B10" s="2">
        <v>5</v>
      </c>
      <c r="C10" s="565" t="s">
        <v>160</v>
      </c>
      <c r="I10" s="1335"/>
      <c r="J10" s="81">
        <f ca="1">SUM(J8:J9)</f>
        <v>-186415.64848200002</v>
      </c>
      <c r="L10" s="81">
        <f ca="1">HLOOKUP($L$6,DONATIONSSCENARIO,M10,FALSE)</f>
        <v>-186415.64848200002</v>
      </c>
      <c r="M10" s="2">
        <v>5</v>
      </c>
      <c r="O10" s="92"/>
      <c r="R10" s="1346">
        <f>Report!F8</f>
        <v>43100</v>
      </c>
      <c r="S10" s="725"/>
      <c r="T10" s="99"/>
      <c r="U10" s="1337"/>
      <c r="V10" s="1337"/>
      <c r="W10" s="1337"/>
      <c r="X10" s="1337"/>
      <c r="AD10" s="758" t="s">
        <v>758</v>
      </c>
      <c r="AE10" s="1377">
        <v>0</v>
      </c>
      <c r="AF10" s="758" t="s">
        <v>1097</v>
      </c>
      <c r="AG10" s="758" t="s">
        <v>779</v>
      </c>
      <c r="AH10" s="1375">
        <v>42766</v>
      </c>
      <c r="AI10" s="758" t="s">
        <v>1210</v>
      </c>
      <c r="AJ10" s="758" t="s">
        <v>852</v>
      </c>
      <c r="AL10" s="758" t="s">
        <v>1037</v>
      </c>
      <c r="AM10" s="1377">
        <v>3500</v>
      </c>
      <c r="AN10" s="758" t="s">
        <v>1384</v>
      </c>
      <c r="AO10" s="758" t="s">
        <v>780</v>
      </c>
      <c r="AP10" s="1375">
        <v>43069</v>
      </c>
      <c r="AQ10" s="758" t="s">
        <v>1385</v>
      </c>
      <c r="AR10" s="758" t="s">
        <v>852</v>
      </c>
      <c r="AT10" s="758" t="s">
        <v>757</v>
      </c>
      <c r="AU10" s="758" t="s">
        <v>154</v>
      </c>
      <c r="AV10" s="1377">
        <v>16139.73</v>
      </c>
      <c r="AW10" s="758" t="s">
        <v>865</v>
      </c>
      <c r="AX10" s="1375">
        <v>42947</v>
      </c>
      <c r="AZ10" s="758" t="s">
        <v>144</v>
      </c>
      <c r="BA10" s="758" t="s">
        <v>1103</v>
      </c>
      <c r="BB10" s="759">
        <v>29716.83</v>
      </c>
      <c r="BC10" s="758" t="s">
        <v>851</v>
      </c>
      <c r="BD10" s="1376" t="s">
        <v>1315</v>
      </c>
      <c r="BE10" s="758" t="s">
        <v>780</v>
      </c>
      <c r="BF10" s="758" t="s">
        <v>852</v>
      </c>
      <c r="BH10" s="872"/>
      <c r="BN10" s="860"/>
    </row>
    <row r="11" spans="2:68" ht="15.75">
      <c r="B11" s="2">
        <v>6</v>
      </c>
      <c r="I11" s="55"/>
      <c r="L11" s="81"/>
      <c r="M11" s="2">
        <v>6</v>
      </c>
      <c r="O11" s="92"/>
      <c r="P11" s="1432" t="s">
        <v>829</v>
      </c>
      <c r="Q11" s="1432"/>
      <c r="R11" s="1343" t="s">
        <v>655</v>
      </c>
      <c r="S11" s="307"/>
      <c r="T11" s="99"/>
      <c r="U11" s="1341" t="s">
        <v>7</v>
      </c>
      <c r="V11" s="1341" t="s">
        <v>829</v>
      </c>
      <c r="W11" s="1341" t="s">
        <v>655</v>
      </c>
      <c r="X11" s="1342" t="s">
        <v>1574</v>
      </c>
      <c r="Y11" s="762"/>
      <c r="Z11" s="147"/>
      <c r="AD11" s="758" t="s">
        <v>758</v>
      </c>
      <c r="AE11" s="1377">
        <v>0</v>
      </c>
      <c r="AF11" s="758" t="s">
        <v>1097</v>
      </c>
      <c r="AG11" s="758" t="s">
        <v>779</v>
      </c>
      <c r="AH11" s="1375">
        <v>42766</v>
      </c>
      <c r="AI11" s="758" t="s">
        <v>1209</v>
      </c>
      <c r="AJ11" s="758" t="s">
        <v>852</v>
      </c>
      <c r="AL11" s="758" t="s">
        <v>1037</v>
      </c>
      <c r="AM11" s="1377">
        <v>250</v>
      </c>
      <c r="AN11" s="758" t="s">
        <v>1094</v>
      </c>
      <c r="AO11" s="758" t="s">
        <v>780</v>
      </c>
      <c r="AP11" s="1375">
        <v>42825</v>
      </c>
      <c r="AQ11" s="758" t="s">
        <v>1162</v>
      </c>
      <c r="AR11" s="758" t="s">
        <v>852</v>
      </c>
      <c r="AT11" s="758" t="s">
        <v>757</v>
      </c>
      <c r="AU11" s="758" t="s">
        <v>154</v>
      </c>
      <c r="AV11" s="1377">
        <v>14577.82</v>
      </c>
      <c r="AW11" s="758" t="s">
        <v>865</v>
      </c>
      <c r="AX11" s="1375">
        <v>42978</v>
      </c>
      <c r="AZ11" s="758" t="s">
        <v>144</v>
      </c>
      <c r="BA11" s="758" t="s">
        <v>1103</v>
      </c>
      <c r="BB11" s="759">
        <v>29716.83</v>
      </c>
      <c r="BC11" s="758" t="s">
        <v>851</v>
      </c>
      <c r="BD11" s="1376" t="s">
        <v>1316</v>
      </c>
      <c r="BE11" s="758" t="s">
        <v>780</v>
      </c>
      <c r="BF11" s="758" t="s">
        <v>852</v>
      </c>
      <c r="BN11" s="860"/>
    </row>
    <row r="12" spans="2:68" ht="15.75">
      <c r="B12" s="2">
        <v>7</v>
      </c>
      <c r="I12" s="55"/>
      <c r="L12" s="81"/>
      <c r="M12" s="2">
        <v>7</v>
      </c>
      <c r="O12" s="92">
        <v>1</v>
      </c>
      <c r="P12" s="146" t="s">
        <v>140</v>
      </c>
      <c r="Q12" s="273"/>
      <c r="R12" s="764"/>
      <c r="S12" s="764"/>
      <c r="T12" s="34"/>
      <c r="U12" s="144"/>
      <c r="W12" s="2">
        <f>YEAR(R10)</f>
        <v>2017</v>
      </c>
      <c r="Y12" s="762"/>
      <c r="Z12" s="147"/>
      <c r="AD12" s="758" t="s">
        <v>758</v>
      </c>
      <c r="AE12" s="1377">
        <v>0</v>
      </c>
      <c r="AF12" s="758" t="s">
        <v>1097</v>
      </c>
      <c r="AG12" s="758" t="s">
        <v>779</v>
      </c>
      <c r="AH12" s="1375">
        <v>42766</v>
      </c>
      <c r="AI12" s="758" t="s">
        <v>1182</v>
      </c>
      <c r="AJ12" s="758" t="s">
        <v>852</v>
      </c>
      <c r="AL12" s="758" t="s">
        <v>1037</v>
      </c>
      <c r="AM12" s="1377">
        <v>578</v>
      </c>
      <c r="AN12" s="758" t="s">
        <v>1094</v>
      </c>
      <c r="AO12" s="758" t="s">
        <v>780</v>
      </c>
      <c r="AP12" s="1375">
        <v>42855</v>
      </c>
      <c r="AQ12" s="758" t="s">
        <v>1162</v>
      </c>
      <c r="AR12" s="758" t="s">
        <v>852</v>
      </c>
      <c r="AT12" s="758" t="s">
        <v>757</v>
      </c>
      <c r="AU12" s="758" t="s">
        <v>154</v>
      </c>
      <c r="AV12" s="1377">
        <v>13015.92</v>
      </c>
      <c r="AW12" s="758" t="s">
        <v>865</v>
      </c>
      <c r="AX12" s="1375">
        <v>43008</v>
      </c>
      <c r="AZ12" s="758" t="s">
        <v>144</v>
      </c>
      <c r="BA12" s="758" t="s">
        <v>1103</v>
      </c>
      <c r="BB12" s="759">
        <v>29716.83</v>
      </c>
      <c r="BC12" s="758" t="s">
        <v>851</v>
      </c>
      <c r="BD12" s="1376" t="s">
        <v>1317</v>
      </c>
      <c r="BE12" s="758" t="s">
        <v>780</v>
      </c>
      <c r="BF12" s="758" t="s">
        <v>852</v>
      </c>
      <c r="BN12" s="860"/>
    </row>
    <row r="13" spans="2:68" ht="15.75">
      <c r="B13" s="2">
        <v>8</v>
      </c>
      <c r="I13" s="55"/>
      <c r="L13" s="81"/>
      <c r="M13" s="2">
        <v>8</v>
      </c>
      <c r="O13" s="92">
        <v>2</v>
      </c>
      <c r="P13" s="273">
        <v>921000</v>
      </c>
      <c r="Q13" s="93" t="s">
        <v>141</v>
      </c>
      <c r="R13" s="763">
        <f>SUMIF($AF$1:$AF$266,"TAX EXECUTIVE INSTITUT",$AE$1:$AE$4848)</f>
        <v>0</v>
      </c>
      <c r="S13" s="763"/>
      <c r="T13" s="92">
        <v>1</v>
      </c>
      <c r="U13" s="144" t="s">
        <v>759</v>
      </c>
      <c r="V13" s="273" t="s">
        <v>278</v>
      </c>
      <c r="W13" s="429">
        <f ca="1">SUMIF($AN$1:$AN$4850,"Holland and Hart",$AM$1:$AM$4848)</f>
        <v>0</v>
      </c>
      <c r="X13" s="44">
        <v>1</v>
      </c>
      <c r="Y13" s="762"/>
      <c r="Z13" s="147"/>
      <c r="AD13" s="758" t="s">
        <v>758</v>
      </c>
      <c r="AE13" s="1377">
        <v>-3530.79</v>
      </c>
      <c r="AF13" s="758" t="s">
        <v>1428</v>
      </c>
      <c r="AG13" s="758" t="s">
        <v>779</v>
      </c>
      <c r="AH13" s="1375">
        <v>43069</v>
      </c>
      <c r="AI13" s="758" t="s">
        <v>969</v>
      </c>
      <c r="AJ13" s="758" t="s">
        <v>852</v>
      </c>
      <c r="AL13" s="758" t="s">
        <v>1037</v>
      </c>
      <c r="AM13" s="1377">
        <v>270.14</v>
      </c>
      <c r="AN13" s="758" t="s">
        <v>1386</v>
      </c>
      <c r="AO13" s="758" t="s">
        <v>780</v>
      </c>
      <c r="AP13" s="1375">
        <v>42794</v>
      </c>
      <c r="AQ13" s="758" t="s">
        <v>1162</v>
      </c>
      <c r="AR13" s="758" t="s">
        <v>852</v>
      </c>
      <c r="AT13" s="758" t="s">
        <v>757</v>
      </c>
      <c r="AU13" s="758" t="s">
        <v>154</v>
      </c>
      <c r="AV13" s="1377">
        <v>16139.73</v>
      </c>
      <c r="AW13" s="758" t="s">
        <v>865</v>
      </c>
      <c r="AX13" s="1375">
        <v>43039</v>
      </c>
      <c r="AZ13" s="758" t="s">
        <v>144</v>
      </c>
      <c r="BA13" s="758" t="s">
        <v>1103</v>
      </c>
      <c r="BB13" s="759">
        <v>29716.83</v>
      </c>
      <c r="BC13" s="758" t="s">
        <v>851</v>
      </c>
      <c r="BD13" s="1376" t="s">
        <v>1318</v>
      </c>
      <c r="BE13" s="758" t="s">
        <v>780</v>
      </c>
      <c r="BF13" s="758" t="s">
        <v>852</v>
      </c>
      <c r="BN13" s="860"/>
    </row>
    <row r="14" spans="2:68" ht="15.75">
      <c r="B14" s="2">
        <v>9</v>
      </c>
      <c r="C14" s="326" t="s">
        <v>629</v>
      </c>
      <c r="F14" s="91"/>
      <c r="I14" s="293"/>
      <c r="J14" s="295">
        <f ca="1">'ROR-Model'!$M$2*J10</f>
        <v>-180335.02223107964</v>
      </c>
      <c r="L14" s="91">
        <f ca="1">HLOOKUP($L$6,DONATIONSSCENARIO,M14,FALSE)</f>
        <v>-180335.02223107964</v>
      </c>
      <c r="M14" s="2">
        <v>9</v>
      </c>
      <c r="O14" s="92">
        <v>3</v>
      </c>
      <c r="P14" s="273">
        <v>921000</v>
      </c>
      <c r="Q14" s="93" t="s">
        <v>143</v>
      </c>
      <c r="R14" s="763">
        <f>SUMIF($AF$1:$AF$5000,"UTAH TAXPAYERS ASSOCIATION",$AE$1:$AE$5000)</f>
        <v>19360</v>
      </c>
      <c r="S14" s="763"/>
      <c r="T14" s="92">
        <v>2</v>
      </c>
      <c r="U14" s="144">
        <v>923000</v>
      </c>
      <c r="V14" s="273" t="s">
        <v>390</v>
      </c>
      <c r="W14" s="429">
        <f>SUMIF($AN$1:$AN$4848,"JNES",$AM$1:$AM$4848)</f>
        <v>0</v>
      </c>
      <c r="X14" s="44">
        <v>1</v>
      </c>
      <c r="Y14" s="762"/>
      <c r="Z14" s="147"/>
      <c r="AD14" s="758" t="s">
        <v>758</v>
      </c>
      <c r="AE14" s="1377">
        <v>125</v>
      </c>
      <c r="AF14" s="758" t="s">
        <v>1429</v>
      </c>
      <c r="AG14" s="758" t="s">
        <v>779</v>
      </c>
      <c r="AH14" s="1375">
        <v>42855</v>
      </c>
      <c r="AI14" s="758" t="s">
        <v>1189</v>
      </c>
      <c r="AJ14" s="758" t="s">
        <v>852</v>
      </c>
      <c r="AL14" s="758" t="s">
        <v>1037</v>
      </c>
      <c r="AM14" s="1377">
        <v>450</v>
      </c>
      <c r="AN14" s="758" t="s">
        <v>1053</v>
      </c>
      <c r="AO14" s="758" t="s">
        <v>780</v>
      </c>
      <c r="AP14" s="1375">
        <v>42886</v>
      </c>
      <c r="AQ14" s="758" t="s">
        <v>1165</v>
      </c>
      <c r="AR14" s="758" t="s">
        <v>852</v>
      </c>
      <c r="AT14" s="758" t="s">
        <v>757</v>
      </c>
      <c r="AU14" s="758" t="s">
        <v>154</v>
      </c>
      <c r="AV14" s="1377">
        <v>16139.73</v>
      </c>
      <c r="AW14" s="758" t="s">
        <v>865</v>
      </c>
      <c r="AX14" s="1375">
        <v>43069</v>
      </c>
      <c r="AZ14" s="758" t="s">
        <v>144</v>
      </c>
      <c r="BA14" s="758" t="s">
        <v>1103</v>
      </c>
      <c r="BB14" s="759">
        <v>29716.83</v>
      </c>
      <c r="BC14" s="758" t="s">
        <v>851</v>
      </c>
      <c r="BD14" s="1376" t="s">
        <v>1319</v>
      </c>
      <c r="BE14" s="758" t="s">
        <v>780</v>
      </c>
      <c r="BF14" s="758" t="s">
        <v>852</v>
      </c>
      <c r="BN14" s="860"/>
      <c r="BP14" s="150"/>
    </row>
    <row r="15" spans="2:68" ht="13.5" thickBot="1">
      <c r="B15" s="2">
        <v>10</v>
      </c>
      <c r="C15" s="326" t="s">
        <v>630</v>
      </c>
      <c r="F15" s="91"/>
      <c r="I15" s="293"/>
      <c r="J15" s="500">
        <f ca="1">'ROR-Model'!$N$2*J10</f>
        <v>-6080.6262509203598</v>
      </c>
      <c r="L15" s="324">
        <f ca="1">HLOOKUP($L$6,DONATIONSSCENARIO,M15,FALSE)</f>
        <v>-6080.6262509203598</v>
      </c>
      <c r="M15" s="2">
        <v>10</v>
      </c>
      <c r="O15" s="92">
        <v>4</v>
      </c>
      <c r="P15" s="273">
        <v>921000</v>
      </c>
      <c r="Q15" s="93" t="s">
        <v>450</v>
      </c>
      <c r="R15" s="763">
        <f>SUMIF($AF$1:$AF$5000,"WYOMING TAXPAYERS ASSOCIATION",$AE$1:$AE$5000)</f>
        <v>7061.64</v>
      </c>
      <c r="S15" s="763"/>
      <c r="T15" s="92">
        <v>3</v>
      </c>
      <c r="U15" s="144">
        <v>921000</v>
      </c>
      <c r="V15" s="273" t="s">
        <v>803</v>
      </c>
      <c r="W15" s="429">
        <f>SUMIF($AN$1:$AN$5000,"JUNIOR ACHIEVEMENT OF UTAH INC",$AM$1:$AM$5000)</f>
        <v>0</v>
      </c>
      <c r="X15" s="44">
        <v>1</v>
      </c>
      <c r="Y15" s="762"/>
      <c r="Z15" s="147"/>
      <c r="AD15" s="758" t="s">
        <v>758</v>
      </c>
      <c r="AE15" s="1377">
        <v>16666.7</v>
      </c>
      <c r="AF15" s="758" t="s">
        <v>1430</v>
      </c>
      <c r="AG15" s="758" t="s">
        <v>779</v>
      </c>
      <c r="AH15" s="1375">
        <v>42978</v>
      </c>
      <c r="AI15" s="758" t="s">
        <v>1210</v>
      </c>
      <c r="AJ15" s="758" t="s">
        <v>852</v>
      </c>
      <c r="AL15" s="758" t="s">
        <v>1037</v>
      </c>
      <c r="AM15" s="1377">
        <v>140.77000000000001</v>
      </c>
      <c r="AN15" s="758" t="s">
        <v>1387</v>
      </c>
      <c r="AO15" s="758" t="s">
        <v>780</v>
      </c>
      <c r="AP15" s="1375">
        <v>42794</v>
      </c>
      <c r="AQ15" s="758" t="s">
        <v>1161</v>
      </c>
      <c r="AR15" s="758" t="s">
        <v>852</v>
      </c>
      <c r="AT15" s="758" t="s">
        <v>757</v>
      </c>
      <c r="AU15" s="758" t="s">
        <v>154</v>
      </c>
      <c r="AV15" s="1377">
        <v>18352.439999999999</v>
      </c>
      <c r="AW15" s="758" t="s">
        <v>865</v>
      </c>
      <c r="AX15" s="1375">
        <v>43100</v>
      </c>
      <c r="AZ15" s="68"/>
      <c r="BA15" s="68"/>
      <c r="BB15" s="68"/>
      <c r="BC15" s="68"/>
      <c r="BD15" s="68"/>
      <c r="BE15" s="68"/>
      <c r="BF15" s="68"/>
    </row>
    <row r="16" spans="2:68" ht="15.75">
      <c r="B16" s="2">
        <v>11</v>
      </c>
      <c r="C16" s="566" t="s">
        <v>160</v>
      </c>
      <c r="F16" s="91"/>
      <c r="I16" s="293"/>
      <c r="J16" s="295">
        <f ca="1">SUM(J14:J15)</f>
        <v>-186415.64848199999</v>
      </c>
      <c r="L16" s="293">
        <f ca="1">HLOOKUP($L$6,DONATIONSSCENARIO,M16,FALSE)</f>
        <v>-186415.64848199999</v>
      </c>
      <c r="M16" s="2">
        <v>11</v>
      </c>
      <c r="O16" s="92">
        <v>5</v>
      </c>
      <c r="P16" s="273">
        <v>921000</v>
      </c>
      <c r="Q16" s="93" t="s">
        <v>708</v>
      </c>
      <c r="R16" s="763">
        <f>SUMIF($AW$1:$AW$188,"LABOR OVERHEAD",$AV$1:$AV$188)+SUMIF($AW$1:$AW$188,"Time and Labor Data",$AV$1:$AV$188)</f>
        <v>242628.04000000004</v>
      </c>
      <c r="S16" s="763"/>
      <c r="T16" s="92">
        <v>4</v>
      </c>
      <c r="U16" s="144">
        <v>908</v>
      </c>
      <c r="V16" s="273" t="s">
        <v>461</v>
      </c>
      <c r="W16" s="429">
        <v>9569.3799999999992</v>
      </c>
      <c r="X16" s="44">
        <v>1</v>
      </c>
      <c r="Y16" s="762"/>
      <c r="Z16" s="147"/>
      <c r="AD16" s="758" t="s">
        <v>758</v>
      </c>
      <c r="AE16" s="1377">
        <v>8333.33</v>
      </c>
      <c r="AF16" s="758" t="s">
        <v>1430</v>
      </c>
      <c r="AG16" s="758" t="s">
        <v>779</v>
      </c>
      <c r="AH16" s="1375">
        <v>43008</v>
      </c>
      <c r="AI16" s="758" t="s">
        <v>1210</v>
      </c>
      <c r="AJ16" s="758" t="s">
        <v>852</v>
      </c>
      <c r="AL16" s="758" t="s">
        <v>1037</v>
      </c>
      <c r="AM16" s="1377">
        <v>882</v>
      </c>
      <c r="AN16" s="758" t="s">
        <v>1388</v>
      </c>
      <c r="AO16" s="758" t="s">
        <v>780</v>
      </c>
      <c r="AP16" s="1375">
        <v>43008</v>
      </c>
      <c r="AQ16" s="758" t="s">
        <v>1175</v>
      </c>
      <c r="AR16" s="758" t="s">
        <v>852</v>
      </c>
      <c r="AT16" s="758" t="s">
        <v>757</v>
      </c>
      <c r="AU16" s="758" t="s">
        <v>154</v>
      </c>
      <c r="AV16" s="1377">
        <v>6091</v>
      </c>
      <c r="AW16" s="758" t="s">
        <v>1320</v>
      </c>
      <c r="AX16" s="1375">
        <v>42855</v>
      </c>
      <c r="AZ16" s="769"/>
      <c r="BA16" s="769"/>
      <c r="BB16" s="1178">
        <f>SUM(BB3:BB14)</f>
        <v>356602.00000000012</v>
      </c>
      <c r="BC16" s="769"/>
      <c r="BD16" s="769"/>
      <c r="BE16" s="769"/>
      <c r="BF16" s="769"/>
      <c r="BN16" s="863"/>
    </row>
    <row r="17" spans="3:84">
      <c r="C17" s="2"/>
      <c r="I17" s="55"/>
      <c r="L17" s="293"/>
      <c r="O17" s="92">
        <v>6</v>
      </c>
      <c r="P17" s="273">
        <v>921000</v>
      </c>
      <c r="Q17" s="93" t="s">
        <v>342</v>
      </c>
      <c r="R17" s="763">
        <f>AV147-R16</f>
        <v>39338.159999999974</v>
      </c>
      <c r="S17" s="763"/>
      <c r="T17" s="92">
        <v>5</v>
      </c>
      <c r="U17" s="144">
        <v>921000</v>
      </c>
      <c r="V17" s="273" t="s">
        <v>20</v>
      </c>
      <c r="W17" s="429">
        <f>SUMIF($AN$1:$AN$4848,"Utah Foundation",$AM$1:$AM$4848)</f>
        <v>20000</v>
      </c>
      <c r="X17" s="44">
        <v>1</v>
      </c>
      <c r="Y17" s="762"/>
      <c r="Z17" s="147"/>
      <c r="AD17" s="758" t="s">
        <v>758</v>
      </c>
      <c r="AE17" s="1377">
        <v>8333.33</v>
      </c>
      <c r="AF17" s="758" t="s">
        <v>1430</v>
      </c>
      <c r="AG17" s="758" t="s">
        <v>779</v>
      </c>
      <c r="AH17" s="1375">
        <v>43039</v>
      </c>
      <c r="AI17" s="758" t="s">
        <v>1210</v>
      </c>
      <c r="AJ17" s="758" t="s">
        <v>852</v>
      </c>
      <c r="AL17" s="758" t="s">
        <v>1037</v>
      </c>
      <c r="AM17" s="1377">
        <v>699</v>
      </c>
      <c r="AN17" s="758" t="s">
        <v>1389</v>
      </c>
      <c r="AO17" s="758" t="s">
        <v>780</v>
      </c>
      <c r="AP17" s="1375">
        <v>43069</v>
      </c>
      <c r="AQ17" s="758" t="s">
        <v>1385</v>
      </c>
      <c r="AR17" s="758" t="s">
        <v>852</v>
      </c>
      <c r="AT17" s="758" t="s">
        <v>758</v>
      </c>
      <c r="AU17" s="758" t="s">
        <v>900</v>
      </c>
      <c r="AV17" s="1377">
        <v>11.42</v>
      </c>
      <c r="AW17" s="758" t="s">
        <v>1321</v>
      </c>
      <c r="AX17" s="1375">
        <v>42886</v>
      </c>
      <c r="AZ17" s="68"/>
      <c r="BA17" s="68"/>
      <c r="BB17" s="68"/>
      <c r="BC17" s="68"/>
      <c r="BD17" s="68"/>
      <c r="BE17" s="68"/>
      <c r="BF17" s="68"/>
      <c r="CF17" s="2"/>
    </row>
    <row r="18" spans="3:84">
      <c r="C18" s="2"/>
      <c r="I18" s="55"/>
      <c r="L18" s="293"/>
      <c r="O18" s="92">
        <v>7</v>
      </c>
      <c r="P18" s="273">
        <v>930200</v>
      </c>
      <c r="Q18" s="93" t="s">
        <v>990</v>
      </c>
      <c r="R18" s="763">
        <f>BB16*$BB$19</f>
        <v>11054.662000000004</v>
      </c>
      <c r="S18" s="763"/>
      <c r="T18" s="92">
        <v>6</v>
      </c>
      <c r="Y18" s="762"/>
      <c r="Z18" s="147"/>
      <c r="AD18" s="758" t="s">
        <v>758</v>
      </c>
      <c r="AE18" s="1377">
        <v>8333.33</v>
      </c>
      <c r="AF18" s="758" t="s">
        <v>1430</v>
      </c>
      <c r="AG18" s="758" t="s">
        <v>779</v>
      </c>
      <c r="AH18" s="1375">
        <v>43069</v>
      </c>
      <c r="AI18" s="758" t="s">
        <v>1210</v>
      </c>
      <c r="AJ18" s="758" t="s">
        <v>852</v>
      </c>
      <c r="AL18" s="758" t="s">
        <v>1055</v>
      </c>
      <c r="AM18" s="1377">
        <v>155</v>
      </c>
      <c r="AN18" s="758" t="s">
        <v>1054</v>
      </c>
      <c r="AO18" s="758" t="s">
        <v>780</v>
      </c>
      <c r="AP18" s="1375">
        <v>42978</v>
      </c>
      <c r="AQ18" s="758" t="s">
        <v>1275</v>
      </c>
      <c r="AR18" s="758" t="s">
        <v>852</v>
      </c>
      <c r="AT18" s="758" t="s">
        <v>758</v>
      </c>
      <c r="AU18" s="758" t="s">
        <v>900</v>
      </c>
      <c r="AV18" s="1377">
        <v>118.15</v>
      </c>
      <c r="AW18" s="758" t="s">
        <v>1321</v>
      </c>
      <c r="AX18" s="1375">
        <v>43100</v>
      </c>
      <c r="CF18" s="2"/>
    </row>
    <row r="19" spans="3:84">
      <c r="C19" s="2"/>
      <c r="G19"/>
      <c r="H19"/>
      <c r="I19" s="992"/>
      <c r="J19"/>
      <c r="K19"/>
      <c r="O19" s="92">
        <v>8</v>
      </c>
      <c r="P19" s="93"/>
      <c r="Q19" s="34" t="s">
        <v>160</v>
      </c>
      <c r="R19" s="294">
        <f>SUM(R13:R18)</f>
        <v>319442.50200000004</v>
      </c>
      <c r="S19" s="294"/>
      <c r="T19" s="92">
        <v>7</v>
      </c>
      <c r="U19" s="144"/>
      <c r="V19" s="758"/>
      <c r="W19" s="429"/>
      <c r="X19" s="44"/>
      <c r="Y19" s="762"/>
      <c r="Z19" s="147"/>
      <c r="AD19" s="758" t="s">
        <v>758</v>
      </c>
      <c r="AE19" s="1377">
        <v>8333.33</v>
      </c>
      <c r="AF19" s="758" t="s">
        <v>1430</v>
      </c>
      <c r="AG19" s="758" t="s">
        <v>779</v>
      </c>
      <c r="AH19" s="1375">
        <v>43100</v>
      </c>
      <c r="AI19" s="758" t="s">
        <v>1210</v>
      </c>
      <c r="AJ19" s="758" t="s">
        <v>852</v>
      </c>
      <c r="AL19" s="758" t="s">
        <v>1055</v>
      </c>
      <c r="AM19" s="1377">
        <v>14.64</v>
      </c>
      <c r="AN19" s="758" t="s">
        <v>1390</v>
      </c>
      <c r="AO19" s="758" t="s">
        <v>780</v>
      </c>
      <c r="AP19" s="1375">
        <v>43069</v>
      </c>
      <c r="AQ19" s="758" t="s">
        <v>1271</v>
      </c>
      <c r="AR19" s="758" t="s">
        <v>852</v>
      </c>
      <c r="AT19" s="758" t="s">
        <v>758</v>
      </c>
      <c r="AU19" s="758" t="s">
        <v>900</v>
      </c>
      <c r="AV19" s="1377">
        <v>-166.2</v>
      </c>
      <c r="AW19" s="758" t="s">
        <v>913</v>
      </c>
      <c r="AX19" s="1375">
        <v>42766</v>
      </c>
      <c r="AZ19" s="77" t="s">
        <v>1091</v>
      </c>
      <c r="BA19" s="77"/>
      <c r="BB19" s="1211">
        <v>3.1E-2</v>
      </c>
      <c r="CF19" s="2"/>
    </row>
    <row r="20" spans="3:84" ht="13.5" thickBot="1">
      <c r="C20" s="2"/>
      <c r="G20"/>
      <c r="H20"/>
      <c r="I20"/>
      <c r="J20"/>
      <c r="K20"/>
      <c r="L20" s="89"/>
      <c r="O20" s="92">
        <v>9</v>
      </c>
      <c r="P20" s="162"/>
      <c r="Q20" s="161"/>
      <c r="R20" s="112"/>
      <c r="S20" s="112"/>
      <c r="T20" s="92">
        <v>8</v>
      </c>
      <c r="U20" s="144"/>
      <c r="V20" s="273"/>
      <c r="W20" s="429"/>
      <c r="X20" s="44"/>
      <c r="Y20" s="44"/>
      <c r="Z20" s="438"/>
      <c r="AD20" s="758" t="s">
        <v>758</v>
      </c>
      <c r="AE20" s="1377">
        <v>0</v>
      </c>
      <c r="AF20" s="758" t="s">
        <v>1431</v>
      </c>
      <c r="AG20" s="758" t="s">
        <v>779</v>
      </c>
      <c r="AH20" s="1375">
        <v>42794</v>
      </c>
      <c r="AI20" s="758" t="s">
        <v>969</v>
      </c>
      <c r="AJ20" s="758" t="s">
        <v>852</v>
      </c>
      <c r="AL20" s="758" t="s">
        <v>1055</v>
      </c>
      <c r="AM20" s="1377">
        <v>74.09</v>
      </c>
      <c r="AN20" s="758" t="s">
        <v>1269</v>
      </c>
      <c r="AO20" s="758" t="s">
        <v>780</v>
      </c>
      <c r="AP20" s="1375">
        <v>42886</v>
      </c>
      <c r="AQ20" s="758" t="s">
        <v>1174</v>
      </c>
      <c r="AR20" s="758" t="s">
        <v>852</v>
      </c>
      <c r="AT20" s="758" t="s">
        <v>758</v>
      </c>
      <c r="AU20" s="758" t="s">
        <v>900</v>
      </c>
      <c r="AV20" s="1377">
        <v>770.4</v>
      </c>
      <c r="AW20" s="758" t="s">
        <v>913</v>
      </c>
      <c r="AX20" s="1375">
        <v>42825</v>
      </c>
      <c r="AZ20" s="984"/>
      <c r="BA20" s="984"/>
      <c r="BB20" s="984"/>
      <c r="BC20" s="984"/>
      <c r="BD20" s="984"/>
      <c r="BE20" s="984"/>
      <c r="CF20" s="2"/>
    </row>
    <row r="21" spans="3:84">
      <c r="C21" s="2"/>
      <c r="G21"/>
      <c r="H21"/>
      <c r="I21"/>
      <c r="J21"/>
      <c r="K21"/>
      <c r="O21" s="92">
        <v>10</v>
      </c>
      <c r="P21" s="96" t="s">
        <v>148</v>
      </c>
      <c r="Q21" s="96"/>
      <c r="R21" s="112"/>
      <c r="S21" s="112"/>
      <c r="T21" s="92">
        <v>9</v>
      </c>
      <c r="U21" s="144"/>
      <c r="V21" s="273"/>
      <c r="W21" s="429"/>
      <c r="X21" s="44"/>
      <c r="Z21" s="429"/>
      <c r="AD21" s="758" t="s">
        <v>758</v>
      </c>
      <c r="AE21" s="1377">
        <v>152.78</v>
      </c>
      <c r="AF21" s="758" t="s">
        <v>982</v>
      </c>
      <c r="AG21" s="758" t="s">
        <v>779</v>
      </c>
      <c r="AH21" s="1375">
        <v>42766</v>
      </c>
      <c r="AI21" s="758" t="s">
        <v>1210</v>
      </c>
      <c r="AJ21" s="758" t="s">
        <v>852</v>
      </c>
      <c r="AL21" s="758" t="s">
        <v>1055</v>
      </c>
      <c r="AM21" s="1377">
        <v>0</v>
      </c>
      <c r="AN21" s="758" t="s">
        <v>1124</v>
      </c>
      <c r="AO21" s="758" t="s">
        <v>780</v>
      </c>
      <c r="AP21" s="1375">
        <v>42886</v>
      </c>
      <c r="AQ21" s="758" t="s">
        <v>1163</v>
      </c>
      <c r="AR21" s="758" t="s">
        <v>1164</v>
      </c>
      <c r="AT21" s="758" t="s">
        <v>758</v>
      </c>
      <c r="AU21" s="758" t="s">
        <v>900</v>
      </c>
      <c r="AV21" s="1377">
        <v>304.39999999999998</v>
      </c>
      <c r="AW21" s="758" t="s">
        <v>913</v>
      </c>
      <c r="AX21" s="1375">
        <v>42916</v>
      </c>
      <c r="AZ21" s="983"/>
      <c r="BA21" s="983"/>
      <c r="BB21" s="985"/>
      <c r="BC21" s="983"/>
      <c r="BD21" s="986"/>
      <c r="BE21" s="983"/>
      <c r="CF21" s="2"/>
    </row>
    <row r="22" spans="3:84">
      <c r="C22" s="2"/>
      <c r="G22"/>
      <c r="H22"/>
      <c r="I22"/>
      <c r="J22"/>
      <c r="K22"/>
      <c r="O22" s="92">
        <v>11</v>
      </c>
      <c r="P22" s="96"/>
      <c r="Q22" s="96"/>
      <c r="R22" s="1338" t="s">
        <v>749</v>
      </c>
      <c r="S22" s="96"/>
      <c r="T22" s="92">
        <v>10</v>
      </c>
      <c r="V22" s="144"/>
      <c r="W22" s="273"/>
      <c r="X22" s="429"/>
      <c r="Y22" s="301"/>
      <c r="Z22" s="430"/>
      <c r="AD22" s="758" t="s">
        <v>758</v>
      </c>
      <c r="AE22" s="1377">
        <v>182.37</v>
      </c>
      <c r="AF22" s="758" t="s">
        <v>982</v>
      </c>
      <c r="AG22" s="758" t="s">
        <v>779</v>
      </c>
      <c r="AH22" s="1375">
        <v>42794</v>
      </c>
      <c r="AI22" s="758" t="s">
        <v>1210</v>
      </c>
      <c r="AJ22" s="758" t="s">
        <v>852</v>
      </c>
      <c r="AL22" s="758" t="s">
        <v>1055</v>
      </c>
      <c r="AM22" s="1377">
        <v>59</v>
      </c>
      <c r="AN22" s="758" t="s">
        <v>1270</v>
      </c>
      <c r="AO22" s="758" t="s">
        <v>780</v>
      </c>
      <c r="AP22" s="1375">
        <v>43100</v>
      </c>
      <c r="AQ22" s="758" t="s">
        <v>1173</v>
      </c>
      <c r="AR22" s="758" t="s">
        <v>852</v>
      </c>
      <c r="AT22" s="758" t="s">
        <v>758</v>
      </c>
      <c r="AU22" s="758" t="s">
        <v>900</v>
      </c>
      <c r="AV22" s="1377">
        <v>540.4</v>
      </c>
      <c r="AW22" s="758" t="s">
        <v>913</v>
      </c>
      <c r="AX22" s="1375">
        <v>42947</v>
      </c>
      <c r="CF22" s="2"/>
    </row>
    <row r="23" spans="3:84" ht="13.5" thickBot="1">
      <c r="C23" s="2"/>
      <c r="G23"/>
      <c r="H23"/>
      <c r="I23"/>
      <c r="J23"/>
      <c r="K23"/>
      <c r="O23" s="92">
        <v>12</v>
      </c>
      <c r="P23" s="491" t="s">
        <v>150</v>
      </c>
      <c r="Q23" s="491"/>
      <c r="R23" s="1339" t="s">
        <v>655</v>
      </c>
      <c r="S23" s="1344"/>
      <c r="T23" s="92">
        <v>11</v>
      </c>
      <c r="U23" s="86"/>
      <c r="V23" s="2" t="s">
        <v>160</v>
      </c>
      <c r="W23" s="429">
        <f ca="1">SUM(W13:W22)</f>
        <v>29569.379999999997</v>
      </c>
      <c r="Z23" s="86"/>
      <c r="AD23" s="758" t="s">
        <v>758</v>
      </c>
      <c r="AE23" s="1377">
        <v>0</v>
      </c>
      <c r="AF23" s="758" t="s">
        <v>982</v>
      </c>
      <c r="AG23" s="758" t="s">
        <v>779</v>
      </c>
      <c r="AH23" s="1375">
        <v>42825</v>
      </c>
      <c r="AI23" s="758" t="s">
        <v>1210</v>
      </c>
      <c r="AJ23" s="758" t="s">
        <v>852</v>
      </c>
      <c r="AL23" s="758" t="s">
        <v>1055</v>
      </c>
      <c r="AM23" s="1377">
        <v>130</v>
      </c>
      <c r="AN23" s="758" t="s">
        <v>1056</v>
      </c>
      <c r="AO23" s="758" t="s">
        <v>780</v>
      </c>
      <c r="AP23" s="1375">
        <v>42978</v>
      </c>
      <c r="AQ23" s="758" t="s">
        <v>1275</v>
      </c>
      <c r="AR23" s="758" t="s">
        <v>852</v>
      </c>
      <c r="AT23" s="758" t="s">
        <v>758</v>
      </c>
      <c r="AU23" s="758" t="s">
        <v>900</v>
      </c>
      <c r="AV23" s="1377">
        <v>1562.8</v>
      </c>
      <c r="AW23" s="758" t="s">
        <v>913</v>
      </c>
      <c r="AX23" s="1375">
        <v>43039</v>
      </c>
      <c r="CF23" s="2"/>
    </row>
    <row r="24" spans="3:84" ht="13.5" thickTop="1">
      <c r="C24" s="2"/>
      <c r="G24" s="68"/>
      <c r="J24" s="44"/>
      <c r="O24" s="92">
        <v>13</v>
      </c>
      <c r="T24" s="92">
        <v>12</v>
      </c>
      <c r="U24" s="86"/>
      <c r="V24" s="301" t="s">
        <v>41</v>
      </c>
      <c r="W24" s="295">
        <f ca="1">-W23</f>
        <v>-29569.379999999997</v>
      </c>
      <c r="X24" s="301"/>
      <c r="Y24" s="295"/>
      <c r="Z24" s="295"/>
      <c r="AD24" s="758" t="s">
        <v>758</v>
      </c>
      <c r="AE24" s="1377">
        <v>5.0599999999999996</v>
      </c>
      <c r="AF24" s="758" t="s">
        <v>1432</v>
      </c>
      <c r="AG24" s="758" t="s">
        <v>779</v>
      </c>
      <c r="AH24" s="1375">
        <v>42916</v>
      </c>
      <c r="AI24" s="758" t="s">
        <v>969</v>
      </c>
      <c r="AJ24" s="758" t="s">
        <v>852</v>
      </c>
      <c r="AL24" s="758" t="s">
        <v>1055</v>
      </c>
      <c r="AM24" s="1377">
        <v>130</v>
      </c>
      <c r="AN24" s="758" t="s">
        <v>1056</v>
      </c>
      <c r="AO24" s="758" t="s">
        <v>780</v>
      </c>
      <c r="AP24" s="1375">
        <v>43039</v>
      </c>
      <c r="AQ24" s="758" t="s">
        <v>1174</v>
      </c>
      <c r="AR24" s="758" t="s">
        <v>852</v>
      </c>
      <c r="AT24" s="758" t="s">
        <v>758</v>
      </c>
      <c r="AU24" s="758" t="s">
        <v>900</v>
      </c>
      <c r="AV24" s="1377">
        <v>640.6</v>
      </c>
      <c r="AW24" s="758" t="s">
        <v>913</v>
      </c>
      <c r="AX24" s="1375">
        <v>43069</v>
      </c>
      <c r="CF24" s="2"/>
    </row>
    <row r="25" spans="3:84">
      <c r="C25" s="2"/>
      <c r="O25" s="92">
        <v>14</v>
      </c>
      <c r="P25" s="34" t="s">
        <v>1575</v>
      </c>
      <c r="Q25" s="34"/>
      <c r="R25" s="32"/>
      <c r="S25" s="32"/>
      <c r="T25" s="92">
        <v>13</v>
      </c>
      <c r="U25" s="86"/>
      <c r="W25" s="86"/>
      <c r="Y25" s="295"/>
      <c r="Z25" s="295"/>
      <c r="AD25" s="758" t="s">
        <v>758</v>
      </c>
      <c r="AE25" s="1377">
        <v>40.69</v>
      </c>
      <c r="AF25" s="758" t="s">
        <v>1432</v>
      </c>
      <c r="AG25" s="758" t="s">
        <v>779</v>
      </c>
      <c r="AH25" s="1375">
        <v>42978</v>
      </c>
      <c r="AI25" s="758" t="s">
        <v>1226</v>
      </c>
      <c r="AJ25" s="758" t="s">
        <v>852</v>
      </c>
      <c r="AL25" s="758" t="s">
        <v>1055</v>
      </c>
      <c r="AM25" s="1377">
        <v>130</v>
      </c>
      <c r="AN25" s="758" t="s">
        <v>1056</v>
      </c>
      <c r="AO25" s="758" t="s">
        <v>780</v>
      </c>
      <c r="AP25" s="1375">
        <v>43039</v>
      </c>
      <c r="AQ25" s="758" t="s">
        <v>1271</v>
      </c>
      <c r="AR25" s="758" t="s">
        <v>852</v>
      </c>
      <c r="AT25" s="758" t="s">
        <v>758</v>
      </c>
      <c r="AU25" s="758" t="s">
        <v>900</v>
      </c>
      <c r="AV25" s="1377">
        <v>1845.3</v>
      </c>
      <c r="AW25" s="758" t="s">
        <v>913</v>
      </c>
      <c r="AX25" s="1375">
        <v>43100</v>
      </c>
      <c r="CF25" s="2"/>
    </row>
    <row r="26" spans="3:84" ht="13.5" thickBot="1">
      <c r="C26" s="2"/>
      <c r="O26" s="92">
        <v>15</v>
      </c>
      <c r="P26" s="41" t="s">
        <v>1576</v>
      </c>
      <c r="Q26" s="41"/>
      <c r="R26" s="492">
        <f>+'ALLOCATIONS&amp;PRETAX'!$G$8</f>
        <v>0.49099999999999999</v>
      </c>
      <c r="S26" s="1345"/>
      <c r="T26" s="92">
        <v>14</v>
      </c>
      <c r="U26" s="86"/>
      <c r="V26" s="326" t="s">
        <v>629</v>
      </c>
      <c r="W26" s="295">
        <f ca="1">W24*'ROR-Model'!M2</f>
        <v>-28604.866828946113</v>
      </c>
      <c r="Y26" s="295"/>
      <c r="Z26" s="295"/>
      <c r="AD26" s="758" t="s">
        <v>758</v>
      </c>
      <c r="AE26" s="1377">
        <v>96.28</v>
      </c>
      <c r="AF26" s="758" t="s">
        <v>1433</v>
      </c>
      <c r="AG26" s="758" t="s">
        <v>779</v>
      </c>
      <c r="AH26" s="1375">
        <v>42766</v>
      </c>
      <c r="AI26" s="758" t="s">
        <v>1117</v>
      </c>
      <c r="AJ26" s="758" t="s">
        <v>852</v>
      </c>
      <c r="AL26" s="758" t="s">
        <v>1055</v>
      </c>
      <c r="AM26" s="1377">
        <v>130</v>
      </c>
      <c r="AN26" s="758" t="s">
        <v>1056</v>
      </c>
      <c r="AO26" s="758" t="s">
        <v>780</v>
      </c>
      <c r="AP26" s="1375">
        <v>43069</v>
      </c>
      <c r="AQ26" s="758" t="s">
        <v>1271</v>
      </c>
      <c r="AR26" s="758" t="s">
        <v>852</v>
      </c>
      <c r="AT26" s="758" t="s">
        <v>758</v>
      </c>
      <c r="AU26" s="758" t="s">
        <v>900</v>
      </c>
      <c r="AV26" s="1377">
        <v>20.55</v>
      </c>
      <c r="AW26" s="758" t="s">
        <v>1322</v>
      </c>
      <c r="AX26" s="1375">
        <v>43039</v>
      </c>
      <c r="CF26" s="2"/>
    </row>
    <row r="27" spans="3:84">
      <c r="C27" s="2"/>
      <c r="O27" s="92">
        <v>16</v>
      </c>
      <c r="P27" s="494" t="s">
        <v>1577</v>
      </c>
      <c r="Q27" s="494"/>
      <c r="R27" s="98">
        <f>R19*R26</f>
        <v>156846.26848200001</v>
      </c>
      <c r="S27" s="98"/>
      <c r="T27" s="92">
        <v>15</v>
      </c>
      <c r="V27" s="326" t="s">
        <v>630</v>
      </c>
      <c r="W27" s="295">
        <f ca="1">W24*'ROR-Model'!N2</f>
        <v>-964.51317105388114</v>
      </c>
      <c r="AD27" s="758" t="s">
        <v>758</v>
      </c>
      <c r="AE27" s="1377">
        <v>7243.47</v>
      </c>
      <c r="AF27" s="758" t="s">
        <v>985</v>
      </c>
      <c r="AG27" s="758" t="s">
        <v>779</v>
      </c>
      <c r="AH27" s="1375">
        <v>42766</v>
      </c>
      <c r="AI27" s="758" t="s">
        <v>969</v>
      </c>
      <c r="AJ27" s="758" t="s">
        <v>852</v>
      </c>
      <c r="AL27" s="758" t="s">
        <v>1055</v>
      </c>
      <c r="AM27" s="1377">
        <v>270</v>
      </c>
      <c r="AN27" s="758" t="s">
        <v>1056</v>
      </c>
      <c r="AO27" s="758" t="s">
        <v>780</v>
      </c>
      <c r="AP27" s="1375">
        <v>43069</v>
      </c>
      <c r="AQ27" s="758" t="s">
        <v>1173</v>
      </c>
      <c r="AR27" s="758" t="s">
        <v>852</v>
      </c>
      <c r="AT27" s="758" t="s">
        <v>758</v>
      </c>
      <c r="AU27" s="758" t="s">
        <v>900</v>
      </c>
      <c r="AV27" s="1377">
        <v>106.58</v>
      </c>
      <c r="AW27" s="758" t="s">
        <v>1323</v>
      </c>
      <c r="AX27" s="1375">
        <v>43039</v>
      </c>
      <c r="CF27" s="2"/>
    </row>
    <row r="28" spans="3:84">
      <c r="C28" s="2"/>
      <c r="O28" s="92">
        <v>17</v>
      </c>
      <c r="P28"/>
      <c r="Q28"/>
      <c r="R28"/>
      <c r="S28"/>
      <c r="T28" s="92">
        <v>16</v>
      </c>
      <c r="V28" s="325" t="s">
        <v>160</v>
      </c>
      <c r="W28" s="295">
        <f ca="1">SUM(W26:W27)</f>
        <v>-29569.379999999994</v>
      </c>
      <c r="AD28" s="758" t="s">
        <v>758</v>
      </c>
      <c r="AE28" s="1377">
        <v>48.12</v>
      </c>
      <c r="AF28" s="758" t="s">
        <v>985</v>
      </c>
      <c r="AG28" s="758" t="s">
        <v>779</v>
      </c>
      <c r="AH28" s="1375">
        <v>42794</v>
      </c>
      <c r="AI28" s="758" t="s">
        <v>969</v>
      </c>
      <c r="AJ28" s="758" t="s">
        <v>852</v>
      </c>
      <c r="AL28" s="758" t="s">
        <v>1055</v>
      </c>
      <c r="AM28" s="1377">
        <v>130</v>
      </c>
      <c r="AN28" s="758" t="s">
        <v>1056</v>
      </c>
      <c r="AO28" s="758" t="s">
        <v>780</v>
      </c>
      <c r="AP28" s="1375">
        <v>43100</v>
      </c>
      <c r="AQ28" s="758" t="s">
        <v>1271</v>
      </c>
      <c r="AR28" s="758" t="s">
        <v>852</v>
      </c>
      <c r="AT28" s="758" t="s">
        <v>758</v>
      </c>
      <c r="AU28" s="758" t="s">
        <v>900</v>
      </c>
      <c r="AV28" s="1377">
        <v>10</v>
      </c>
      <c r="AW28" s="758" t="s">
        <v>1324</v>
      </c>
      <c r="AX28" s="1375">
        <v>42825</v>
      </c>
      <c r="CF28" s="2"/>
    </row>
    <row r="29" spans="3:84">
      <c r="C29" s="2"/>
      <c r="O29" s="92">
        <v>18</v>
      </c>
      <c r="P29" s="535" t="s">
        <v>765</v>
      </c>
      <c r="Q29"/>
      <c r="R29" s="1175">
        <f>-R27</f>
        <v>-156846.26848200001</v>
      </c>
      <c r="S29" s="1175"/>
      <c r="T29" s="92"/>
      <c r="AD29" s="758" t="s">
        <v>758</v>
      </c>
      <c r="AE29" s="1377">
        <v>350</v>
      </c>
      <c r="AF29" s="758" t="s">
        <v>1254</v>
      </c>
      <c r="AG29" s="758" t="s">
        <v>779</v>
      </c>
      <c r="AH29" s="1375">
        <v>42794</v>
      </c>
      <c r="AI29" s="758" t="s">
        <v>1117</v>
      </c>
      <c r="AJ29" s="758" t="s">
        <v>852</v>
      </c>
      <c r="AL29" s="758" t="s">
        <v>1055</v>
      </c>
      <c r="AM29" s="1377">
        <v>0</v>
      </c>
      <c r="AN29" s="758" t="s">
        <v>1391</v>
      </c>
      <c r="AO29" s="758" t="s">
        <v>780</v>
      </c>
      <c r="AP29" s="1375">
        <v>43039</v>
      </c>
      <c r="AQ29" s="758" t="s">
        <v>1273</v>
      </c>
      <c r="AR29" s="758" t="s">
        <v>852</v>
      </c>
      <c r="AT29" s="758" t="s">
        <v>758</v>
      </c>
      <c r="AU29" s="758" t="s">
        <v>900</v>
      </c>
      <c r="AV29" s="1377">
        <v>20</v>
      </c>
      <c r="AW29" s="758" t="s">
        <v>1324</v>
      </c>
      <c r="AX29" s="1375">
        <v>42916</v>
      </c>
      <c r="CF29" s="2"/>
    </row>
    <row r="30" spans="3:84">
      <c r="C30" s="2"/>
      <c r="O30"/>
      <c r="P30"/>
      <c r="Q30"/>
      <c r="R30"/>
      <c r="S30"/>
      <c r="T30" s="92"/>
      <c r="AD30" s="758" t="s">
        <v>758</v>
      </c>
      <c r="AE30" s="1377">
        <v>175</v>
      </c>
      <c r="AF30" s="758" t="s">
        <v>1254</v>
      </c>
      <c r="AG30" s="758" t="s">
        <v>779</v>
      </c>
      <c r="AH30" s="1375">
        <v>42825</v>
      </c>
      <c r="AI30" s="758" t="s">
        <v>1117</v>
      </c>
      <c r="AJ30" s="758" t="s">
        <v>852</v>
      </c>
      <c r="AL30" s="758" t="s">
        <v>1055</v>
      </c>
      <c r="AM30" s="1377">
        <v>868</v>
      </c>
      <c r="AN30" s="758" t="s">
        <v>1392</v>
      </c>
      <c r="AO30" s="758" t="s">
        <v>780</v>
      </c>
      <c r="AP30" s="1375">
        <v>43008</v>
      </c>
      <c r="AQ30" s="758" t="s">
        <v>1172</v>
      </c>
      <c r="AR30" s="758" t="s">
        <v>1164</v>
      </c>
      <c r="AT30" s="758" t="s">
        <v>758</v>
      </c>
      <c r="AU30" s="758" t="s">
        <v>900</v>
      </c>
      <c r="AV30" s="1377">
        <v>19.43</v>
      </c>
      <c r="AW30" s="758" t="s">
        <v>1325</v>
      </c>
      <c r="AX30" s="1375">
        <v>42794</v>
      </c>
      <c r="CF30" s="2"/>
    </row>
    <row r="31" spans="3:84">
      <c r="C31" s="2"/>
      <c r="O31"/>
      <c r="P31"/>
      <c r="Q31"/>
      <c r="R31"/>
      <c r="S31"/>
      <c r="V31" s="724"/>
      <c r="AD31" s="758" t="s">
        <v>758</v>
      </c>
      <c r="AE31" s="1377">
        <v>175</v>
      </c>
      <c r="AF31" s="758" t="s">
        <v>1254</v>
      </c>
      <c r="AG31" s="758" t="s">
        <v>779</v>
      </c>
      <c r="AH31" s="1375">
        <v>42855</v>
      </c>
      <c r="AI31" s="758" t="s">
        <v>1117</v>
      </c>
      <c r="AJ31" s="758" t="s">
        <v>852</v>
      </c>
      <c r="AL31" s="758" t="s">
        <v>1055</v>
      </c>
      <c r="AM31" s="1377">
        <v>-868</v>
      </c>
      <c r="AN31" s="758" t="s">
        <v>1392</v>
      </c>
      <c r="AO31" s="758" t="s">
        <v>780</v>
      </c>
      <c r="AP31" s="1375">
        <v>43039</v>
      </c>
      <c r="AQ31" s="758" t="s">
        <v>1172</v>
      </c>
      <c r="AR31" s="758" t="s">
        <v>1164</v>
      </c>
      <c r="AT31" s="758" t="s">
        <v>758</v>
      </c>
      <c r="AU31" s="758" t="s">
        <v>900</v>
      </c>
      <c r="AV31" s="1377">
        <v>40.25</v>
      </c>
      <c r="AW31" s="758" t="s">
        <v>1326</v>
      </c>
      <c r="AX31" s="1375">
        <v>43069</v>
      </c>
      <c r="CF31" s="2"/>
    </row>
    <row r="32" spans="3:84">
      <c r="C32" s="2"/>
      <c r="O32"/>
      <c r="P32"/>
      <c r="Q32"/>
      <c r="R32"/>
      <c r="S32"/>
      <c r="AD32" s="758" t="s">
        <v>758</v>
      </c>
      <c r="AE32" s="1377">
        <v>260</v>
      </c>
      <c r="AF32" s="758" t="s">
        <v>1254</v>
      </c>
      <c r="AG32" s="758" t="s">
        <v>779</v>
      </c>
      <c r="AH32" s="1375">
        <v>42947</v>
      </c>
      <c r="AI32" s="758" t="s">
        <v>1224</v>
      </c>
      <c r="AJ32" s="758" t="s">
        <v>852</v>
      </c>
      <c r="AL32" s="758" t="s">
        <v>1081</v>
      </c>
      <c r="AM32" s="1377">
        <v>254</v>
      </c>
      <c r="AN32" s="758" t="s">
        <v>1393</v>
      </c>
      <c r="AO32" s="758" t="s">
        <v>780</v>
      </c>
      <c r="AP32" s="1375">
        <v>43039</v>
      </c>
      <c r="AQ32" s="758" t="s">
        <v>1170</v>
      </c>
      <c r="AR32" s="758" t="s">
        <v>852</v>
      </c>
      <c r="AT32" s="758" t="s">
        <v>758</v>
      </c>
      <c r="AU32" s="758" t="s">
        <v>900</v>
      </c>
      <c r="AV32" s="1377">
        <v>123.66</v>
      </c>
      <c r="AW32" s="758" t="s">
        <v>1092</v>
      </c>
      <c r="AX32" s="1375">
        <v>42766</v>
      </c>
      <c r="CF32" s="2"/>
    </row>
    <row r="33" spans="3:84">
      <c r="C33" s="2"/>
      <c r="O33"/>
      <c r="P33"/>
      <c r="Q33"/>
      <c r="R33"/>
      <c r="S33"/>
      <c r="AD33" s="758" t="s">
        <v>758</v>
      </c>
      <c r="AE33" s="1377">
        <v>150</v>
      </c>
      <c r="AF33" s="758" t="s">
        <v>1254</v>
      </c>
      <c r="AG33" s="758" t="s">
        <v>779</v>
      </c>
      <c r="AH33" s="1375">
        <v>43100</v>
      </c>
      <c r="AI33" s="758" t="s">
        <v>1117</v>
      </c>
      <c r="AJ33" s="758" t="s">
        <v>852</v>
      </c>
      <c r="AL33" s="758" t="s">
        <v>1081</v>
      </c>
      <c r="AM33" s="1377">
        <v>130</v>
      </c>
      <c r="AN33" s="758" t="s">
        <v>1056</v>
      </c>
      <c r="AO33" s="758" t="s">
        <v>780</v>
      </c>
      <c r="AP33" s="1375">
        <v>42766</v>
      </c>
      <c r="AQ33" s="758" t="s">
        <v>1271</v>
      </c>
      <c r="AR33" s="758" t="s">
        <v>852</v>
      </c>
      <c r="AT33" s="758" t="s">
        <v>758</v>
      </c>
      <c r="AU33" s="758" t="s">
        <v>900</v>
      </c>
      <c r="AV33" s="1377">
        <v>76.52</v>
      </c>
      <c r="AW33" s="758" t="s">
        <v>1092</v>
      </c>
      <c r="AX33" s="1375">
        <v>42794</v>
      </c>
      <c r="CF33" s="2"/>
    </row>
    <row r="34" spans="3:84">
      <c r="C34" s="2"/>
      <c r="O34"/>
      <c r="P34"/>
      <c r="Q34"/>
      <c r="R34"/>
      <c r="S34"/>
      <c r="AD34" s="758" t="s">
        <v>758</v>
      </c>
      <c r="AE34" s="1377">
        <v>48.08</v>
      </c>
      <c r="AF34" s="758" t="s">
        <v>1434</v>
      </c>
      <c r="AG34" s="758" t="s">
        <v>779</v>
      </c>
      <c r="AH34" s="1375">
        <v>43100</v>
      </c>
      <c r="AI34" s="758" t="s">
        <v>1208</v>
      </c>
      <c r="AJ34" s="758" t="s">
        <v>852</v>
      </c>
      <c r="AL34" s="758" t="s">
        <v>1081</v>
      </c>
      <c r="AM34" s="1377">
        <v>130</v>
      </c>
      <c r="AN34" s="758" t="s">
        <v>1056</v>
      </c>
      <c r="AO34" s="758" t="s">
        <v>780</v>
      </c>
      <c r="AP34" s="1375">
        <v>42794</v>
      </c>
      <c r="AQ34" s="758" t="s">
        <v>1271</v>
      </c>
      <c r="AR34" s="758" t="s">
        <v>852</v>
      </c>
      <c r="AT34" s="758" t="s">
        <v>758</v>
      </c>
      <c r="AU34" s="758" t="s">
        <v>900</v>
      </c>
      <c r="AV34" s="1377">
        <v>39.6</v>
      </c>
      <c r="AW34" s="758" t="s">
        <v>1092</v>
      </c>
      <c r="AX34" s="1375">
        <v>42855</v>
      </c>
      <c r="CF34" s="2"/>
    </row>
    <row r="35" spans="3:84">
      <c r="C35" s="2"/>
      <c r="O35"/>
      <c r="P35"/>
      <c r="Q35"/>
      <c r="R35"/>
      <c r="S35"/>
      <c r="AD35" s="758" t="s">
        <v>758</v>
      </c>
      <c r="AE35" s="1377">
        <v>265</v>
      </c>
      <c r="AF35" s="758" t="s">
        <v>1050</v>
      </c>
      <c r="AG35" s="758" t="s">
        <v>779</v>
      </c>
      <c r="AH35" s="1375">
        <v>43069</v>
      </c>
      <c r="AI35" s="758" t="s">
        <v>1416</v>
      </c>
      <c r="AJ35" s="758" t="s">
        <v>852</v>
      </c>
      <c r="AL35" s="758" t="s">
        <v>1081</v>
      </c>
      <c r="AM35" s="1377">
        <v>0</v>
      </c>
      <c r="AN35" s="758" t="s">
        <v>1056</v>
      </c>
      <c r="AO35" s="758" t="s">
        <v>780</v>
      </c>
      <c r="AP35" s="1375">
        <v>42855</v>
      </c>
      <c r="AQ35" s="758" t="s">
        <v>1177</v>
      </c>
      <c r="AR35" s="758" t="s">
        <v>852</v>
      </c>
      <c r="AT35" s="758" t="s">
        <v>758</v>
      </c>
      <c r="AU35" s="758" t="s">
        <v>900</v>
      </c>
      <c r="AV35" s="1377">
        <v>80.8</v>
      </c>
      <c r="AW35" s="758" t="s">
        <v>1092</v>
      </c>
      <c r="AX35" s="1375">
        <v>42886</v>
      </c>
      <c r="CF35" s="2"/>
    </row>
    <row r="36" spans="3:84">
      <c r="C36" s="2"/>
      <c r="O36"/>
      <c r="P36"/>
      <c r="Q36"/>
      <c r="R36"/>
      <c r="S36"/>
      <c r="AD36" s="758" t="s">
        <v>758</v>
      </c>
      <c r="AE36" s="1377">
        <v>10250</v>
      </c>
      <c r="AF36" s="758" t="s">
        <v>1213</v>
      </c>
      <c r="AG36" s="758" t="s">
        <v>779</v>
      </c>
      <c r="AH36" s="1375">
        <v>42825</v>
      </c>
      <c r="AI36" s="758" t="s">
        <v>1204</v>
      </c>
      <c r="AJ36" s="758" t="s">
        <v>852</v>
      </c>
      <c r="AL36" s="758" t="s">
        <v>1081</v>
      </c>
      <c r="AM36" s="1377">
        <v>130</v>
      </c>
      <c r="AN36" s="758" t="s">
        <v>1056</v>
      </c>
      <c r="AO36" s="758" t="s">
        <v>780</v>
      </c>
      <c r="AP36" s="1375">
        <v>42855</v>
      </c>
      <c r="AQ36" s="758" t="s">
        <v>1176</v>
      </c>
      <c r="AR36" s="758" t="s">
        <v>852</v>
      </c>
      <c r="AT36" s="758" t="s">
        <v>758</v>
      </c>
      <c r="AU36" s="758" t="s">
        <v>900</v>
      </c>
      <c r="AV36" s="1377">
        <v>124.14</v>
      </c>
      <c r="AW36" s="758" t="s">
        <v>1092</v>
      </c>
      <c r="AX36" s="1375">
        <v>42916</v>
      </c>
      <c r="AZ36" s="983"/>
      <c r="BA36" s="983"/>
      <c r="BB36" s="985"/>
      <c r="BC36" s="983"/>
      <c r="BD36" s="986"/>
      <c r="BE36" s="983"/>
      <c r="BH36" s="844"/>
      <c r="CF36" s="2"/>
    </row>
    <row r="37" spans="3:84">
      <c r="C37" s="2"/>
      <c r="O37"/>
      <c r="P37"/>
      <c r="Q37"/>
      <c r="R37"/>
      <c r="S37"/>
      <c r="AD37" s="758" t="s">
        <v>758</v>
      </c>
      <c r="AE37" s="1377">
        <v>50</v>
      </c>
      <c r="AF37" s="758" t="s">
        <v>1435</v>
      </c>
      <c r="AG37" s="758" t="s">
        <v>779</v>
      </c>
      <c r="AH37" s="1375">
        <v>42886</v>
      </c>
      <c r="AI37" s="758" t="s">
        <v>1189</v>
      </c>
      <c r="AJ37" s="758" t="s">
        <v>852</v>
      </c>
      <c r="AL37" s="758" t="s">
        <v>1081</v>
      </c>
      <c r="AM37" s="1377">
        <v>480</v>
      </c>
      <c r="AN37" s="758" t="s">
        <v>1056</v>
      </c>
      <c r="AO37" s="758" t="s">
        <v>780</v>
      </c>
      <c r="AP37" s="1375">
        <v>42855</v>
      </c>
      <c r="AQ37" s="758" t="s">
        <v>1271</v>
      </c>
      <c r="AR37" s="758" t="s">
        <v>852</v>
      </c>
      <c r="AT37" s="758" t="s">
        <v>758</v>
      </c>
      <c r="AU37" s="758" t="s">
        <v>900</v>
      </c>
      <c r="AV37" s="1377">
        <v>82.93</v>
      </c>
      <c r="AW37" s="758" t="s">
        <v>1092</v>
      </c>
      <c r="AX37" s="1375">
        <v>42947</v>
      </c>
      <c r="AZ37" s="983"/>
      <c r="BA37" s="983"/>
      <c r="BB37" s="985"/>
      <c r="BC37" s="983"/>
      <c r="BD37" s="986"/>
      <c r="BE37" s="983"/>
      <c r="BH37" s="844"/>
      <c r="CF37" s="2"/>
    </row>
    <row r="38" spans="3:84">
      <c r="C38" s="2"/>
      <c r="O38"/>
      <c r="P38"/>
      <c r="Q38"/>
      <c r="R38"/>
      <c r="S38"/>
      <c r="U38" s="439"/>
      <c r="AD38" s="758" t="s">
        <v>758</v>
      </c>
      <c r="AE38" s="1377">
        <v>0</v>
      </c>
      <c r="AF38" s="758" t="s">
        <v>1436</v>
      </c>
      <c r="AG38" s="758" t="s">
        <v>779</v>
      </c>
      <c r="AH38" s="1375">
        <v>42766</v>
      </c>
      <c r="AI38" s="758" t="s">
        <v>1214</v>
      </c>
      <c r="AJ38" s="758" t="s">
        <v>852</v>
      </c>
      <c r="AL38" s="758" t="s">
        <v>1081</v>
      </c>
      <c r="AM38" s="1377">
        <v>240</v>
      </c>
      <c r="AN38" s="758" t="s">
        <v>1056</v>
      </c>
      <c r="AO38" s="758" t="s">
        <v>780</v>
      </c>
      <c r="AP38" s="1375">
        <v>42886</v>
      </c>
      <c r="AQ38" s="758" t="s">
        <v>1176</v>
      </c>
      <c r="AR38" s="758" t="s">
        <v>852</v>
      </c>
      <c r="AT38" s="758" t="s">
        <v>758</v>
      </c>
      <c r="AU38" s="758" t="s">
        <v>900</v>
      </c>
      <c r="AV38" s="1377">
        <v>70.63</v>
      </c>
      <c r="AW38" s="758" t="s">
        <v>1092</v>
      </c>
      <c r="AX38" s="1375">
        <v>42978</v>
      </c>
      <c r="AZ38" s="983"/>
      <c r="BA38" s="983"/>
      <c r="BB38" s="985"/>
      <c r="BC38" s="983"/>
      <c r="BD38" s="986"/>
      <c r="BE38" s="983"/>
      <c r="CF38" s="2"/>
    </row>
    <row r="39" spans="3:84">
      <c r="C39" s="2"/>
      <c r="O39"/>
      <c r="P39"/>
      <c r="Q39"/>
      <c r="R39"/>
      <c r="S39"/>
      <c r="AD39" s="758" t="s">
        <v>758</v>
      </c>
      <c r="AE39" s="1377">
        <v>10500</v>
      </c>
      <c r="AF39" s="758" t="s">
        <v>1255</v>
      </c>
      <c r="AG39" s="758" t="s">
        <v>779</v>
      </c>
      <c r="AH39" s="1375">
        <v>42766</v>
      </c>
      <c r="AI39" s="758" t="s">
        <v>1220</v>
      </c>
      <c r="AJ39" s="758" t="s">
        <v>852</v>
      </c>
      <c r="AL39" s="758" t="s">
        <v>1081</v>
      </c>
      <c r="AM39" s="1377">
        <v>130</v>
      </c>
      <c r="AN39" s="758" t="s">
        <v>1056</v>
      </c>
      <c r="AO39" s="758" t="s">
        <v>780</v>
      </c>
      <c r="AP39" s="1375">
        <v>42916</v>
      </c>
      <c r="AQ39" s="758" t="s">
        <v>1176</v>
      </c>
      <c r="AR39" s="758" t="s">
        <v>852</v>
      </c>
      <c r="AT39" s="758" t="s">
        <v>758</v>
      </c>
      <c r="AU39" s="758" t="s">
        <v>900</v>
      </c>
      <c r="AV39" s="1377">
        <v>87.22</v>
      </c>
      <c r="AW39" s="758" t="s">
        <v>1092</v>
      </c>
      <c r="AX39" s="1375">
        <v>43008</v>
      </c>
      <c r="AZ39" s="983"/>
      <c r="BA39" s="983"/>
      <c r="BB39" s="985"/>
      <c r="BC39" s="983"/>
      <c r="BD39" s="986"/>
      <c r="BE39" s="983"/>
      <c r="CF39" s="2"/>
    </row>
    <row r="40" spans="3:84">
      <c r="C40" s="2"/>
      <c r="O40"/>
      <c r="P40"/>
      <c r="Q40"/>
      <c r="R40"/>
      <c r="S40"/>
      <c r="AD40" s="758" t="s">
        <v>758</v>
      </c>
      <c r="AE40" s="1377">
        <v>-10500</v>
      </c>
      <c r="AF40" s="758" t="s">
        <v>1255</v>
      </c>
      <c r="AG40" s="758" t="s">
        <v>779</v>
      </c>
      <c r="AH40" s="1375">
        <v>42766</v>
      </c>
      <c r="AI40" s="758" t="s">
        <v>1192</v>
      </c>
      <c r="AJ40" s="758" t="s">
        <v>852</v>
      </c>
      <c r="AL40" s="758" t="s">
        <v>1081</v>
      </c>
      <c r="AM40" s="1377">
        <v>370</v>
      </c>
      <c r="AN40" s="758" t="s">
        <v>1056</v>
      </c>
      <c r="AO40" s="758" t="s">
        <v>780</v>
      </c>
      <c r="AP40" s="1375">
        <v>42916</v>
      </c>
      <c r="AQ40" s="758" t="s">
        <v>1271</v>
      </c>
      <c r="AR40" s="758" t="s">
        <v>852</v>
      </c>
      <c r="AT40" s="758" t="s">
        <v>758</v>
      </c>
      <c r="AU40" s="758" t="s">
        <v>900</v>
      </c>
      <c r="AV40" s="1377">
        <v>101.13</v>
      </c>
      <c r="AW40" s="758" t="s">
        <v>1092</v>
      </c>
      <c r="AX40" s="1375">
        <v>43039</v>
      </c>
      <c r="AZ40" s="983"/>
      <c r="BA40" s="983"/>
      <c r="BB40" s="985"/>
      <c r="BC40" s="983"/>
      <c r="BD40" s="986"/>
      <c r="BE40" s="983"/>
      <c r="CF40" s="2"/>
    </row>
    <row r="41" spans="3:84">
      <c r="C41" s="2"/>
      <c r="O41"/>
      <c r="P41"/>
      <c r="Q41"/>
      <c r="R41"/>
      <c r="S41"/>
      <c r="AD41" s="758" t="s">
        <v>758</v>
      </c>
      <c r="AE41" s="1377">
        <v>2671.25</v>
      </c>
      <c r="AF41" s="758" t="s">
        <v>1437</v>
      </c>
      <c r="AG41" s="758" t="s">
        <v>779</v>
      </c>
      <c r="AH41" s="1375">
        <v>42766</v>
      </c>
      <c r="AI41" s="758" t="s">
        <v>1210</v>
      </c>
      <c r="AJ41" s="758" t="s">
        <v>852</v>
      </c>
      <c r="AL41" s="758" t="s">
        <v>1081</v>
      </c>
      <c r="AM41" s="1377">
        <v>250</v>
      </c>
      <c r="AN41" s="758" t="s">
        <v>1056</v>
      </c>
      <c r="AO41" s="758" t="s">
        <v>780</v>
      </c>
      <c r="AP41" s="1375">
        <v>42947</v>
      </c>
      <c r="AQ41" s="758" t="s">
        <v>1177</v>
      </c>
      <c r="AR41" s="758" t="s">
        <v>852</v>
      </c>
      <c r="AT41" s="758" t="s">
        <v>758</v>
      </c>
      <c r="AU41" s="758" t="s">
        <v>900</v>
      </c>
      <c r="AV41" s="1377">
        <v>87.76</v>
      </c>
      <c r="AW41" s="758" t="s">
        <v>1092</v>
      </c>
      <c r="AX41" s="1375">
        <v>43069</v>
      </c>
      <c r="AZ41" s="983"/>
      <c r="BA41" s="983"/>
      <c r="BB41" s="985"/>
      <c r="BC41" s="983"/>
      <c r="BD41" s="986"/>
      <c r="BE41" s="983"/>
      <c r="CF41" s="2"/>
    </row>
    <row r="42" spans="3:84">
      <c r="C42" s="2"/>
      <c r="O42"/>
      <c r="P42"/>
      <c r="Q42"/>
      <c r="R42"/>
      <c r="S42"/>
      <c r="AD42" s="758" t="s">
        <v>758</v>
      </c>
      <c r="AE42" s="1377">
        <v>220</v>
      </c>
      <c r="AF42" s="758" t="s">
        <v>855</v>
      </c>
      <c r="AG42" s="758" t="s">
        <v>779</v>
      </c>
      <c r="AH42" s="1375">
        <v>42766</v>
      </c>
      <c r="AI42" s="758" t="s">
        <v>1215</v>
      </c>
      <c r="AJ42" s="758" t="s">
        <v>852</v>
      </c>
      <c r="AL42" s="758" t="s">
        <v>1081</v>
      </c>
      <c r="AM42" s="1377">
        <v>130</v>
      </c>
      <c r="AN42" s="758" t="s">
        <v>1056</v>
      </c>
      <c r="AO42" s="758" t="s">
        <v>780</v>
      </c>
      <c r="AP42" s="1375">
        <v>42978</v>
      </c>
      <c r="AQ42" s="758" t="s">
        <v>1176</v>
      </c>
      <c r="AR42" s="758" t="s">
        <v>852</v>
      </c>
      <c r="AT42" s="758" t="s">
        <v>758</v>
      </c>
      <c r="AU42" s="758" t="s">
        <v>900</v>
      </c>
      <c r="AV42" s="1377">
        <v>164.26</v>
      </c>
      <c r="AW42" s="758" t="s">
        <v>1092</v>
      </c>
      <c r="AX42" s="1375">
        <v>43100</v>
      </c>
      <c r="AZ42" s="983"/>
      <c r="BA42" s="983"/>
      <c r="BB42" s="985"/>
      <c r="BC42" s="983"/>
      <c r="BD42" s="986"/>
      <c r="BE42" s="983"/>
      <c r="CF42" s="2"/>
    </row>
    <row r="43" spans="3:84">
      <c r="C43" s="2"/>
      <c r="AD43" s="758" t="s">
        <v>758</v>
      </c>
      <c r="AE43" s="1377">
        <v>75</v>
      </c>
      <c r="AF43" s="758" t="s">
        <v>1438</v>
      </c>
      <c r="AG43" s="758" t="s">
        <v>779</v>
      </c>
      <c r="AH43" s="1375">
        <v>42794</v>
      </c>
      <c r="AI43" s="758" t="s">
        <v>1406</v>
      </c>
      <c r="AJ43" s="758" t="s">
        <v>852</v>
      </c>
      <c r="AL43" s="758" t="s">
        <v>1081</v>
      </c>
      <c r="AM43" s="1377">
        <v>130</v>
      </c>
      <c r="AN43" s="758" t="s">
        <v>1056</v>
      </c>
      <c r="AO43" s="758" t="s">
        <v>780</v>
      </c>
      <c r="AP43" s="1375">
        <v>43069</v>
      </c>
      <c r="AQ43" s="758" t="s">
        <v>1271</v>
      </c>
      <c r="AR43" s="758" t="s">
        <v>852</v>
      </c>
      <c r="AT43" s="758" t="s">
        <v>758</v>
      </c>
      <c r="AU43" s="758" t="s">
        <v>900</v>
      </c>
      <c r="AV43" s="1377">
        <v>10</v>
      </c>
      <c r="AW43" s="758" t="s">
        <v>1327</v>
      </c>
      <c r="AX43" s="1375">
        <v>42947</v>
      </c>
      <c r="AZ43" s="983"/>
      <c r="BA43" s="983"/>
      <c r="BB43" s="985"/>
      <c r="BC43" s="983"/>
      <c r="BD43" s="986"/>
      <c r="BE43" s="983"/>
      <c r="CF43" s="2"/>
    </row>
    <row r="44" spans="3:84">
      <c r="C44" s="2"/>
      <c r="AD44" s="758" t="s">
        <v>758</v>
      </c>
      <c r="AE44" s="1377">
        <v>490</v>
      </c>
      <c r="AF44" s="758" t="s">
        <v>1256</v>
      </c>
      <c r="AG44" s="758" t="s">
        <v>779</v>
      </c>
      <c r="AH44" s="1375">
        <v>42916</v>
      </c>
      <c r="AI44" s="758" t="s">
        <v>1226</v>
      </c>
      <c r="AJ44" s="758" t="s">
        <v>852</v>
      </c>
      <c r="AL44" s="758" t="s">
        <v>1081</v>
      </c>
      <c r="AM44" s="1377">
        <v>0</v>
      </c>
      <c r="AN44" s="758" t="s">
        <v>1394</v>
      </c>
      <c r="AO44" s="758" t="s">
        <v>780</v>
      </c>
      <c r="AP44" s="1375">
        <v>42947</v>
      </c>
      <c r="AQ44" s="758" t="s">
        <v>1178</v>
      </c>
      <c r="AR44" s="758" t="s">
        <v>1164</v>
      </c>
      <c r="AT44" s="758" t="s">
        <v>758</v>
      </c>
      <c r="AU44" s="758" t="s">
        <v>900</v>
      </c>
      <c r="AV44" s="1377">
        <v>20</v>
      </c>
      <c r="AW44" s="758" t="s">
        <v>1327</v>
      </c>
      <c r="AX44" s="1375">
        <v>43039</v>
      </c>
      <c r="AZ44" s="983"/>
      <c r="BA44" s="983"/>
      <c r="BB44" s="985"/>
      <c r="BC44" s="983"/>
      <c r="BD44" s="986"/>
      <c r="BE44" s="983"/>
      <c r="CF44" s="2"/>
    </row>
    <row r="45" spans="3:84">
      <c r="C45" s="2"/>
      <c r="AD45" s="758" t="s">
        <v>758</v>
      </c>
      <c r="AE45" s="1377">
        <v>3140</v>
      </c>
      <c r="AF45" s="758" t="s">
        <v>1256</v>
      </c>
      <c r="AG45" s="758" t="s">
        <v>779</v>
      </c>
      <c r="AH45" s="1375">
        <v>42916</v>
      </c>
      <c r="AI45" s="758" t="s">
        <v>969</v>
      </c>
      <c r="AJ45" s="758" t="s">
        <v>852</v>
      </c>
      <c r="AL45" s="758" t="s">
        <v>1081</v>
      </c>
      <c r="AM45" s="1377">
        <v>200</v>
      </c>
      <c r="AN45" s="758" t="s">
        <v>1101</v>
      </c>
      <c r="AO45" s="758" t="s">
        <v>780</v>
      </c>
      <c r="AP45" s="1375">
        <v>42916</v>
      </c>
      <c r="AQ45" s="758" t="s">
        <v>1168</v>
      </c>
      <c r="AR45" s="758" t="s">
        <v>852</v>
      </c>
      <c r="AT45" s="758" t="s">
        <v>758</v>
      </c>
      <c r="AU45" s="758" t="s">
        <v>900</v>
      </c>
      <c r="AV45" s="1377">
        <v>57</v>
      </c>
      <c r="AW45" s="758" t="s">
        <v>1327</v>
      </c>
      <c r="AX45" s="1375">
        <v>43100</v>
      </c>
      <c r="AZ45" s="983"/>
      <c r="BA45" s="983"/>
      <c r="BB45" s="985"/>
      <c r="BC45" s="983"/>
      <c r="BD45" s="986"/>
      <c r="BE45" s="983"/>
      <c r="CF45" s="2"/>
    </row>
    <row r="46" spans="3:84">
      <c r="C46" s="2"/>
      <c r="AD46" s="758" t="s">
        <v>758</v>
      </c>
      <c r="AE46" s="1377">
        <v>521.28</v>
      </c>
      <c r="AF46" s="758" t="s">
        <v>1049</v>
      </c>
      <c r="AG46" s="758" t="s">
        <v>779</v>
      </c>
      <c r="AH46" s="1375">
        <v>43039</v>
      </c>
      <c r="AI46" s="758" t="s">
        <v>1201</v>
      </c>
      <c r="AJ46" s="758" t="s">
        <v>852</v>
      </c>
      <c r="AL46" s="758" t="s">
        <v>1081</v>
      </c>
      <c r="AM46" s="1377">
        <v>350</v>
      </c>
      <c r="AN46" s="758" t="s">
        <v>1064</v>
      </c>
      <c r="AO46" s="758" t="s">
        <v>780</v>
      </c>
      <c r="AP46" s="1375">
        <v>42886</v>
      </c>
      <c r="AQ46" s="758" t="s">
        <v>1194</v>
      </c>
      <c r="AR46" s="758" t="s">
        <v>852</v>
      </c>
      <c r="AT46" s="758" t="s">
        <v>758</v>
      </c>
      <c r="AU46" s="758" t="s">
        <v>900</v>
      </c>
      <c r="AV46" s="1377">
        <v>35</v>
      </c>
      <c r="AW46" s="758" t="s">
        <v>1328</v>
      </c>
      <c r="AX46" s="1375">
        <v>42766</v>
      </c>
      <c r="AZ46" s="983"/>
      <c r="BA46" s="983"/>
      <c r="BB46" s="985"/>
      <c r="BC46" s="983"/>
      <c r="BD46" s="986"/>
      <c r="BE46" s="983"/>
      <c r="CF46" s="2"/>
    </row>
    <row r="47" spans="3:84">
      <c r="C47" s="2"/>
      <c r="AD47" s="758" t="s">
        <v>758</v>
      </c>
      <c r="AE47" s="1377">
        <v>3534.42</v>
      </c>
      <c r="AF47" s="758" t="s">
        <v>1127</v>
      </c>
      <c r="AG47" s="758" t="s">
        <v>779</v>
      </c>
      <c r="AH47" s="1375">
        <v>42766</v>
      </c>
      <c r="AI47" s="758" t="s">
        <v>969</v>
      </c>
      <c r="AJ47" s="758" t="s">
        <v>852</v>
      </c>
      <c r="AL47" s="758" t="s">
        <v>1081</v>
      </c>
      <c r="AM47" s="1377">
        <v>275</v>
      </c>
      <c r="AN47" s="758" t="s">
        <v>1121</v>
      </c>
      <c r="AO47" s="758" t="s">
        <v>780</v>
      </c>
      <c r="AP47" s="1375">
        <v>42947</v>
      </c>
      <c r="AQ47" s="758" t="s">
        <v>1178</v>
      </c>
      <c r="AR47" s="758" t="s">
        <v>852</v>
      </c>
      <c r="AT47" s="758" t="s">
        <v>758</v>
      </c>
      <c r="AU47" s="758" t="s">
        <v>900</v>
      </c>
      <c r="AV47" s="1377">
        <v>356.16</v>
      </c>
      <c r="AW47" s="758" t="s">
        <v>1329</v>
      </c>
      <c r="AX47" s="1375">
        <v>42886</v>
      </c>
      <c r="AZ47" s="983"/>
      <c r="BA47" s="983"/>
      <c r="BB47" s="985"/>
      <c r="BC47" s="983"/>
      <c r="BD47" s="986"/>
      <c r="BE47" s="983"/>
      <c r="CF47" s="2"/>
    </row>
    <row r="48" spans="3:84">
      <c r="C48" s="2"/>
      <c r="AD48" s="758" t="s">
        <v>758</v>
      </c>
      <c r="AE48" s="1377">
        <v>8471.0400000000009</v>
      </c>
      <c r="AF48" s="758" t="s">
        <v>1127</v>
      </c>
      <c r="AG48" s="758" t="s">
        <v>779</v>
      </c>
      <c r="AH48" s="1375">
        <v>42825</v>
      </c>
      <c r="AI48" s="758" t="s">
        <v>969</v>
      </c>
      <c r="AJ48" s="758" t="s">
        <v>852</v>
      </c>
      <c r="AL48" s="758" t="s">
        <v>1081</v>
      </c>
      <c r="AM48" s="1377">
        <v>500</v>
      </c>
      <c r="AN48" s="758" t="s">
        <v>1058</v>
      </c>
      <c r="AO48" s="758" t="s">
        <v>780</v>
      </c>
      <c r="AP48" s="1375">
        <v>42886</v>
      </c>
      <c r="AQ48" s="758" t="s">
        <v>1184</v>
      </c>
      <c r="AR48" s="758" t="s">
        <v>1164</v>
      </c>
      <c r="AT48" s="758" t="s">
        <v>758</v>
      </c>
      <c r="AU48" s="758" t="s">
        <v>900</v>
      </c>
      <c r="AV48" s="1377">
        <v>227.01</v>
      </c>
      <c r="AW48" s="758" t="s">
        <v>1330</v>
      </c>
      <c r="AX48" s="1375">
        <v>43100</v>
      </c>
      <c r="AZ48" s="983"/>
      <c r="BA48" s="983"/>
      <c r="BB48" s="985"/>
      <c r="BC48" s="983"/>
      <c r="BD48" s="986"/>
      <c r="BE48" s="983"/>
      <c r="CF48" s="2"/>
    </row>
    <row r="49" spans="3:84">
      <c r="C49" s="2"/>
      <c r="AD49" s="758" t="s">
        <v>758</v>
      </c>
      <c r="AE49" s="1377">
        <v>3848.34</v>
      </c>
      <c r="AF49" s="758" t="s">
        <v>1127</v>
      </c>
      <c r="AG49" s="758" t="s">
        <v>779</v>
      </c>
      <c r="AH49" s="1375">
        <v>42855</v>
      </c>
      <c r="AI49" s="758" t="s">
        <v>969</v>
      </c>
      <c r="AJ49" s="758" t="s">
        <v>852</v>
      </c>
      <c r="AL49" s="758" t="s">
        <v>1081</v>
      </c>
      <c r="AM49" s="1377">
        <v>600</v>
      </c>
      <c r="AN49" s="758" t="s">
        <v>1041</v>
      </c>
      <c r="AO49" s="758" t="s">
        <v>780</v>
      </c>
      <c r="AP49" s="1375">
        <v>42916</v>
      </c>
      <c r="AQ49" s="758" t="s">
        <v>1272</v>
      </c>
      <c r="AR49" s="758" t="s">
        <v>852</v>
      </c>
      <c r="AT49" s="758" t="s">
        <v>758</v>
      </c>
      <c r="AU49" s="758" t="s">
        <v>900</v>
      </c>
      <c r="AV49" s="1377">
        <v>70</v>
      </c>
      <c r="AW49" s="758" t="s">
        <v>1331</v>
      </c>
      <c r="AX49" s="1375">
        <v>42855</v>
      </c>
      <c r="AZ49" s="983"/>
      <c r="BA49" s="983"/>
      <c r="BB49" s="985"/>
      <c r="BC49" s="983"/>
      <c r="BD49" s="986"/>
      <c r="BE49" s="983"/>
      <c r="CF49" s="2"/>
    </row>
    <row r="50" spans="3:84">
      <c r="C50" s="2"/>
      <c r="AD50" s="758" t="s">
        <v>758</v>
      </c>
      <c r="AE50" s="1377">
        <v>7209.8</v>
      </c>
      <c r="AF50" s="758" t="s">
        <v>1127</v>
      </c>
      <c r="AG50" s="758" t="s">
        <v>779</v>
      </c>
      <c r="AH50" s="1375">
        <v>42886</v>
      </c>
      <c r="AI50" s="758" t="s">
        <v>969</v>
      </c>
      <c r="AJ50" s="758" t="s">
        <v>852</v>
      </c>
      <c r="AL50" s="758" t="s">
        <v>1179</v>
      </c>
      <c r="AM50" s="1377">
        <v>2075.85</v>
      </c>
      <c r="AN50" s="758" t="s">
        <v>1395</v>
      </c>
      <c r="AO50" s="758" t="s">
        <v>780</v>
      </c>
      <c r="AP50" s="1375">
        <v>42794</v>
      </c>
      <c r="AQ50" s="758" t="s">
        <v>1180</v>
      </c>
      <c r="AR50" s="758" t="s">
        <v>852</v>
      </c>
      <c r="AT50" s="758" t="s">
        <v>758</v>
      </c>
      <c r="AU50" s="758" t="s">
        <v>900</v>
      </c>
      <c r="AV50" s="1377">
        <v>167.07</v>
      </c>
      <c r="AW50" s="758" t="s">
        <v>1332</v>
      </c>
      <c r="AX50" s="1375">
        <v>42825</v>
      </c>
      <c r="AZ50" s="983"/>
      <c r="BA50" s="983"/>
      <c r="BB50" s="985"/>
      <c r="BC50" s="983"/>
      <c r="BD50" s="986"/>
      <c r="BE50" s="983"/>
      <c r="CF50" s="2"/>
    </row>
    <row r="51" spans="3:84">
      <c r="C51" s="2"/>
      <c r="AD51" s="758" t="s">
        <v>758</v>
      </c>
      <c r="AE51" s="1377">
        <v>3747.11</v>
      </c>
      <c r="AF51" s="758" t="s">
        <v>1127</v>
      </c>
      <c r="AG51" s="758" t="s">
        <v>779</v>
      </c>
      <c r="AH51" s="1375">
        <v>42916</v>
      </c>
      <c r="AI51" s="758" t="s">
        <v>969</v>
      </c>
      <c r="AJ51" s="758" t="s">
        <v>852</v>
      </c>
      <c r="AL51" s="758" t="s">
        <v>1179</v>
      </c>
      <c r="AM51" s="1377">
        <v>3000</v>
      </c>
      <c r="AN51" s="758" t="s">
        <v>1274</v>
      </c>
      <c r="AO51" s="758" t="s">
        <v>780</v>
      </c>
      <c r="AP51" s="1375">
        <v>42766</v>
      </c>
      <c r="AQ51" s="758" t="s">
        <v>1180</v>
      </c>
      <c r="AR51" s="758" t="s">
        <v>852</v>
      </c>
      <c r="AT51" s="758" t="s">
        <v>758</v>
      </c>
      <c r="AU51" s="758" t="s">
        <v>900</v>
      </c>
      <c r="AV51" s="1377">
        <v>-167.07</v>
      </c>
      <c r="AW51" s="758" t="s">
        <v>1332</v>
      </c>
      <c r="AX51" s="1375">
        <v>43100</v>
      </c>
      <c r="AZ51" s="983"/>
      <c r="BA51" s="983"/>
      <c r="BB51" s="985"/>
      <c r="BC51" s="983"/>
      <c r="BD51" s="986"/>
      <c r="BE51" s="983"/>
      <c r="CF51" s="2"/>
    </row>
    <row r="52" spans="3:84">
      <c r="C52" s="2"/>
      <c r="AD52" s="758" t="s">
        <v>758</v>
      </c>
      <c r="AE52" s="1377">
        <v>74.36</v>
      </c>
      <c r="AF52" s="758" t="s">
        <v>1127</v>
      </c>
      <c r="AG52" s="758" t="s">
        <v>779</v>
      </c>
      <c r="AH52" s="1375">
        <v>42947</v>
      </c>
      <c r="AI52" s="758" t="s">
        <v>969</v>
      </c>
      <c r="AJ52" s="758" t="s">
        <v>852</v>
      </c>
      <c r="AL52" s="758" t="s">
        <v>1396</v>
      </c>
      <c r="AM52" s="1377">
        <v>-3000</v>
      </c>
      <c r="AN52" s="758" t="s">
        <v>1395</v>
      </c>
      <c r="AO52" s="758" t="s">
        <v>780</v>
      </c>
      <c r="AP52" s="1375">
        <v>42794</v>
      </c>
      <c r="AQ52" s="758" t="s">
        <v>1180</v>
      </c>
      <c r="AR52" s="758" t="s">
        <v>852</v>
      </c>
      <c r="AT52" s="758" t="s">
        <v>758</v>
      </c>
      <c r="AU52" s="758" t="s">
        <v>900</v>
      </c>
      <c r="AV52" s="1377">
        <v>403.6</v>
      </c>
      <c r="AW52" s="758" t="s">
        <v>1333</v>
      </c>
      <c r="AX52" s="1375">
        <v>42916</v>
      </c>
      <c r="AZ52" s="983"/>
      <c r="BA52" s="983"/>
      <c r="BB52" s="985"/>
      <c r="BC52" s="983"/>
      <c r="BD52" s="986"/>
      <c r="BE52" s="983"/>
      <c r="CF52" s="2"/>
    </row>
    <row r="53" spans="3:84">
      <c r="C53" s="2"/>
      <c r="AD53" s="758" t="s">
        <v>758</v>
      </c>
      <c r="AE53" s="1377">
        <v>3521.01</v>
      </c>
      <c r="AF53" s="758" t="s">
        <v>1127</v>
      </c>
      <c r="AG53" s="758" t="s">
        <v>779</v>
      </c>
      <c r="AH53" s="1375">
        <v>43008</v>
      </c>
      <c r="AI53" s="758" t="s">
        <v>969</v>
      </c>
      <c r="AJ53" s="758" t="s">
        <v>852</v>
      </c>
      <c r="AL53" s="758" t="s">
        <v>1397</v>
      </c>
      <c r="AM53" s="1377">
        <v>800</v>
      </c>
      <c r="AN53" s="758" t="s">
        <v>1398</v>
      </c>
      <c r="AO53" s="758" t="s">
        <v>780</v>
      </c>
      <c r="AP53" s="1375">
        <v>43039</v>
      </c>
      <c r="AQ53" s="758" t="s">
        <v>1170</v>
      </c>
      <c r="AR53" s="758" t="s">
        <v>852</v>
      </c>
      <c r="AT53" s="758" t="s">
        <v>758</v>
      </c>
      <c r="AU53" s="758" t="s">
        <v>900</v>
      </c>
      <c r="AV53" s="1377">
        <v>212.44</v>
      </c>
      <c r="AW53" s="758" t="s">
        <v>1334</v>
      </c>
      <c r="AX53" s="1375">
        <v>43039</v>
      </c>
      <c r="AZ53" s="983"/>
      <c r="BA53" s="983"/>
      <c r="BB53" s="985"/>
      <c r="BC53" s="983"/>
      <c r="BD53" s="986"/>
      <c r="BE53" s="983"/>
      <c r="CF53" s="2"/>
    </row>
    <row r="54" spans="3:84">
      <c r="C54" s="2"/>
      <c r="AD54" s="758" t="s">
        <v>758</v>
      </c>
      <c r="AE54" s="1377">
        <v>7363.42</v>
      </c>
      <c r="AF54" s="758" t="s">
        <v>1127</v>
      </c>
      <c r="AG54" s="758" t="s">
        <v>779</v>
      </c>
      <c r="AH54" s="1375">
        <v>43039</v>
      </c>
      <c r="AI54" s="758" t="s">
        <v>969</v>
      </c>
      <c r="AJ54" s="758" t="s">
        <v>852</v>
      </c>
      <c r="AL54" s="758" t="s">
        <v>1399</v>
      </c>
      <c r="AM54" s="1377">
        <v>165</v>
      </c>
      <c r="AN54" s="758" t="s">
        <v>1400</v>
      </c>
      <c r="AO54" s="758" t="s">
        <v>780</v>
      </c>
      <c r="AP54" s="1375">
        <v>42794</v>
      </c>
      <c r="AQ54" s="758" t="s">
        <v>1401</v>
      </c>
      <c r="AR54" s="758" t="s">
        <v>852</v>
      </c>
      <c r="AT54" s="758" t="s">
        <v>758</v>
      </c>
      <c r="AU54" s="758" t="s">
        <v>900</v>
      </c>
      <c r="AV54" s="1377">
        <v>210.85</v>
      </c>
      <c r="AW54" s="758" t="s">
        <v>1335</v>
      </c>
      <c r="AX54" s="1375">
        <v>42766</v>
      </c>
      <c r="AZ54" s="983"/>
      <c r="BA54" s="983"/>
      <c r="BB54" s="985"/>
      <c r="BC54" s="983"/>
      <c r="BD54" s="986"/>
      <c r="BE54" s="983"/>
      <c r="CF54" s="2"/>
    </row>
    <row r="55" spans="3:84">
      <c r="C55" s="2"/>
      <c r="AD55" s="758" t="s">
        <v>758</v>
      </c>
      <c r="AE55" s="1377">
        <v>3707.57</v>
      </c>
      <c r="AF55" s="758" t="s">
        <v>1127</v>
      </c>
      <c r="AG55" s="758" t="s">
        <v>779</v>
      </c>
      <c r="AH55" s="1375">
        <v>43100</v>
      </c>
      <c r="AI55" s="758" t="s">
        <v>969</v>
      </c>
      <c r="AJ55" s="758" t="s">
        <v>852</v>
      </c>
      <c r="AL55" s="758" t="s">
        <v>1402</v>
      </c>
      <c r="AM55" s="1377">
        <v>500</v>
      </c>
      <c r="AN55" s="758" t="s">
        <v>1403</v>
      </c>
      <c r="AO55" s="758" t="s">
        <v>780</v>
      </c>
      <c r="AP55" s="1375">
        <v>42978</v>
      </c>
      <c r="AQ55" s="758" t="s">
        <v>1116</v>
      </c>
      <c r="AR55" s="758" t="s">
        <v>1164</v>
      </c>
      <c r="AT55" s="758" t="s">
        <v>758</v>
      </c>
      <c r="AU55" s="758" t="s">
        <v>900</v>
      </c>
      <c r="AV55" s="1377">
        <v>732.82</v>
      </c>
      <c r="AW55" s="758" t="s">
        <v>1336</v>
      </c>
      <c r="AX55" s="1375">
        <v>42794</v>
      </c>
      <c r="AZ55" s="983"/>
      <c r="BA55" s="983"/>
      <c r="BB55" s="985"/>
      <c r="BC55" s="983"/>
      <c r="BD55" s="986"/>
      <c r="BE55" s="983"/>
      <c r="CF55" s="2"/>
    </row>
    <row r="56" spans="3:84">
      <c r="C56" s="2"/>
      <c r="AD56" s="758" t="s">
        <v>758</v>
      </c>
      <c r="AE56" s="1377">
        <v>227.5</v>
      </c>
      <c r="AF56" s="758" t="s">
        <v>989</v>
      </c>
      <c r="AG56" s="758" t="s">
        <v>779</v>
      </c>
      <c r="AH56" s="1375">
        <v>43069</v>
      </c>
      <c r="AI56" s="758" t="s">
        <v>1215</v>
      </c>
      <c r="AJ56" s="758" t="s">
        <v>852</v>
      </c>
      <c r="AL56" s="758" t="s">
        <v>1402</v>
      </c>
      <c r="AM56" s="1377">
        <v>545</v>
      </c>
      <c r="AN56" s="758" t="s">
        <v>1093</v>
      </c>
      <c r="AO56" s="758" t="s">
        <v>780</v>
      </c>
      <c r="AP56" s="1375">
        <v>43039</v>
      </c>
      <c r="AQ56" s="758" t="s">
        <v>1196</v>
      </c>
      <c r="AR56" s="758" t="s">
        <v>852</v>
      </c>
      <c r="AT56" s="758" t="s">
        <v>758</v>
      </c>
      <c r="AU56" s="758" t="s">
        <v>900</v>
      </c>
      <c r="AV56" s="1377">
        <v>65</v>
      </c>
      <c r="AW56" s="758" t="s">
        <v>1337</v>
      </c>
      <c r="AX56" s="1375">
        <v>42855</v>
      </c>
      <c r="AZ56" s="983"/>
      <c r="BA56" s="983"/>
      <c r="BB56" s="985"/>
      <c r="BC56" s="983"/>
      <c r="BD56" s="986"/>
      <c r="BE56" s="983"/>
      <c r="CF56" s="2"/>
    </row>
    <row r="57" spans="3:84">
      <c r="C57" s="2"/>
      <c r="AD57" s="758" t="s">
        <v>758</v>
      </c>
      <c r="AE57" s="1377">
        <v>195</v>
      </c>
      <c r="AF57" s="758" t="s">
        <v>1257</v>
      </c>
      <c r="AG57" s="758" t="s">
        <v>779</v>
      </c>
      <c r="AH57" s="1375">
        <v>42825</v>
      </c>
      <c r="AI57" s="758" t="s">
        <v>1222</v>
      </c>
      <c r="AJ57" s="758" t="s">
        <v>852</v>
      </c>
      <c r="AL57" s="758" t="s">
        <v>758</v>
      </c>
      <c r="AM57" s="1377">
        <v>327.52</v>
      </c>
      <c r="AN57" s="758" t="s">
        <v>1253</v>
      </c>
      <c r="AO57" s="758" t="s">
        <v>780</v>
      </c>
      <c r="AP57" s="1375">
        <v>43039</v>
      </c>
      <c r="AQ57" s="758" t="s">
        <v>1103</v>
      </c>
      <c r="AR57" s="758" t="s">
        <v>852</v>
      </c>
      <c r="AT57" s="758" t="s">
        <v>758</v>
      </c>
      <c r="AU57" s="758" t="s">
        <v>900</v>
      </c>
      <c r="AV57" s="1377">
        <v>146.21</v>
      </c>
      <c r="AW57" s="758" t="s">
        <v>1338</v>
      </c>
      <c r="AX57" s="1375">
        <v>42947</v>
      </c>
      <c r="AZ57" s="983"/>
      <c r="BA57" s="983"/>
      <c r="BB57" s="985"/>
      <c r="BC57" s="983"/>
      <c r="BD57" s="986"/>
      <c r="BE57" s="983"/>
      <c r="CF57" s="2"/>
    </row>
    <row r="58" spans="3:84">
      <c r="C58" s="2"/>
      <c r="AD58" s="758" t="s">
        <v>758</v>
      </c>
      <c r="AE58" s="1377">
        <v>195</v>
      </c>
      <c r="AF58" s="758" t="s">
        <v>1257</v>
      </c>
      <c r="AG58" s="758" t="s">
        <v>779</v>
      </c>
      <c r="AH58" s="1375">
        <v>43069</v>
      </c>
      <c r="AI58" s="758" t="s">
        <v>1222</v>
      </c>
      <c r="AJ58" s="758" t="s">
        <v>852</v>
      </c>
      <c r="AL58" s="758" t="s">
        <v>758</v>
      </c>
      <c r="AM58" s="1377">
        <v>151</v>
      </c>
      <c r="AN58" s="758" t="s">
        <v>1054</v>
      </c>
      <c r="AO58" s="758" t="s">
        <v>780</v>
      </c>
      <c r="AP58" s="1375">
        <v>42855</v>
      </c>
      <c r="AQ58" s="758" t="s">
        <v>1167</v>
      </c>
      <c r="AR58" s="758" t="s">
        <v>852</v>
      </c>
      <c r="AT58" s="758" t="s">
        <v>758</v>
      </c>
      <c r="AU58" s="758" t="s">
        <v>900</v>
      </c>
      <c r="AV58" s="1377">
        <v>50</v>
      </c>
      <c r="AW58" s="758" t="s">
        <v>1339</v>
      </c>
      <c r="AX58" s="1375">
        <v>42766</v>
      </c>
      <c r="AZ58" s="983"/>
      <c r="BA58" s="983"/>
      <c r="BB58" s="985"/>
      <c r="BC58" s="983"/>
      <c r="BD58" s="986"/>
      <c r="BE58" s="983"/>
      <c r="CF58" s="2"/>
    </row>
    <row r="59" spans="3:84">
      <c r="C59" s="2"/>
      <c r="AD59" s="758" t="s">
        <v>758</v>
      </c>
      <c r="AE59" s="1377">
        <v>49</v>
      </c>
      <c r="AF59" s="758" t="s">
        <v>1439</v>
      </c>
      <c r="AG59" s="758" t="s">
        <v>779</v>
      </c>
      <c r="AH59" s="1375">
        <v>42916</v>
      </c>
      <c r="AI59" s="758" t="s">
        <v>1415</v>
      </c>
      <c r="AJ59" s="758" t="s">
        <v>852</v>
      </c>
      <c r="AL59" s="758" t="s">
        <v>758</v>
      </c>
      <c r="AM59" s="1377">
        <v>155</v>
      </c>
      <c r="AN59" s="758" t="s">
        <v>1054</v>
      </c>
      <c r="AO59" s="758" t="s">
        <v>780</v>
      </c>
      <c r="AP59" s="1375">
        <v>43039</v>
      </c>
      <c r="AQ59" s="758" t="s">
        <v>1167</v>
      </c>
      <c r="AR59" s="758" t="s">
        <v>852</v>
      </c>
      <c r="AT59" s="758" t="s">
        <v>758</v>
      </c>
      <c r="AU59" s="758" t="s">
        <v>900</v>
      </c>
      <c r="AV59" s="1377">
        <v>486.18</v>
      </c>
      <c r="AW59" s="758" t="s">
        <v>1340</v>
      </c>
      <c r="AX59" s="1375">
        <v>42947</v>
      </c>
      <c r="AZ59" s="983"/>
      <c r="BA59" s="983"/>
      <c r="BB59" s="985"/>
      <c r="BC59" s="983"/>
      <c r="BD59" s="986"/>
      <c r="BE59" s="983"/>
      <c r="CF59" s="2"/>
    </row>
    <row r="60" spans="3:84">
      <c r="C60" s="2"/>
      <c r="AD60" s="758" t="s">
        <v>758</v>
      </c>
      <c r="AE60" s="1377">
        <v>279.85000000000002</v>
      </c>
      <c r="AF60" s="758" t="s">
        <v>1200</v>
      </c>
      <c r="AG60" s="758" t="s">
        <v>779</v>
      </c>
      <c r="AH60" s="1375">
        <v>42825</v>
      </c>
      <c r="AI60" s="758" t="s">
        <v>969</v>
      </c>
      <c r="AJ60" s="758" t="s">
        <v>852</v>
      </c>
      <c r="AL60" s="758" t="s">
        <v>758</v>
      </c>
      <c r="AM60" s="1377">
        <v>225</v>
      </c>
      <c r="AN60" s="758" t="s">
        <v>1268</v>
      </c>
      <c r="AO60" s="758" t="s">
        <v>780</v>
      </c>
      <c r="AP60" s="1375">
        <v>42825</v>
      </c>
      <c r="AQ60" s="758" t="s">
        <v>1193</v>
      </c>
      <c r="AR60" s="758" t="s">
        <v>852</v>
      </c>
      <c r="AT60" s="758" t="s">
        <v>758</v>
      </c>
      <c r="AU60" s="758" t="s">
        <v>900</v>
      </c>
      <c r="AV60" s="1377">
        <v>20</v>
      </c>
      <c r="AW60" s="758" t="s">
        <v>1341</v>
      </c>
      <c r="AX60" s="1375">
        <v>42794</v>
      </c>
      <c r="AZ60" s="983"/>
      <c r="BA60" s="983"/>
      <c r="BB60" s="985"/>
      <c r="BC60" s="983"/>
      <c r="BD60" s="986"/>
      <c r="BE60" s="983"/>
      <c r="CF60" s="2"/>
    </row>
    <row r="61" spans="3:84">
      <c r="C61" s="2"/>
      <c r="AD61" s="758" t="s">
        <v>758</v>
      </c>
      <c r="AE61" s="1377">
        <v>-5400</v>
      </c>
      <c r="AF61" s="758" t="s">
        <v>1440</v>
      </c>
      <c r="AG61" s="758" t="s">
        <v>779</v>
      </c>
      <c r="AH61" s="1375">
        <v>42825</v>
      </c>
      <c r="AI61" s="758" t="s">
        <v>1117</v>
      </c>
      <c r="AJ61" s="758" t="s">
        <v>852</v>
      </c>
      <c r="AL61" s="758" t="s">
        <v>758</v>
      </c>
      <c r="AM61" s="1377">
        <v>4479.3599999999997</v>
      </c>
      <c r="AN61" s="758" t="s">
        <v>1097</v>
      </c>
      <c r="AO61" s="758" t="s">
        <v>780</v>
      </c>
      <c r="AP61" s="1375">
        <v>42766</v>
      </c>
      <c r="AQ61" s="758" t="s">
        <v>1198</v>
      </c>
      <c r="AR61" s="758" t="s">
        <v>852</v>
      </c>
      <c r="AT61" s="758" t="s">
        <v>758</v>
      </c>
      <c r="AU61" s="758" t="s">
        <v>900</v>
      </c>
      <c r="AV61" s="1377">
        <v>40</v>
      </c>
      <c r="AW61" s="758" t="s">
        <v>1342</v>
      </c>
      <c r="AX61" s="1375">
        <v>43100</v>
      </c>
      <c r="AZ61" s="983"/>
      <c r="BA61" s="983"/>
      <c r="BB61" s="985"/>
      <c r="BC61" s="983"/>
      <c r="BD61" s="986"/>
      <c r="BE61" s="983"/>
      <c r="CF61" s="2"/>
    </row>
    <row r="62" spans="3:84">
      <c r="C62" s="2"/>
      <c r="AD62" s="758" t="s">
        <v>758</v>
      </c>
      <c r="AE62" s="1377">
        <v>1094.1400000000001</v>
      </c>
      <c r="AF62" s="758" t="s">
        <v>1258</v>
      </c>
      <c r="AG62" s="758" t="s">
        <v>779</v>
      </c>
      <c r="AH62" s="1375">
        <v>42766</v>
      </c>
      <c r="AI62" s="758" t="s">
        <v>1214</v>
      </c>
      <c r="AJ62" s="758" t="s">
        <v>852</v>
      </c>
      <c r="AL62" s="758" t="s">
        <v>758</v>
      </c>
      <c r="AM62" s="1377">
        <v>5125.6400000000003</v>
      </c>
      <c r="AN62" s="758" t="s">
        <v>1097</v>
      </c>
      <c r="AO62" s="758" t="s">
        <v>780</v>
      </c>
      <c r="AP62" s="1375">
        <v>42794</v>
      </c>
      <c r="AQ62" s="758" t="s">
        <v>1198</v>
      </c>
      <c r="AR62" s="758" t="s">
        <v>852</v>
      </c>
      <c r="AT62" s="758" t="s">
        <v>758</v>
      </c>
      <c r="AU62" s="758" t="s">
        <v>900</v>
      </c>
      <c r="AV62" s="1377">
        <v>27</v>
      </c>
      <c r="AW62" s="758" t="s">
        <v>1159</v>
      </c>
      <c r="AX62" s="1375">
        <v>42794</v>
      </c>
      <c r="AZ62" s="983"/>
      <c r="BA62" s="983"/>
      <c r="BB62" s="985"/>
      <c r="BC62" s="983"/>
      <c r="BD62" s="986"/>
      <c r="BE62" s="983"/>
      <c r="CF62" s="2"/>
    </row>
    <row r="63" spans="3:84">
      <c r="C63" s="2"/>
      <c r="AD63" s="758" t="s">
        <v>758</v>
      </c>
      <c r="AE63" s="1377">
        <v>1000</v>
      </c>
      <c r="AF63" s="758" t="s">
        <v>1441</v>
      </c>
      <c r="AG63" s="758" t="s">
        <v>779</v>
      </c>
      <c r="AH63" s="1375">
        <v>42766</v>
      </c>
      <c r="AI63" s="758" t="s">
        <v>1212</v>
      </c>
      <c r="AJ63" s="758" t="s">
        <v>852</v>
      </c>
      <c r="AL63" s="758" t="s">
        <v>758</v>
      </c>
      <c r="AM63" s="1377">
        <v>5125.68</v>
      </c>
      <c r="AN63" s="758" t="s">
        <v>1097</v>
      </c>
      <c r="AO63" s="758" t="s">
        <v>780</v>
      </c>
      <c r="AP63" s="1375">
        <v>42825</v>
      </c>
      <c r="AQ63" s="758" t="s">
        <v>1198</v>
      </c>
      <c r="AR63" s="758" t="s">
        <v>852</v>
      </c>
      <c r="AT63" s="758" t="s">
        <v>758</v>
      </c>
      <c r="AU63" s="758" t="s">
        <v>900</v>
      </c>
      <c r="AV63" s="1377">
        <v>32</v>
      </c>
      <c r="AW63" s="758" t="s">
        <v>1159</v>
      </c>
      <c r="AX63" s="1375">
        <v>42855</v>
      </c>
      <c r="AZ63" s="983"/>
      <c r="BA63" s="983"/>
      <c r="BB63" s="985"/>
      <c r="BC63" s="983"/>
      <c r="BD63" s="986"/>
      <c r="BE63" s="983"/>
      <c r="CF63" s="2"/>
    </row>
    <row r="64" spans="3:84">
      <c r="C64" s="2"/>
      <c r="AD64" s="758" t="s">
        <v>758</v>
      </c>
      <c r="AE64" s="1377">
        <v>0</v>
      </c>
      <c r="AF64" s="758" t="s">
        <v>1441</v>
      </c>
      <c r="AG64" s="758" t="s">
        <v>779</v>
      </c>
      <c r="AH64" s="1375">
        <v>42766</v>
      </c>
      <c r="AI64" s="758" t="s">
        <v>1219</v>
      </c>
      <c r="AJ64" s="758" t="s">
        <v>852</v>
      </c>
      <c r="AL64" s="758" t="s">
        <v>758</v>
      </c>
      <c r="AM64" s="1377">
        <v>5125.6400000000003</v>
      </c>
      <c r="AN64" s="758" t="s">
        <v>1097</v>
      </c>
      <c r="AO64" s="758" t="s">
        <v>780</v>
      </c>
      <c r="AP64" s="1375">
        <v>42855</v>
      </c>
      <c r="AQ64" s="758" t="s">
        <v>1198</v>
      </c>
      <c r="AR64" s="758" t="s">
        <v>852</v>
      </c>
      <c r="AT64" s="758" t="s">
        <v>758</v>
      </c>
      <c r="AU64" s="758" t="s">
        <v>900</v>
      </c>
      <c r="AV64" s="1377">
        <v>26</v>
      </c>
      <c r="AW64" s="758" t="s">
        <v>1159</v>
      </c>
      <c r="AX64" s="1375">
        <v>42947</v>
      </c>
      <c r="AZ64" s="983"/>
      <c r="BA64" s="983"/>
      <c r="BB64" s="985"/>
      <c r="BC64" s="983"/>
      <c r="BD64" s="986"/>
      <c r="BE64" s="983"/>
      <c r="CF64" s="2"/>
    </row>
    <row r="65" spans="3:84">
      <c r="C65" s="2"/>
      <c r="AD65" s="758" t="s">
        <v>758</v>
      </c>
      <c r="AE65" s="1377">
        <v>0</v>
      </c>
      <c r="AF65" s="758" t="s">
        <v>1441</v>
      </c>
      <c r="AG65" s="758" t="s">
        <v>779</v>
      </c>
      <c r="AH65" s="1375">
        <v>42886</v>
      </c>
      <c r="AI65" s="758" t="s">
        <v>1210</v>
      </c>
      <c r="AJ65" s="758" t="s">
        <v>852</v>
      </c>
      <c r="AL65" s="758" t="s">
        <v>758</v>
      </c>
      <c r="AM65" s="1377">
        <v>5125.6400000000003</v>
      </c>
      <c r="AN65" s="758" t="s">
        <v>1097</v>
      </c>
      <c r="AO65" s="758" t="s">
        <v>780</v>
      </c>
      <c r="AP65" s="1375">
        <v>42886</v>
      </c>
      <c r="AQ65" s="758" t="s">
        <v>1198</v>
      </c>
      <c r="AR65" s="758" t="s">
        <v>852</v>
      </c>
      <c r="AT65" s="758" t="s">
        <v>758</v>
      </c>
      <c r="AU65" s="758" t="s">
        <v>900</v>
      </c>
      <c r="AV65" s="1377">
        <v>27</v>
      </c>
      <c r="AW65" s="758" t="s">
        <v>1159</v>
      </c>
      <c r="AX65" s="1375">
        <v>43039</v>
      </c>
      <c r="AZ65" s="983"/>
      <c r="BA65" s="983"/>
      <c r="BB65" s="985"/>
      <c r="BC65" s="983"/>
      <c r="BD65" s="986"/>
      <c r="BE65" s="983"/>
      <c r="CF65" s="2"/>
    </row>
    <row r="66" spans="3:84">
      <c r="C66" s="2"/>
      <c r="AD66" s="758" t="s">
        <v>758</v>
      </c>
      <c r="AE66" s="1377">
        <v>6295</v>
      </c>
      <c r="AF66" s="758" t="s">
        <v>1216</v>
      </c>
      <c r="AG66" s="758" t="s">
        <v>779</v>
      </c>
      <c r="AH66" s="1375">
        <v>42886</v>
      </c>
      <c r="AI66" s="758" t="s">
        <v>1189</v>
      </c>
      <c r="AJ66" s="758" t="s">
        <v>852</v>
      </c>
      <c r="AL66" s="758" t="s">
        <v>758</v>
      </c>
      <c r="AM66" s="1377">
        <v>5125.6400000000003</v>
      </c>
      <c r="AN66" s="758" t="s">
        <v>1097</v>
      </c>
      <c r="AO66" s="758" t="s">
        <v>780</v>
      </c>
      <c r="AP66" s="1375">
        <v>42916</v>
      </c>
      <c r="AQ66" s="758" t="s">
        <v>1198</v>
      </c>
      <c r="AR66" s="758" t="s">
        <v>852</v>
      </c>
      <c r="AT66" s="758" t="s">
        <v>758</v>
      </c>
      <c r="AU66" s="758" t="s">
        <v>900</v>
      </c>
      <c r="AV66" s="1377">
        <v>26</v>
      </c>
      <c r="AW66" s="758" t="s">
        <v>1159</v>
      </c>
      <c r="AX66" s="1375">
        <v>43069</v>
      </c>
      <c r="AZ66" s="983"/>
      <c r="BA66" s="983"/>
      <c r="BB66" s="985"/>
      <c r="BC66" s="983"/>
      <c r="BD66" s="986"/>
      <c r="BE66" s="983"/>
      <c r="CF66" s="2"/>
    </row>
    <row r="67" spans="3:84">
      <c r="C67" s="2"/>
      <c r="AD67" s="758" t="s">
        <v>758</v>
      </c>
      <c r="AE67" s="1377">
        <v>25</v>
      </c>
      <c r="AF67" s="758" t="s">
        <v>1408</v>
      </c>
      <c r="AG67" s="758" t="s">
        <v>779</v>
      </c>
      <c r="AH67" s="1375">
        <v>43100</v>
      </c>
      <c r="AI67" s="758" t="s">
        <v>1189</v>
      </c>
      <c r="AJ67" s="758" t="s">
        <v>852</v>
      </c>
      <c r="AL67" s="758" t="s">
        <v>758</v>
      </c>
      <c r="AM67" s="1377">
        <v>5125.6400000000003</v>
      </c>
      <c r="AN67" s="758" t="s">
        <v>1097</v>
      </c>
      <c r="AO67" s="758" t="s">
        <v>780</v>
      </c>
      <c r="AP67" s="1375">
        <v>42947</v>
      </c>
      <c r="AQ67" s="758" t="s">
        <v>1198</v>
      </c>
      <c r="AR67" s="758" t="s">
        <v>852</v>
      </c>
      <c r="AT67" s="758" t="s">
        <v>758</v>
      </c>
      <c r="AU67" s="758" t="s">
        <v>900</v>
      </c>
      <c r="AV67" s="1377">
        <v>314.98</v>
      </c>
      <c r="AW67" s="758" t="s">
        <v>1343</v>
      </c>
      <c r="AX67" s="1375">
        <v>43100</v>
      </c>
      <c r="AZ67" s="983"/>
      <c r="BA67" s="983"/>
      <c r="BB67" s="985"/>
      <c r="BC67" s="983"/>
      <c r="BD67" s="986"/>
      <c r="BE67" s="983"/>
      <c r="CF67" s="2"/>
    </row>
    <row r="68" spans="3:84">
      <c r="C68" s="2"/>
      <c r="AD68" s="758" t="s">
        <v>758</v>
      </c>
      <c r="AE68" s="1377">
        <v>374.41</v>
      </c>
      <c r="AF68" s="758" t="s">
        <v>983</v>
      </c>
      <c r="AG68" s="758" t="s">
        <v>779</v>
      </c>
      <c r="AH68" s="1375">
        <v>42766</v>
      </c>
      <c r="AI68" s="758" t="s">
        <v>1215</v>
      </c>
      <c r="AJ68" s="758" t="s">
        <v>852</v>
      </c>
      <c r="AL68" s="758" t="s">
        <v>758</v>
      </c>
      <c r="AM68" s="1377">
        <v>5125.6400000000003</v>
      </c>
      <c r="AN68" s="758" t="s">
        <v>1097</v>
      </c>
      <c r="AO68" s="758" t="s">
        <v>780</v>
      </c>
      <c r="AP68" s="1375">
        <v>42978</v>
      </c>
      <c r="AQ68" s="758" t="s">
        <v>1198</v>
      </c>
      <c r="AR68" s="758" t="s">
        <v>852</v>
      </c>
      <c r="AT68" s="758" t="s">
        <v>758</v>
      </c>
      <c r="AU68" s="758" t="s">
        <v>900</v>
      </c>
      <c r="AV68" s="1377">
        <v>362.26</v>
      </c>
      <c r="AW68" s="758" t="s">
        <v>1344</v>
      </c>
      <c r="AX68" s="1375">
        <v>43069</v>
      </c>
      <c r="AZ68" s="983"/>
      <c r="BA68" s="983"/>
      <c r="BB68" s="985"/>
      <c r="BC68" s="983"/>
      <c r="BD68" s="986"/>
      <c r="BE68" s="983"/>
      <c r="CF68" s="2"/>
    </row>
    <row r="69" spans="3:84">
      <c r="C69" s="2"/>
      <c r="AD69" s="758" t="s">
        <v>758</v>
      </c>
      <c r="AE69" s="1377">
        <v>600</v>
      </c>
      <c r="AF69" s="758" t="s">
        <v>1442</v>
      </c>
      <c r="AG69" s="758" t="s">
        <v>779</v>
      </c>
      <c r="AH69" s="1375">
        <v>42794</v>
      </c>
      <c r="AI69" s="758" t="s">
        <v>1222</v>
      </c>
      <c r="AJ69" s="758" t="s">
        <v>852</v>
      </c>
      <c r="AL69" s="758" t="s">
        <v>758</v>
      </c>
      <c r="AM69" s="1377">
        <v>5125.6400000000003</v>
      </c>
      <c r="AN69" s="758" t="s">
        <v>1097</v>
      </c>
      <c r="AO69" s="758" t="s">
        <v>780</v>
      </c>
      <c r="AP69" s="1375">
        <v>43008</v>
      </c>
      <c r="AQ69" s="758" t="s">
        <v>1198</v>
      </c>
      <c r="AR69" s="758" t="s">
        <v>852</v>
      </c>
      <c r="AT69" s="758" t="s">
        <v>758</v>
      </c>
      <c r="AU69" s="758" t="s">
        <v>900</v>
      </c>
      <c r="AV69" s="1377">
        <v>64</v>
      </c>
      <c r="AW69" s="758" t="s">
        <v>1345</v>
      </c>
      <c r="AX69" s="1375">
        <v>42766</v>
      </c>
      <c r="AZ69" s="983"/>
      <c r="BA69" s="983"/>
      <c r="BB69" s="985"/>
      <c r="BC69" s="983"/>
      <c r="BD69" s="986"/>
      <c r="BE69" s="983"/>
      <c r="CF69" s="2"/>
    </row>
    <row r="70" spans="3:84">
      <c r="C70" s="2"/>
      <c r="AD70" s="758" t="s">
        <v>758</v>
      </c>
      <c r="AE70" s="1377">
        <v>50</v>
      </c>
      <c r="AF70" s="758" t="s">
        <v>1259</v>
      </c>
      <c r="AG70" s="758" t="s">
        <v>779</v>
      </c>
      <c r="AH70" s="1375">
        <v>42825</v>
      </c>
      <c r="AI70" s="758" t="s">
        <v>1181</v>
      </c>
      <c r="AJ70" s="758" t="s">
        <v>852</v>
      </c>
      <c r="AL70" s="758" t="s">
        <v>758</v>
      </c>
      <c r="AM70" s="1377">
        <v>5125.6400000000003</v>
      </c>
      <c r="AN70" s="758" t="s">
        <v>1097</v>
      </c>
      <c r="AO70" s="758" t="s">
        <v>780</v>
      </c>
      <c r="AP70" s="1375">
        <v>43039</v>
      </c>
      <c r="AQ70" s="758" t="s">
        <v>1198</v>
      </c>
      <c r="AR70" s="758" t="s">
        <v>852</v>
      </c>
      <c r="AT70" s="758" t="s">
        <v>758</v>
      </c>
      <c r="AU70" s="758" t="s">
        <v>900</v>
      </c>
      <c r="AV70" s="1377">
        <v>27</v>
      </c>
      <c r="AW70" s="758" t="s">
        <v>1345</v>
      </c>
      <c r="AX70" s="1375">
        <v>42886</v>
      </c>
      <c r="AZ70" s="983"/>
      <c r="BA70" s="983"/>
      <c r="BB70" s="985"/>
      <c r="BC70" s="983"/>
      <c r="BD70" s="986"/>
      <c r="BE70" s="983"/>
      <c r="CF70" s="2"/>
    </row>
    <row r="71" spans="3:84">
      <c r="C71" s="2"/>
      <c r="AD71" s="758" t="s">
        <v>758</v>
      </c>
      <c r="AE71" s="1377">
        <v>150</v>
      </c>
      <c r="AF71" s="758" t="s">
        <v>1217</v>
      </c>
      <c r="AG71" s="758" t="s">
        <v>779</v>
      </c>
      <c r="AH71" s="1375">
        <v>42794</v>
      </c>
      <c r="AI71" s="758" t="s">
        <v>1189</v>
      </c>
      <c r="AJ71" s="758" t="s">
        <v>852</v>
      </c>
      <c r="AL71" s="758" t="s">
        <v>758</v>
      </c>
      <c r="AM71" s="1377">
        <v>10251.280000000001</v>
      </c>
      <c r="AN71" s="758" t="s">
        <v>1097</v>
      </c>
      <c r="AO71" s="758" t="s">
        <v>780</v>
      </c>
      <c r="AP71" s="1375">
        <v>43069</v>
      </c>
      <c r="AQ71" s="758" t="s">
        <v>1198</v>
      </c>
      <c r="AR71" s="758" t="s">
        <v>852</v>
      </c>
      <c r="AT71" s="758" t="s">
        <v>758</v>
      </c>
      <c r="AU71" s="758" t="s">
        <v>1160</v>
      </c>
      <c r="AV71" s="1377">
        <v>850</v>
      </c>
      <c r="AW71" s="758" t="s">
        <v>1346</v>
      </c>
      <c r="AX71" s="1375">
        <v>43008</v>
      </c>
      <c r="AZ71" s="983"/>
      <c r="BA71" s="983"/>
      <c r="BB71" s="985"/>
      <c r="BC71" s="983"/>
      <c r="BD71" s="986"/>
      <c r="BE71" s="983"/>
      <c r="CF71" s="2"/>
    </row>
    <row r="72" spans="3:84">
      <c r="C72" s="2"/>
      <c r="AD72" s="758" t="s">
        <v>758</v>
      </c>
      <c r="AE72" s="1377">
        <v>39</v>
      </c>
      <c r="AF72" s="758" t="s">
        <v>1443</v>
      </c>
      <c r="AG72" s="758" t="s">
        <v>779</v>
      </c>
      <c r="AH72" s="1375">
        <v>43100</v>
      </c>
      <c r="AI72" s="758" t="s">
        <v>1207</v>
      </c>
      <c r="AJ72" s="758" t="s">
        <v>852</v>
      </c>
      <c r="AL72" s="758" t="s">
        <v>758</v>
      </c>
      <c r="AM72" s="1377">
        <v>9899.17</v>
      </c>
      <c r="AN72" s="758" t="s">
        <v>1097</v>
      </c>
      <c r="AO72" s="758" t="s">
        <v>780</v>
      </c>
      <c r="AP72" s="1375">
        <v>43100</v>
      </c>
      <c r="AQ72" s="758" t="s">
        <v>1198</v>
      </c>
      <c r="AR72" s="758" t="s">
        <v>852</v>
      </c>
      <c r="AT72" s="758" t="s">
        <v>758</v>
      </c>
      <c r="AU72" s="758" t="s">
        <v>901</v>
      </c>
      <c r="AV72" s="1377">
        <v>23.95</v>
      </c>
      <c r="AW72" s="758" t="s">
        <v>1347</v>
      </c>
      <c r="AX72" s="1375">
        <v>42916</v>
      </c>
      <c r="AZ72" s="983"/>
      <c r="BA72" s="983"/>
      <c r="BB72" s="985"/>
      <c r="BC72" s="983"/>
      <c r="BD72" s="986"/>
      <c r="BE72" s="983"/>
      <c r="CF72" s="2"/>
    </row>
    <row r="73" spans="3:84">
      <c r="C73" s="2"/>
      <c r="AD73" s="758" t="s">
        <v>758</v>
      </c>
      <c r="AE73" s="1377">
        <v>68</v>
      </c>
      <c r="AF73" s="758" t="s">
        <v>987</v>
      </c>
      <c r="AG73" s="758" t="s">
        <v>779</v>
      </c>
      <c r="AH73" s="1375">
        <v>42916</v>
      </c>
      <c r="AI73" s="758" t="s">
        <v>1182</v>
      </c>
      <c r="AJ73" s="758" t="s">
        <v>852</v>
      </c>
      <c r="AL73" s="758" t="s">
        <v>758</v>
      </c>
      <c r="AM73" s="1377">
        <v>1940.95</v>
      </c>
      <c r="AN73" s="758" t="s">
        <v>1097</v>
      </c>
      <c r="AO73" s="758" t="s">
        <v>780</v>
      </c>
      <c r="AP73" s="1375">
        <v>43100</v>
      </c>
      <c r="AQ73" s="758" t="s">
        <v>1186</v>
      </c>
      <c r="AR73" s="758" t="s">
        <v>852</v>
      </c>
      <c r="AT73" s="758" t="s">
        <v>758</v>
      </c>
      <c r="AU73" s="758" t="s">
        <v>901</v>
      </c>
      <c r="AV73" s="1377">
        <v>466.49</v>
      </c>
      <c r="AW73" s="758" t="s">
        <v>1348</v>
      </c>
      <c r="AX73" s="1375">
        <v>42766</v>
      </c>
      <c r="AZ73" s="983"/>
      <c r="BA73" s="983"/>
      <c r="BB73" s="985"/>
      <c r="BC73" s="983"/>
      <c r="BD73" s="986"/>
      <c r="BE73" s="983"/>
      <c r="CF73" s="2"/>
    </row>
    <row r="74" spans="3:84">
      <c r="C74" s="2"/>
      <c r="AD74" s="758" t="s">
        <v>758</v>
      </c>
      <c r="AE74" s="1377">
        <v>68</v>
      </c>
      <c r="AF74" s="758" t="s">
        <v>987</v>
      </c>
      <c r="AG74" s="758" t="s">
        <v>779</v>
      </c>
      <c r="AH74" s="1375">
        <v>42916</v>
      </c>
      <c r="AI74" s="758" t="s">
        <v>1189</v>
      </c>
      <c r="AJ74" s="758" t="s">
        <v>852</v>
      </c>
      <c r="AL74" s="758" t="s">
        <v>758</v>
      </c>
      <c r="AM74" s="1377">
        <v>122.88</v>
      </c>
      <c r="AN74" s="758" t="s">
        <v>1123</v>
      </c>
      <c r="AO74" s="758" t="s">
        <v>780</v>
      </c>
      <c r="AP74" s="1375">
        <v>43039</v>
      </c>
      <c r="AQ74" s="758" t="s">
        <v>1103</v>
      </c>
      <c r="AR74" s="758" t="s">
        <v>852</v>
      </c>
      <c r="AT74" s="758" t="s">
        <v>758</v>
      </c>
      <c r="AU74" s="758" t="s">
        <v>901</v>
      </c>
      <c r="AV74" s="1377">
        <v>39.479999999999997</v>
      </c>
      <c r="AW74" s="758" t="s">
        <v>1349</v>
      </c>
      <c r="AX74" s="1375">
        <v>43008</v>
      </c>
      <c r="AZ74" s="983"/>
      <c r="BA74" s="983"/>
      <c r="BB74" s="985"/>
      <c r="BC74" s="983"/>
      <c r="BD74" s="986"/>
      <c r="BE74" s="983"/>
      <c r="CF74" s="2"/>
    </row>
    <row r="75" spans="3:84">
      <c r="C75" s="2"/>
      <c r="AD75" s="758" t="s">
        <v>758</v>
      </c>
      <c r="AE75" s="1377">
        <v>0</v>
      </c>
      <c r="AF75" s="758" t="s">
        <v>1444</v>
      </c>
      <c r="AG75" s="758" t="s">
        <v>779</v>
      </c>
      <c r="AH75" s="1375">
        <v>42794</v>
      </c>
      <c r="AI75" s="758" t="s">
        <v>1212</v>
      </c>
      <c r="AJ75" s="758" t="s">
        <v>852</v>
      </c>
      <c r="AL75" s="758" t="s">
        <v>758</v>
      </c>
      <c r="AM75" s="1377">
        <v>5000</v>
      </c>
      <c r="AN75" s="758" t="s">
        <v>1065</v>
      </c>
      <c r="AO75" s="758" t="s">
        <v>780</v>
      </c>
      <c r="AP75" s="1375">
        <v>43039</v>
      </c>
      <c r="AQ75" s="758" t="s">
        <v>1116</v>
      </c>
      <c r="AR75" s="758" t="s">
        <v>852</v>
      </c>
      <c r="AT75" s="758" t="s">
        <v>758</v>
      </c>
      <c r="AU75" s="758" t="s">
        <v>901</v>
      </c>
      <c r="AV75" s="1377">
        <v>38.42</v>
      </c>
      <c r="AW75" s="758" t="s">
        <v>1350</v>
      </c>
      <c r="AX75" s="1375">
        <v>42766</v>
      </c>
      <c r="AZ75" s="983"/>
      <c r="BA75" s="983"/>
      <c r="BB75" s="985"/>
      <c r="BC75" s="983"/>
      <c r="BD75" s="986"/>
      <c r="BE75" s="983"/>
      <c r="CF75" s="2"/>
    </row>
    <row r="76" spans="3:84">
      <c r="C76" s="2"/>
      <c r="AD76" s="758" t="s">
        <v>758</v>
      </c>
      <c r="AE76" s="1377">
        <v>65</v>
      </c>
      <c r="AF76" s="758" t="s">
        <v>988</v>
      </c>
      <c r="AG76" s="758" t="s">
        <v>779</v>
      </c>
      <c r="AH76" s="1375">
        <v>42766</v>
      </c>
      <c r="AI76" s="758" t="s">
        <v>1211</v>
      </c>
      <c r="AJ76" s="758" t="s">
        <v>852</v>
      </c>
      <c r="AL76" s="758" t="s">
        <v>758</v>
      </c>
      <c r="AM76" s="1377">
        <v>169</v>
      </c>
      <c r="AN76" s="758" t="s">
        <v>859</v>
      </c>
      <c r="AO76" s="758" t="s">
        <v>780</v>
      </c>
      <c r="AP76" s="1375">
        <v>42886</v>
      </c>
      <c r="AQ76" s="758" t="s">
        <v>1187</v>
      </c>
      <c r="AR76" s="758" t="s">
        <v>852</v>
      </c>
      <c r="AT76" s="758" t="s">
        <v>758</v>
      </c>
      <c r="AU76" s="758" t="s">
        <v>901</v>
      </c>
      <c r="AV76" s="1377">
        <v>43.4</v>
      </c>
      <c r="AW76" s="758" t="s">
        <v>1351</v>
      </c>
      <c r="AX76" s="1375">
        <v>42794</v>
      </c>
      <c r="AZ76" s="983"/>
      <c r="BA76" s="983"/>
      <c r="BB76" s="985"/>
      <c r="BC76" s="983"/>
      <c r="BD76" s="986"/>
      <c r="BE76" s="983"/>
      <c r="CF76" s="2"/>
    </row>
    <row r="77" spans="3:84">
      <c r="C77" s="2"/>
      <c r="AD77" s="758" t="s">
        <v>758</v>
      </c>
      <c r="AE77" s="1377">
        <v>126</v>
      </c>
      <c r="AF77" s="758" t="s">
        <v>988</v>
      </c>
      <c r="AG77" s="758" t="s">
        <v>779</v>
      </c>
      <c r="AH77" s="1375">
        <v>42916</v>
      </c>
      <c r="AI77" s="758" t="s">
        <v>969</v>
      </c>
      <c r="AJ77" s="758" t="s">
        <v>852</v>
      </c>
      <c r="AL77" s="758" t="s">
        <v>758</v>
      </c>
      <c r="AM77" s="1377">
        <v>0</v>
      </c>
      <c r="AN77" s="758" t="s">
        <v>1404</v>
      </c>
      <c r="AO77" s="758" t="s">
        <v>780</v>
      </c>
      <c r="AP77" s="1375">
        <v>43069</v>
      </c>
      <c r="AQ77" s="758" t="s">
        <v>969</v>
      </c>
      <c r="AR77" s="758" t="s">
        <v>852</v>
      </c>
      <c r="AT77" s="758" t="s">
        <v>758</v>
      </c>
      <c r="AU77" s="758" t="s">
        <v>901</v>
      </c>
      <c r="AV77" s="1377">
        <v>15.14</v>
      </c>
      <c r="AW77" s="758" t="s">
        <v>1352</v>
      </c>
      <c r="AX77" s="1375">
        <v>42794</v>
      </c>
      <c r="AZ77" s="983"/>
      <c r="BA77" s="983"/>
      <c r="BB77" s="985"/>
      <c r="BC77" s="983"/>
      <c r="BD77" s="986"/>
      <c r="BE77" s="983"/>
      <c r="CF77" s="2"/>
    </row>
    <row r="78" spans="3:84">
      <c r="C78" s="2"/>
      <c r="AD78" s="758" t="s">
        <v>758</v>
      </c>
      <c r="AE78" s="1377">
        <v>31.6</v>
      </c>
      <c r="AF78" s="758" t="s">
        <v>1126</v>
      </c>
      <c r="AG78" s="758" t="s">
        <v>779</v>
      </c>
      <c r="AH78" s="1375">
        <v>42766</v>
      </c>
      <c r="AI78" s="758" t="s">
        <v>969</v>
      </c>
      <c r="AJ78" s="758" t="s">
        <v>852</v>
      </c>
      <c r="AL78" s="758" t="s">
        <v>758</v>
      </c>
      <c r="AM78" s="1377">
        <v>2450.54</v>
      </c>
      <c r="AN78" s="758" t="s">
        <v>1195</v>
      </c>
      <c r="AO78" s="758" t="s">
        <v>780</v>
      </c>
      <c r="AP78" s="1375">
        <v>42766</v>
      </c>
      <c r="AQ78" s="758" t="s">
        <v>1183</v>
      </c>
      <c r="AR78" s="758" t="s">
        <v>852</v>
      </c>
      <c r="AT78" s="758" t="s">
        <v>758</v>
      </c>
      <c r="AU78" s="758" t="s">
        <v>901</v>
      </c>
      <c r="AV78" s="1377">
        <v>30.94</v>
      </c>
      <c r="AW78" s="758" t="s">
        <v>1353</v>
      </c>
      <c r="AX78" s="1375">
        <v>42794</v>
      </c>
      <c r="AZ78" s="983"/>
      <c r="BA78" s="983"/>
      <c r="BB78" s="985"/>
      <c r="BC78" s="983"/>
      <c r="BD78" s="986"/>
      <c r="BE78" s="983"/>
      <c r="CF78" s="2"/>
    </row>
    <row r="79" spans="3:84">
      <c r="C79" s="2"/>
      <c r="AD79" s="758" t="s">
        <v>758</v>
      </c>
      <c r="AE79" s="1377">
        <v>18.3</v>
      </c>
      <c r="AF79" s="758" t="s">
        <v>1126</v>
      </c>
      <c r="AG79" s="758" t="s">
        <v>779</v>
      </c>
      <c r="AH79" s="1375">
        <v>42855</v>
      </c>
      <c r="AI79" s="758" t="s">
        <v>969</v>
      </c>
      <c r="AJ79" s="758" t="s">
        <v>852</v>
      </c>
      <c r="AL79" s="758" t="s">
        <v>758</v>
      </c>
      <c r="AM79" s="1377">
        <v>2450.54</v>
      </c>
      <c r="AN79" s="758" t="s">
        <v>1195</v>
      </c>
      <c r="AO79" s="758" t="s">
        <v>780</v>
      </c>
      <c r="AP79" s="1375">
        <v>42794</v>
      </c>
      <c r="AQ79" s="758" t="s">
        <v>1183</v>
      </c>
      <c r="AR79" s="758" t="s">
        <v>852</v>
      </c>
      <c r="AT79" s="758" t="s">
        <v>758</v>
      </c>
      <c r="AU79" s="758" t="s">
        <v>901</v>
      </c>
      <c r="AV79" s="1377">
        <v>5.48</v>
      </c>
      <c r="AW79" s="758" t="s">
        <v>1354</v>
      </c>
      <c r="AX79" s="1375">
        <v>43100</v>
      </c>
      <c r="AZ79" s="983"/>
      <c r="BA79" s="983"/>
      <c r="BB79" s="985"/>
      <c r="BC79" s="983"/>
      <c r="BD79" s="986"/>
      <c r="BE79" s="983"/>
      <c r="CF79" s="2"/>
    </row>
    <row r="80" spans="3:84">
      <c r="C80" s="2"/>
      <c r="AD80" s="758" t="s">
        <v>758</v>
      </c>
      <c r="AE80" s="1377">
        <v>199</v>
      </c>
      <c r="AF80" s="758" t="s">
        <v>1445</v>
      </c>
      <c r="AG80" s="758" t="s">
        <v>779</v>
      </c>
      <c r="AH80" s="1375">
        <v>42855</v>
      </c>
      <c r="AI80" s="758" t="s">
        <v>1117</v>
      </c>
      <c r="AJ80" s="758" t="s">
        <v>852</v>
      </c>
      <c r="AL80" s="758" t="s">
        <v>758</v>
      </c>
      <c r="AM80" s="1377">
        <v>2450.54</v>
      </c>
      <c r="AN80" s="758" t="s">
        <v>1195</v>
      </c>
      <c r="AO80" s="758" t="s">
        <v>780</v>
      </c>
      <c r="AP80" s="1375">
        <v>42825</v>
      </c>
      <c r="AQ80" s="758" t="s">
        <v>1183</v>
      </c>
      <c r="AR80" s="758" t="s">
        <v>852</v>
      </c>
      <c r="AT80" s="758" t="s">
        <v>758</v>
      </c>
      <c r="AU80" s="758" t="s">
        <v>901</v>
      </c>
      <c r="AV80" s="1377">
        <v>34.5</v>
      </c>
      <c r="AW80" s="758" t="s">
        <v>1355</v>
      </c>
      <c r="AX80" s="1375">
        <v>42947</v>
      </c>
      <c r="AZ80" s="983"/>
      <c r="BA80" s="983"/>
      <c r="BB80" s="985"/>
      <c r="BC80" s="983"/>
      <c r="BD80" s="986"/>
      <c r="BE80" s="983"/>
      <c r="CF80" s="2"/>
    </row>
    <row r="81" spans="3:84">
      <c r="C81" s="2"/>
      <c r="AD81" s="758" t="s">
        <v>758</v>
      </c>
      <c r="AE81" s="1377">
        <v>40</v>
      </c>
      <c r="AF81" s="758" t="s">
        <v>1446</v>
      </c>
      <c r="AG81" s="758" t="s">
        <v>779</v>
      </c>
      <c r="AH81" s="1375">
        <v>43100</v>
      </c>
      <c r="AI81" s="758" t="s">
        <v>1117</v>
      </c>
      <c r="AJ81" s="758" t="s">
        <v>852</v>
      </c>
      <c r="AL81" s="758" t="s">
        <v>758</v>
      </c>
      <c r="AM81" s="1377">
        <v>2450.54</v>
      </c>
      <c r="AN81" s="758" t="s">
        <v>1195</v>
      </c>
      <c r="AO81" s="758" t="s">
        <v>780</v>
      </c>
      <c r="AP81" s="1375">
        <v>42855</v>
      </c>
      <c r="AQ81" s="758" t="s">
        <v>1183</v>
      </c>
      <c r="AR81" s="758" t="s">
        <v>852</v>
      </c>
      <c r="AT81" s="758" t="s">
        <v>758</v>
      </c>
      <c r="AU81" s="758" t="s">
        <v>901</v>
      </c>
      <c r="AV81" s="1377">
        <v>37.5</v>
      </c>
      <c r="AW81" s="758" t="s">
        <v>1356</v>
      </c>
      <c r="AX81" s="1375">
        <v>43039</v>
      </c>
      <c r="AZ81" s="983"/>
      <c r="BA81" s="983"/>
      <c r="BB81" s="985"/>
      <c r="BC81" s="983"/>
      <c r="BD81" s="986"/>
      <c r="BE81" s="983"/>
      <c r="CF81" s="2"/>
    </row>
    <row r="82" spans="3:84">
      <c r="C82" s="2"/>
      <c r="AD82" s="758" t="s">
        <v>758</v>
      </c>
      <c r="AE82" s="1377">
        <v>209</v>
      </c>
      <c r="AF82" s="758" t="s">
        <v>1447</v>
      </c>
      <c r="AG82" s="758" t="s">
        <v>779</v>
      </c>
      <c r="AH82" s="1375">
        <v>43100</v>
      </c>
      <c r="AI82" s="758" t="s">
        <v>1117</v>
      </c>
      <c r="AJ82" s="758" t="s">
        <v>852</v>
      </c>
      <c r="AL82" s="758" t="s">
        <v>758</v>
      </c>
      <c r="AM82" s="1377">
        <v>2450.54</v>
      </c>
      <c r="AN82" s="758" t="s">
        <v>1195</v>
      </c>
      <c r="AO82" s="758" t="s">
        <v>780</v>
      </c>
      <c r="AP82" s="1375">
        <v>42886</v>
      </c>
      <c r="AQ82" s="758" t="s">
        <v>1183</v>
      </c>
      <c r="AR82" s="758" t="s">
        <v>852</v>
      </c>
      <c r="AT82" s="758" t="s">
        <v>758</v>
      </c>
      <c r="AU82" s="758" t="s">
        <v>901</v>
      </c>
      <c r="AV82" s="1377">
        <v>145.29</v>
      </c>
      <c r="AW82" s="758" t="s">
        <v>1357</v>
      </c>
      <c r="AX82" s="1375">
        <v>42947</v>
      </c>
      <c r="AZ82" s="983"/>
      <c r="BA82" s="983"/>
      <c r="BB82" s="985"/>
      <c r="BC82" s="983"/>
      <c r="BD82" s="986"/>
      <c r="BE82" s="983"/>
      <c r="CF82" s="2"/>
    </row>
    <row r="83" spans="3:84">
      <c r="C83" s="2"/>
      <c r="AD83" s="758" t="s">
        <v>758</v>
      </c>
      <c r="AE83" s="1377">
        <v>179</v>
      </c>
      <c r="AF83" s="758" t="s">
        <v>1448</v>
      </c>
      <c r="AG83" s="758" t="s">
        <v>779</v>
      </c>
      <c r="AH83" s="1375">
        <v>43100</v>
      </c>
      <c r="AI83" s="758" t="s">
        <v>1117</v>
      </c>
      <c r="AJ83" s="758" t="s">
        <v>852</v>
      </c>
      <c r="AL83" s="758" t="s">
        <v>758</v>
      </c>
      <c r="AM83" s="1377">
        <v>2450.54</v>
      </c>
      <c r="AN83" s="758" t="s">
        <v>1195</v>
      </c>
      <c r="AO83" s="758" t="s">
        <v>780</v>
      </c>
      <c r="AP83" s="1375">
        <v>42916</v>
      </c>
      <c r="AQ83" s="758" t="s">
        <v>1183</v>
      </c>
      <c r="AR83" s="758" t="s">
        <v>852</v>
      </c>
      <c r="AT83" s="758" t="s">
        <v>758</v>
      </c>
      <c r="AU83" s="758" t="s">
        <v>901</v>
      </c>
      <c r="AV83" s="1377">
        <v>44.84</v>
      </c>
      <c r="AW83" s="758" t="s">
        <v>1358</v>
      </c>
      <c r="AX83" s="1375">
        <v>43069</v>
      </c>
      <c r="AZ83" s="983"/>
      <c r="BA83" s="983"/>
      <c r="BB83" s="985"/>
      <c r="BC83" s="983"/>
      <c r="BD83" s="986"/>
      <c r="BE83" s="983"/>
      <c r="CF83" s="2"/>
    </row>
    <row r="84" spans="3:84">
      <c r="C84" s="2"/>
      <c r="AD84" s="758" t="s">
        <v>758</v>
      </c>
      <c r="AE84" s="1377">
        <v>248.28</v>
      </c>
      <c r="AF84" s="758" t="s">
        <v>1395</v>
      </c>
      <c r="AG84" s="758" t="s">
        <v>779</v>
      </c>
      <c r="AH84" s="1375">
        <v>42794</v>
      </c>
      <c r="AI84" s="758" t="s">
        <v>1180</v>
      </c>
      <c r="AJ84" s="758" t="s">
        <v>852</v>
      </c>
      <c r="AL84" s="758" t="s">
        <v>758</v>
      </c>
      <c r="AM84" s="1377">
        <v>2450.54</v>
      </c>
      <c r="AN84" s="758" t="s">
        <v>1195</v>
      </c>
      <c r="AO84" s="758" t="s">
        <v>780</v>
      </c>
      <c r="AP84" s="1375">
        <v>42947</v>
      </c>
      <c r="AQ84" s="758" t="s">
        <v>1183</v>
      </c>
      <c r="AR84" s="758" t="s">
        <v>852</v>
      </c>
      <c r="AT84" s="758" t="s">
        <v>758</v>
      </c>
      <c r="AU84" s="758" t="s">
        <v>901</v>
      </c>
      <c r="AV84" s="1377">
        <v>23.75</v>
      </c>
      <c r="AW84" s="758" t="s">
        <v>1359</v>
      </c>
      <c r="AX84" s="1375">
        <v>42794</v>
      </c>
      <c r="AZ84" s="983"/>
      <c r="BA84" s="983"/>
      <c r="BB84" s="985"/>
      <c r="BC84" s="983"/>
      <c r="BD84" s="986"/>
      <c r="BE84" s="983"/>
      <c r="CF84" s="2"/>
    </row>
    <row r="85" spans="3:84">
      <c r="C85" s="2"/>
      <c r="AD85" s="758" t="s">
        <v>758</v>
      </c>
      <c r="AE85" s="1377">
        <v>195</v>
      </c>
      <c r="AF85" s="758" t="s">
        <v>1260</v>
      </c>
      <c r="AG85" s="758" t="s">
        <v>779</v>
      </c>
      <c r="AH85" s="1375">
        <v>42825</v>
      </c>
      <c r="AI85" s="758" t="s">
        <v>1189</v>
      </c>
      <c r="AJ85" s="758" t="s">
        <v>852</v>
      </c>
      <c r="AL85" s="758" t="s">
        <v>758</v>
      </c>
      <c r="AM85" s="1377">
        <v>2450.54</v>
      </c>
      <c r="AN85" s="758" t="s">
        <v>1195</v>
      </c>
      <c r="AO85" s="758" t="s">
        <v>780</v>
      </c>
      <c r="AP85" s="1375">
        <v>42978</v>
      </c>
      <c r="AQ85" s="758" t="s">
        <v>1183</v>
      </c>
      <c r="AR85" s="758" t="s">
        <v>852</v>
      </c>
      <c r="AT85" s="758" t="s">
        <v>758</v>
      </c>
      <c r="AU85" s="758" t="s">
        <v>901</v>
      </c>
      <c r="AV85" s="1377">
        <v>23.38</v>
      </c>
      <c r="AW85" s="758" t="s">
        <v>1360</v>
      </c>
      <c r="AX85" s="1375">
        <v>42855</v>
      </c>
      <c r="AZ85" s="983"/>
      <c r="BA85" s="983"/>
      <c r="BB85" s="985"/>
      <c r="BC85" s="983"/>
      <c r="BD85" s="986"/>
      <c r="BE85" s="983"/>
      <c r="CF85" s="2"/>
    </row>
    <row r="86" spans="3:84">
      <c r="C86" s="2"/>
      <c r="AD86" s="758" t="s">
        <v>758</v>
      </c>
      <c r="AE86" s="1377">
        <v>195</v>
      </c>
      <c r="AF86" s="758" t="s">
        <v>1260</v>
      </c>
      <c r="AG86" s="758" t="s">
        <v>779</v>
      </c>
      <c r="AH86" s="1375">
        <v>43008</v>
      </c>
      <c r="AI86" s="758" t="s">
        <v>1189</v>
      </c>
      <c r="AJ86" s="758" t="s">
        <v>852</v>
      </c>
      <c r="AL86" s="758" t="s">
        <v>758</v>
      </c>
      <c r="AM86" s="1377">
        <v>2450.54</v>
      </c>
      <c r="AN86" s="758" t="s">
        <v>1195</v>
      </c>
      <c r="AO86" s="758" t="s">
        <v>780</v>
      </c>
      <c r="AP86" s="1375">
        <v>43008</v>
      </c>
      <c r="AQ86" s="758" t="s">
        <v>1183</v>
      </c>
      <c r="AR86" s="758" t="s">
        <v>852</v>
      </c>
      <c r="AT86" s="758" t="s">
        <v>758</v>
      </c>
      <c r="AU86" s="758" t="s">
        <v>901</v>
      </c>
      <c r="AV86" s="1377">
        <v>34.049999999999997</v>
      </c>
      <c r="AW86" s="758" t="s">
        <v>1361</v>
      </c>
      <c r="AX86" s="1375">
        <v>43100</v>
      </c>
      <c r="AZ86" s="983"/>
      <c r="BA86" s="983"/>
      <c r="BB86" s="985"/>
      <c r="BC86" s="983"/>
      <c r="BD86" s="986"/>
      <c r="BE86" s="983"/>
      <c r="CF86" s="2"/>
    </row>
    <row r="87" spans="3:84">
      <c r="C87" s="2"/>
      <c r="AD87" s="758" t="s">
        <v>758</v>
      </c>
      <c r="AE87" s="1377">
        <v>125</v>
      </c>
      <c r="AF87" s="758" t="s">
        <v>1449</v>
      </c>
      <c r="AG87" s="758" t="s">
        <v>779</v>
      </c>
      <c r="AH87" s="1375">
        <v>43100</v>
      </c>
      <c r="AI87" s="758" t="s">
        <v>1189</v>
      </c>
      <c r="AJ87" s="758" t="s">
        <v>852</v>
      </c>
      <c r="AL87" s="758" t="s">
        <v>758</v>
      </c>
      <c r="AM87" s="1377">
        <v>2450.54</v>
      </c>
      <c r="AN87" s="758" t="s">
        <v>1195</v>
      </c>
      <c r="AO87" s="758" t="s">
        <v>780</v>
      </c>
      <c r="AP87" s="1375">
        <v>43039</v>
      </c>
      <c r="AQ87" s="758" t="s">
        <v>1183</v>
      </c>
      <c r="AR87" s="758" t="s">
        <v>852</v>
      </c>
      <c r="AT87" s="758" t="s">
        <v>758</v>
      </c>
      <c r="AU87" s="758" t="s">
        <v>901</v>
      </c>
      <c r="AV87" s="1377">
        <v>42.84</v>
      </c>
      <c r="AW87" s="758" t="s">
        <v>1362</v>
      </c>
      <c r="AX87" s="1375">
        <v>43100</v>
      </c>
      <c r="AZ87" s="983"/>
      <c r="BA87" s="983"/>
      <c r="BB87" s="985"/>
      <c r="BC87" s="983"/>
      <c r="BD87" s="986"/>
      <c r="BE87" s="983"/>
      <c r="CF87" s="2"/>
    </row>
    <row r="88" spans="3:84">
      <c r="C88" s="2"/>
      <c r="AD88" s="758" t="s">
        <v>758</v>
      </c>
      <c r="AE88" s="1377">
        <v>250</v>
      </c>
      <c r="AF88" s="758" t="s">
        <v>1450</v>
      </c>
      <c r="AG88" s="758" t="s">
        <v>779</v>
      </c>
      <c r="AH88" s="1375">
        <v>42855</v>
      </c>
      <c r="AI88" s="758" t="s">
        <v>1208</v>
      </c>
      <c r="AJ88" s="758" t="s">
        <v>852</v>
      </c>
      <c r="AL88" s="758" t="s">
        <v>758</v>
      </c>
      <c r="AM88" s="1377">
        <v>2468.66</v>
      </c>
      <c r="AN88" s="758" t="s">
        <v>1195</v>
      </c>
      <c r="AO88" s="758" t="s">
        <v>780</v>
      </c>
      <c r="AP88" s="1375">
        <v>43069</v>
      </c>
      <c r="AQ88" s="758" t="s">
        <v>1183</v>
      </c>
      <c r="AR88" s="758" t="s">
        <v>852</v>
      </c>
      <c r="AT88" s="758" t="s">
        <v>758</v>
      </c>
      <c r="AU88" s="758" t="s">
        <v>901</v>
      </c>
      <c r="AV88" s="1377">
        <v>37</v>
      </c>
      <c r="AW88" s="758" t="s">
        <v>1335</v>
      </c>
      <c r="AX88" s="1375">
        <v>42766</v>
      </c>
      <c r="AZ88" s="983"/>
      <c r="BA88" s="983"/>
      <c r="BB88" s="985"/>
      <c r="BC88" s="983"/>
      <c r="BD88" s="986"/>
      <c r="BE88" s="983"/>
      <c r="CF88" s="2"/>
    </row>
    <row r="89" spans="3:84">
      <c r="C89" s="2"/>
      <c r="AD89" s="758" t="s">
        <v>758</v>
      </c>
      <c r="AE89" s="1377">
        <v>70.010000000000005</v>
      </c>
      <c r="AF89" s="758" t="s">
        <v>1221</v>
      </c>
      <c r="AG89" s="758" t="s">
        <v>779</v>
      </c>
      <c r="AH89" s="1375">
        <v>42825</v>
      </c>
      <c r="AI89" s="758" t="s">
        <v>969</v>
      </c>
      <c r="AJ89" s="758" t="s">
        <v>852</v>
      </c>
      <c r="AL89" s="758" t="s">
        <v>758</v>
      </c>
      <c r="AM89" s="1377">
        <v>2459.58</v>
      </c>
      <c r="AN89" s="758" t="s">
        <v>1195</v>
      </c>
      <c r="AO89" s="758" t="s">
        <v>780</v>
      </c>
      <c r="AP89" s="1375">
        <v>43100</v>
      </c>
      <c r="AQ89" s="758" t="s">
        <v>1183</v>
      </c>
      <c r="AR89" s="758" t="s">
        <v>852</v>
      </c>
      <c r="AT89" s="758" t="s">
        <v>758</v>
      </c>
      <c r="AU89" s="758" t="s">
        <v>901</v>
      </c>
      <c r="AV89" s="1377">
        <v>52.38</v>
      </c>
      <c r="AW89" s="758" t="s">
        <v>1363</v>
      </c>
      <c r="AX89" s="1375">
        <v>43100</v>
      </c>
      <c r="AZ89" s="983"/>
      <c r="BA89" s="983"/>
      <c r="BB89" s="985"/>
      <c r="BC89" s="983"/>
      <c r="BD89" s="986"/>
      <c r="BE89" s="983"/>
      <c r="CF89" s="2"/>
    </row>
    <row r="90" spans="3:84">
      <c r="C90" s="2"/>
      <c r="AD90" s="758" t="s">
        <v>758</v>
      </c>
      <c r="AE90" s="1377">
        <v>675</v>
      </c>
      <c r="AF90" s="758" t="s">
        <v>1384</v>
      </c>
      <c r="AG90" s="758" t="s">
        <v>779</v>
      </c>
      <c r="AH90" s="1375">
        <v>43100</v>
      </c>
      <c r="AI90" s="758" t="s">
        <v>1206</v>
      </c>
      <c r="AJ90" s="758" t="s">
        <v>852</v>
      </c>
      <c r="AL90" s="758" t="s">
        <v>758</v>
      </c>
      <c r="AM90" s="1377">
        <v>3731.2</v>
      </c>
      <c r="AN90" s="758" t="s">
        <v>1405</v>
      </c>
      <c r="AO90" s="758" t="s">
        <v>780</v>
      </c>
      <c r="AP90" s="1375">
        <v>42825</v>
      </c>
      <c r="AQ90" s="758" t="s">
        <v>969</v>
      </c>
      <c r="AR90" s="758" t="s">
        <v>852</v>
      </c>
      <c r="AT90" s="758" t="s">
        <v>758</v>
      </c>
      <c r="AU90" s="758" t="s">
        <v>901</v>
      </c>
      <c r="AV90" s="1377">
        <v>24.03</v>
      </c>
      <c r="AW90" s="758" t="s">
        <v>1364</v>
      </c>
      <c r="AX90" s="1375">
        <v>42886</v>
      </c>
      <c r="AZ90" s="983"/>
      <c r="BA90" s="983"/>
      <c r="BB90" s="985"/>
      <c r="BC90" s="983"/>
      <c r="BD90" s="986"/>
      <c r="BE90" s="983"/>
      <c r="CF90" s="2"/>
    </row>
    <row r="91" spans="3:84">
      <c r="C91" s="2"/>
      <c r="AD91" s="758" t="s">
        <v>758</v>
      </c>
      <c r="AE91" s="1377">
        <v>250</v>
      </c>
      <c r="AF91" s="758" t="s">
        <v>1451</v>
      </c>
      <c r="AG91" s="758" t="s">
        <v>779</v>
      </c>
      <c r="AH91" s="1375">
        <v>42825</v>
      </c>
      <c r="AI91" s="758" t="s">
        <v>1189</v>
      </c>
      <c r="AJ91" s="758" t="s">
        <v>852</v>
      </c>
      <c r="AL91" s="758" t="s">
        <v>758</v>
      </c>
      <c r="AM91" s="1377">
        <v>4.66</v>
      </c>
      <c r="AN91" s="758" t="s">
        <v>1405</v>
      </c>
      <c r="AO91" s="758" t="s">
        <v>780</v>
      </c>
      <c r="AP91" s="1375">
        <v>42825</v>
      </c>
      <c r="AQ91" s="758" t="s">
        <v>1182</v>
      </c>
      <c r="AR91" s="758" t="s">
        <v>852</v>
      </c>
      <c r="AT91" s="758" t="s">
        <v>758</v>
      </c>
      <c r="AU91" s="758" t="s">
        <v>901</v>
      </c>
      <c r="AV91" s="1377">
        <v>5.5</v>
      </c>
      <c r="AW91" s="758" t="s">
        <v>1365</v>
      </c>
      <c r="AX91" s="1375">
        <v>43039</v>
      </c>
      <c r="AZ91" s="983"/>
      <c r="BA91" s="983"/>
      <c r="BB91" s="985"/>
      <c r="BC91" s="983"/>
      <c r="BD91" s="986"/>
      <c r="BE91" s="983"/>
      <c r="CF91" s="2"/>
    </row>
    <row r="92" spans="3:84">
      <c r="C92" s="2"/>
      <c r="AD92" s="758" t="s">
        <v>758</v>
      </c>
      <c r="AE92" s="1377">
        <v>250</v>
      </c>
      <c r="AF92" s="758" t="s">
        <v>1451</v>
      </c>
      <c r="AG92" s="758" t="s">
        <v>779</v>
      </c>
      <c r="AH92" s="1375">
        <v>42855</v>
      </c>
      <c r="AI92" s="758" t="s">
        <v>1189</v>
      </c>
      <c r="AJ92" s="758" t="s">
        <v>852</v>
      </c>
      <c r="AL92" s="758" t="s">
        <v>758</v>
      </c>
      <c r="AM92" s="1377">
        <v>11.2</v>
      </c>
      <c r="AN92" s="758" t="s">
        <v>1405</v>
      </c>
      <c r="AO92" s="758" t="s">
        <v>780</v>
      </c>
      <c r="AP92" s="1375">
        <v>42825</v>
      </c>
      <c r="AQ92" s="758" t="s">
        <v>1205</v>
      </c>
      <c r="AR92" s="758" t="s">
        <v>852</v>
      </c>
      <c r="AT92" s="758" t="s">
        <v>758</v>
      </c>
      <c r="AU92" s="758" t="s">
        <v>901</v>
      </c>
      <c r="AV92" s="1377">
        <v>70.06</v>
      </c>
      <c r="AW92" s="758" t="s">
        <v>1366</v>
      </c>
      <c r="AX92" s="1375">
        <v>42886</v>
      </c>
      <c r="AZ92" s="983"/>
      <c r="BA92" s="983"/>
      <c r="BB92" s="985"/>
      <c r="BC92" s="983"/>
      <c r="BD92" s="986"/>
      <c r="BE92" s="983"/>
      <c r="CF92" s="2"/>
    </row>
    <row r="93" spans="3:84">
      <c r="C93" s="2"/>
      <c r="AD93" s="758" t="s">
        <v>758</v>
      </c>
      <c r="AE93" s="1377">
        <v>210</v>
      </c>
      <c r="AF93" s="758" t="s">
        <v>858</v>
      </c>
      <c r="AG93" s="758" t="s">
        <v>779</v>
      </c>
      <c r="AH93" s="1375">
        <v>42794</v>
      </c>
      <c r="AI93" s="758" t="s">
        <v>1189</v>
      </c>
      <c r="AJ93" s="758" t="s">
        <v>852</v>
      </c>
      <c r="AL93" s="758" t="s">
        <v>758</v>
      </c>
      <c r="AM93" s="1377">
        <v>11.94</v>
      </c>
      <c r="AN93" s="758" t="s">
        <v>1405</v>
      </c>
      <c r="AO93" s="758" t="s">
        <v>780</v>
      </c>
      <c r="AP93" s="1375">
        <v>42825</v>
      </c>
      <c r="AQ93" s="758" t="s">
        <v>1207</v>
      </c>
      <c r="AR93" s="758" t="s">
        <v>852</v>
      </c>
      <c r="AT93" s="758" t="s">
        <v>758</v>
      </c>
      <c r="AU93" s="758" t="s">
        <v>901</v>
      </c>
      <c r="AV93" s="1377">
        <v>30.76</v>
      </c>
      <c r="AW93" s="758" t="s">
        <v>1367</v>
      </c>
      <c r="AX93" s="1375">
        <v>42886</v>
      </c>
      <c r="AZ93" s="983"/>
      <c r="BA93" s="983"/>
      <c r="BB93" s="985"/>
      <c r="BC93" s="983"/>
      <c r="BD93" s="986"/>
      <c r="BE93" s="983"/>
      <c r="CF93" s="2"/>
    </row>
    <row r="94" spans="3:84">
      <c r="C94" s="2"/>
      <c r="AD94" s="758" t="s">
        <v>758</v>
      </c>
      <c r="AE94" s="1377">
        <v>180</v>
      </c>
      <c r="AF94" s="758" t="s">
        <v>858</v>
      </c>
      <c r="AG94" s="758" t="s">
        <v>779</v>
      </c>
      <c r="AH94" s="1375">
        <v>42916</v>
      </c>
      <c r="AI94" s="758" t="s">
        <v>1189</v>
      </c>
      <c r="AJ94" s="758" t="s">
        <v>852</v>
      </c>
      <c r="AL94" s="758" t="s">
        <v>758</v>
      </c>
      <c r="AM94" s="1377">
        <v>13.1</v>
      </c>
      <c r="AN94" s="758" t="s">
        <v>1405</v>
      </c>
      <c r="AO94" s="758" t="s">
        <v>780</v>
      </c>
      <c r="AP94" s="1375">
        <v>42825</v>
      </c>
      <c r="AQ94" s="758" t="s">
        <v>1203</v>
      </c>
      <c r="AR94" s="758" t="s">
        <v>852</v>
      </c>
      <c r="AT94" s="758" t="s">
        <v>758</v>
      </c>
      <c r="AU94" s="758" t="s">
        <v>901</v>
      </c>
      <c r="AV94" s="1377">
        <v>23.31</v>
      </c>
      <c r="AW94" s="758" t="s">
        <v>1368</v>
      </c>
      <c r="AX94" s="1375">
        <v>42886</v>
      </c>
      <c r="AZ94" s="983"/>
      <c r="BA94" s="983"/>
      <c r="BB94" s="985"/>
      <c r="BC94" s="983"/>
      <c r="BD94" s="986"/>
      <c r="BE94" s="983"/>
      <c r="CF94" s="2"/>
    </row>
    <row r="95" spans="3:84">
      <c r="C95" s="2"/>
      <c r="AD95" s="758" t="s">
        <v>758</v>
      </c>
      <c r="AE95" s="1377">
        <v>390</v>
      </c>
      <c r="AF95" s="758" t="s">
        <v>858</v>
      </c>
      <c r="AG95" s="758" t="s">
        <v>779</v>
      </c>
      <c r="AH95" s="1375">
        <v>42978</v>
      </c>
      <c r="AI95" s="758" t="s">
        <v>1189</v>
      </c>
      <c r="AJ95" s="758" t="s">
        <v>852</v>
      </c>
      <c r="AL95" s="758" t="s">
        <v>758</v>
      </c>
      <c r="AM95" s="1377">
        <v>561.46</v>
      </c>
      <c r="AN95" s="758" t="s">
        <v>1405</v>
      </c>
      <c r="AO95" s="758" t="s">
        <v>780</v>
      </c>
      <c r="AP95" s="1375">
        <v>42825</v>
      </c>
      <c r="AQ95" s="758" t="s">
        <v>1117</v>
      </c>
      <c r="AR95" s="758" t="s">
        <v>852</v>
      </c>
      <c r="AT95" s="758" t="s">
        <v>758</v>
      </c>
      <c r="AU95" s="758" t="s">
        <v>901</v>
      </c>
      <c r="AV95" s="1377">
        <v>42.83</v>
      </c>
      <c r="AW95" s="758" t="s">
        <v>1249</v>
      </c>
      <c r="AX95" s="1375">
        <v>42855</v>
      </c>
      <c r="AZ95" s="983"/>
      <c r="BA95" s="983"/>
      <c r="BB95" s="985"/>
      <c r="BC95" s="983"/>
      <c r="BD95" s="986"/>
      <c r="BE95" s="983"/>
      <c r="CF95" s="2"/>
    </row>
    <row r="96" spans="3:84">
      <c r="C96" s="2"/>
      <c r="AD96" s="758" t="s">
        <v>758</v>
      </c>
      <c r="AE96" s="1377">
        <v>180</v>
      </c>
      <c r="AF96" s="758" t="s">
        <v>858</v>
      </c>
      <c r="AG96" s="758" t="s">
        <v>779</v>
      </c>
      <c r="AH96" s="1375">
        <v>43039</v>
      </c>
      <c r="AI96" s="758" t="s">
        <v>1189</v>
      </c>
      <c r="AJ96" s="758" t="s">
        <v>852</v>
      </c>
      <c r="AL96" s="758" t="s">
        <v>758</v>
      </c>
      <c r="AM96" s="1377">
        <v>55.95</v>
      </c>
      <c r="AN96" s="758" t="s">
        <v>1405</v>
      </c>
      <c r="AO96" s="758" t="s">
        <v>780</v>
      </c>
      <c r="AP96" s="1375">
        <v>42825</v>
      </c>
      <c r="AQ96" s="758" t="s">
        <v>1181</v>
      </c>
      <c r="AR96" s="758" t="s">
        <v>852</v>
      </c>
      <c r="AT96" s="758" t="s">
        <v>758</v>
      </c>
      <c r="AU96" s="758" t="s">
        <v>901</v>
      </c>
      <c r="AV96" s="1377">
        <v>49.08</v>
      </c>
      <c r="AW96" s="758" t="s">
        <v>1369</v>
      </c>
      <c r="AX96" s="1375">
        <v>42794</v>
      </c>
      <c r="AZ96" s="983"/>
      <c r="BA96" s="983"/>
      <c r="BB96" s="985"/>
      <c r="BC96" s="983"/>
      <c r="BD96" s="986"/>
      <c r="BE96" s="983"/>
      <c r="CF96" s="2"/>
    </row>
    <row r="97" spans="3:84">
      <c r="C97" s="2"/>
      <c r="AD97" s="758" t="s">
        <v>758</v>
      </c>
      <c r="AE97" s="1377">
        <v>205</v>
      </c>
      <c r="AF97" s="758" t="s">
        <v>1452</v>
      </c>
      <c r="AG97" s="758" t="s">
        <v>779</v>
      </c>
      <c r="AH97" s="1375">
        <v>42766</v>
      </c>
      <c r="AI97" s="758" t="s">
        <v>969</v>
      </c>
      <c r="AJ97" s="758" t="s">
        <v>852</v>
      </c>
      <c r="AL97" s="758" t="s">
        <v>758</v>
      </c>
      <c r="AM97" s="1377">
        <v>53.42</v>
      </c>
      <c r="AN97" s="758" t="s">
        <v>1405</v>
      </c>
      <c r="AO97" s="758" t="s">
        <v>780</v>
      </c>
      <c r="AP97" s="1375">
        <v>42825</v>
      </c>
      <c r="AQ97" s="758" t="s">
        <v>1201</v>
      </c>
      <c r="AR97" s="758" t="s">
        <v>852</v>
      </c>
      <c r="AT97" s="758" t="s">
        <v>758</v>
      </c>
      <c r="AU97" s="758" t="s">
        <v>901</v>
      </c>
      <c r="AV97" s="1377">
        <v>27.1</v>
      </c>
      <c r="AW97" s="758" t="s">
        <v>1370</v>
      </c>
      <c r="AX97" s="1375">
        <v>43069</v>
      </c>
      <c r="AZ97" s="983"/>
      <c r="BA97" s="983"/>
      <c r="BB97" s="985"/>
      <c r="BC97" s="983"/>
      <c r="BD97" s="986"/>
      <c r="BE97" s="983"/>
      <c r="CF97" s="2"/>
    </row>
    <row r="98" spans="3:84">
      <c r="C98" s="2"/>
      <c r="AD98" s="758" t="s">
        <v>758</v>
      </c>
      <c r="AE98" s="1377">
        <v>260</v>
      </c>
      <c r="AF98" s="758" t="s">
        <v>981</v>
      </c>
      <c r="AG98" s="758" t="s">
        <v>779</v>
      </c>
      <c r="AH98" s="1375">
        <v>42794</v>
      </c>
      <c r="AI98" s="758" t="s">
        <v>1201</v>
      </c>
      <c r="AJ98" s="758" t="s">
        <v>852</v>
      </c>
      <c r="AL98" s="758" t="s">
        <v>758</v>
      </c>
      <c r="AM98" s="1377">
        <v>4.2</v>
      </c>
      <c r="AN98" s="758" t="s">
        <v>1405</v>
      </c>
      <c r="AO98" s="758" t="s">
        <v>780</v>
      </c>
      <c r="AP98" s="1375">
        <v>42825</v>
      </c>
      <c r="AQ98" s="758" t="s">
        <v>1406</v>
      </c>
      <c r="AR98" s="758" t="s">
        <v>852</v>
      </c>
      <c r="AT98" s="758" t="s">
        <v>758</v>
      </c>
      <c r="AU98" s="758" t="s">
        <v>901</v>
      </c>
      <c r="AV98" s="1377">
        <v>71.8</v>
      </c>
      <c r="AW98" s="758" t="s">
        <v>1371</v>
      </c>
      <c r="AX98" s="1375">
        <v>43100</v>
      </c>
      <c r="AZ98" s="983"/>
      <c r="BA98" s="983"/>
      <c r="BB98" s="985"/>
      <c r="BC98" s="983"/>
      <c r="BD98" s="986"/>
      <c r="BE98" s="983"/>
      <c r="CF98" s="2"/>
    </row>
    <row r="99" spans="3:84">
      <c r="C99" s="2"/>
      <c r="AD99" s="758" t="s">
        <v>758</v>
      </c>
      <c r="AE99" s="1377">
        <v>445</v>
      </c>
      <c r="AF99" s="758" t="s">
        <v>1453</v>
      </c>
      <c r="AG99" s="758" t="s">
        <v>779</v>
      </c>
      <c r="AH99" s="1375">
        <v>42916</v>
      </c>
      <c r="AI99" s="758" t="s">
        <v>1220</v>
      </c>
      <c r="AJ99" s="758" t="s">
        <v>852</v>
      </c>
      <c r="AL99" s="758" t="s">
        <v>758</v>
      </c>
      <c r="AM99" s="1377">
        <v>21.25</v>
      </c>
      <c r="AN99" s="758" t="s">
        <v>1405</v>
      </c>
      <c r="AO99" s="758" t="s">
        <v>780</v>
      </c>
      <c r="AP99" s="1375">
        <v>42825</v>
      </c>
      <c r="AQ99" s="758" t="s">
        <v>1208</v>
      </c>
      <c r="AR99" s="758" t="s">
        <v>852</v>
      </c>
      <c r="AT99" s="758" t="s">
        <v>758</v>
      </c>
      <c r="AU99" s="758" t="s">
        <v>901</v>
      </c>
      <c r="AV99" s="1377">
        <v>27.21</v>
      </c>
      <c r="AW99" s="758" t="s">
        <v>1372</v>
      </c>
      <c r="AX99" s="1375">
        <v>43069</v>
      </c>
      <c r="AZ99" s="983"/>
      <c r="BA99" s="983"/>
      <c r="BB99" s="985"/>
      <c r="BC99" s="983"/>
      <c r="BD99" s="986"/>
      <c r="BE99" s="983"/>
      <c r="CF99" s="2"/>
    </row>
    <row r="100" spans="3:84">
      <c r="C100" s="2"/>
      <c r="AD100" s="758" t="s">
        <v>758</v>
      </c>
      <c r="AE100" s="1377">
        <v>15</v>
      </c>
      <c r="AF100" s="758" t="s">
        <v>1051</v>
      </c>
      <c r="AG100" s="758" t="s">
        <v>779</v>
      </c>
      <c r="AH100" s="1375">
        <v>42855</v>
      </c>
      <c r="AI100" s="758" t="s">
        <v>1212</v>
      </c>
      <c r="AJ100" s="758" t="s">
        <v>852</v>
      </c>
      <c r="AL100" s="758" t="s">
        <v>758</v>
      </c>
      <c r="AM100" s="1377">
        <v>17.18</v>
      </c>
      <c r="AN100" s="758" t="s">
        <v>1405</v>
      </c>
      <c r="AO100" s="758" t="s">
        <v>780</v>
      </c>
      <c r="AP100" s="1375">
        <v>42825</v>
      </c>
      <c r="AQ100" s="758" t="s">
        <v>1222</v>
      </c>
      <c r="AR100" s="758" t="s">
        <v>852</v>
      </c>
      <c r="AT100" s="758" t="s">
        <v>758</v>
      </c>
      <c r="AU100" s="758" t="s">
        <v>901</v>
      </c>
      <c r="AV100" s="1377">
        <v>37.94</v>
      </c>
      <c r="AW100" s="758" t="s">
        <v>1373</v>
      </c>
      <c r="AX100" s="1375">
        <v>42766</v>
      </c>
      <c r="AZ100" s="983"/>
      <c r="BA100" s="983"/>
      <c r="BB100" s="985"/>
      <c r="BC100" s="983"/>
      <c r="BD100" s="986"/>
      <c r="BE100" s="983"/>
      <c r="CF100" s="2"/>
    </row>
    <row r="101" spans="3:84">
      <c r="C101" s="2"/>
      <c r="AD101" s="758" t="s">
        <v>758</v>
      </c>
      <c r="AE101" s="1377">
        <v>4176.67</v>
      </c>
      <c r="AF101" s="758" t="s">
        <v>1454</v>
      </c>
      <c r="AG101" s="758" t="s">
        <v>779</v>
      </c>
      <c r="AH101" s="1375">
        <v>42916</v>
      </c>
      <c r="AI101" s="758" t="s">
        <v>1226</v>
      </c>
      <c r="AJ101" s="758" t="s">
        <v>852</v>
      </c>
      <c r="AL101" s="758" t="s">
        <v>758</v>
      </c>
      <c r="AM101" s="1377">
        <v>97.41</v>
      </c>
      <c r="AN101" s="758" t="s">
        <v>1405</v>
      </c>
      <c r="AO101" s="758" t="s">
        <v>780</v>
      </c>
      <c r="AP101" s="1375">
        <v>42825</v>
      </c>
      <c r="AQ101" s="758" t="s">
        <v>1189</v>
      </c>
      <c r="AR101" s="758" t="s">
        <v>852</v>
      </c>
      <c r="AT101" s="758" t="s">
        <v>758</v>
      </c>
      <c r="AU101" s="758" t="s">
        <v>901</v>
      </c>
      <c r="AV101" s="1377">
        <v>7.55</v>
      </c>
      <c r="AW101" s="758" t="s">
        <v>1374</v>
      </c>
      <c r="AX101" s="1375">
        <v>42855</v>
      </c>
      <c r="AZ101" s="983"/>
      <c r="BA101" s="983"/>
      <c r="BB101" s="985"/>
      <c r="BC101" s="983"/>
      <c r="BD101" s="986"/>
      <c r="BE101" s="983"/>
      <c r="CF101" s="2"/>
    </row>
    <row r="102" spans="3:84">
      <c r="C102" s="2"/>
      <c r="AD102" s="758" t="s">
        <v>758</v>
      </c>
      <c r="AE102" s="1377">
        <v>4176.71</v>
      </c>
      <c r="AF102" s="758" t="s">
        <v>1454</v>
      </c>
      <c r="AG102" s="758" t="s">
        <v>779</v>
      </c>
      <c r="AH102" s="1375">
        <v>42947</v>
      </c>
      <c r="AI102" s="758" t="s">
        <v>1226</v>
      </c>
      <c r="AJ102" s="758" t="s">
        <v>852</v>
      </c>
      <c r="AL102" s="758" t="s">
        <v>758</v>
      </c>
      <c r="AM102" s="1377">
        <v>11.33</v>
      </c>
      <c r="AN102" s="758" t="s">
        <v>1405</v>
      </c>
      <c r="AO102" s="758" t="s">
        <v>780</v>
      </c>
      <c r="AP102" s="1375">
        <v>42825</v>
      </c>
      <c r="AQ102" s="758" t="s">
        <v>1166</v>
      </c>
      <c r="AR102" s="758" t="s">
        <v>852</v>
      </c>
      <c r="AT102" s="758" t="s">
        <v>758</v>
      </c>
      <c r="AU102" s="758" t="s">
        <v>901</v>
      </c>
      <c r="AV102" s="1377">
        <v>22.8</v>
      </c>
      <c r="AW102" s="758" t="s">
        <v>1375</v>
      </c>
      <c r="AX102" s="1375">
        <v>42886</v>
      </c>
      <c r="AZ102" s="983"/>
      <c r="BA102" s="983"/>
      <c r="BB102" s="985"/>
      <c r="BC102" s="983"/>
      <c r="BD102" s="986"/>
      <c r="BE102" s="983"/>
      <c r="CF102" s="2"/>
    </row>
    <row r="103" spans="3:84">
      <c r="C103" s="2"/>
      <c r="AD103" s="758" t="s">
        <v>758</v>
      </c>
      <c r="AE103" s="1377">
        <v>90</v>
      </c>
      <c r="AF103" s="758" t="s">
        <v>1455</v>
      </c>
      <c r="AG103" s="758" t="s">
        <v>779</v>
      </c>
      <c r="AH103" s="1375">
        <v>42794</v>
      </c>
      <c r="AI103" s="758" t="s">
        <v>1117</v>
      </c>
      <c r="AJ103" s="758" t="s">
        <v>852</v>
      </c>
      <c r="AL103" s="758" t="s">
        <v>758</v>
      </c>
      <c r="AM103" s="1377">
        <v>-1667.07</v>
      </c>
      <c r="AN103" s="758" t="s">
        <v>1405</v>
      </c>
      <c r="AO103" s="758" t="s">
        <v>780</v>
      </c>
      <c r="AP103" s="1375">
        <v>42886</v>
      </c>
      <c r="AQ103" s="758" t="s">
        <v>969</v>
      </c>
      <c r="AR103" s="758" t="s">
        <v>852</v>
      </c>
      <c r="AT103" s="758" t="s">
        <v>758</v>
      </c>
      <c r="AU103" s="758" t="s">
        <v>901</v>
      </c>
      <c r="AV103" s="1377">
        <v>3.04</v>
      </c>
      <c r="AW103" s="758" t="s">
        <v>1376</v>
      </c>
      <c r="AX103" s="1375">
        <v>43039</v>
      </c>
      <c r="AZ103" s="983"/>
      <c r="BA103" s="983"/>
      <c r="BB103" s="985"/>
      <c r="BC103" s="983"/>
      <c r="BD103" s="986"/>
      <c r="BE103" s="983"/>
      <c r="CF103" s="2"/>
    </row>
    <row r="104" spans="3:84">
      <c r="C104" s="2"/>
      <c r="AD104" s="758" t="s">
        <v>758</v>
      </c>
      <c r="AE104" s="1377">
        <v>199</v>
      </c>
      <c r="AF104" s="758" t="s">
        <v>1455</v>
      </c>
      <c r="AG104" s="758" t="s">
        <v>779</v>
      </c>
      <c r="AH104" s="1375">
        <v>42825</v>
      </c>
      <c r="AI104" s="758" t="s">
        <v>1117</v>
      </c>
      <c r="AJ104" s="758" t="s">
        <v>852</v>
      </c>
      <c r="AL104" s="758" t="s">
        <v>758</v>
      </c>
      <c r="AM104" s="1377">
        <v>240.3</v>
      </c>
      <c r="AN104" s="758" t="s">
        <v>1405</v>
      </c>
      <c r="AO104" s="758" t="s">
        <v>780</v>
      </c>
      <c r="AP104" s="1375">
        <v>42886</v>
      </c>
      <c r="AQ104" s="758" t="s">
        <v>1182</v>
      </c>
      <c r="AR104" s="758" t="s">
        <v>852</v>
      </c>
      <c r="AT104" s="758" t="s">
        <v>758</v>
      </c>
      <c r="AU104" s="758" t="s">
        <v>901</v>
      </c>
      <c r="AV104" s="1377">
        <v>27.88</v>
      </c>
      <c r="AW104" s="758" t="s">
        <v>1377</v>
      </c>
      <c r="AX104" s="1375">
        <v>43100</v>
      </c>
      <c r="AZ104" s="983"/>
      <c r="BA104" s="983"/>
      <c r="BB104" s="985"/>
      <c r="BC104" s="983"/>
      <c r="BD104" s="986"/>
      <c r="BE104" s="983"/>
      <c r="CF104" s="2"/>
    </row>
    <row r="105" spans="3:84">
      <c r="C105" s="2"/>
      <c r="AD105" s="758" t="s">
        <v>758</v>
      </c>
      <c r="AE105" s="1377">
        <v>995</v>
      </c>
      <c r="AF105" s="758" t="s">
        <v>1456</v>
      </c>
      <c r="AG105" s="758" t="s">
        <v>779</v>
      </c>
      <c r="AH105" s="1375">
        <v>43008</v>
      </c>
      <c r="AI105" s="758" t="s">
        <v>1181</v>
      </c>
      <c r="AJ105" s="758" t="s">
        <v>852</v>
      </c>
      <c r="AL105" s="758" t="s">
        <v>758</v>
      </c>
      <c r="AM105" s="1377">
        <v>-11.2</v>
      </c>
      <c r="AN105" s="758" t="s">
        <v>1405</v>
      </c>
      <c r="AO105" s="758" t="s">
        <v>780</v>
      </c>
      <c r="AP105" s="1375">
        <v>42886</v>
      </c>
      <c r="AQ105" s="758" t="s">
        <v>1205</v>
      </c>
      <c r="AR105" s="758" t="s">
        <v>852</v>
      </c>
      <c r="AT105" s="758" t="s">
        <v>758</v>
      </c>
      <c r="AU105" s="758" t="s">
        <v>901</v>
      </c>
      <c r="AV105" s="1377">
        <v>45.18</v>
      </c>
      <c r="AW105" s="758" t="s">
        <v>1378</v>
      </c>
      <c r="AX105" s="1375">
        <v>43100</v>
      </c>
      <c r="AZ105" s="983"/>
      <c r="BA105" s="983"/>
      <c r="BB105" s="985"/>
      <c r="BC105" s="983"/>
      <c r="BD105" s="986"/>
      <c r="BE105" s="983"/>
      <c r="CF105" s="2"/>
    </row>
    <row r="106" spans="3:84">
      <c r="C106" s="2"/>
      <c r="AD106" s="758" t="s">
        <v>758</v>
      </c>
      <c r="AE106" s="1377">
        <v>2810</v>
      </c>
      <c r="AF106" s="758" t="s">
        <v>1284</v>
      </c>
      <c r="AG106" s="758" t="s">
        <v>779</v>
      </c>
      <c r="AH106" s="1375">
        <v>42855</v>
      </c>
      <c r="AI106" s="758" t="s">
        <v>1212</v>
      </c>
      <c r="AJ106" s="758" t="s">
        <v>852</v>
      </c>
      <c r="AL106" s="758" t="s">
        <v>758</v>
      </c>
      <c r="AM106" s="1377">
        <v>-11.94</v>
      </c>
      <c r="AN106" s="758" t="s">
        <v>1405</v>
      </c>
      <c r="AO106" s="758" t="s">
        <v>780</v>
      </c>
      <c r="AP106" s="1375">
        <v>42886</v>
      </c>
      <c r="AQ106" s="758" t="s">
        <v>1207</v>
      </c>
      <c r="AR106" s="758" t="s">
        <v>852</v>
      </c>
      <c r="AT106" s="758" t="s">
        <v>758</v>
      </c>
      <c r="AU106" s="758" t="s">
        <v>901</v>
      </c>
      <c r="AV106" s="1377">
        <v>24.86</v>
      </c>
      <c r="AW106" s="758" t="s">
        <v>1379</v>
      </c>
      <c r="AX106" s="1375">
        <v>42794</v>
      </c>
      <c r="AZ106" s="983"/>
      <c r="BA106" s="983"/>
      <c r="BB106" s="985"/>
      <c r="BC106" s="983"/>
      <c r="BD106" s="986"/>
      <c r="BE106" s="983"/>
      <c r="CF106" s="2"/>
    </row>
    <row r="107" spans="3:84">
      <c r="C107" s="2"/>
      <c r="AD107" s="758" t="s">
        <v>758</v>
      </c>
      <c r="AE107" s="1377">
        <v>0</v>
      </c>
      <c r="AF107" s="758" t="s">
        <v>1129</v>
      </c>
      <c r="AG107" s="758" t="s">
        <v>779</v>
      </c>
      <c r="AH107" s="1375">
        <v>43100</v>
      </c>
      <c r="AI107" s="758" t="s">
        <v>1218</v>
      </c>
      <c r="AJ107" s="758" t="s">
        <v>852</v>
      </c>
      <c r="AL107" s="758" t="s">
        <v>758</v>
      </c>
      <c r="AM107" s="1377">
        <v>-13.1</v>
      </c>
      <c r="AN107" s="758" t="s">
        <v>1405</v>
      </c>
      <c r="AO107" s="758" t="s">
        <v>780</v>
      </c>
      <c r="AP107" s="1375">
        <v>42886</v>
      </c>
      <c r="AQ107" s="758" t="s">
        <v>1203</v>
      </c>
      <c r="AR107" s="758" t="s">
        <v>852</v>
      </c>
      <c r="AT107" s="758" t="s">
        <v>758</v>
      </c>
      <c r="AU107" s="758" t="s">
        <v>852</v>
      </c>
      <c r="AV107" s="1377">
        <v>65</v>
      </c>
      <c r="AW107" s="758" t="s">
        <v>988</v>
      </c>
      <c r="AX107" s="1375">
        <v>42766</v>
      </c>
      <c r="AZ107" s="983"/>
      <c r="BA107" s="983"/>
      <c r="BB107" s="985"/>
      <c r="BC107" s="983"/>
      <c r="BD107" s="986"/>
      <c r="BE107" s="983"/>
      <c r="CF107" s="2"/>
    </row>
    <row r="108" spans="3:84">
      <c r="C108" s="2"/>
      <c r="AD108" s="758" t="s">
        <v>758</v>
      </c>
      <c r="AE108" s="1377">
        <v>300</v>
      </c>
      <c r="AF108" s="758" t="s">
        <v>1119</v>
      </c>
      <c r="AG108" s="758" t="s">
        <v>779</v>
      </c>
      <c r="AH108" s="1375">
        <v>42947</v>
      </c>
      <c r="AI108" s="758" t="s">
        <v>1211</v>
      </c>
      <c r="AJ108" s="758" t="s">
        <v>852</v>
      </c>
      <c r="AL108" s="758" t="s">
        <v>758</v>
      </c>
      <c r="AM108" s="1377">
        <v>-1172.0999999999999</v>
      </c>
      <c r="AN108" s="758" t="s">
        <v>1405</v>
      </c>
      <c r="AO108" s="758" t="s">
        <v>780</v>
      </c>
      <c r="AP108" s="1375">
        <v>42886</v>
      </c>
      <c r="AQ108" s="758" t="s">
        <v>1117</v>
      </c>
      <c r="AR108" s="758" t="s">
        <v>852</v>
      </c>
      <c r="AT108" s="758" t="s">
        <v>758</v>
      </c>
      <c r="AU108" s="758" t="s">
        <v>852</v>
      </c>
      <c r="AV108" s="1377">
        <v>300</v>
      </c>
      <c r="AW108" s="758" t="s">
        <v>1119</v>
      </c>
      <c r="AX108" s="1375">
        <v>42947</v>
      </c>
      <c r="AZ108" s="983"/>
      <c r="BA108" s="983"/>
      <c r="BB108" s="985"/>
      <c r="BC108" s="983"/>
      <c r="BD108" s="986"/>
      <c r="BE108" s="983"/>
      <c r="CF108" s="2"/>
    </row>
    <row r="109" spans="3:84">
      <c r="C109" s="2"/>
      <c r="AD109" s="758" t="s">
        <v>758</v>
      </c>
      <c r="AE109" s="1377">
        <v>0</v>
      </c>
      <c r="AF109" s="758" t="s">
        <v>1261</v>
      </c>
      <c r="AG109" s="758" t="s">
        <v>779</v>
      </c>
      <c r="AH109" s="1375">
        <v>42794</v>
      </c>
      <c r="AI109" s="758" t="s">
        <v>1189</v>
      </c>
      <c r="AJ109" s="758" t="s">
        <v>852</v>
      </c>
      <c r="AL109" s="758" t="s">
        <v>758</v>
      </c>
      <c r="AM109" s="1377">
        <v>-55.95</v>
      </c>
      <c r="AN109" s="758" t="s">
        <v>1405</v>
      </c>
      <c r="AO109" s="758" t="s">
        <v>780</v>
      </c>
      <c r="AP109" s="1375">
        <v>42886</v>
      </c>
      <c r="AQ109" s="758" t="s">
        <v>1181</v>
      </c>
      <c r="AR109" s="758" t="s">
        <v>852</v>
      </c>
      <c r="AT109" s="758" t="s">
        <v>758</v>
      </c>
      <c r="AU109" s="758" t="s">
        <v>852</v>
      </c>
      <c r="AV109" s="1377">
        <v>19360</v>
      </c>
      <c r="AW109" s="758" t="s">
        <v>857</v>
      </c>
      <c r="AX109" s="1375">
        <v>42766</v>
      </c>
      <c r="AZ109" s="983"/>
      <c r="BA109" s="983"/>
      <c r="BB109" s="985"/>
      <c r="BC109" s="983"/>
      <c r="BD109" s="986"/>
      <c r="BE109" s="983"/>
      <c r="CF109" s="2"/>
    </row>
    <row r="110" spans="3:84">
      <c r="C110" s="2"/>
      <c r="AD110" s="758" t="s">
        <v>758</v>
      </c>
      <c r="AE110" s="1377">
        <v>0</v>
      </c>
      <c r="AF110" s="758" t="s">
        <v>1457</v>
      </c>
      <c r="AG110" s="758" t="s">
        <v>779</v>
      </c>
      <c r="AH110" s="1375">
        <v>42794</v>
      </c>
      <c r="AI110" s="758" t="s">
        <v>1210</v>
      </c>
      <c r="AJ110" s="758" t="s">
        <v>852</v>
      </c>
      <c r="AL110" s="758" t="s">
        <v>758</v>
      </c>
      <c r="AM110" s="1377">
        <v>-53.42</v>
      </c>
      <c r="AN110" s="758" t="s">
        <v>1405</v>
      </c>
      <c r="AO110" s="758" t="s">
        <v>780</v>
      </c>
      <c r="AP110" s="1375">
        <v>42886</v>
      </c>
      <c r="AQ110" s="758" t="s">
        <v>1201</v>
      </c>
      <c r="AR110" s="758" t="s">
        <v>852</v>
      </c>
      <c r="AT110" s="758" t="s">
        <v>758</v>
      </c>
      <c r="AU110" s="758" t="s">
        <v>852</v>
      </c>
      <c r="AV110" s="1377">
        <v>7061.64</v>
      </c>
      <c r="AW110" s="758" t="s">
        <v>1250</v>
      </c>
      <c r="AX110" s="1375">
        <v>42766</v>
      </c>
      <c r="AZ110" s="983"/>
      <c r="BA110" s="983"/>
      <c r="BB110" s="985"/>
      <c r="BC110" s="983"/>
      <c r="BD110" s="986"/>
      <c r="BE110" s="983"/>
      <c r="CF110" s="2"/>
    </row>
    <row r="111" spans="3:84">
      <c r="C111" s="2"/>
      <c r="AD111" s="758" t="s">
        <v>758</v>
      </c>
      <c r="AE111" s="1377">
        <v>2064.46</v>
      </c>
      <c r="AF111" s="758" t="s">
        <v>1458</v>
      </c>
      <c r="AG111" s="758" t="s">
        <v>779</v>
      </c>
      <c r="AH111" s="1375">
        <v>42794</v>
      </c>
      <c r="AI111" s="758" t="s">
        <v>1210</v>
      </c>
      <c r="AJ111" s="758" t="s">
        <v>852</v>
      </c>
      <c r="AL111" s="758" t="s">
        <v>758</v>
      </c>
      <c r="AM111" s="1377">
        <v>-4.2</v>
      </c>
      <c r="AN111" s="758" t="s">
        <v>1405</v>
      </c>
      <c r="AO111" s="758" t="s">
        <v>780</v>
      </c>
      <c r="AP111" s="1375">
        <v>42886</v>
      </c>
      <c r="AQ111" s="758" t="s">
        <v>1406</v>
      </c>
      <c r="AR111" s="758" t="s">
        <v>852</v>
      </c>
      <c r="AT111" s="758" t="s">
        <v>758</v>
      </c>
      <c r="AU111" s="758" t="s">
        <v>852</v>
      </c>
      <c r="AV111" s="1377">
        <v>-25000.48</v>
      </c>
      <c r="AW111" s="758" t="s">
        <v>1380</v>
      </c>
      <c r="AX111" s="1375">
        <v>42766</v>
      </c>
      <c r="AZ111" s="983"/>
      <c r="BA111" s="983"/>
      <c r="BB111" s="985"/>
      <c r="BC111" s="983"/>
      <c r="BD111" s="986"/>
      <c r="BE111" s="983"/>
      <c r="CF111" s="2"/>
    </row>
    <row r="112" spans="3:84">
      <c r="C112" s="2"/>
      <c r="AD112" s="758" t="s">
        <v>758</v>
      </c>
      <c r="AE112" s="1377">
        <v>1032.26</v>
      </c>
      <c r="AF112" s="758" t="s">
        <v>1458</v>
      </c>
      <c r="AG112" s="758" t="s">
        <v>779</v>
      </c>
      <c r="AH112" s="1375">
        <v>42825</v>
      </c>
      <c r="AI112" s="758" t="s">
        <v>1210</v>
      </c>
      <c r="AJ112" s="758" t="s">
        <v>852</v>
      </c>
      <c r="AL112" s="758" t="s">
        <v>758</v>
      </c>
      <c r="AM112" s="1377">
        <v>-21.25</v>
      </c>
      <c r="AN112" s="758" t="s">
        <v>1405</v>
      </c>
      <c r="AO112" s="758" t="s">
        <v>780</v>
      </c>
      <c r="AP112" s="1375">
        <v>42886</v>
      </c>
      <c r="AQ112" s="758" t="s">
        <v>1208</v>
      </c>
      <c r="AR112" s="758" t="s">
        <v>852</v>
      </c>
      <c r="AT112" s="758" t="s">
        <v>759</v>
      </c>
      <c r="AU112" s="758" t="s">
        <v>1251</v>
      </c>
      <c r="AV112" s="1377">
        <v>0</v>
      </c>
      <c r="AW112" s="758" t="s">
        <v>1381</v>
      </c>
      <c r="AX112" s="1375">
        <v>42794</v>
      </c>
      <c r="AZ112" s="983"/>
      <c r="BA112" s="983"/>
      <c r="BB112" s="985"/>
      <c r="BC112" s="983"/>
      <c r="BD112" s="986"/>
      <c r="BE112" s="983"/>
      <c r="CF112" s="2"/>
    </row>
    <row r="113" spans="3:84">
      <c r="C113" s="2"/>
      <c r="AD113" s="758" t="s">
        <v>758</v>
      </c>
      <c r="AE113" s="1377">
        <v>1032.26</v>
      </c>
      <c r="AF113" s="758" t="s">
        <v>1458</v>
      </c>
      <c r="AG113" s="758" t="s">
        <v>779</v>
      </c>
      <c r="AH113" s="1375">
        <v>42855</v>
      </c>
      <c r="AI113" s="758" t="s">
        <v>1210</v>
      </c>
      <c r="AJ113" s="758" t="s">
        <v>852</v>
      </c>
      <c r="AL113" s="758" t="s">
        <v>758</v>
      </c>
      <c r="AM113" s="1377">
        <v>-17.18</v>
      </c>
      <c r="AN113" s="758" t="s">
        <v>1405</v>
      </c>
      <c r="AO113" s="758" t="s">
        <v>780</v>
      </c>
      <c r="AP113" s="1375">
        <v>42886</v>
      </c>
      <c r="AQ113" s="758" t="s">
        <v>1222</v>
      </c>
      <c r="AR113" s="758" t="s">
        <v>852</v>
      </c>
      <c r="AT113" s="758" t="s">
        <v>759</v>
      </c>
      <c r="AU113" s="758" t="s">
        <v>1251</v>
      </c>
      <c r="AV113" s="1377">
        <v>1800</v>
      </c>
      <c r="AW113" s="758" t="s">
        <v>1252</v>
      </c>
      <c r="AX113" s="1375">
        <v>42766</v>
      </c>
      <c r="AZ113" s="983"/>
      <c r="BA113" s="983"/>
      <c r="BB113" s="985"/>
      <c r="BC113" s="983"/>
      <c r="BD113" s="986"/>
      <c r="BE113" s="983"/>
      <c r="CF113" s="2"/>
    </row>
    <row r="114" spans="3:84">
      <c r="C114" s="2"/>
      <c r="AD114" s="758" t="s">
        <v>758</v>
      </c>
      <c r="AE114" s="1377">
        <v>1032.26</v>
      </c>
      <c r="AF114" s="758" t="s">
        <v>1458</v>
      </c>
      <c r="AG114" s="758" t="s">
        <v>779</v>
      </c>
      <c r="AH114" s="1375">
        <v>42886</v>
      </c>
      <c r="AI114" s="758" t="s">
        <v>1210</v>
      </c>
      <c r="AJ114" s="758" t="s">
        <v>852</v>
      </c>
      <c r="AL114" s="758" t="s">
        <v>758</v>
      </c>
      <c r="AM114" s="1377">
        <v>338.7</v>
      </c>
      <c r="AN114" s="758" t="s">
        <v>1405</v>
      </c>
      <c r="AO114" s="758" t="s">
        <v>780</v>
      </c>
      <c r="AP114" s="1375">
        <v>42886</v>
      </c>
      <c r="AQ114" s="758" t="s">
        <v>1189</v>
      </c>
      <c r="AR114" s="758" t="s">
        <v>852</v>
      </c>
      <c r="AT114" s="758" t="s">
        <v>759</v>
      </c>
      <c r="AU114" s="758" t="s">
        <v>1251</v>
      </c>
      <c r="AV114" s="1377">
        <v>1800</v>
      </c>
      <c r="AW114" s="758" t="s">
        <v>1252</v>
      </c>
      <c r="AX114" s="1375">
        <v>42794</v>
      </c>
      <c r="AZ114" s="983"/>
      <c r="BA114" s="983"/>
      <c r="BB114" s="985"/>
      <c r="BC114" s="983"/>
      <c r="BD114" s="986"/>
      <c r="BE114" s="983"/>
      <c r="CF114" s="2"/>
    </row>
    <row r="115" spans="3:84">
      <c r="C115" s="2"/>
      <c r="AD115" s="758" t="s">
        <v>758</v>
      </c>
      <c r="AE115" s="1377">
        <v>1032.26</v>
      </c>
      <c r="AF115" s="758" t="s">
        <v>1458</v>
      </c>
      <c r="AG115" s="758" t="s">
        <v>779</v>
      </c>
      <c r="AH115" s="1375">
        <v>42916</v>
      </c>
      <c r="AI115" s="758" t="s">
        <v>1210</v>
      </c>
      <c r="AJ115" s="758" t="s">
        <v>852</v>
      </c>
      <c r="AL115" s="758" t="s">
        <v>758</v>
      </c>
      <c r="AM115" s="1377">
        <v>-11.33</v>
      </c>
      <c r="AN115" s="758" t="s">
        <v>1405</v>
      </c>
      <c r="AO115" s="758" t="s">
        <v>780</v>
      </c>
      <c r="AP115" s="1375">
        <v>42886</v>
      </c>
      <c r="AQ115" s="758" t="s">
        <v>1166</v>
      </c>
      <c r="AR115" s="758" t="s">
        <v>852</v>
      </c>
      <c r="AT115" s="758" t="s">
        <v>759</v>
      </c>
      <c r="AU115" s="758" t="s">
        <v>1251</v>
      </c>
      <c r="AV115" s="1377">
        <v>1800</v>
      </c>
      <c r="AW115" s="758" t="s">
        <v>1252</v>
      </c>
      <c r="AX115" s="1375">
        <v>42825</v>
      </c>
      <c r="AZ115" s="983"/>
      <c r="BA115" s="983"/>
      <c r="BB115" s="985"/>
      <c r="BC115" s="983"/>
      <c r="BD115" s="986"/>
      <c r="BE115" s="983"/>
      <c r="CF115" s="2"/>
    </row>
    <row r="116" spans="3:84">
      <c r="C116" s="2"/>
      <c r="AD116" s="758" t="s">
        <v>758</v>
      </c>
      <c r="AE116" s="1377">
        <v>1032.26</v>
      </c>
      <c r="AF116" s="758" t="s">
        <v>1458</v>
      </c>
      <c r="AG116" s="758" t="s">
        <v>779</v>
      </c>
      <c r="AH116" s="1375">
        <v>42947</v>
      </c>
      <c r="AI116" s="758" t="s">
        <v>1210</v>
      </c>
      <c r="AJ116" s="758" t="s">
        <v>852</v>
      </c>
      <c r="AL116" s="758" t="s">
        <v>758</v>
      </c>
      <c r="AM116" s="1377">
        <v>-2064.13</v>
      </c>
      <c r="AN116" s="758" t="s">
        <v>1405</v>
      </c>
      <c r="AO116" s="758" t="s">
        <v>780</v>
      </c>
      <c r="AP116" s="1375">
        <v>43100</v>
      </c>
      <c r="AQ116" s="758" t="s">
        <v>969</v>
      </c>
      <c r="AR116" s="758" t="s">
        <v>852</v>
      </c>
      <c r="AT116" s="758" t="s">
        <v>759</v>
      </c>
      <c r="AU116" s="758" t="s">
        <v>1251</v>
      </c>
      <c r="AV116" s="1377">
        <v>1800</v>
      </c>
      <c r="AW116" s="758" t="s">
        <v>1252</v>
      </c>
      <c r="AX116" s="1375">
        <v>42855</v>
      </c>
      <c r="AZ116" s="983"/>
      <c r="BA116" s="983"/>
      <c r="BB116" s="985"/>
      <c r="BC116" s="983"/>
      <c r="BD116" s="986"/>
      <c r="BE116" s="983"/>
      <c r="CF116" s="2"/>
    </row>
    <row r="117" spans="3:84">
      <c r="C117" s="2"/>
      <c r="AD117" s="758" t="s">
        <v>758</v>
      </c>
      <c r="AE117" s="1377">
        <v>1032.26</v>
      </c>
      <c r="AF117" s="758" t="s">
        <v>1458</v>
      </c>
      <c r="AG117" s="758" t="s">
        <v>779</v>
      </c>
      <c r="AH117" s="1375">
        <v>42978</v>
      </c>
      <c r="AI117" s="758" t="s">
        <v>1210</v>
      </c>
      <c r="AJ117" s="758" t="s">
        <v>852</v>
      </c>
      <c r="AL117" s="758" t="s">
        <v>758</v>
      </c>
      <c r="AM117" s="1377">
        <v>-244.96</v>
      </c>
      <c r="AN117" s="758" t="s">
        <v>1405</v>
      </c>
      <c r="AO117" s="758" t="s">
        <v>780</v>
      </c>
      <c r="AP117" s="1375">
        <v>43100</v>
      </c>
      <c r="AQ117" s="758" t="s">
        <v>1182</v>
      </c>
      <c r="AR117" s="758" t="s">
        <v>852</v>
      </c>
      <c r="AT117" s="758" t="s">
        <v>759</v>
      </c>
      <c r="AU117" s="758" t="s">
        <v>1251</v>
      </c>
      <c r="AV117" s="1377">
        <v>1800</v>
      </c>
      <c r="AW117" s="758" t="s">
        <v>1252</v>
      </c>
      <c r="AX117" s="1375">
        <v>42886</v>
      </c>
      <c r="AZ117" s="983"/>
      <c r="BA117" s="983"/>
      <c r="BB117" s="985"/>
      <c r="BC117" s="983"/>
      <c r="BD117" s="986"/>
      <c r="BE117" s="983"/>
      <c r="CF117" s="2"/>
    </row>
    <row r="118" spans="3:84">
      <c r="C118" s="2"/>
      <c r="AD118" s="758" t="s">
        <v>758</v>
      </c>
      <c r="AE118" s="1377">
        <v>1032.26</v>
      </c>
      <c r="AF118" s="758" t="s">
        <v>1458</v>
      </c>
      <c r="AG118" s="758" t="s">
        <v>779</v>
      </c>
      <c r="AH118" s="1375">
        <v>43008</v>
      </c>
      <c r="AI118" s="758" t="s">
        <v>1210</v>
      </c>
      <c r="AJ118" s="758" t="s">
        <v>852</v>
      </c>
      <c r="AL118" s="758" t="s">
        <v>758</v>
      </c>
      <c r="AM118" s="1377">
        <v>610.64</v>
      </c>
      <c r="AN118" s="758" t="s">
        <v>1405</v>
      </c>
      <c r="AO118" s="758" t="s">
        <v>780</v>
      </c>
      <c r="AP118" s="1375">
        <v>43100</v>
      </c>
      <c r="AQ118" s="758" t="s">
        <v>1117</v>
      </c>
      <c r="AR118" s="758" t="s">
        <v>852</v>
      </c>
      <c r="AT118" s="758" t="s">
        <v>759</v>
      </c>
      <c r="AU118" s="758" t="s">
        <v>1251</v>
      </c>
      <c r="AV118" s="1377">
        <v>1800</v>
      </c>
      <c r="AW118" s="758" t="s">
        <v>1252</v>
      </c>
      <c r="AX118" s="1375">
        <v>42916</v>
      </c>
      <c r="AZ118" s="983"/>
      <c r="BA118" s="983"/>
      <c r="BB118" s="985"/>
      <c r="BC118" s="983"/>
      <c r="BD118" s="986"/>
      <c r="BE118" s="983"/>
      <c r="CF118" s="2"/>
    </row>
    <row r="119" spans="3:84">
      <c r="C119" s="2"/>
      <c r="AD119" s="758" t="s">
        <v>758</v>
      </c>
      <c r="AE119" s="1377">
        <v>1032.26</v>
      </c>
      <c r="AF119" s="758" t="s">
        <v>1458</v>
      </c>
      <c r="AG119" s="758" t="s">
        <v>779</v>
      </c>
      <c r="AH119" s="1375">
        <v>43039</v>
      </c>
      <c r="AI119" s="758" t="s">
        <v>1210</v>
      </c>
      <c r="AJ119" s="758" t="s">
        <v>852</v>
      </c>
      <c r="AL119" s="758" t="s">
        <v>758</v>
      </c>
      <c r="AM119" s="1377">
        <v>-436.11</v>
      </c>
      <c r="AN119" s="758" t="s">
        <v>1405</v>
      </c>
      <c r="AO119" s="758" t="s">
        <v>780</v>
      </c>
      <c r="AP119" s="1375">
        <v>43100</v>
      </c>
      <c r="AQ119" s="758" t="s">
        <v>1189</v>
      </c>
      <c r="AR119" s="758" t="s">
        <v>852</v>
      </c>
      <c r="AT119" s="758" t="s">
        <v>759</v>
      </c>
      <c r="AU119" s="758" t="s">
        <v>1251</v>
      </c>
      <c r="AV119" s="1377">
        <v>1800</v>
      </c>
      <c r="AW119" s="758" t="s">
        <v>1252</v>
      </c>
      <c r="AX119" s="1375">
        <v>42947</v>
      </c>
      <c r="AZ119" s="983"/>
      <c r="BA119" s="983"/>
      <c r="BB119" s="985"/>
      <c r="BC119" s="983"/>
      <c r="BD119" s="986"/>
      <c r="BE119" s="983"/>
      <c r="CF119" s="2"/>
    </row>
    <row r="120" spans="3:84">
      <c r="C120" s="2"/>
      <c r="AD120" s="758" t="s">
        <v>758</v>
      </c>
      <c r="AE120" s="1377">
        <v>1032.26</v>
      </c>
      <c r="AF120" s="758" t="s">
        <v>1458</v>
      </c>
      <c r="AG120" s="758" t="s">
        <v>779</v>
      </c>
      <c r="AH120" s="1375">
        <v>43069</v>
      </c>
      <c r="AI120" s="758" t="s">
        <v>1210</v>
      </c>
      <c r="AJ120" s="758" t="s">
        <v>852</v>
      </c>
      <c r="AL120" s="758" t="s">
        <v>758</v>
      </c>
      <c r="AM120" s="1377">
        <v>6905.23</v>
      </c>
      <c r="AN120" s="758" t="s">
        <v>1127</v>
      </c>
      <c r="AO120" s="758" t="s">
        <v>780</v>
      </c>
      <c r="AP120" s="1375">
        <v>42916</v>
      </c>
      <c r="AQ120" s="758" t="s">
        <v>969</v>
      </c>
      <c r="AR120" s="758" t="s">
        <v>852</v>
      </c>
      <c r="AT120" s="758" t="s">
        <v>759</v>
      </c>
      <c r="AU120" s="758" t="s">
        <v>1251</v>
      </c>
      <c r="AV120" s="1377">
        <v>3600</v>
      </c>
      <c r="AW120" s="758" t="s">
        <v>1252</v>
      </c>
      <c r="AX120" s="1375">
        <v>43008</v>
      </c>
      <c r="AZ120" s="983"/>
      <c r="BA120" s="983"/>
      <c r="BB120" s="985"/>
      <c r="BC120" s="983"/>
      <c r="BD120" s="986"/>
      <c r="BE120" s="983"/>
      <c r="CF120" s="2"/>
    </row>
    <row r="121" spans="3:84">
      <c r="C121" s="2"/>
      <c r="AD121" s="758" t="s">
        <v>758</v>
      </c>
      <c r="AE121" s="1377">
        <v>1032.26</v>
      </c>
      <c r="AF121" s="758" t="s">
        <v>1458</v>
      </c>
      <c r="AG121" s="758" t="s">
        <v>779</v>
      </c>
      <c r="AH121" s="1375">
        <v>43100</v>
      </c>
      <c r="AI121" s="758" t="s">
        <v>1210</v>
      </c>
      <c r="AJ121" s="758" t="s">
        <v>852</v>
      </c>
      <c r="AL121" s="758" t="s">
        <v>758</v>
      </c>
      <c r="AM121" s="1377">
        <v>3551.01</v>
      </c>
      <c r="AN121" s="758" t="s">
        <v>1127</v>
      </c>
      <c r="AO121" s="758" t="s">
        <v>780</v>
      </c>
      <c r="AP121" s="1375">
        <v>42947</v>
      </c>
      <c r="AQ121" s="758" t="s">
        <v>969</v>
      </c>
      <c r="AR121" s="758" t="s">
        <v>852</v>
      </c>
      <c r="AT121" s="758" t="s">
        <v>759</v>
      </c>
      <c r="AU121" s="758" t="s">
        <v>1251</v>
      </c>
      <c r="AV121" s="1377">
        <v>1800</v>
      </c>
      <c r="AW121" s="758" t="s">
        <v>1252</v>
      </c>
      <c r="AX121" s="1375">
        <v>43039</v>
      </c>
      <c r="AZ121" s="983"/>
      <c r="BA121" s="983"/>
      <c r="BB121" s="985"/>
      <c r="BC121" s="983"/>
      <c r="BD121" s="986"/>
      <c r="BE121" s="983"/>
      <c r="CF121" s="2"/>
    </row>
    <row r="122" spans="3:84">
      <c r="C122" s="2"/>
      <c r="AD122" s="758" t="s">
        <v>758</v>
      </c>
      <c r="AE122" s="1377">
        <v>1536.69</v>
      </c>
      <c r="AF122" s="758" t="s">
        <v>1459</v>
      </c>
      <c r="AG122" s="758" t="s">
        <v>779</v>
      </c>
      <c r="AH122" s="1375">
        <v>42794</v>
      </c>
      <c r="AI122" s="758" t="s">
        <v>1209</v>
      </c>
      <c r="AJ122" s="758" t="s">
        <v>852</v>
      </c>
      <c r="AL122" s="758" t="s">
        <v>758</v>
      </c>
      <c r="AM122" s="1377">
        <v>74.37</v>
      </c>
      <c r="AN122" s="758" t="s">
        <v>1127</v>
      </c>
      <c r="AO122" s="758" t="s">
        <v>780</v>
      </c>
      <c r="AP122" s="1375">
        <v>43100</v>
      </c>
      <c r="AQ122" s="758" t="s">
        <v>969</v>
      </c>
      <c r="AR122" s="758" t="s">
        <v>852</v>
      </c>
      <c r="AT122" s="758" t="s">
        <v>862</v>
      </c>
      <c r="AU122" s="758" t="s">
        <v>863</v>
      </c>
      <c r="AV122" s="1377">
        <v>107.88</v>
      </c>
      <c r="AW122" s="758" t="s">
        <v>861</v>
      </c>
      <c r="AX122" s="1375">
        <v>42766</v>
      </c>
      <c r="AZ122" s="983"/>
      <c r="BA122" s="983"/>
      <c r="BB122" s="985"/>
      <c r="BC122" s="983"/>
      <c r="BD122" s="986"/>
      <c r="BE122" s="983"/>
      <c r="CF122" s="2"/>
    </row>
    <row r="123" spans="3:84">
      <c r="C123" s="2"/>
      <c r="AD123" s="758" t="s">
        <v>758</v>
      </c>
      <c r="AE123" s="1377">
        <v>768.37</v>
      </c>
      <c r="AF123" s="758" t="s">
        <v>1459</v>
      </c>
      <c r="AG123" s="758" t="s">
        <v>779</v>
      </c>
      <c r="AH123" s="1375">
        <v>42825</v>
      </c>
      <c r="AI123" s="758" t="s">
        <v>1209</v>
      </c>
      <c r="AJ123" s="758" t="s">
        <v>852</v>
      </c>
      <c r="AL123" s="758" t="s">
        <v>758</v>
      </c>
      <c r="AM123" s="1377">
        <v>20000</v>
      </c>
      <c r="AN123" s="758" t="s">
        <v>1060</v>
      </c>
      <c r="AO123" s="758" t="s">
        <v>780</v>
      </c>
      <c r="AP123" s="1375">
        <v>42794</v>
      </c>
      <c r="AQ123" s="758" t="s">
        <v>1103</v>
      </c>
      <c r="AR123" s="758" t="s">
        <v>852</v>
      </c>
      <c r="AT123" s="758" t="s">
        <v>862</v>
      </c>
      <c r="AU123" s="758" t="s">
        <v>863</v>
      </c>
      <c r="AV123" s="1377">
        <v>122.93</v>
      </c>
      <c r="AW123" s="758" t="s">
        <v>861</v>
      </c>
      <c r="AX123" s="1375">
        <v>42794</v>
      </c>
      <c r="AZ123" s="983"/>
      <c r="BA123" s="983"/>
      <c r="BB123" s="985"/>
      <c r="BC123" s="983"/>
      <c r="BD123" s="986"/>
      <c r="BE123" s="983"/>
      <c r="CF123" s="2"/>
    </row>
    <row r="124" spans="3:84">
      <c r="C124" s="2"/>
      <c r="AD124" s="758" t="s">
        <v>758</v>
      </c>
      <c r="AE124" s="1377">
        <v>768.37</v>
      </c>
      <c r="AF124" s="758" t="s">
        <v>1459</v>
      </c>
      <c r="AG124" s="758" t="s">
        <v>779</v>
      </c>
      <c r="AH124" s="1375">
        <v>42855</v>
      </c>
      <c r="AI124" s="758" t="s">
        <v>1209</v>
      </c>
      <c r="AJ124" s="758" t="s">
        <v>852</v>
      </c>
      <c r="AL124" s="758" t="s">
        <v>758</v>
      </c>
      <c r="AM124" s="1377">
        <v>129</v>
      </c>
      <c r="AN124" s="758" t="s">
        <v>1382</v>
      </c>
      <c r="AO124" s="758" t="s">
        <v>780</v>
      </c>
      <c r="AP124" s="1375">
        <v>42886</v>
      </c>
      <c r="AQ124" s="758" t="s">
        <v>1187</v>
      </c>
      <c r="AR124" s="758" t="s">
        <v>852</v>
      </c>
      <c r="AT124" s="758" t="s">
        <v>862</v>
      </c>
      <c r="AU124" s="758" t="s">
        <v>863</v>
      </c>
      <c r="AV124" s="1377">
        <v>183.31</v>
      </c>
      <c r="AW124" s="758" t="s">
        <v>861</v>
      </c>
      <c r="AX124" s="1375">
        <v>42825</v>
      </c>
      <c r="AZ124" s="983"/>
      <c r="BA124" s="983"/>
      <c r="BB124" s="985"/>
      <c r="BC124" s="983"/>
      <c r="BD124" s="986"/>
      <c r="BE124" s="983"/>
      <c r="CF124" s="2"/>
    </row>
    <row r="125" spans="3:84">
      <c r="C125" s="2"/>
      <c r="AD125" s="758" t="s">
        <v>758</v>
      </c>
      <c r="AE125" s="1377">
        <v>768.37</v>
      </c>
      <c r="AF125" s="758" t="s">
        <v>1459</v>
      </c>
      <c r="AG125" s="758" t="s">
        <v>779</v>
      </c>
      <c r="AH125" s="1375">
        <v>42886</v>
      </c>
      <c r="AI125" s="758" t="s">
        <v>1209</v>
      </c>
      <c r="AJ125" s="758" t="s">
        <v>852</v>
      </c>
      <c r="AL125" s="758" t="s">
        <v>758</v>
      </c>
      <c r="AM125" s="1377">
        <v>139</v>
      </c>
      <c r="AN125" s="758" t="s">
        <v>1382</v>
      </c>
      <c r="AO125" s="758" t="s">
        <v>780</v>
      </c>
      <c r="AP125" s="1375">
        <v>43039</v>
      </c>
      <c r="AQ125" s="758" t="s">
        <v>1407</v>
      </c>
      <c r="AR125" s="758" t="s">
        <v>852</v>
      </c>
      <c r="AT125" s="758" t="s">
        <v>862</v>
      </c>
      <c r="AU125" s="758" t="s">
        <v>863</v>
      </c>
      <c r="AV125" s="1377">
        <v>85.81</v>
      </c>
      <c r="AW125" s="758" t="s">
        <v>861</v>
      </c>
      <c r="AX125" s="1375">
        <v>42855</v>
      </c>
      <c r="AZ125" s="983"/>
      <c r="BA125" s="983"/>
      <c r="BB125" s="985"/>
      <c r="BC125" s="983"/>
      <c r="BD125" s="986"/>
      <c r="BE125" s="983"/>
      <c r="CF125" s="2"/>
    </row>
    <row r="126" spans="3:84">
      <c r="C126" s="2"/>
      <c r="AD126" s="758" t="s">
        <v>758</v>
      </c>
      <c r="AE126" s="1377">
        <v>768.37</v>
      </c>
      <c r="AF126" s="758" t="s">
        <v>1459</v>
      </c>
      <c r="AG126" s="758" t="s">
        <v>779</v>
      </c>
      <c r="AH126" s="1375">
        <v>42916</v>
      </c>
      <c r="AI126" s="758" t="s">
        <v>1209</v>
      </c>
      <c r="AJ126" s="758" t="s">
        <v>852</v>
      </c>
      <c r="AL126" s="758" t="s">
        <v>758</v>
      </c>
      <c r="AM126" s="1377">
        <v>244.4</v>
      </c>
      <c r="AN126" s="758" t="s">
        <v>1200</v>
      </c>
      <c r="AO126" s="758" t="s">
        <v>780</v>
      </c>
      <c r="AP126" s="1375">
        <v>42886</v>
      </c>
      <c r="AQ126" s="758" t="s">
        <v>1103</v>
      </c>
      <c r="AR126" s="758" t="s">
        <v>852</v>
      </c>
      <c r="AT126" s="758" t="s">
        <v>862</v>
      </c>
      <c r="AU126" s="758" t="s">
        <v>863</v>
      </c>
      <c r="AV126" s="1377">
        <v>89.55</v>
      </c>
      <c r="AW126" s="758" t="s">
        <v>861</v>
      </c>
      <c r="AX126" s="1375">
        <v>42886</v>
      </c>
      <c r="AZ126" s="983"/>
      <c r="BA126" s="983"/>
      <c r="BB126" s="985"/>
      <c r="BC126" s="983"/>
      <c r="BD126" s="986"/>
      <c r="BE126" s="983"/>
      <c r="CF126" s="2"/>
    </row>
    <row r="127" spans="3:84">
      <c r="C127" s="2"/>
      <c r="AD127" s="758" t="s">
        <v>758</v>
      </c>
      <c r="AE127" s="1377">
        <v>768.37</v>
      </c>
      <c r="AF127" s="758" t="s">
        <v>1459</v>
      </c>
      <c r="AG127" s="758" t="s">
        <v>779</v>
      </c>
      <c r="AH127" s="1375">
        <v>42947</v>
      </c>
      <c r="AI127" s="758" t="s">
        <v>1209</v>
      </c>
      <c r="AJ127" s="758" t="s">
        <v>852</v>
      </c>
      <c r="AL127" s="758" t="s">
        <v>758</v>
      </c>
      <c r="AM127" s="1377">
        <v>3000</v>
      </c>
      <c r="AN127" s="758" t="s">
        <v>1276</v>
      </c>
      <c r="AO127" s="758" t="s">
        <v>780</v>
      </c>
      <c r="AP127" s="1375">
        <v>43100</v>
      </c>
      <c r="AQ127" s="758" t="s">
        <v>1116</v>
      </c>
      <c r="AR127" s="758" t="s">
        <v>852</v>
      </c>
      <c r="AT127" s="758" t="s">
        <v>862</v>
      </c>
      <c r="AU127" s="758" t="s">
        <v>863</v>
      </c>
      <c r="AV127" s="1377">
        <v>1133.75</v>
      </c>
      <c r="AW127" s="758" t="s">
        <v>861</v>
      </c>
      <c r="AX127" s="1375">
        <v>42916</v>
      </c>
      <c r="AZ127" s="983"/>
      <c r="BA127" s="983"/>
      <c r="BB127" s="985"/>
      <c r="BC127" s="983"/>
      <c r="BD127" s="986"/>
      <c r="BE127" s="983"/>
      <c r="CF127" s="2"/>
    </row>
    <row r="128" spans="3:84">
      <c r="C128" s="2"/>
      <c r="AD128" s="758" t="s">
        <v>758</v>
      </c>
      <c r="AE128" s="1377">
        <v>768.37</v>
      </c>
      <c r="AF128" s="758" t="s">
        <v>1459</v>
      </c>
      <c r="AG128" s="758" t="s">
        <v>779</v>
      </c>
      <c r="AH128" s="1375">
        <v>42978</v>
      </c>
      <c r="AI128" s="758" t="s">
        <v>1209</v>
      </c>
      <c r="AJ128" s="758" t="s">
        <v>852</v>
      </c>
      <c r="AL128" s="758" t="s">
        <v>758</v>
      </c>
      <c r="AM128" s="1377">
        <v>3700</v>
      </c>
      <c r="AN128" s="758" t="s">
        <v>1124</v>
      </c>
      <c r="AO128" s="758" t="s">
        <v>780</v>
      </c>
      <c r="AP128" s="1375">
        <v>42886</v>
      </c>
      <c r="AQ128" s="758" t="s">
        <v>1196</v>
      </c>
      <c r="AR128" s="758" t="s">
        <v>1164</v>
      </c>
      <c r="AT128" s="758" t="s">
        <v>862</v>
      </c>
      <c r="AU128" s="758" t="s">
        <v>863</v>
      </c>
      <c r="AV128" s="1377">
        <v>256.51</v>
      </c>
      <c r="AW128" s="758" t="s">
        <v>861</v>
      </c>
      <c r="AX128" s="1375">
        <v>42947</v>
      </c>
      <c r="AZ128" s="983"/>
      <c r="BA128" s="983"/>
      <c r="BB128" s="985"/>
      <c r="BC128" s="983"/>
      <c r="BD128" s="986"/>
      <c r="BE128" s="983"/>
      <c r="CF128" s="2"/>
    </row>
    <row r="129" spans="3:84">
      <c r="C129" s="2"/>
      <c r="AD129" s="758" t="s">
        <v>758</v>
      </c>
      <c r="AE129" s="1377">
        <v>768.37</v>
      </c>
      <c r="AF129" s="758" t="s">
        <v>1459</v>
      </c>
      <c r="AG129" s="758" t="s">
        <v>779</v>
      </c>
      <c r="AH129" s="1375">
        <v>43008</v>
      </c>
      <c r="AI129" s="758" t="s">
        <v>1209</v>
      </c>
      <c r="AJ129" s="758" t="s">
        <v>852</v>
      </c>
      <c r="AL129" s="758" t="s">
        <v>758</v>
      </c>
      <c r="AM129" s="1377">
        <v>25</v>
      </c>
      <c r="AN129" s="758" t="s">
        <v>1408</v>
      </c>
      <c r="AO129" s="758" t="s">
        <v>780</v>
      </c>
      <c r="AP129" s="1375">
        <v>43039</v>
      </c>
      <c r="AQ129" s="758" t="s">
        <v>1167</v>
      </c>
      <c r="AR129" s="758" t="s">
        <v>852</v>
      </c>
      <c r="AT129" s="758" t="s">
        <v>862</v>
      </c>
      <c r="AU129" s="758" t="s">
        <v>863</v>
      </c>
      <c r="AV129" s="1377">
        <v>131.07</v>
      </c>
      <c r="AW129" s="758" t="s">
        <v>861</v>
      </c>
      <c r="AX129" s="1375">
        <v>42978</v>
      </c>
      <c r="AZ129" s="983"/>
      <c r="BA129" s="983"/>
      <c r="BB129" s="985"/>
      <c r="BC129" s="983"/>
      <c r="BD129" s="986"/>
      <c r="BE129" s="983"/>
      <c r="CF129" s="2"/>
    </row>
    <row r="130" spans="3:84">
      <c r="C130" s="2"/>
      <c r="AD130" s="758" t="s">
        <v>758</v>
      </c>
      <c r="AE130" s="1377">
        <v>768.37</v>
      </c>
      <c r="AF130" s="758" t="s">
        <v>1459</v>
      </c>
      <c r="AG130" s="758" t="s">
        <v>779</v>
      </c>
      <c r="AH130" s="1375">
        <v>43039</v>
      </c>
      <c r="AI130" s="758" t="s">
        <v>1209</v>
      </c>
      <c r="AJ130" s="758" t="s">
        <v>852</v>
      </c>
      <c r="AL130" s="758" t="s">
        <v>758</v>
      </c>
      <c r="AM130" s="1377">
        <v>73</v>
      </c>
      <c r="AN130" s="758" t="s">
        <v>1409</v>
      </c>
      <c r="AO130" s="758" t="s">
        <v>780</v>
      </c>
      <c r="AP130" s="1375">
        <v>42794</v>
      </c>
      <c r="AQ130" s="758" t="s">
        <v>1167</v>
      </c>
      <c r="AR130" s="758" t="s">
        <v>852</v>
      </c>
      <c r="AT130" s="758" t="s">
        <v>862</v>
      </c>
      <c r="AU130" s="758" t="s">
        <v>863</v>
      </c>
      <c r="AV130" s="1377">
        <v>-598.77</v>
      </c>
      <c r="AW130" s="758" t="s">
        <v>861</v>
      </c>
      <c r="AX130" s="1375">
        <v>43008</v>
      </c>
      <c r="AZ130" s="983"/>
      <c r="BA130" s="983"/>
      <c r="BB130" s="985"/>
      <c r="BC130" s="983"/>
      <c r="BD130" s="986"/>
      <c r="BE130" s="983"/>
      <c r="CF130" s="2"/>
    </row>
    <row r="131" spans="3:84">
      <c r="C131" s="2"/>
      <c r="AD131" s="758" t="s">
        <v>758</v>
      </c>
      <c r="AE131" s="1377">
        <v>768.37</v>
      </c>
      <c r="AF131" s="758" t="s">
        <v>1459</v>
      </c>
      <c r="AG131" s="758" t="s">
        <v>779</v>
      </c>
      <c r="AH131" s="1375">
        <v>43069</v>
      </c>
      <c r="AI131" s="758" t="s">
        <v>1209</v>
      </c>
      <c r="AJ131" s="758" t="s">
        <v>852</v>
      </c>
      <c r="AL131" s="758" t="s">
        <v>758</v>
      </c>
      <c r="AM131" s="1377">
        <v>73</v>
      </c>
      <c r="AN131" s="758" t="s">
        <v>1409</v>
      </c>
      <c r="AO131" s="758" t="s">
        <v>780</v>
      </c>
      <c r="AP131" s="1375">
        <v>42825</v>
      </c>
      <c r="AQ131" s="758" t="s">
        <v>1410</v>
      </c>
      <c r="AR131" s="758" t="s">
        <v>852</v>
      </c>
      <c r="AT131" s="758" t="s">
        <v>862</v>
      </c>
      <c r="AU131" s="758" t="s">
        <v>863</v>
      </c>
      <c r="AV131" s="1377">
        <v>-106.97</v>
      </c>
      <c r="AW131" s="758" t="s">
        <v>861</v>
      </c>
      <c r="AX131" s="1375">
        <v>43039</v>
      </c>
      <c r="AZ131" s="983"/>
      <c r="BA131" s="983"/>
      <c r="BB131" s="985"/>
      <c r="BC131" s="983"/>
      <c r="BD131" s="986"/>
      <c r="BE131" s="983"/>
      <c r="CF131" s="2"/>
    </row>
    <row r="132" spans="3:84">
      <c r="C132" s="2"/>
      <c r="AD132" s="758" t="s">
        <v>758</v>
      </c>
      <c r="AE132" s="1377">
        <v>768.37</v>
      </c>
      <c r="AF132" s="758" t="s">
        <v>1459</v>
      </c>
      <c r="AG132" s="758" t="s">
        <v>779</v>
      </c>
      <c r="AH132" s="1375">
        <v>43100</v>
      </c>
      <c r="AI132" s="758" t="s">
        <v>1209</v>
      </c>
      <c r="AJ132" s="758" t="s">
        <v>852</v>
      </c>
      <c r="AL132" s="758" t="s">
        <v>758</v>
      </c>
      <c r="AM132" s="1377">
        <v>93.5</v>
      </c>
      <c r="AN132" s="758" t="s">
        <v>1411</v>
      </c>
      <c r="AO132" s="758" t="s">
        <v>780</v>
      </c>
      <c r="AP132" s="1375">
        <v>43039</v>
      </c>
      <c r="AQ132" s="758" t="s">
        <v>969</v>
      </c>
      <c r="AR132" s="758" t="s">
        <v>852</v>
      </c>
      <c r="AT132" s="758" t="s">
        <v>862</v>
      </c>
      <c r="AU132" s="758" t="s">
        <v>863</v>
      </c>
      <c r="AV132" s="1377">
        <v>158.47</v>
      </c>
      <c r="AW132" s="758" t="s">
        <v>861</v>
      </c>
      <c r="AX132" s="1375">
        <v>43069</v>
      </c>
      <c r="AZ132" s="983"/>
      <c r="BA132" s="983"/>
      <c r="BB132" s="985"/>
      <c r="BC132" s="983"/>
      <c r="BD132" s="986"/>
      <c r="BE132" s="983"/>
      <c r="CF132" s="2"/>
    </row>
    <row r="133" spans="3:84">
      <c r="C133" s="2"/>
      <c r="AD133" s="758" t="s">
        <v>758</v>
      </c>
      <c r="AE133" s="1377">
        <v>784.18</v>
      </c>
      <c r="AF133" s="758" t="s">
        <v>1460</v>
      </c>
      <c r="AG133" s="758" t="s">
        <v>779</v>
      </c>
      <c r="AH133" s="1375">
        <v>42794</v>
      </c>
      <c r="AI133" s="758" t="s">
        <v>1182</v>
      </c>
      <c r="AJ133" s="758" t="s">
        <v>852</v>
      </c>
      <c r="AL133" s="758" t="s">
        <v>758</v>
      </c>
      <c r="AM133" s="1377">
        <v>405</v>
      </c>
      <c r="AN133" s="758" t="s">
        <v>1412</v>
      </c>
      <c r="AO133" s="758" t="s">
        <v>780</v>
      </c>
      <c r="AP133" s="1375">
        <v>42916</v>
      </c>
      <c r="AQ133" s="758" t="s">
        <v>1407</v>
      </c>
      <c r="AR133" s="758" t="s">
        <v>852</v>
      </c>
      <c r="AT133" s="758" t="s">
        <v>862</v>
      </c>
      <c r="AU133" s="758" t="s">
        <v>863</v>
      </c>
      <c r="AV133" s="1377">
        <v>-627.13</v>
      </c>
      <c r="AW133" s="758" t="s">
        <v>861</v>
      </c>
      <c r="AX133" s="1375">
        <v>43100</v>
      </c>
      <c r="AZ133" s="983"/>
      <c r="BA133" s="983"/>
      <c r="BB133" s="985"/>
      <c r="BC133" s="983"/>
      <c r="BD133" s="986"/>
      <c r="BE133" s="983"/>
      <c r="CF133" s="2"/>
    </row>
    <row r="134" spans="3:84">
      <c r="C134" s="2"/>
      <c r="AD134" s="758" t="s">
        <v>758</v>
      </c>
      <c r="AE134" s="1377">
        <v>392.12</v>
      </c>
      <c r="AF134" s="758" t="s">
        <v>1460</v>
      </c>
      <c r="AG134" s="758" t="s">
        <v>779</v>
      </c>
      <c r="AH134" s="1375">
        <v>42825</v>
      </c>
      <c r="AI134" s="758" t="s">
        <v>1182</v>
      </c>
      <c r="AJ134" s="758" t="s">
        <v>852</v>
      </c>
      <c r="AL134" s="758" t="s">
        <v>758</v>
      </c>
      <c r="AM134" s="1377">
        <v>1000</v>
      </c>
      <c r="AN134" s="758" t="s">
        <v>1122</v>
      </c>
      <c r="AO134" s="758" t="s">
        <v>780</v>
      </c>
      <c r="AP134" s="1375">
        <v>42766</v>
      </c>
      <c r="AQ134" s="758" t="s">
        <v>1189</v>
      </c>
      <c r="AR134" s="758" t="s">
        <v>852</v>
      </c>
      <c r="AT134" s="758" t="s">
        <v>864</v>
      </c>
      <c r="AU134" s="758" t="s">
        <v>863</v>
      </c>
      <c r="AV134" s="1377">
        <v>4461.1000000000004</v>
      </c>
      <c r="AW134" s="758" t="s">
        <v>861</v>
      </c>
      <c r="AX134" s="1375">
        <v>42766</v>
      </c>
      <c r="AZ134" s="983"/>
      <c r="BA134" s="983"/>
      <c r="BB134" s="985"/>
      <c r="BC134" s="983"/>
      <c r="BD134" s="986"/>
      <c r="BE134" s="983"/>
      <c r="CF134" s="2"/>
    </row>
    <row r="135" spans="3:84">
      <c r="C135" s="2"/>
      <c r="O135" s="93"/>
      <c r="AD135" s="758" t="s">
        <v>758</v>
      </c>
      <c r="AE135" s="1377">
        <v>392.12</v>
      </c>
      <c r="AF135" s="758" t="s">
        <v>1460</v>
      </c>
      <c r="AG135" s="758" t="s">
        <v>779</v>
      </c>
      <c r="AH135" s="1375">
        <v>42855</v>
      </c>
      <c r="AI135" s="758" t="s">
        <v>1182</v>
      </c>
      <c r="AJ135" s="758" t="s">
        <v>852</v>
      </c>
      <c r="AL135" s="758" t="s">
        <v>758</v>
      </c>
      <c r="AM135" s="1377">
        <v>635</v>
      </c>
      <c r="AN135" s="758" t="s">
        <v>1122</v>
      </c>
      <c r="AO135" s="758" t="s">
        <v>780</v>
      </c>
      <c r="AP135" s="1375">
        <v>42886</v>
      </c>
      <c r="AQ135" s="758" t="s">
        <v>1189</v>
      </c>
      <c r="AR135" s="758" t="s">
        <v>852</v>
      </c>
      <c r="AT135" s="758" t="s">
        <v>864</v>
      </c>
      <c r="AU135" s="758" t="s">
        <v>863</v>
      </c>
      <c r="AV135" s="1377">
        <v>1333.23</v>
      </c>
      <c r="AW135" s="758" t="s">
        <v>861</v>
      </c>
      <c r="AX135" s="1375">
        <v>42794</v>
      </c>
      <c r="AZ135" s="983"/>
      <c r="BA135" s="983"/>
      <c r="BB135" s="985"/>
      <c r="BC135" s="983"/>
      <c r="BD135" s="986"/>
      <c r="BE135" s="983"/>
      <c r="CF135" s="2"/>
    </row>
    <row r="136" spans="3:84">
      <c r="C136" s="2"/>
      <c r="O136" s="93"/>
      <c r="AD136" s="758" t="s">
        <v>758</v>
      </c>
      <c r="AE136" s="1377">
        <v>392.12</v>
      </c>
      <c r="AF136" s="758" t="s">
        <v>1460</v>
      </c>
      <c r="AG136" s="758" t="s">
        <v>779</v>
      </c>
      <c r="AH136" s="1375">
        <v>42886</v>
      </c>
      <c r="AI136" s="758" t="s">
        <v>1182</v>
      </c>
      <c r="AJ136" s="758" t="s">
        <v>852</v>
      </c>
      <c r="AL136" s="758" t="s">
        <v>758</v>
      </c>
      <c r="AM136" s="1377">
        <v>40</v>
      </c>
      <c r="AN136" s="758" t="s">
        <v>1122</v>
      </c>
      <c r="AO136" s="758" t="s">
        <v>780</v>
      </c>
      <c r="AP136" s="1375">
        <v>42886</v>
      </c>
      <c r="AQ136" s="758" t="s">
        <v>1184</v>
      </c>
      <c r="AR136" s="758" t="s">
        <v>852</v>
      </c>
      <c r="AT136" s="758" t="s">
        <v>864</v>
      </c>
      <c r="AU136" s="758" t="s">
        <v>863</v>
      </c>
      <c r="AV136" s="86">
        <v>4324.16</v>
      </c>
      <c r="AW136" s="758" t="s">
        <v>861</v>
      </c>
      <c r="AX136" s="1375">
        <v>42825</v>
      </c>
      <c r="AZ136" s="983"/>
      <c r="BA136" s="983"/>
      <c r="BB136" s="985"/>
      <c r="BC136" s="983"/>
      <c r="BD136" s="986"/>
      <c r="BE136" s="983"/>
      <c r="CF136" s="2"/>
    </row>
    <row r="137" spans="3:84">
      <c r="C137" s="2"/>
      <c r="O137" s="93"/>
      <c r="AD137" s="758" t="s">
        <v>758</v>
      </c>
      <c r="AE137" s="1377">
        <v>392.12</v>
      </c>
      <c r="AF137" s="758" t="s">
        <v>1460</v>
      </c>
      <c r="AG137" s="758" t="s">
        <v>779</v>
      </c>
      <c r="AH137" s="1375">
        <v>42916</v>
      </c>
      <c r="AI137" s="758" t="s">
        <v>1182</v>
      </c>
      <c r="AJ137" s="758" t="s">
        <v>852</v>
      </c>
      <c r="AL137" s="758" t="s">
        <v>758</v>
      </c>
      <c r="AM137" s="1377">
        <v>-95</v>
      </c>
      <c r="AN137" s="758" t="s">
        <v>1122</v>
      </c>
      <c r="AO137" s="758" t="s">
        <v>780</v>
      </c>
      <c r="AP137" s="1375">
        <v>42916</v>
      </c>
      <c r="AQ137" s="758" t="s">
        <v>1189</v>
      </c>
      <c r="AR137" s="758" t="s">
        <v>852</v>
      </c>
      <c r="AT137" s="758" t="s">
        <v>864</v>
      </c>
      <c r="AU137" s="758" t="s">
        <v>863</v>
      </c>
      <c r="AV137" s="1377">
        <v>4006.07</v>
      </c>
      <c r="AW137" s="758" t="s">
        <v>861</v>
      </c>
      <c r="AX137" s="1375">
        <v>42855</v>
      </c>
      <c r="AZ137" s="983"/>
      <c r="BA137" s="983"/>
      <c r="BB137" s="985"/>
      <c r="BC137" s="983"/>
      <c r="BD137" s="986"/>
      <c r="BE137" s="983"/>
      <c r="CF137" s="2"/>
    </row>
    <row r="138" spans="3:84">
      <c r="C138" s="2"/>
      <c r="O138" s="93"/>
      <c r="AD138" s="758" t="s">
        <v>758</v>
      </c>
      <c r="AE138" s="1377">
        <v>392.12</v>
      </c>
      <c r="AF138" s="758" t="s">
        <v>1460</v>
      </c>
      <c r="AG138" s="758" t="s">
        <v>779</v>
      </c>
      <c r="AH138" s="1375">
        <v>42947</v>
      </c>
      <c r="AI138" s="758" t="s">
        <v>1182</v>
      </c>
      <c r="AJ138" s="758" t="s">
        <v>852</v>
      </c>
      <c r="AL138" s="758" t="s">
        <v>758</v>
      </c>
      <c r="AM138" s="1377">
        <v>-380</v>
      </c>
      <c r="AN138" s="758" t="s">
        <v>1122</v>
      </c>
      <c r="AO138" s="758" t="s">
        <v>780</v>
      </c>
      <c r="AP138" s="1375">
        <v>42947</v>
      </c>
      <c r="AQ138" s="758" t="s">
        <v>1189</v>
      </c>
      <c r="AR138" s="758" t="s">
        <v>852</v>
      </c>
      <c r="AT138" s="758" t="s">
        <v>864</v>
      </c>
      <c r="AU138" s="758" t="s">
        <v>863</v>
      </c>
      <c r="AV138" s="1377">
        <v>4840.46</v>
      </c>
      <c r="AW138" s="758" t="s">
        <v>861</v>
      </c>
      <c r="AX138" s="1375">
        <v>42886</v>
      </c>
      <c r="AZ138" s="983"/>
      <c r="BA138" s="983"/>
      <c r="BB138" s="985"/>
      <c r="BC138" s="983"/>
      <c r="BD138" s="986"/>
      <c r="BE138" s="983"/>
      <c r="CF138" s="2"/>
    </row>
    <row r="139" spans="3:84">
      <c r="C139" s="2"/>
      <c r="O139" s="93"/>
      <c r="AD139" s="758" t="s">
        <v>758</v>
      </c>
      <c r="AE139" s="1377">
        <v>392.12</v>
      </c>
      <c r="AF139" s="758" t="s">
        <v>1460</v>
      </c>
      <c r="AG139" s="758" t="s">
        <v>779</v>
      </c>
      <c r="AH139" s="1375">
        <v>42978</v>
      </c>
      <c r="AI139" s="758" t="s">
        <v>1182</v>
      </c>
      <c r="AJ139" s="758" t="s">
        <v>852</v>
      </c>
      <c r="AL139" s="758" t="s">
        <v>758</v>
      </c>
      <c r="AM139" s="1377">
        <v>15</v>
      </c>
      <c r="AN139" s="758" t="s">
        <v>1128</v>
      </c>
      <c r="AO139" s="758" t="s">
        <v>780</v>
      </c>
      <c r="AP139" s="1375">
        <v>42825</v>
      </c>
      <c r="AQ139" s="758" t="s">
        <v>1166</v>
      </c>
      <c r="AR139" s="758" t="s">
        <v>852</v>
      </c>
      <c r="AT139" s="758" t="s">
        <v>864</v>
      </c>
      <c r="AU139" s="758" t="s">
        <v>863</v>
      </c>
      <c r="AV139" s="1377">
        <v>2696.31</v>
      </c>
      <c r="AW139" s="758" t="s">
        <v>861</v>
      </c>
      <c r="AX139" s="1375">
        <v>42916</v>
      </c>
      <c r="AZ139" s="983"/>
      <c r="BA139" s="983"/>
      <c r="BB139" s="985"/>
      <c r="BC139" s="983"/>
      <c r="BD139" s="986"/>
      <c r="BE139" s="983"/>
      <c r="CF139" s="2"/>
    </row>
    <row r="140" spans="3:84">
      <c r="C140" s="2"/>
      <c r="O140" s="93"/>
      <c r="AD140" s="758" t="s">
        <v>758</v>
      </c>
      <c r="AE140" s="1377">
        <v>392.12</v>
      </c>
      <c r="AF140" s="758" t="s">
        <v>1460</v>
      </c>
      <c r="AG140" s="758" t="s">
        <v>779</v>
      </c>
      <c r="AH140" s="1375">
        <v>43008</v>
      </c>
      <c r="AI140" s="758" t="s">
        <v>1182</v>
      </c>
      <c r="AJ140" s="758" t="s">
        <v>852</v>
      </c>
      <c r="AL140" s="758" t="s">
        <v>758</v>
      </c>
      <c r="AM140" s="1377">
        <v>-15</v>
      </c>
      <c r="AN140" s="758" t="s">
        <v>1128</v>
      </c>
      <c r="AO140" s="758" t="s">
        <v>780</v>
      </c>
      <c r="AP140" s="1375">
        <v>42855</v>
      </c>
      <c r="AQ140" s="758" t="s">
        <v>1166</v>
      </c>
      <c r="AR140" s="758" t="s">
        <v>852</v>
      </c>
      <c r="AT140" s="758" t="s">
        <v>864</v>
      </c>
      <c r="AU140" s="758" t="s">
        <v>863</v>
      </c>
      <c r="AV140" s="1377">
        <v>4495.95</v>
      </c>
      <c r="AW140" s="758" t="s">
        <v>861</v>
      </c>
      <c r="AX140" s="1375">
        <v>42947</v>
      </c>
      <c r="AZ140" s="983"/>
      <c r="BA140" s="983"/>
      <c r="BB140" s="985"/>
      <c r="BC140" s="983"/>
      <c r="BD140" s="986"/>
      <c r="BE140" s="983"/>
      <c r="CF140" s="2"/>
    </row>
    <row r="141" spans="3:84">
      <c r="C141" s="2"/>
      <c r="O141" s="93"/>
      <c r="AD141" s="758" t="s">
        <v>758</v>
      </c>
      <c r="AE141" s="1377">
        <v>392.12</v>
      </c>
      <c r="AF141" s="758" t="s">
        <v>1460</v>
      </c>
      <c r="AG141" s="758" t="s">
        <v>779</v>
      </c>
      <c r="AH141" s="1375">
        <v>43039</v>
      </c>
      <c r="AI141" s="758" t="s">
        <v>1182</v>
      </c>
      <c r="AJ141" s="758" t="s">
        <v>852</v>
      </c>
      <c r="AL141" s="758" t="s">
        <v>758</v>
      </c>
      <c r="AM141" s="1377">
        <v>8500</v>
      </c>
      <c r="AN141" s="758" t="s">
        <v>1277</v>
      </c>
      <c r="AO141" s="758" t="s">
        <v>780</v>
      </c>
      <c r="AP141" s="1375">
        <v>42794</v>
      </c>
      <c r="AQ141" s="758" t="s">
        <v>1278</v>
      </c>
      <c r="AR141" s="758" t="s">
        <v>852</v>
      </c>
      <c r="AT141" s="758" t="s">
        <v>864</v>
      </c>
      <c r="AU141" s="758" t="s">
        <v>863</v>
      </c>
      <c r="AV141" s="1377">
        <v>3660.59</v>
      </c>
      <c r="AW141" s="758" t="s">
        <v>861</v>
      </c>
      <c r="AX141" s="1375">
        <v>42978</v>
      </c>
      <c r="AZ141" s="983"/>
      <c r="BA141" s="983"/>
      <c r="BB141" s="985"/>
      <c r="BC141" s="983"/>
      <c r="BD141" s="986"/>
      <c r="BE141" s="983"/>
      <c r="CF141" s="2"/>
    </row>
    <row r="142" spans="3:84">
      <c r="C142" s="2"/>
      <c r="O142" s="93"/>
      <c r="AD142" s="758" t="s">
        <v>758</v>
      </c>
      <c r="AE142" s="1377">
        <v>392.12</v>
      </c>
      <c r="AF142" s="758" t="s">
        <v>1460</v>
      </c>
      <c r="AG142" s="758" t="s">
        <v>779</v>
      </c>
      <c r="AH142" s="1375">
        <v>43069</v>
      </c>
      <c r="AI142" s="758" t="s">
        <v>1182</v>
      </c>
      <c r="AJ142" s="758" t="s">
        <v>852</v>
      </c>
      <c r="AL142" s="758" t="s">
        <v>758</v>
      </c>
      <c r="AM142" s="1377">
        <v>131.91</v>
      </c>
      <c r="AN142" s="758" t="s">
        <v>1578</v>
      </c>
      <c r="AO142" s="758" t="s">
        <v>780</v>
      </c>
      <c r="AP142" s="1375">
        <v>42766</v>
      </c>
      <c r="AQ142" s="758" t="s">
        <v>1166</v>
      </c>
      <c r="AR142" s="758" t="s">
        <v>852</v>
      </c>
      <c r="AT142" s="758" t="s">
        <v>864</v>
      </c>
      <c r="AU142" s="758" t="s">
        <v>863</v>
      </c>
      <c r="AV142" s="1377">
        <v>4030.45</v>
      </c>
      <c r="AW142" s="758" t="s">
        <v>861</v>
      </c>
      <c r="AX142" s="1375">
        <v>43008</v>
      </c>
      <c r="AZ142" s="983"/>
      <c r="BA142" s="983"/>
      <c r="BB142" s="985"/>
      <c r="BC142" s="983"/>
      <c r="BD142" s="986"/>
      <c r="BE142" s="983"/>
      <c r="CF142" s="2"/>
    </row>
    <row r="143" spans="3:84">
      <c r="C143" s="2"/>
      <c r="O143" s="93"/>
      <c r="AD143" s="758" t="s">
        <v>758</v>
      </c>
      <c r="AE143" s="1377">
        <v>392.12</v>
      </c>
      <c r="AF143" s="758" t="s">
        <v>1460</v>
      </c>
      <c r="AG143" s="758" t="s">
        <v>779</v>
      </c>
      <c r="AH143" s="1375">
        <v>43100</v>
      </c>
      <c r="AI143" s="758" t="s">
        <v>1182</v>
      </c>
      <c r="AJ143" s="758" t="s">
        <v>852</v>
      </c>
      <c r="AL143" s="758" t="s">
        <v>758</v>
      </c>
      <c r="AM143" s="1377">
        <v>1.47</v>
      </c>
      <c r="AN143" s="758" t="s">
        <v>1578</v>
      </c>
      <c r="AO143" s="758" t="s">
        <v>780</v>
      </c>
      <c r="AP143" s="1375">
        <v>42825</v>
      </c>
      <c r="AQ143" s="758" t="s">
        <v>1193</v>
      </c>
      <c r="AR143" s="758" t="s">
        <v>852</v>
      </c>
      <c r="AT143" s="758" t="s">
        <v>864</v>
      </c>
      <c r="AU143" s="758" t="s">
        <v>863</v>
      </c>
      <c r="AV143" s="1377">
        <v>2495.7199999999998</v>
      </c>
      <c r="AW143" s="758" t="s">
        <v>861</v>
      </c>
      <c r="AX143" s="1375">
        <v>43039</v>
      </c>
      <c r="AZ143" s="983"/>
      <c r="BA143" s="983"/>
      <c r="BB143" s="985"/>
      <c r="BC143" s="983"/>
      <c r="BD143" s="986"/>
      <c r="BE143" s="983"/>
      <c r="CF143" s="2"/>
    </row>
    <row r="144" spans="3:84">
      <c r="C144" s="2"/>
      <c r="O144" s="93"/>
      <c r="AD144" s="758" t="s">
        <v>758</v>
      </c>
      <c r="AE144" s="1377">
        <v>230</v>
      </c>
      <c r="AF144" s="758" t="s">
        <v>1461</v>
      </c>
      <c r="AG144" s="758" t="s">
        <v>779</v>
      </c>
      <c r="AH144" s="1375">
        <v>42947</v>
      </c>
      <c r="AI144" s="758" t="s">
        <v>1415</v>
      </c>
      <c r="AJ144" s="758" t="s">
        <v>852</v>
      </c>
      <c r="AL144" s="758" t="s">
        <v>758</v>
      </c>
      <c r="AM144" s="1377">
        <v>1.84</v>
      </c>
      <c r="AN144" s="758" t="s">
        <v>1578</v>
      </c>
      <c r="AO144" s="758" t="s">
        <v>780</v>
      </c>
      <c r="AP144" s="1375">
        <v>42825</v>
      </c>
      <c r="AQ144" s="758" t="s">
        <v>1166</v>
      </c>
      <c r="AR144" s="758" t="s">
        <v>852</v>
      </c>
      <c r="AT144" s="758" t="s">
        <v>864</v>
      </c>
      <c r="AU144" s="758" t="s">
        <v>863</v>
      </c>
      <c r="AV144" s="1377">
        <v>9278.5</v>
      </c>
      <c r="AW144" s="758" t="s">
        <v>861</v>
      </c>
      <c r="AX144" s="1375">
        <v>43069</v>
      </c>
      <c r="AZ144" s="983"/>
      <c r="BA144" s="983"/>
      <c r="BB144" s="985"/>
      <c r="BC144" s="983"/>
      <c r="BD144" s="986"/>
      <c r="BE144" s="983"/>
      <c r="CF144" s="2"/>
    </row>
    <row r="145" spans="3:84">
      <c r="C145" s="2"/>
      <c r="O145" s="93"/>
      <c r="AD145" s="758" t="s">
        <v>758</v>
      </c>
      <c r="AE145" s="1377">
        <v>100</v>
      </c>
      <c r="AF145" s="758" t="s">
        <v>1461</v>
      </c>
      <c r="AG145" s="758" t="s">
        <v>779</v>
      </c>
      <c r="AH145" s="1375">
        <v>43008</v>
      </c>
      <c r="AI145" s="758" t="s">
        <v>1415</v>
      </c>
      <c r="AJ145" s="758" t="s">
        <v>852</v>
      </c>
      <c r="AL145" s="758" t="s">
        <v>758</v>
      </c>
      <c r="AM145" s="1377">
        <v>-0.57999999999999996</v>
      </c>
      <c r="AN145" s="758" t="s">
        <v>1578</v>
      </c>
      <c r="AO145" s="758" t="s">
        <v>780</v>
      </c>
      <c r="AP145" s="1375">
        <v>42855</v>
      </c>
      <c r="AQ145" s="758" t="s">
        <v>1166</v>
      </c>
      <c r="AR145" s="758" t="s">
        <v>852</v>
      </c>
      <c r="AT145" s="758" t="s">
        <v>864</v>
      </c>
      <c r="AU145" s="758" t="s">
        <v>863</v>
      </c>
      <c r="AV145" s="1377">
        <v>14236.79</v>
      </c>
      <c r="AW145" s="758" t="s">
        <v>861</v>
      </c>
      <c r="AX145" s="1375">
        <v>43100</v>
      </c>
      <c r="AZ145" s="983"/>
      <c r="BA145" s="983"/>
      <c r="BB145" s="985"/>
      <c r="BC145" s="983"/>
      <c r="BD145" s="986"/>
      <c r="BE145" s="983"/>
      <c r="CF145" s="2"/>
    </row>
    <row r="146" spans="3:84">
      <c r="C146" s="2"/>
      <c r="O146" s="93"/>
      <c r="AD146" s="758" t="s">
        <v>758</v>
      </c>
      <c r="AE146" s="1377">
        <v>977.75</v>
      </c>
      <c r="AF146" s="758" t="s">
        <v>979</v>
      </c>
      <c r="AG146" s="758" t="s">
        <v>779</v>
      </c>
      <c r="AH146" s="1375">
        <v>43008</v>
      </c>
      <c r="AI146" s="758" t="s">
        <v>969</v>
      </c>
      <c r="AJ146" s="758" t="s">
        <v>852</v>
      </c>
      <c r="AL146" s="758" t="s">
        <v>758</v>
      </c>
      <c r="AM146" s="1377">
        <v>-0.25</v>
      </c>
      <c r="AN146" s="758" t="s">
        <v>1578</v>
      </c>
      <c r="AO146" s="758" t="s">
        <v>780</v>
      </c>
      <c r="AP146" s="1375">
        <v>42886</v>
      </c>
      <c r="AQ146" s="758" t="s">
        <v>1166</v>
      </c>
      <c r="AR146" s="758" t="s">
        <v>852</v>
      </c>
      <c r="AT146" s="758"/>
      <c r="AU146" s="758"/>
      <c r="AV146" s="759"/>
      <c r="AW146" s="758"/>
      <c r="AX146" s="1106"/>
      <c r="AZ146" s="983"/>
      <c r="BA146" s="983"/>
      <c r="BB146" s="985"/>
      <c r="BC146" s="983"/>
      <c r="BD146" s="986"/>
      <c r="BE146" s="983"/>
      <c r="CF146" s="2"/>
    </row>
    <row r="147" spans="3:84">
      <c r="C147" s="2"/>
      <c r="O147" s="93"/>
      <c r="AD147" s="758" t="s">
        <v>758</v>
      </c>
      <c r="AE147" s="1377">
        <v>45.25</v>
      </c>
      <c r="AF147" s="758" t="s">
        <v>979</v>
      </c>
      <c r="AG147" s="758" t="s">
        <v>779</v>
      </c>
      <c r="AH147" s="1375">
        <v>43008</v>
      </c>
      <c r="AI147" s="758" t="s">
        <v>1182</v>
      </c>
      <c r="AJ147" s="758" t="s">
        <v>852</v>
      </c>
      <c r="AL147" s="758" t="s">
        <v>758</v>
      </c>
      <c r="AM147" s="1377">
        <v>200</v>
      </c>
      <c r="AN147" s="758" t="s">
        <v>1197</v>
      </c>
      <c r="AO147" s="758" t="s">
        <v>780</v>
      </c>
      <c r="AP147" s="1375">
        <v>42766</v>
      </c>
      <c r="AQ147" s="758" t="s">
        <v>1168</v>
      </c>
      <c r="AR147" s="758" t="s">
        <v>1164</v>
      </c>
      <c r="AT147" s="758"/>
      <c r="AU147" s="758"/>
      <c r="AV147" s="178">
        <f>SUM(AV4:AV145)</f>
        <v>281966.2</v>
      </c>
      <c r="AW147" s="758"/>
      <c r="AX147" s="1106"/>
      <c r="AZ147" s="983"/>
      <c r="BA147" s="983"/>
      <c r="BB147" s="985"/>
      <c r="BC147" s="983"/>
      <c r="BD147" s="986"/>
      <c r="BE147" s="983"/>
      <c r="CF147" s="2"/>
    </row>
    <row r="148" spans="3:84">
      <c r="C148" s="2"/>
      <c r="O148" s="93"/>
      <c r="AD148" s="758" t="s">
        <v>758</v>
      </c>
      <c r="AE148" s="1377">
        <v>2302.08</v>
      </c>
      <c r="AF148" s="758" t="s">
        <v>1262</v>
      </c>
      <c r="AG148" s="758" t="s">
        <v>779</v>
      </c>
      <c r="AH148" s="1375">
        <v>42766</v>
      </c>
      <c r="AI148" s="758" t="s">
        <v>1202</v>
      </c>
      <c r="AJ148" s="758" t="s">
        <v>852</v>
      </c>
      <c r="AL148" s="758" t="s">
        <v>758</v>
      </c>
      <c r="AM148" s="1377">
        <v>63</v>
      </c>
      <c r="AN148" s="758" t="s">
        <v>1197</v>
      </c>
      <c r="AO148" s="758" t="s">
        <v>780</v>
      </c>
      <c r="AP148" s="1375">
        <v>42886</v>
      </c>
      <c r="AQ148" s="758" t="s">
        <v>1190</v>
      </c>
      <c r="AR148" s="758" t="s">
        <v>852</v>
      </c>
      <c r="AT148" s="758"/>
      <c r="AU148" s="758"/>
      <c r="AV148" s="759"/>
      <c r="AW148" s="758"/>
      <c r="AX148" s="1106"/>
      <c r="AZ148" s="983"/>
      <c r="BA148" s="983"/>
      <c r="BB148" s="985"/>
      <c r="BC148" s="983"/>
      <c r="BD148" s="986"/>
      <c r="BE148" s="983"/>
      <c r="CF148" s="2"/>
    </row>
    <row r="149" spans="3:84">
      <c r="C149" s="2"/>
      <c r="O149" s="93"/>
      <c r="AD149" s="758" t="s">
        <v>758</v>
      </c>
      <c r="AE149" s="1377">
        <v>-2302.08</v>
      </c>
      <c r="AF149" s="758" t="s">
        <v>1262</v>
      </c>
      <c r="AG149" s="758" t="s">
        <v>779</v>
      </c>
      <c r="AH149" s="1375">
        <v>42794</v>
      </c>
      <c r="AI149" s="758" t="s">
        <v>1202</v>
      </c>
      <c r="AJ149" s="758" t="s">
        <v>852</v>
      </c>
      <c r="AL149" s="758" t="s">
        <v>758</v>
      </c>
      <c r="AM149" s="1377">
        <v>144</v>
      </c>
      <c r="AN149" s="758" t="s">
        <v>1197</v>
      </c>
      <c r="AO149" s="758" t="s">
        <v>780</v>
      </c>
      <c r="AP149" s="1375">
        <v>42947</v>
      </c>
      <c r="AQ149" s="758" t="s">
        <v>1172</v>
      </c>
      <c r="AR149" s="758" t="s">
        <v>1164</v>
      </c>
      <c r="AT149" s="758"/>
      <c r="AU149" s="758"/>
      <c r="AV149" s="759"/>
      <c r="AW149" s="758"/>
      <c r="AX149" s="1106"/>
      <c r="AZ149" s="983"/>
      <c r="BA149" s="983"/>
      <c r="BB149" s="985"/>
      <c r="BC149" s="983"/>
      <c r="BD149" s="986"/>
      <c r="BE149" s="983"/>
      <c r="CF149" s="2"/>
    </row>
    <row r="150" spans="3:84">
      <c r="C150" s="2"/>
      <c r="O150" s="93"/>
      <c r="AD150" s="758" t="s">
        <v>758</v>
      </c>
      <c r="AE150" s="1377">
        <v>10000</v>
      </c>
      <c r="AF150" s="758" t="s">
        <v>1462</v>
      </c>
      <c r="AG150" s="758" t="s">
        <v>779</v>
      </c>
      <c r="AH150" s="1375">
        <v>42794</v>
      </c>
      <c r="AI150" s="758" t="s">
        <v>1212</v>
      </c>
      <c r="AJ150" s="758" t="s">
        <v>852</v>
      </c>
      <c r="AL150" s="758" t="s">
        <v>758</v>
      </c>
      <c r="AM150" s="1377">
        <v>500</v>
      </c>
      <c r="AN150" s="758" t="s">
        <v>1279</v>
      </c>
      <c r="AO150" s="758" t="s">
        <v>780</v>
      </c>
      <c r="AP150" s="1375">
        <v>42886</v>
      </c>
      <c r="AQ150" s="758" t="s">
        <v>1116</v>
      </c>
      <c r="AR150" s="758" t="s">
        <v>1164</v>
      </c>
      <c r="AT150" s="758"/>
      <c r="AU150" s="758"/>
      <c r="AV150" s="759"/>
      <c r="AW150" s="758"/>
      <c r="AX150" s="1106"/>
      <c r="AZ150" s="983"/>
      <c r="BA150" s="983"/>
      <c r="BB150" s="985"/>
      <c r="BC150" s="983"/>
      <c r="BD150" s="986"/>
      <c r="BE150" s="983"/>
      <c r="CF150" s="2"/>
    </row>
    <row r="151" spans="3:84">
      <c r="C151" s="2"/>
      <c r="O151" s="93"/>
      <c r="AD151" s="758" t="s">
        <v>758</v>
      </c>
      <c r="AE151" s="1377">
        <v>50</v>
      </c>
      <c r="AF151" s="758" t="s">
        <v>1463</v>
      </c>
      <c r="AG151" s="758" t="s">
        <v>779</v>
      </c>
      <c r="AH151" s="1375">
        <v>42794</v>
      </c>
      <c r="AI151" s="758" t="s">
        <v>1278</v>
      </c>
      <c r="AJ151" s="758" t="s">
        <v>852</v>
      </c>
      <c r="AL151" s="758" t="s">
        <v>758</v>
      </c>
      <c r="AM151" s="1377">
        <v>0</v>
      </c>
      <c r="AN151" s="758" t="s">
        <v>1062</v>
      </c>
      <c r="AO151" s="758" t="s">
        <v>780</v>
      </c>
      <c r="AP151" s="1375">
        <v>42766</v>
      </c>
      <c r="AQ151" s="758" t="s">
        <v>1167</v>
      </c>
      <c r="AR151" s="758" t="s">
        <v>852</v>
      </c>
      <c r="AT151" s="758"/>
      <c r="AU151" s="758"/>
      <c r="AV151" s="759"/>
      <c r="AW151" s="758"/>
      <c r="AX151" s="1106"/>
      <c r="AZ151" s="983"/>
      <c r="BA151" s="983"/>
      <c r="BB151" s="985"/>
      <c r="BC151" s="983"/>
      <c r="BD151" s="986"/>
      <c r="BE151" s="983"/>
      <c r="CF151" s="2"/>
    </row>
    <row r="152" spans="3:84">
      <c r="C152" s="2"/>
      <c r="O152" s="93"/>
      <c r="AD152" s="758" t="s">
        <v>758</v>
      </c>
      <c r="AE152" s="1377">
        <v>9686.25</v>
      </c>
      <c r="AF152" s="758" t="s">
        <v>1464</v>
      </c>
      <c r="AG152" s="758" t="s">
        <v>779</v>
      </c>
      <c r="AH152" s="1375">
        <v>42825</v>
      </c>
      <c r="AI152" s="758" t="s">
        <v>1226</v>
      </c>
      <c r="AJ152" s="758" t="s">
        <v>852</v>
      </c>
      <c r="AL152" s="758" t="s">
        <v>758</v>
      </c>
      <c r="AM152" s="1377">
        <v>430</v>
      </c>
      <c r="AN152" s="758" t="s">
        <v>1062</v>
      </c>
      <c r="AO152" s="758" t="s">
        <v>780</v>
      </c>
      <c r="AP152" s="1375">
        <v>42916</v>
      </c>
      <c r="AQ152" s="758" t="s">
        <v>1167</v>
      </c>
      <c r="AR152" s="758" t="s">
        <v>852</v>
      </c>
      <c r="AT152" s="758"/>
      <c r="AU152" s="758"/>
      <c r="AV152" s="759"/>
      <c r="AW152" s="758"/>
      <c r="AX152" s="1106"/>
      <c r="AZ152" s="983"/>
      <c r="BA152" s="983"/>
      <c r="BB152" s="985"/>
      <c r="BC152" s="983"/>
      <c r="BD152" s="986"/>
      <c r="BE152" s="983"/>
      <c r="CF152" s="2"/>
    </row>
    <row r="153" spans="3:84">
      <c r="C153" s="2"/>
      <c r="O153" s="93"/>
      <c r="AD153" s="758" t="s">
        <v>758</v>
      </c>
      <c r="AE153" s="1377">
        <v>0</v>
      </c>
      <c r="AF153" s="758" t="s">
        <v>1464</v>
      </c>
      <c r="AG153" s="758" t="s">
        <v>779</v>
      </c>
      <c r="AH153" s="1375">
        <v>42825</v>
      </c>
      <c r="AI153" s="758" t="s">
        <v>969</v>
      </c>
      <c r="AJ153" s="758" t="s">
        <v>852</v>
      </c>
      <c r="AL153" s="758" t="s">
        <v>758</v>
      </c>
      <c r="AM153" s="1377">
        <v>0</v>
      </c>
      <c r="AN153" s="758" t="s">
        <v>1062</v>
      </c>
      <c r="AO153" s="758" t="s">
        <v>780</v>
      </c>
      <c r="AP153" s="1375">
        <v>42947</v>
      </c>
      <c r="AQ153" s="758" t="s">
        <v>1167</v>
      </c>
      <c r="AR153" s="758" t="s">
        <v>852</v>
      </c>
      <c r="AT153" s="758"/>
      <c r="AU153" s="758"/>
      <c r="AW153" s="758"/>
      <c r="AX153" s="1106"/>
      <c r="AZ153" s="983"/>
      <c r="BA153" s="983"/>
      <c r="BB153" s="985"/>
      <c r="BC153" s="983"/>
      <c r="BD153" s="986"/>
      <c r="BE153" s="983"/>
      <c r="CF153" s="2"/>
    </row>
    <row r="154" spans="3:84">
      <c r="C154" s="2"/>
      <c r="O154" s="93"/>
      <c r="AD154" s="758" t="s">
        <v>758</v>
      </c>
      <c r="AE154" s="1377">
        <v>55</v>
      </c>
      <c r="AF154" s="758" t="s">
        <v>1465</v>
      </c>
      <c r="AG154" s="758" t="s">
        <v>779</v>
      </c>
      <c r="AH154" s="1375">
        <v>42766</v>
      </c>
      <c r="AI154" s="758" t="s">
        <v>969</v>
      </c>
      <c r="AJ154" s="758" t="s">
        <v>852</v>
      </c>
      <c r="AL154" s="758" t="s">
        <v>758</v>
      </c>
      <c r="AM154" s="1377">
        <v>255</v>
      </c>
      <c r="AN154" s="758" t="s">
        <v>1062</v>
      </c>
      <c r="AO154" s="758" t="s">
        <v>780</v>
      </c>
      <c r="AP154" s="1375">
        <v>43039</v>
      </c>
      <c r="AQ154" s="758" t="s">
        <v>1167</v>
      </c>
      <c r="AR154" s="758" t="s">
        <v>852</v>
      </c>
      <c r="AT154" s="758"/>
      <c r="AU154" s="758"/>
      <c r="AV154" s="759"/>
      <c r="AW154" s="758"/>
      <c r="AX154" s="1106"/>
      <c r="AZ154" s="983"/>
      <c r="BA154" s="983"/>
      <c r="BB154" s="985"/>
      <c r="BC154" s="983"/>
      <c r="BD154" s="986"/>
      <c r="BE154" s="983"/>
      <c r="CF154" s="2"/>
    </row>
    <row r="155" spans="3:84">
      <c r="C155" s="2"/>
      <c r="O155" s="93"/>
      <c r="AD155" s="758" t="s">
        <v>758</v>
      </c>
      <c r="AE155" s="1377">
        <v>55</v>
      </c>
      <c r="AF155" s="758" t="s">
        <v>1465</v>
      </c>
      <c r="AG155" s="758" t="s">
        <v>779</v>
      </c>
      <c r="AH155" s="1375">
        <v>42766</v>
      </c>
      <c r="AI155" s="758" t="s">
        <v>1406</v>
      </c>
      <c r="AJ155" s="758" t="s">
        <v>852</v>
      </c>
      <c r="AL155" s="758" t="s">
        <v>758</v>
      </c>
      <c r="AM155" s="1377">
        <v>0</v>
      </c>
      <c r="AN155" s="758" t="s">
        <v>1413</v>
      </c>
      <c r="AO155" s="758" t="s">
        <v>780</v>
      </c>
      <c r="AP155" s="1375">
        <v>42766</v>
      </c>
      <c r="AQ155" s="758" t="s">
        <v>1161</v>
      </c>
      <c r="AR155" s="758" t="s">
        <v>852</v>
      </c>
      <c r="AT155" s="758"/>
      <c r="AU155" s="758"/>
      <c r="AV155" s="759"/>
      <c r="AW155" s="758"/>
      <c r="AX155" s="1106"/>
      <c r="AZ155" s="983"/>
      <c r="BA155" s="983"/>
      <c r="BB155" s="985"/>
      <c r="BC155" s="983"/>
      <c r="BD155" s="986"/>
      <c r="BE155" s="983"/>
      <c r="CF155" s="2"/>
    </row>
    <row r="156" spans="3:84">
      <c r="C156" s="2"/>
      <c r="O156" s="93"/>
      <c r="AD156" s="758" t="s">
        <v>758</v>
      </c>
      <c r="AE156" s="1377">
        <v>19360</v>
      </c>
      <c r="AF156" s="758" t="s">
        <v>857</v>
      </c>
      <c r="AG156" s="758" t="s">
        <v>779</v>
      </c>
      <c r="AH156" s="1375">
        <v>42766</v>
      </c>
      <c r="AI156" s="758" t="s">
        <v>1211</v>
      </c>
      <c r="AJ156" s="758" t="s">
        <v>852</v>
      </c>
      <c r="AL156" s="758" t="s">
        <v>758</v>
      </c>
      <c r="AM156" s="1377">
        <v>7411.83</v>
      </c>
      <c r="AN156" s="758" t="s">
        <v>1191</v>
      </c>
      <c r="AO156" s="758" t="s">
        <v>780</v>
      </c>
      <c r="AP156" s="1375">
        <v>42766</v>
      </c>
      <c r="AQ156" s="758" t="s">
        <v>1220</v>
      </c>
      <c r="AR156" s="758" t="s">
        <v>852</v>
      </c>
      <c r="AT156" s="758"/>
      <c r="AU156" s="758"/>
      <c r="AW156" s="758"/>
      <c r="AX156" s="1106"/>
      <c r="AZ156" s="983"/>
      <c r="BA156" s="983"/>
      <c r="BB156" s="985"/>
      <c r="BC156" s="983"/>
      <c r="BD156" s="986"/>
      <c r="BE156" s="983"/>
      <c r="CF156" s="2"/>
    </row>
    <row r="157" spans="3:84">
      <c r="C157" s="2"/>
      <c r="O157" s="93"/>
      <c r="AD157" s="758" t="s">
        <v>758</v>
      </c>
      <c r="AE157" s="1377">
        <v>3666.67</v>
      </c>
      <c r="AF157" s="758" t="s">
        <v>1263</v>
      </c>
      <c r="AG157" s="758" t="s">
        <v>779</v>
      </c>
      <c r="AH157" s="1375">
        <v>42766</v>
      </c>
      <c r="AI157" s="758" t="s">
        <v>1210</v>
      </c>
      <c r="AJ157" s="758" t="s">
        <v>852</v>
      </c>
      <c r="AL157" s="758" t="s">
        <v>758</v>
      </c>
      <c r="AM157" s="1377">
        <v>-7304.69</v>
      </c>
      <c r="AN157" s="758" t="s">
        <v>1191</v>
      </c>
      <c r="AO157" s="758" t="s">
        <v>780</v>
      </c>
      <c r="AP157" s="1375">
        <v>42766</v>
      </c>
      <c r="AQ157" s="758" t="s">
        <v>1192</v>
      </c>
      <c r="AR157" s="758" t="s">
        <v>852</v>
      </c>
      <c r="AT157" s="758"/>
      <c r="AU157" s="758"/>
      <c r="AV157" s="759"/>
      <c r="AW157" s="758"/>
      <c r="AX157" s="1106"/>
      <c r="AZ157" s="983"/>
      <c r="BA157" s="983"/>
      <c r="BB157" s="985"/>
      <c r="BC157" s="983"/>
      <c r="BD157" s="986"/>
      <c r="BE157" s="983"/>
      <c r="CF157" s="2"/>
    </row>
    <row r="158" spans="3:84">
      <c r="C158" s="2"/>
      <c r="O158" s="93"/>
      <c r="AD158" s="758" t="s">
        <v>758</v>
      </c>
      <c r="AE158" s="1377">
        <v>-3666.71</v>
      </c>
      <c r="AF158" s="758" t="s">
        <v>1263</v>
      </c>
      <c r="AG158" s="758" t="s">
        <v>779</v>
      </c>
      <c r="AH158" s="1375">
        <v>42794</v>
      </c>
      <c r="AI158" s="758" t="s">
        <v>1210</v>
      </c>
      <c r="AJ158" s="758" t="s">
        <v>852</v>
      </c>
      <c r="AL158" s="758" t="s">
        <v>758</v>
      </c>
      <c r="AM158" s="1377">
        <v>761.18</v>
      </c>
      <c r="AN158" s="758" t="s">
        <v>1191</v>
      </c>
      <c r="AO158" s="758" t="s">
        <v>780</v>
      </c>
      <c r="AP158" s="1375">
        <v>42766</v>
      </c>
      <c r="AQ158" s="758" t="s">
        <v>1214</v>
      </c>
      <c r="AR158" s="758" t="s">
        <v>852</v>
      </c>
      <c r="AT158" s="758"/>
      <c r="AU158" s="758"/>
      <c r="AV158" s="759"/>
      <c r="AW158" s="758"/>
      <c r="AX158" s="1106"/>
      <c r="AZ158" s="983"/>
      <c r="BA158" s="983"/>
      <c r="BB158" s="985"/>
      <c r="BC158" s="983"/>
      <c r="BD158" s="986"/>
      <c r="BE158" s="983"/>
      <c r="CF158" s="2"/>
    </row>
    <row r="159" spans="3:84">
      <c r="C159" s="2"/>
      <c r="O159" s="93"/>
      <c r="AD159" s="758" t="s">
        <v>758</v>
      </c>
      <c r="AE159" s="1377">
        <v>3666.67</v>
      </c>
      <c r="AF159" s="758" t="s">
        <v>1263</v>
      </c>
      <c r="AG159" s="758" t="s">
        <v>779</v>
      </c>
      <c r="AH159" s="1375">
        <v>42825</v>
      </c>
      <c r="AI159" s="758" t="s">
        <v>1210</v>
      </c>
      <c r="AJ159" s="758" t="s">
        <v>852</v>
      </c>
      <c r="AL159" s="758" t="s">
        <v>758</v>
      </c>
      <c r="AM159" s="1377">
        <v>45.32</v>
      </c>
      <c r="AN159" s="758" t="s">
        <v>1191</v>
      </c>
      <c r="AO159" s="758" t="s">
        <v>780</v>
      </c>
      <c r="AP159" s="1375">
        <v>42766</v>
      </c>
      <c r="AQ159" s="758" t="s">
        <v>1117</v>
      </c>
      <c r="AR159" s="758" t="s">
        <v>852</v>
      </c>
      <c r="AT159" s="758"/>
      <c r="AU159" s="758"/>
      <c r="AV159" s="759"/>
      <c r="AW159" s="758"/>
      <c r="AX159" s="1106"/>
      <c r="AZ159" s="983"/>
      <c r="BA159" s="983"/>
      <c r="BB159" s="985"/>
      <c r="BC159" s="983"/>
      <c r="BD159" s="986"/>
      <c r="BE159" s="983"/>
      <c r="CF159" s="2"/>
    </row>
    <row r="160" spans="3:84">
      <c r="C160" s="2"/>
      <c r="O160" s="93"/>
      <c r="AD160" s="758" t="s">
        <v>758</v>
      </c>
      <c r="AE160" s="1377">
        <v>3666.67</v>
      </c>
      <c r="AF160" s="758" t="s">
        <v>1263</v>
      </c>
      <c r="AG160" s="758" t="s">
        <v>779</v>
      </c>
      <c r="AH160" s="1375">
        <v>42855</v>
      </c>
      <c r="AI160" s="758" t="s">
        <v>1210</v>
      </c>
      <c r="AJ160" s="758" t="s">
        <v>852</v>
      </c>
      <c r="AL160" s="758" t="s">
        <v>758</v>
      </c>
      <c r="AM160" s="1377">
        <v>67.52</v>
      </c>
      <c r="AN160" s="758" t="s">
        <v>1191</v>
      </c>
      <c r="AO160" s="758" t="s">
        <v>780</v>
      </c>
      <c r="AP160" s="1375">
        <v>42794</v>
      </c>
      <c r="AQ160" s="758" t="s">
        <v>1117</v>
      </c>
      <c r="AR160" s="758" t="s">
        <v>852</v>
      </c>
      <c r="AT160" s="758"/>
      <c r="AU160" s="758"/>
      <c r="AV160" s="759"/>
      <c r="AW160" s="758"/>
      <c r="AX160" s="1106"/>
      <c r="AZ160" s="983"/>
      <c r="BA160" s="983"/>
      <c r="BB160" s="985"/>
      <c r="BC160" s="983"/>
      <c r="BD160" s="986"/>
      <c r="BE160" s="983"/>
      <c r="CF160" s="2"/>
    </row>
    <row r="161" spans="3:84">
      <c r="C161" s="2"/>
      <c r="O161" s="93"/>
      <c r="AD161" s="758" t="s">
        <v>758</v>
      </c>
      <c r="AE161" s="1377">
        <v>3666.67</v>
      </c>
      <c r="AF161" s="758" t="s">
        <v>1263</v>
      </c>
      <c r="AG161" s="758" t="s">
        <v>779</v>
      </c>
      <c r="AH161" s="1375">
        <v>42886</v>
      </c>
      <c r="AI161" s="758" t="s">
        <v>1210</v>
      </c>
      <c r="AJ161" s="758" t="s">
        <v>852</v>
      </c>
      <c r="AL161" s="758" t="s">
        <v>758</v>
      </c>
      <c r="AM161" s="1377">
        <v>92.08</v>
      </c>
      <c r="AN161" s="758" t="s">
        <v>1191</v>
      </c>
      <c r="AO161" s="758" t="s">
        <v>780</v>
      </c>
      <c r="AP161" s="1375">
        <v>42794</v>
      </c>
      <c r="AQ161" s="758" t="s">
        <v>1222</v>
      </c>
      <c r="AR161" s="758" t="s">
        <v>852</v>
      </c>
      <c r="AT161" s="758"/>
      <c r="AU161" s="758"/>
      <c r="AV161" s="759"/>
      <c r="AW161" s="758"/>
      <c r="AX161" s="1106"/>
      <c r="AZ161" s="983"/>
      <c r="BA161" s="983"/>
      <c r="BB161" s="985"/>
      <c r="BC161" s="983"/>
      <c r="BD161" s="986"/>
      <c r="BE161" s="983"/>
      <c r="CF161" s="2"/>
    </row>
    <row r="162" spans="3:84">
      <c r="C162" s="2"/>
      <c r="O162" s="93"/>
      <c r="AD162" s="758" t="s">
        <v>758</v>
      </c>
      <c r="AE162" s="1377">
        <v>3666.67</v>
      </c>
      <c r="AF162" s="758" t="s">
        <v>1263</v>
      </c>
      <c r="AG162" s="758" t="s">
        <v>779</v>
      </c>
      <c r="AH162" s="1375">
        <v>42916</v>
      </c>
      <c r="AI162" s="758" t="s">
        <v>1210</v>
      </c>
      <c r="AJ162" s="758" t="s">
        <v>852</v>
      </c>
      <c r="AL162" s="758" t="s">
        <v>758</v>
      </c>
      <c r="AM162" s="1377">
        <v>-643.44000000000005</v>
      </c>
      <c r="AN162" s="758" t="s">
        <v>1191</v>
      </c>
      <c r="AO162" s="758" t="s">
        <v>780</v>
      </c>
      <c r="AP162" s="1375">
        <v>42825</v>
      </c>
      <c r="AQ162" s="758" t="s">
        <v>1117</v>
      </c>
      <c r="AR162" s="758" t="s">
        <v>852</v>
      </c>
      <c r="AT162" s="758"/>
      <c r="AU162" s="758"/>
      <c r="AV162" s="759"/>
      <c r="AW162" s="758"/>
      <c r="AX162" s="1106"/>
      <c r="AZ162" s="983"/>
      <c r="BA162" s="983"/>
      <c r="BB162" s="985"/>
      <c r="BC162" s="983"/>
      <c r="BD162" s="986"/>
      <c r="BE162" s="983"/>
      <c r="CF162" s="2"/>
    </row>
    <row r="163" spans="3:84">
      <c r="C163" s="2"/>
      <c r="O163" s="93"/>
      <c r="AD163" s="758" t="s">
        <v>758</v>
      </c>
      <c r="AE163" s="1377">
        <v>3666.67</v>
      </c>
      <c r="AF163" s="758" t="s">
        <v>1263</v>
      </c>
      <c r="AG163" s="758" t="s">
        <v>779</v>
      </c>
      <c r="AH163" s="1375">
        <v>42947</v>
      </c>
      <c r="AI163" s="758" t="s">
        <v>1210</v>
      </c>
      <c r="AJ163" s="758" t="s">
        <v>852</v>
      </c>
      <c r="AL163" s="758" t="s">
        <v>758</v>
      </c>
      <c r="AM163" s="1377">
        <v>29.93</v>
      </c>
      <c r="AN163" s="758" t="s">
        <v>1191</v>
      </c>
      <c r="AO163" s="758" t="s">
        <v>780</v>
      </c>
      <c r="AP163" s="1375">
        <v>42825</v>
      </c>
      <c r="AQ163" s="758" t="s">
        <v>1222</v>
      </c>
      <c r="AR163" s="758" t="s">
        <v>852</v>
      </c>
      <c r="AT163" s="758"/>
      <c r="AU163" s="758"/>
      <c r="AV163" s="759"/>
      <c r="AW163" s="758"/>
      <c r="AX163" s="1106"/>
      <c r="AZ163" s="983"/>
      <c r="BA163" s="983"/>
      <c r="BB163" s="985"/>
      <c r="BC163" s="983"/>
      <c r="BD163" s="986"/>
      <c r="BE163" s="983"/>
      <c r="CF163" s="2"/>
    </row>
    <row r="164" spans="3:84">
      <c r="C164" s="2"/>
      <c r="O164" s="93"/>
      <c r="AD164" s="758" t="s">
        <v>758</v>
      </c>
      <c r="AE164" s="1377">
        <v>3666.67</v>
      </c>
      <c r="AF164" s="758" t="s">
        <v>1263</v>
      </c>
      <c r="AG164" s="758" t="s">
        <v>779</v>
      </c>
      <c r="AH164" s="1375">
        <v>42978</v>
      </c>
      <c r="AI164" s="758" t="s">
        <v>1210</v>
      </c>
      <c r="AJ164" s="758" t="s">
        <v>852</v>
      </c>
      <c r="AL164" s="758" t="s">
        <v>758</v>
      </c>
      <c r="AM164" s="1377">
        <v>57.39</v>
      </c>
      <c r="AN164" s="758" t="s">
        <v>1191</v>
      </c>
      <c r="AO164" s="758" t="s">
        <v>780</v>
      </c>
      <c r="AP164" s="1375">
        <v>42855</v>
      </c>
      <c r="AQ164" s="758" t="s">
        <v>1117</v>
      </c>
      <c r="AR164" s="758" t="s">
        <v>852</v>
      </c>
      <c r="AT164" s="758"/>
      <c r="AU164" s="758"/>
      <c r="AV164" s="759"/>
      <c r="AW164" s="758"/>
      <c r="AX164" s="1106"/>
      <c r="AZ164" s="983"/>
      <c r="BA164" s="983"/>
      <c r="BB164" s="985"/>
      <c r="BC164" s="983"/>
      <c r="BD164" s="986"/>
      <c r="BE164" s="983"/>
      <c r="CF164" s="2"/>
    </row>
    <row r="165" spans="3:84">
      <c r="C165" s="2"/>
      <c r="O165" s="93"/>
      <c r="AD165" s="758" t="s">
        <v>758</v>
      </c>
      <c r="AE165" s="1377">
        <v>3666.67</v>
      </c>
      <c r="AF165" s="758" t="s">
        <v>1263</v>
      </c>
      <c r="AG165" s="758" t="s">
        <v>779</v>
      </c>
      <c r="AH165" s="1375">
        <v>43008</v>
      </c>
      <c r="AI165" s="758" t="s">
        <v>1210</v>
      </c>
      <c r="AJ165" s="758" t="s">
        <v>852</v>
      </c>
      <c r="AL165" s="758" t="s">
        <v>758</v>
      </c>
      <c r="AM165" s="1377">
        <v>309.58</v>
      </c>
      <c r="AN165" s="758" t="s">
        <v>1191</v>
      </c>
      <c r="AO165" s="758" t="s">
        <v>780</v>
      </c>
      <c r="AP165" s="1375">
        <v>42916</v>
      </c>
      <c r="AQ165" s="758" t="s">
        <v>1220</v>
      </c>
      <c r="AR165" s="758" t="s">
        <v>852</v>
      </c>
      <c r="AT165" s="758"/>
      <c r="AU165" s="758"/>
      <c r="AV165" s="759"/>
      <c r="AW165" s="758"/>
      <c r="AX165" s="1106"/>
      <c r="AZ165" s="983"/>
      <c r="BA165" s="983"/>
      <c r="BB165" s="985"/>
      <c r="BC165" s="983"/>
      <c r="BD165" s="986"/>
      <c r="BE165" s="983"/>
      <c r="CF165" s="2"/>
    </row>
    <row r="166" spans="3:84">
      <c r="C166" s="2"/>
      <c r="O166" s="93"/>
      <c r="AD166" s="758" t="s">
        <v>758</v>
      </c>
      <c r="AE166" s="1377">
        <v>600</v>
      </c>
      <c r="AF166" s="758" t="s">
        <v>1466</v>
      </c>
      <c r="AG166" s="758" t="s">
        <v>779</v>
      </c>
      <c r="AH166" s="1375">
        <v>42886</v>
      </c>
      <c r="AI166" s="758" t="s">
        <v>969</v>
      </c>
      <c r="AJ166" s="758" t="s">
        <v>852</v>
      </c>
      <c r="AL166" s="758" t="s">
        <v>758</v>
      </c>
      <c r="AM166" s="1377">
        <v>180.88</v>
      </c>
      <c r="AN166" s="758" t="s">
        <v>1191</v>
      </c>
      <c r="AO166" s="758" t="s">
        <v>780</v>
      </c>
      <c r="AP166" s="1375">
        <v>42947</v>
      </c>
      <c r="AQ166" s="758" t="s">
        <v>1224</v>
      </c>
      <c r="AR166" s="758" t="s">
        <v>852</v>
      </c>
      <c r="AT166" s="758"/>
      <c r="AU166" s="758"/>
      <c r="AV166" s="759"/>
      <c r="AW166" s="758"/>
      <c r="AX166" s="1106"/>
      <c r="AZ166" s="983"/>
      <c r="BA166" s="983"/>
      <c r="BB166" s="985"/>
      <c r="BC166" s="983"/>
      <c r="BD166" s="986"/>
      <c r="BE166" s="983"/>
      <c r="CF166" s="2"/>
    </row>
    <row r="167" spans="3:84">
      <c r="C167" s="2"/>
      <c r="O167" s="93"/>
      <c r="AD167" s="758" t="s">
        <v>758</v>
      </c>
      <c r="AE167" s="1377">
        <v>129</v>
      </c>
      <c r="AF167" s="758" t="s">
        <v>1225</v>
      </c>
      <c r="AG167" s="758" t="s">
        <v>779</v>
      </c>
      <c r="AH167" s="1375">
        <v>42766</v>
      </c>
      <c r="AI167" s="758" t="s">
        <v>1203</v>
      </c>
      <c r="AJ167" s="758" t="s">
        <v>852</v>
      </c>
      <c r="AL167" s="758" t="s">
        <v>758</v>
      </c>
      <c r="AM167" s="1377">
        <v>90.44</v>
      </c>
      <c r="AN167" s="758" t="s">
        <v>1191</v>
      </c>
      <c r="AO167" s="758" t="s">
        <v>780</v>
      </c>
      <c r="AP167" s="1375">
        <v>42978</v>
      </c>
      <c r="AQ167" s="758" t="s">
        <v>1224</v>
      </c>
      <c r="AR167" s="758" t="s">
        <v>852</v>
      </c>
      <c r="AT167" s="758"/>
      <c r="AU167" s="758"/>
      <c r="AV167" s="759"/>
      <c r="AW167" s="758"/>
      <c r="AX167" s="1106"/>
      <c r="AZ167" s="983"/>
      <c r="BA167" s="983"/>
      <c r="BB167" s="985"/>
      <c r="BC167" s="983"/>
      <c r="BD167" s="986"/>
      <c r="BE167" s="983"/>
      <c r="CF167" s="2"/>
    </row>
    <row r="168" spans="3:84">
      <c r="C168" s="2"/>
      <c r="O168" s="93"/>
      <c r="AD168" s="758" t="s">
        <v>758</v>
      </c>
      <c r="AE168" s="1377">
        <v>180</v>
      </c>
      <c r="AF168" s="758" t="s">
        <v>1264</v>
      </c>
      <c r="AG168" s="758" t="s">
        <v>779</v>
      </c>
      <c r="AH168" s="1375">
        <v>42916</v>
      </c>
      <c r="AI168" s="758" t="s">
        <v>969</v>
      </c>
      <c r="AJ168" s="758" t="s">
        <v>852</v>
      </c>
      <c r="AL168" s="758" t="s">
        <v>758</v>
      </c>
      <c r="AM168" s="1377">
        <v>55.71</v>
      </c>
      <c r="AN168" s="758" t="s">
        <v>1191</v>
      </c>
      <c r="AO168" s="758" t="s">
        <v>780</v>
      </c>
      <c r="AP168" s="1375">
        <v>43069</v>
      </c>
      <c r="AQ168" s="758" t="s">
        <v>1222</v>
      </c>
      <c r="AR168" s="758" t="s">
        <v>852</v>
      </c>
      <c r="AT168" s="758"/>
      <c r="AU168" s="758"/>
      <c r="AV168" s="759"/>
      <c r="AW168" s="758"/>
      <c r="AX168" s="1106"/>
      <c r="AZ168" s="983"/>
      <c r="BA168" s="983"/>
      <c r="BB168" s="985"/>
      <c r="BC168" s="983"/>
      <c r="BD168" s="986"/>
      <c r="BE168" s="983"/>
      <c r="CF168" s="2"/>
    </row>
    <row r="169" spans="3:84">
      <c r="C169" s="2"/>
      <c r="O169" s="93"/>
      <c r="AD169" s="758" t="s">
        <v>758</v>
      </c>
      <c r="AE169" s="1377">
        <v>4176.67</v>
      </c>
      <c r="AF169" s="758" t="s">
        <v>462</v>
      </c>
      <c r="AG169" s="758" t="s">
        <v>779</v>
      </c>
      <c r="AH169" s="1375">
        <v>42766</v>
      </c>
      <c r="AI169" s="758" t="s">
        <v>1226</v>
      </c>
      <c r="AJ169" s="758" t="s">
        <v>852</v>
      </c>
      <c r="AL169" s="758" t="s">
        <v>758</v>
      </c>
      <c r="AM169" s="1377">
        <v>92.42</v>
      </c>
      <c r="AN169" s="758" t="s">
        <v>1191</v>
      </c>
      <c r="AO169" s="758" t="s">
        <v>780</v>
      </c>
      <c r="AP169" s="1375">
        <v>43100</v>
      </c>
      <c r="AQ169" s="758" t="s">
        <v>1117</v>
      </c>
      <c r="AR169" s="758" t="s">
        <v>852</v>
      </c>
      <c r="AT169" s="758"/>
      <c r="AU169" s="758"/>
      <c r="AV169" s="759"/>
      <c r="AW169" s="758"/>
      <c r="AX169" s="1106"/>
      <c r="AZ169" s="983"/>
      <c r="BA169" s="983"/>
      <c r="BB169" s="985"/>
      <c r="BC169" s="983"/>
      <c r="BD169" s="986"/>
      <c r="BE169" s="983"/>
      <c r="CF169" s="2"/>
    </row>
    <row r="170" spans="3:84">
      <c r="C170" s="2"/>
      <c r="O170" s="93"/>
      <c r="AD170" s="758" t="s">
        <v>758</v>
      </c>
      <c r="AE170" s="1377">
        <v>4176.67</v>
      </c>
      <c r="AF170" s="758" t="s">
        <v>462</v>
      </c>
      <c r="AG170" s="758" t="s">
        <v>779</v>
      </c>
      <c r="AH170" s="1375">
        <v>42794</v>
      </c>
      <c r="AI170" s="758" t="s">
        <v>1226</v>
      </c>
      <c r="AJ170" s="758" t="s">
        <v>852</v>
      </c>
      <c r="AL170" s="758" t="s">
        <v>758</v>
      </c>
      <c r="AM170" s="1377">
        <v>154</v>
      </c>
      <c r="AN170" s="758" t="s">
        <v>1098</v>
      </c>
      <c r="AO170" s="758" t="s">
        <v>780</v>
      </c>
      <c r="AP170" s="1375">
        <v>42978</v>
      </c>
      <c r="AQ170" s="758" t="s">
        <v>1407</v>
      </c>
      <c r="AR170" s="758" t="s">
        <v>852</v>
      </c>
      <c r="AT170" s="758"/>
      <c r="AU170" s="758"/>
      <c r="AV170" s="759"/>
      <c r="AW170" s="758"/>
      <c r="AX170" s="1106"/>
      <c r="AZ170" s="983"/>
      <c r="BA170" s="983"/>
      <c r="BB170" s="985"/>
      <c r="BC170" s="983"/>
      <c r="BD170" s="986"/>
      <c r="BE170" s="983"/>
      <c r="CF170" s="2"/>
    </row>
    <row r="171" spans="3:84">
      <c r="C171" s="2"/>
      <c r="O171" s="93"/>
      <c r="AD171" s="758" t="s">
        <v>758</v>
      </c>
      <c r="AE171" s="1377">
        <v>4176.67</v>
      </c>
      <c r="AF171" s="758" t="s">
        <v>462</v>
      </c>
      <c r="AG171" s="758" t="s">
        <v>779</v>
      </c>
      <c r="AH171" s="1375">
        <v>42825</v>
      </c>
      <c r="AI171" s="758" t="s">
        <v>1226</v>
      </c>
      <c r="AJ171" s="758" t="s">
        <v>852</v>
      </c>
      <c r="AL171" s="758" t="s">
        <v>758</v>
      </c>
      <c r="AM171" s="1377">
        <v>139</v>
      </c>
      <c r="AN171" s="758" t="s">
        <v>1063</v>
      </c>
      <c r="AO171" s="758" t="s">
        <v>780</v>
      </c>
      <c r="AP171" s="1375">
        <v>42794</v>
      </c>
      <c r="AQ171" s="758" t="s">
        <v>1167</v>
      </c>
      <c r="AR171" s="758" t="s">
        <v>852</v>
      </c>
      <c r="AT171" s="758"/>
      <c r="AU171" s="758"/>
      <c r="AV171" s="759"/>
      <c r="AW171" s="758"/>
      <c r="AX171" s="1106"/>
      <c r="AZ171" s="983"/>
      <c r="BA171" s="983"/>
      <c r="BB171" s="985"/>
      <c r="BC171" s="983"/>
      <c r="BD171" s="986"/>
      <c r="BE171" s="983"/>
      <c r="CF171" s="2"/>
    </row>
    <row r="172" spans="3:84">
      <c r="C172" s="2"/>
      <c r="O172" s="93"/>
      <c r="AD172" s="758" t="s">
        <v>758</v>
      </c>
      <c r="AE172" s="1377">
        <v>4176.67</v>
      </c>
      <c r="AF172" s="758" t="s">
        <v>462</v>
      </c>
      <c r="AG172" s="758" t="s">
        <v>779</v>
      </c>
      <c r="AH172" s="1375">
        <v>42855</v>
      </c>
      <c r="AI172" s="758" t="s">
        <v>1226</v>
      </c>
      <c r="AJ172" s="758" t="s">
        <v>852</v>
      </c>
      <c r="AL172" s="758" t="s">
        <v>758</v>
      </c>
      <c r="AM172" s="1377">
        <v>129</v>
      </c>
      <c r="AN172" s="758" t="s">
        <v>1063</v>
      </c>
      <c r="AO172" s="758" t="s">
        <v>780</v>
      </c>
      <c r="AP172" s="1375">
        <v>42855</v>
      </c>
      <c r="AQ172" s="758" t="s">
        <v>1407</v>
      </c>
      <c r="AR172" s="758" t="s">
        <v>852</v>
      </c>
      <c r="AT172" s="758"/>
      <c r="AU172" s="758"/>
      <c r="AV172" s="759"/>
      <c r="AW172" s="758"/>
      <c r="AX172" s="1106"/>
      <c r="AZ172" s="983"/>
      <c r="BA172" s="983"/>
      <c r="BB172" s="985"/>
      <c r="BC172" s="983"/>
      <c r="BD172" s="986"/>
      <c r="BE172" s="983"/>
      <c r="CF172" s="2"/>
    </row>
    <row r="173" spans="3:84">
      <c r="C173" s="2"/>
      <c r="O173" s="93"/>
      <c r="AD173" s="758" t="s">
        <v>758</v>
      </c>
      <c r="AE173" s="1377">
        <v>4176.67</v>
      </c>
      <c r="AF173" s="758" t="s">
        <v>462</v>
      </c>
      <c r="AG173" s="758" t="s">
        <v>779</v>
      </c>
      <c r="AH173" s="1375">
        <v>42886</v>
      </c>
      <c r="AI173" s="758" t="s">
        <v>1226</v>
      </c>
      <c r="AJ173" s="758" t="s">
        <v>852</v>
      </c>
      <c r="AL173" s="758" t="s">
        <v>758</v>
      </c>
      <c r="AM173" s="1377">
        <v>75</v>
      </c>
      <c r="AN173" s="758" t="s">
        <v>1223</v>
      </c>
      <c r="AO173" s="758" t="s">
        <v>780</v>
      </c>
      <c r="AP173" s="1375">
        <v>42794</v>
      </c>
      <c r="AQ173" s="758" t="s">
        <v>1103</v>
      </c>
      <c r="AR173" s="758" t="s">
        <v>852</v>
      </c>
      <c r="AT173" s="758"/>
      <c r="AU173" s="758"/>
      <c r="AV173" s="759"/>
      <c r="AW173" s="758"/>
      <c r="AX173" s="1106"/>
      <c r="AZ173" s="983"/>
      <c r="BA173" s="983"/>
      <c r="BB173" s="985"/>
      <c r="BC173" s="983"/>
      <c r="BD173" s="986"/>
      <c r="BE173" s="983"/>
      <c r="CF173" s="2"/>
    </row>
    <row r="174" spans="3:84">
      <c r="C174" s="2"/>
      <c r="O174" s="93"/>
      <c r="AD174" s="758" t="s">
        <v>758</v>
      </c>
      <c r="AE174" s="1377">
        <v>4166.63</v>
      </c>
      <c r="AF174" s="758" t="s">
        <v>462</v>
      </c>
      <c r="AG174" s="758" t="s">
        <v>779</v>
      </c>
      <c r="AH174" s="1375">
        <v>42947</v>
      </c>
      <c r="AI174" s="758" t="s">
        <v>1226</v>
      </c>
      <c r="AJ174" s="758" t="s">
        <v>852</v>
      </c>
      <c r="AL174" s="758" t="s">
        <v>758</v>
      </c>
      <c r="AM174" s="1377">
        <v>18900</v>
      </c>
      <c r="AN174" s="758" t="s">
        <v>1061</v>
      </c>
      <c r="AO174" s="758" t="s">
        <v>780</v>
      </c>
      <c r="AP174" s="1375">
        <v>43069</v>
      </c>
      <c r="AQ174" s="758" t="s">
        <v>1116</v>
      </c>
      <c r="AR174" s="758" t="s">
        <v>852</v>
      </c>
      <c r="AT174" s="758"/>
      <c r="AU174" s="758"/>
      <c r="AV174" s="759"/>
      <c r="AW174" s="758"/>
      <c r="AX174" s="1106"/>
      <c r="AZ174" s="983"/>
      <c r="BA174" s="983"/>
      <c r="BB174" s="985"/>
      <c r="BC174" s="983"/>
      <c r="BD174" s="986"/>
      <c r="BE174" s="983"/>
      <c r="CF174" s="2"/>
    </row>
    <row r="175" spans="3:84">
      <c r="C175" s="2"/>
      <c r="O175" s="93"/>
      <c r="AD175" s="758" t="s">
        <v>758</v>
      </c>
      <c r="AE175" s="1377">
        <v>4166.67</v>
      </c>
      <c r="AF175" s="758" t="s">
        <v>462</v>
      </c>
      <c r="AG175" s="758" t="s">
        <v>779</v>
      </c>
      <c r="AH175" s="1375">
        <v>42978</v>
      </c>
      <c r="AI175" s="758" t="s">
        <v>1226</v>
      </c>
      <c r="AJ175" s="758" t="s">
        <v>852</v>
      </c>
      <c r="AL175" s="758" t="s">
        <v>758</v>
      </c>
      <c r="AM175" s="1377">
        <v>-18900</v>
      </c>
      <c r="AN175" s="758" t="s">
        <v>1061</v>
      </c>
      <c r="AO175" s="758" t="s">
        <v>780</v>
      </c>
      <c r="AP175" s="1375">
        <v>43100</v>
      </c>
      <c r="AQ175" s="758" t="s">
        <v>1116</v>
      </c>
      <c r="AR175" s="758" t="s">
        <v>852</v>
      </c>
      <c r="AT175" s="1179"/>
      <c r="AU175" s="1179"/>
      <c r="AV175" s="1180"/>
      <c r="AW175" s="1179"/>
      <c r="AX175" s="1181"/>
      <c r="AZ175" s="983"/>
      <c r="BA175" s="983"/>
      <c r="BB175" s="985"/>
      <c r="BC175" s="983"/>
      <c r="BD175" s="986"/>
      <c r="BE175" s="983"/>
      <c r="CF175" s="2"/>
    </row>
    <row r="176" spans="3:84">
      <c r="C176" s="2"/>
      <c r="O176" s="93"/>
      <c r="AD176" s="758" t="s">
        <v>758</v>
      </c>
      <c r="AE176" s="1377">
        <v>4166.67</v>
      </c>
      <c r="AF176" s="758" t="s">
        <v>462</v>
      </c>
      <c r="AG176" s="758" t="s">
        <v>779</v>
      </c>
      <c r="AH176" s="1375">
        <v>43008</v>
      </c>
      <c r="AI176" s="758" t="s">
        <v>1226</v>
      </c>
      <c r="AJ176" s="758" t="s">
        <v>852</v>
      </c>
      <c r="AL176" s="758" t="s">
        <v>758</v>
      </c>
      <c r="AM176" s="1377">
        <v>500</v>
      </c>
      <c r="AN176" s="758" t="s">
        <v>1280</v>
      </c>
      <c r="AO176" s="758" t="s">
        <v>780</v>
      </c>
      <c r="AP176" s="1375">
        <v>42794</v>
      </c>
      <c r="AQ176" s="758" t="s">
        <v>1162</v>
      </c>
      <c r="AR176" s="758" t="s">
        <v>852</v>
      </c>
      <c r="AT176" s="1179"/>
      <c r="AU176" s="1179"/>
      <c r="AW176" s="1179"/>
      <c r="AX176" s="1181"/>
      <c r="AZ176" s="983"/>
      <c r="BA176" s="983"/>
      <c r="BB176" s="985"/>
      <c r="BC176" s="983"/>
      <c r="BD176" s="986"/>
      <c r="BE176" s="983"/>
      <c r="CF176" s="2"/>
    </row>
    <row r="177" spans="3:84">
      <c r="C177" s="2"/>
      <c r="O177" s="93"/>
      <c r="AD177" s="758" t="s">
        <v>758</v>
      </c>
      <c r="AE177" s="1377">
        <v>4166.67</v>
      </c>
      <c r="AF177" s="758" t="s">
        <v>462</v>
      </c>
      <c r="AG177" s="758" t="s">
        <v>779</v>
      </c>
      <c r="AH177" s="1375">
        <v>43039</v>
      </c>
      <c r="AI177" s="758" t="s">
        <v>1226</v>
      </c>
      <c r="AJ177" s="758" t="s">
        <v>852</v>
      </c>
      <c r="AL177" s="758" t="s">
        <v>758</v>
      </c>
      <c r="AM177" s="1377">
        <v>1500</v>
      </c>
      <c r="AN177" s="758" t="s">
        <v>984</v>
      </c>
      <c r="AO177" s="758" t="s">
        <v>780</v>
      </c>
      <c r="AP177" s="1375">
        <v>42825</v>
      </c>
      <c r="AQ177" s="758" t="s">
        <v>1186</v>
      </c>
      <c r="AR177" s="758" t="s">
        <v>1164</v>
      </c>
      <c r="AT177" s="1179"/>
      <c r="AU177" s="1179"/>
      <c r="AV177" s="1180"/>
      <c r="AW177" s="1179"/>
      <c r="AX177" s="1181"/>
      <c r="AZ177" s="983"/>
      <c r="BA177" s="983"/>
      <c r="BB177" s="985"/>
      <c r="BC177" s="983"/>
      <c r="BD177" s="986"/>
      <c r="BE177" s="983"/>
      <c r="CF177" s="2"/>
    </row>
    <row r="178" spans="3:84">
      <c r="C178" s="2"/>
      <c r="O178" s="93"/>
      <c r="AD178" s="758" t="s">
        <v>758</v>
      </c>
      <c r="AE178" s="1377">
        <v>4166.67</v>
      </c>
      <c r="AF178" s="758" t="s">
        <v>462</v>
      </c>
      <c r="AG178" s="758" t="s">
        <v>779</v>
      </c>
      <c r="AH178" s="1375">
        <v>43069</v>
      </c>
      <c r="AI178" s="758" t="s">
        <v>1226</v>
      </c>
      <c r="AJ178" s="758" t="s">
        <v>852</v>
      </c>
      <c r="AL178" s="758" t="s">
        <v>758</v>
      </c>
      <c r="AM178" s="1377">
        <v>5000</v>
      </c>
      <c r="AN178" s="758" t="s">
        <v>984</v>
      </c>
      <c r="AO178" s="758" t="s">
        <v>780</v>
      </c>
      <c r="AP178" s="1375">
        <v>42978</v>
      </c>
      <c r="AQ178" s="758" t="s">
        <v>1186</v>
      </c>
      <c r="AR178" s="758" t="s">
        <v>1164</v>
      </c>
      <c r="AT178" s="1179"/>
      <c r="AU178" s="1179"/>
      <c r="AV178" s="1180"/>
      <c r="AW178" s="1179"/>
      <c r="AX178" s="1181"/>
      <c r="AZ178" s="983"/>
      <c r="BA178" s="983"/>
      <c r="BB178" s="985"/>
      <c r="BC178" s="983"/>
      <c r="BD178" s="986"/>
      <c r="BE178" s="983"/>
      <c r="CF178" s="2"/>
    </row>
    <row r="179" spans="3:84">
      <c r="C179" s="2"/>
      <c r="O179" s="93"/>
      <c r="AD179" s="758" t="s">
        <v>758</v>
      </c>
      <c r="AE179" s="1377">
        <v>4166.67</v>
      </c>
      <c r="AF179" s="758" t="s">
        <v>462</v>
      </c>
      <c r="AG179" s="758" t="s">
        <v>779</v>
      </c>
      <c r="AH179" s="1375">
        <v>43100</v>
      </c>
      <c r="AI179" s="758" t="s">
        <v>1226</v>
      </c>
      <c r="AJ179" s="758" t="s">
        <v>852</v>
      </c>
      <c r="AL179" s="758" t="s">
        <v>758</v>
      </c>
      <c r="AM179" s="1377">
        <v>0</v>
      </c>
      <c r="AN179" s="758" t="s">
        <v>1130</v>
      </c>
      <c r="AO179" s="758" t="s">
        <v>780</v>
      </c>
      <c r="AP179" s="1375">
        <v>42947</v>
      </c>
      <c r="AQ179" s="758" t="s">
        <v>1103</v>
      </c>
      <c r="AR179" s="758" t="s">
        <v>852</v>
      </c>
      <c r="AT179" s="1179"/>
      <c r="AU179" s="1179"/>
      <c r="AV179" s="1180"/>
      <c r="AW179" s="1179"/>
      <c r="AX179" s="1181"/>
      <c r="AZ179" s="983"/>
      <c r="BA179" s="983"/>
      <c r="BB179" s="985"/>
      <c r="BC179" s="983"/>
      <c r="BD179" s="986"/>
      <c r="BE179" s="983"/>
      <c r="CF179" s="2"/>
    </row>
    <row r="180" spans="3:84">
      <c r="C180" s="2"/>
      <c r="O180" s="93"/>
      <c r="AD180" s="758" t="s">
        <v>758</v>
      </c>
      <c r="AE180" s="1377">
        <v>480.11</v>
      </c>
      <c r="AF180" s="758" t="s">
        <v>1048</v>
      </c>
      <c r="AG180" s="758" t="s">
        <v>779</v>
      </c>
      <c r="AH180" s="1375">
        <v>42766</v>
      </c>
      <c r="AI180" s="758" t="s">
        <v>1215</v>
      </c>
      <c r="AJ180" s="758" t="s">
        <v>852</v>
      </c>
      <c r="AL180" s="758" t="s">
        <v>758</v>
      </c>
      <c r="AM180" s="1377">
        <v>9127.84</v>
      </c>
      <c r="AN180" s="758" t="s">
        <v>979</v>
      </c>
      <c r="AO180" s="758" t="s">
        <v>780</v>
      </c>
      <c r="AP180" s="1375">
        <v>42766</v>
      </c>
      <c r="AQ180" s="758" t="s">
        <v>969</v>
      </c>
      <c r="AR180" s="758" t="s">
        <v>852</v>
      </c>
      <c r="AT180" s="1179"/>
      <c r="AU180" s="1179"/>
      <c r="AV180" s="1180"/>
      <c r="AW180" s="1179"/>
      <c r="AX180" s="1181"/>
      <c r="AZ180" s="983"/>
      <c r="BA180" s="983"/>
      <c r="BB180" s="985"/>
      <c r="BC180" s="983"/>
      <c r="BD180" s="986"/>
      <c r="BE180" s="983"/>
      <c r="CF180" s="2"/>
    </row>
    <row r="181" spans="3:84">
      <c r="C181" s="2"/>
      <c r="O181" s="93"/>
      <c r="AD181" s="758" t="s">
        <v>758</v>
      </c>
      <c r="AE181" s="1377">
        <v>0</v>
      </c>
      <c r="AF181" s="758" t="s">
        <v>1048</v>
      </c>
      <c r="AG181" s="758" t="s">
        <v>779</v>
      </c>
      <c r="AH181" s="1375">
        <v>43008</v>
      </c>
      <c r="AI181" s="758" t="s">
        <v>969</v>
      </c>
      <c r="AJ181" s="758" t="s">
        <v>852</v>
      </c>
      <c r="AL181" s="758" t="s">
        <v>758</v>
      </c>
      <c r="AM181" s="1377">
        <v>-67.209999999999994</v>
      </c>
      <c r="AN181" s="758" t="s">
        <v>979</v>
      </c>
      <c r="AO181" s="758" t="s">
        <v>780</v>
      </c>
      <c r="AP181" s="1375">
        <v>42766</v>
      </c>
      <c r="AQ181" s="758" t="s">
        <v>1205</v>
      </c>
      <c r="AR181" s="758" t="s">
        <v>852</v>
      </c>
      <c r="AT181" s="1179"/>
      <c r="AU181" s="1179"/>
      <c r="AV181" s="1180"/>
      <c r="AW181" s="1179"/>
      <c r="AX181" s="1181"/>
      <c r="AZ181" s="983"/>
      <c r="BA181" s="983"/>
      <c r="BB181" s="985"/>
      <c r="BC181" s="983"/>
      <c r="BD181" s="986"/>
      <c r="BE181" s="983"/>
      <c r="CF181" s="2"/>
    </row>
    <row r="182" spans="3:84">
      <c r="C182" s="2"/>
      <c r="O182" s="93"/>
      <c r="AD182" s="758" t="s">
        <v>758</v>
      </c>
      <c r="AE182" s="1377">
        <v>7061.64</v>
      </c>
      <c r="AF182" s="758" t="s">
        <v>1250</v>
      </c>
      <c r="AG182" s="758" t="s">
        <v>779</v>
      </c>
      <c r="AH182" s="1375">
        <v>42766</v>
      </c>
      <c r="AI182" s="758" t="s">
        <v>1211</v>
      </c>
      <c r="AJ182" s="758" t="s">
        <v>852</v>
      </c>
      <c r="AL182" s="758" t="s">
        <v>758</v>
      </c>
      <c r="AM182" s="1377">
        <v>5962.66</v>
      </c>
      <c r="AN182" s="758" t="s">
        <v>979</v>
      </c>
      <c r="AO182" s="758" t="s">
        <v>780</v>
      </c>
      <c r="AP182" s="1375">
        <v>42766</v>
      </c>
      <c r="AQ182" s="758" t="s">
        <v>1117</v>
      </c>
      <c r="AR182" s="758" t="s">
        <v>852</v>
      </c>
      <c r="AT182" s="1179"/>
      <c r="AU182" s="1179"/>
      <c r="AV182" s="1180"/>
      <c r="AW182" s="1179"/>
      <c r="AX182" s="1181"/>
      <c r="AZ182" s="983"/>
      <c r="BA182" s="983"/>
      <c r="BB182" s="985"/>
      <c r="BC182" s="983"/>
      <c r="BD182" s="986"/>
      <c r="BE182" s="983"/>
      <c r="CF182" s="2"/>
    </row>
    <row r="183" spans="3:84">
      <c r="C183" s="2"/>
      <c r="O183" s="93"/>
      <c r="AD183" s="758" t="s">
        <v>758</v>
      </c>
      <c r="AE183" s="1377">
        <v>30</v>
      </c>
      <c r="AF183" s="758" t="s">
        <v>1102</v>
      </c>
      <c r="AG183" s="758" t="s">
        <v>779</v>
      </c>
      <c r="AH183" s="1375">
        <v>42766</v>
      </c>
      <c r="AI183" s="758" t="s">
        <v>969</v>
      </c>
      <c r="AJ183" s="758" t="s">
        <v>852</v>
      </c>
      <c r="AL183" s="758" t="s">
        <v>758</v>
      </c>
      <c r="AM183" s="1377">
        <v>-103.09</v>
      </c>
      <c r="AN183" s="758" t="s">
        <v>979</v>
      </c>
      <c r="AO183" s="758" t="s">
        <v>780</v>
      </c>
      <c r="AP183" s="1375">
        <v>42766</v>
      </c>
      <c r="AQ183" s="758" t="s">
        <v>1222</v>
      </c>
      <c r="AR183" s="758" t="s">
        <v>852</v>
      </c>
      <c r="AT183" s="987"/>
      <c r="AU183" s="987"/>
      <c r="AV183" s="989"/>
      <c r="AW183" s="987"/>
      <c r="AX183" s="990"/>
      <c r="AZ183" s="983"/>
      <c r="BA183" s="983"/>
      <c r="BB183" s="985"/>
      <c r="BC183" s="983"/>
      <c r="BD183" s="986"/>
      <c r="BE183" s="983"/>
      <c r="CF183" s="2"/>
    </row>
    <row r="184" spans="3:84">
      <c r="C184" s="2"/>
      <c r="O184" s="93"/>
      <c r="AD184" s="758" t="s">
        <v>758</v>
      </c>
      <c r="AE184" s="1377">
        <v>62.5</v>
      </c>
      <c r="AF184" s="758" t="s">
        <v>1102</v>
      </c>
      <c r="AG184" s="758" t="s">
        <v>779</v>
      </c>
      <c r="AH184" s="1375">
        <v>42825</v>
      </c>
      <c r="AI184" s="758" t="s">
        <v>969</v>
      </c>
      <c r="AJ184" s="758" t="s">
        <v>852</v>
      </c>
      <c r="AL184" s="758" t="s">
        <v>758</v>
      </c>
      <c r="AM184" s="1377">
        <v>160.69999999999999</v>
      </c>
      <c r="AN184" s="758" t="s">
        <v>979</v>
      </c>
      <c r="AO184" s="758" t="s">
        <v>780</v>
      </c>
      <c r="AP184" s="1375">
        <v>42766</v>
      </c>
      <c r="AQ184" s="758" t="s">
        <v>1189</v>
      </c>
      <c r="AR184" s="758" t="s">
        <v>852</v>
      </c>
      <c r="AT184" s="987"/>
      <c r="AU184" s="987"/>
      <c r="AW184" s="987"/>
      <c r="AX184" s="990"/>
      <c r="AZ184" s="983"/>
      <c r="BA184" s="983"/>
      <c r="BB184" s="985"/>
      <c r="BC184" s="983"/>
      <c r="BD184" s="986"/>
      <c r="BE184" s="983"/>
      <c r="CF184" s="2"/>
    </row>
    <row r="185" spans="3:84">
      <c r="C185" s="2"/>
      <c r="O185" s="93"/>
      <c r="AD185" s="758" t="s">
        <v>758</v>
      </c>
      <c r="AE185" s="1377">
        <v>60</v>
      </c>
      <c r="AF185" s="758" t="s">
        <v>1102</v>
      </c>
      <c r="AG185" s="758" t="s">
        <v>779</v>
      </c>
      <c r="AH185" s="1375">
        <v>42886</v>
      </c>
      <c r="AI185" s="758" t="s">
        <v>969</v>
      </c>
      <c r="AJ185" s="758" t="s">
        <v>852</v>
      </c>
      <c r="AL185" s="758" t="s">
        <v>758</v>
      </c>
      <c r="AM185" s="1377">
        <v>9964.9599999999991</v>
      </c>
      <c r="AN185" s="758" t="s">
        <v>979</v>
      </c>
      <c r="AO185" s="758" t="s">
        <v>780</v>
      </c>
      <c r="AP185" s="1375">
        <v>42794</v>
      </c>
      <c r="AQ185" s="758" t="s">
        <v>969</v>
      </c>
      <c r="AR185" s="758" t="s">
        <v>852</v>
      </c>
      <c r="AT185" s="987"/>
      <c r="AU185" s="987"/>
      <c r="AV185" s="989"/>
      <c r="AW185" s="987"/>
      <c r="AX185" s="990"/>
      <c r="AZ185" s="983"/>
      <c r="BA185" s="983"/>
      <c r="BB185" s="985"/>
      <c r="BC185" s="983"/>
      <c r="BD185" s="986"/>
      <c r="BE185" s="983"/>
      <c r="CF185" s="2"/>
    </row>
    <row r="186" spans="3:84">
      <c r="C186" s="2"/>
      <c r="O186" s="93"/>
      <c r="AD186" s="758" t="s">
        <v>758</v>
      </c>
      <c r="AE186" s="1377">
        <v>30</v>
      </c>
      <c r="AF186" s="758" t="s">
        <v>1102</v>
      </c>
      <c r="AG186" s="758" t="s">
        <v>779</v>
      </c>
      <c r="AH186" s="1375">
        <v>42916</v>
      </c>
      <c r="AI186" s="758" t="s">
        <v>969</v>
      </c>
      <c r="AJ186" s="758" t="s">
        <v>852</v>
      </c>
      <c r="AL186" s="758" t="s">
        <v>758</v>
      </c>
      <c r="AM186" s="1377">
        <v>143.30000000000001</v>
      </c>
      <c r="AN186" s="758" t="s">
        <v>979</v>
      </c>
      <c r="AO186" s="758" t="s">
        <v>780</v>
      </c>
      <c r="AP186" s="1375">
        <v>42794</v>
      </c>
      <c r="AQ186" s="758" t="s">
        <v>1207</v>
      </c>
      <c r="AR186" s="758" t="s">
        <v>852</v>
      </c>
      <c r="AT186" s="987"/>
      <c r="AU186" s="987"/>
      <c r="AV186" s="989"/>
      <c r="AW186" s="987"/>
      <c r="AX186" s="990"/>
      <c r="AZ186" s="983"/>
      <c r="BA186" s="983"/>
      <c r="BB186" s="985"/>
      <c r="BC186" s="983"/>
      <c r="BD186" s="986"/>
      <c r="BE186" s="983"/>
      <c r="CF186" s="2"/>
    </row>
    <row r="187" spans="3:84">
      <c r="C187" s="2"/>
      <c r="O187" s="93"/>
      <c r="AD187" s="758" t="s">
        <v>758</v>
      </c>
      <c r="AE187" s="1377">
        <v>61.5</v>
      </c>
      <c r="AF187" s="758" t="s">
        <v>1102</v>
      </c>
      <c r="AG187" s="758" t="s">
        <v>779</v>
      </c>
      <c r="AH187" s="1375">
        <v>43008</v>
      </c>
      <c r="AI187" s="758" t="s">
        <v>969</v>
      </c>
      <c r="AJ187" s="758" t="s">
        <v>852</v>
      </c>
      <c r="AL187" s="758" t="s">
        <v>758</v>
      </c>
      <c r="AM187" s="1377">
        <v>157.24</v>
      </c>
      <c r="AN187" s="758" t="s">
        <v>979</v>
      </c>
      <c r="AO187" s="758" t="s">
        <v>780</v>
      </c>
      <c r="AP187" s="1375">
        <v>42794</v>
      </c>
      <c r="AQ187" s="758" t="s">
        <v>1203</v>
      </c>
      <c r="AR187" s="758" t="s">
        <v>852</v>
      </c>
      <c r="AT187" s="987"/>
      <c r="AU187" s="987"/>
      <c r="AV187" s="989"/>
      <c r="AW187" s="987"/>
      <c r="AX187" s="990"/>
      <c r="AZ187" s="983"/>
      <c r="BA187" s="983"/>
      <c r="BB187" s="985"/>
      <c r="BC187" s="983"/>
      <c r="BD187" s="986"/>
      <c r="BE187" s="983"/>
      <c r="CF187" s="2"/>
    </row>
    <row r="188" spans="3:84">
      <c r="C188" s="2"/>
      <c r="O188" s="93"/>
      <c r="AD188" s="758" t="s">
        <v>758</v>
      </c>
      <c r="AE188" s="1377">
        <v>250</v>
      </c>
      <c r="AF188" s="758" t="s">
        <v>1467</v>
      </c>
      <c r="AG188" s="758" t="s">
        <v>779</v>
      </c>
      <c r="AH188" s="1375">
        <v>42886</v>
      </c>
      <c r="AI188" s="758" t="s">
        <v>1212</v>
      </c>
      <c r="AJ188" s="758" t="s">
        <v>852</v>
      </c>
      <c r="AL188" s="758" t="s">
        <v>758</v>
      </c>
      <c r="AM188" s="1377">
        <v>-2661.13</v>
      </c>
      <c r="AN188" s="758" t="s">
        <v>979</v>
      </c>
      <c r="AO188" s="758" t="s">
        <v>780</v>
      </c>
      <c r="AP188" s="1375">
        <v>42794</v>
      </c>
      <c r="AQ188" s="758" t="s">
        <v>1117</v>
      </c>
      <c r="AR188" s="758" t="s">
        <v>852</v>
      </c>
      <c r="AT188" s="987"/>
      <c r="AU188" s="987"/>
      <c r="AV188" s="989"/>
      <c r="AW188" s="987"/>
      <c r="AX188" s="990"/>
      <c r="AZ188" s="983"/>
      <c r="BA188" s="983"/>
      <c r="BB188" s="985"/>
      <c r="BC188" s="983"/>
      <c r="BD188" s="986"/>
      <c r="BE188" s="983"/>
      <c r="CF188" s="2"/>
    </row>
    <row r="189" spans="3:84">
      <c r="C189" s="2"/>
      <c r="O189" s="93"/>
      <c r="AD189" s="758" t="s">
        <v>758</v>
      </c>
      <c r="AE189" s="1377">
        <v>250</v>
      </c>
      <c r="AF189" s="758" t="s">
        <v>853</v>
      </c>
      <c r="AG189" s="758" t="s">
        <v>779</v>
      </c>
      <c r="AH189" s="1375">
        <v>42766</v>
      </c>
      <c r="AI189" s="758" t="s">
        <v>1204</v>
      </c>
      <c r="AJ189" s="758" t="s">
        <v>852</v>
      </c>
      <c r="AL189" s="758" t="s">
        <v>758</v>
      </c>
      <c r="AM189" s="1377">
        <v>50.44</v>
      </c>
      <c r="AN189" s="758" t="s">
        <v>979</v>
      </c>
      <c r="AO189" s="758" t="s">
        <v>780</v>
      </c>
      <c r="AP189" s="1375">
        <v>42794</v>
      </c>
      <c r="AQ189" s="758" t="s">
        <v>1406</v>
      </c>
      <c r="AR189" s="758" t="s">
        <v>852</v>
      </c>
      <c r="AT189" s="987"/>
      <c r="AU189" s="987"/>
      <c r="AV189" s="989"/>
      <c r="AW189" s="987"/>
      <c r="AX189" s="990"/>
      <c r="AZ189" s="983"/>
      <c r="BA189" s="983"/>
      <c r="BB189" s="985"/>
      <c r="BC189" s="983"/>
      <c r="BD189" s="986"/>
      <c r="BE189" s="983"/>
      <c r="CF189" s="2"/>
    </row>
    <row r="190" spans="3:84">
      <c r="C190" s="2"/>
      <c r="O190" s="93"/>
      <c r="AD190" s="758" t="s">
        <v>758</v>
      </c>
      <c r="AE190" s="1377">
        <v>125</v>
      </c>
      <c r="AF190" s="758" t="s">
        <v>853</v>
      </c>
      <c r="AG190" s="758" t="s">
        <v>779</v>
      </c>
      <c r="AH190" s="1375">
        <v>42766</v>
      </c>
      <c r="AI190" s="758" t="s">
        <v>1207</v>
      </c>
      <c r="AJ190" s="758" t="s">
        <v>852</v>
      </c>
      <c r="AL190" s="758" t="s">
        <v>758</v>
      </c>
      <c r="AM190" s="1377">
        <v>-80.349999999999994</v>
      </c>
      <c r="AN190" s="758" t="s">
        <v>979</v>
      </c>
      <c r="AO190" s="758" t="s">
        <v>780</v>
      </c>
      <c r="AP190" s="1375">
        <v>42794</v>
      </c>
      <c r="AQ190" s="758" t="s">
        <v>1189</v>
      </c>
      <c r="AR190" s="758" t="s">
        <v>852</v>
      </c>
      <c r="AT190" s="987"/>
      <c r="AU190" s="987"/>
      <c r="AV190" s="989"/>
      <c r="AW190" s="987"/>
      <c r="AX190" s="990"/>
      <c r="AZ190" s="983"/>
      <c r="BA190" s="983"/>
      <c r="BB190" s="985"/>
      <c r="BC190" s="983"/>
      <c r="BD190" s="986"/>
      <c r="BE190" s="983"/>
      <c r="CF190" s="2"/>
    </row>
    <row r="191" spans="3:84">
      <c r="C191" s="2"/>
      <c r="O191" s="93"/>
      <c r="AD191" s="758" t="s">
        <v>758</v>
      </c>
      <c r="AE191" s="1377">
        <v>5795</v>
      </c>
      <c r="AF191" s="758" t="s">
        <v>1468</v>
      </c>
      <c r="AG191" s="758" t="s">
        <v>779</v>
      </c>
      <c r="AH191" s="1375">
        <v>42766</v>
      </c>
      <c r="AI191" s="758" t="s">
        <v>969</v>
      </c>
      <c r="AJ191" s="758" t="s">
        <v>852</v>
      </c>
      <c r="AL191" s="758" t="s">
        <v>758</v>
      </c>
      <c r="AM191" s="1377">
        <v>-7633.62</v>
      </c>
      <c r="AN191" s="758" t="s">
        <v>979</v>
      </c>
      <c r="AO191" s="758" t="s">
        <v>780</v>
      </c>
      <c r="AP191" s="1375">
        <v>42825</v>
      </c>
      <c r="AQ191" s="758" t="s">
        <v>969</v>
      </c>
      <c r="AR191" s="758" t="s">
        <v>852</v>
      </c>
      <c r="AT191" s="987"/>
      <c r="AU191" s="987"/>
      <c r="AV191" s="989"/>
      <c r="AW191" s="987"/>
      <c r="AX191" s="990"/>
      <c r="AZ191" s="983"/>
      <c r="BA191" s="983"/>
      <c r="BB191" s="985"/>
      <c r="BC191" s="983"/>
      <c r="BD191" s="986"/>
      <c r="BE191" s="983"/>
      <c r="CF191" s="2"/>
    </row>
    <row r="192" spans="3:84">
      <c r="C192" s="2"/>
      <c r="O192" s="93"/>
      <c r="AD192" s="758" t="s">
        <v>758</v>
      </c>
      <c r="AE192" s="1377">
        <v>0</v>
      </c>
      <c r="AF192" s="758" t="s">
        <v>1468</v>
      </c>
      <c r="AG192" s="758" t="s">
        <v>779</v>
      </c>
      <c r="AH192" s="1375">
        <v>42766</v>
      </c>
      <c r="AI192" s="758" t="s">
        <v>1117</v>
      </c>
      <c r="AJ192" s="758" t="s">
        <v>852</v>
      </c>
      <c r="AL192" s="758" t="s">
        <v>758</v>
      </c>
      <c r="AM192" s="1377">
        <v>355.34</v>
      </c>
      <c r="AN192" s="758" t="s">
        <v>979</v>
      </c>
      <c r="AO192" s="758" t="s">
        <v>780</v>
      </c>
      <c r="AP192" s="1375">
        <v>42825</v>
      </c>
      <c r="AQ192" s="758" t="s">
        <v>1182</v>
      </c>
      <c r="AR192" s="758" t="s">
        <v>852</v>
      </c>
      <c r="AT192" s="987"/>
      <c r="AU192" s="987"/>
      <c r="AV192" s="989"/>
      <c r="AW192" s="987"/>
      <c r="AX192" s="990"/>
      <c r="AZ192" s="983"/>
      <c r="BA192" s="983"/>
      <c r="BB192" s="985"/>
      <c r="BC192" s="983"/>
      <c r="BD192" s="986"/>
      <c r="BE192" s="983"/>
      <c r="CF192" s="2"/>
    </row>
    <row r="193" spans="3:84">
      <c r="C193" s="2"/>
      <c r="O193" s="93"/>
      <c r="AD193" s="758" t="s">
        <v>758</v>
      </c>
      <c r="AE193" s="1377">
        <v>260</v>
      </c>
      <c r="AF193" s="758" t="s">
        <v>1469</v>
      </c>
      <c r="AG193" s="758" t="s">
        <v>779</v>
      </c>
      <c r="AH193" s="1375">
        <v>43008</v>
      </c>
      <c r="AI193" s="758" t="s">
        <v>1207</v>
      </c>
      <c r="AJ193" s="758" t="s">
        <v>852</v>
      </c>
      <c r="AL193" s="758" t="s">
        <v>758</v>
      </c>
      <c r="AM193" s="1377">
        <v>-71.650000000000006</v>
      </c>
      <c r="AN193" s="758" t="s">
        <v>979</v>
      </c>
      <c r="AO193" s="758" t="s">
        <v>780</v>
      </c>
      <c r="AP193" s="1375">
        <v>42825</v>
      </c>
      <c r="AQ193" s="758" t="s">
        <v>1207</v>
      </c>
      <c r="AR193" s="758" t="s">
        <v>852</v>
      </c>
      <c r="AT193" s="987"/>
      <c r="AU193" s="987"/>
      <c r="AV193" s="989"/>
      <c r="AW193" s="987"/>
      <c r="AX193" s="990"/>
      <c r="AZ193" s="983"/>
      <c r="BA193" s="983"/>
      <c r="BB193" s="985"/>
      <c r="BC193" s="983"/>
      <c r="BD193" s="986"/>
      <c r="BE193" s="983"/>
      <c r="CF193" s="2"/>
    </row>
    <row r="194" spans="3:84">
      <c r="C194" s="2"/>
      <c r="O194" s="93"/>
      <c r="AD194" s="758" t="s">
        <v>758</v>
      </c>
      <c r="AE194" s="1377">
        <v>154</v>
      </c>
      <c r="AF194" s="758" t="s">
        <v>980</v>
      </c>
      <c r="AG194" s="758" t="s">
        <v>779</v>
      </c>
      <c r="AH194" s="1375">
        <v>42766</v>
      </c>
      <c r="AI194" s="758" t="s">
        <v>1220</v>
      </c>
      <c r="AJ194" s="758" t="s">
        <v>852</v>
      </c>
      <c r="AL194" s="758" t="s">
        <v>758</v>
      </c>
      <c r="AM194" s="1377">
        <v>-78.62</v>
      </c>
      <c r="AN194" s="758" t="s">
        <v>979</v>
      </c>
      <c r="AO194" s="758" t="s">
        <v>780</v>
      </c>
      <c r="AP194" s="1375">
        <v>42825</v>
      </c>
      <c r="AQ194" s="758" t="s">
        <v>1203</v>
      </c>
      <c r="AR194" s="758" t="s">
        <v>852</v>
      </c>
      <c r="AT194" s="987"/>
      <c r="AU194" s="987"/>
      <c r="AV194" s="989"/>
      <c r="AW194" s="987"/>
      <c r="AX194" s="990"/>
      <c r="AZ194" s="983"/>
      <c r="BA194" s="983"/>
      <c r="BB194" s="985"/>
      <c r="BC194" s="983"/>
      <c r="BD194" s="986"/>
      <c r="BE194" s="983"/>
      <c r="CF194" s="2"/>
    </row>
    <row r="195" spans="3:84">
      <c r="C195" s="2"/>
      <c r="O195" s="93"/>
      <c r="AD195" s="758" t="s">
        <v>758</v>
      </c>
      <c r="AE195" s="1377">
        <v>250</v>
      </c>
      <c r="AF195" s="758" t="s">
        <v>1046</v>
      </c>
      <c r="AG195" s="758" t="s">
        <v>779</v>
      </c>
      <c r="AH195" s="1375">
        <v>42855</v>
      </c>
      <c r="AI195" s="758" t="s">
        <v>1210</v>
      </c>
      <c r="AJ195" s="758" t="s">
        <v>852</v>
      </c>
      <c r="AL195" s="758" t="s">
        <v>758</v>
      </c>
      <c r="AM195" s="1377">
        <v>78.47</v>
      </c>
      <c r="AN195" s="758" t="s">
        <v>979</v>
      </c>
      <c r="AO195" s="758" t="s">
        <v>780</v>
      </c>
      <c r="AP195" s="1375">
        <v>42825</v>
      </c>
      <c r="AQ195" s="758" t="s">
        <v>1117</v>
      </c>
      <c r="AR195" s="758" t="s">
        <v>852</v>
      </c>
      <c r="AT195" s="987"/>
      <c r="AU195" s="987"/>
      <c r="AV195" s="989"/>
      <c r="AW195" s="987"/>
      <c r="AX195" s="990"/>
      <c r="AZ195" s="983"/>
      <c r="BA195" s="983"/>
      <c r="BB195" s="985"/>
      <c r="BC195" s="983"/>
      <c r="BD195" s="986"/>
      <c r="BE195" s="983"/>
      <c r="CF195" s="2"/>
    </row>
    <row r="196" spans="3:84">
      <c r="C196" s="2"/>
      <c r="O196" s="93"/>
      <c r="AD196" s="758" t="s">
        <v>758</v>
      </c>
      <c r="AE196" s="1377">
        <v>225.56</v>
      </c>
      <c r="AF196" s="758" t="s">
        <v>1470</v>
      </c>
      <c r="AG196" s="758" t="s">
        <v>779</v>
      </c>
      <c r="AH196" s="1375">
        <v>43039</v>
      </c>
      <c r="AI196" s="758" t="s">
        <v>969</v>
      </c>
      <c r="AJ196" s="758" t="s">
        <v>852</v>
      </c>
      <c r="AL196" s="758" t="s">
        <v>758</v>
      </c>
      <c r="AM196" s="1377">
        <v>43.72</v>
      </c>
      <c r="AN196" s="758" t="s">
        <v>979</v>
      </c>
      <c r="AO196" s="758" t="s">
        <v>780</v>
      </c>
      <c r="AP196" s="1375">
        <v>42825</v>
      </c>
      <c r="AQ196" s="758" t="s">
        <v>1278</v>
      </c>
      <c r="AR196" s="758" t="s">
        <v>852</v>
      </c>
      <c r="AT196" s="987"/>
      <c r="AU196" s="987"/>
      <c r="AV196" s="989"/>
      <c r="AW196" s="987"/>
      <c r="AX196" s="990"/>
      <c r="AZ196" s="983"/>
      <c r="BA196" s="983"/>
      <c r="BB196" s="985"/>
      <c r="BC196" s="983"/>
      <c r="BD196" s="986"/>
      <c r="BE196" s="983"/>
      <c r="CF196" s="2"/>
    </row>
    <row r="197" spans="3:84">
      <c r="C197" s="2"/>
      <c r="O197" s="93"/>
      <c r="AD197" s="758" t="s">
        <v>758</v>
      </c>
      <c r="AE197" s="1377">
        <v>100</v>
      </c>
      <c r="AF197" s="758" t="s">
        <v>1471</v>
      </c>
      <c r="AG197" s="758" t="s">
        <v>779</v>
      </c>
      <c r="AH197" s="1375">
        <v>42825</v>
      </c>
      <c r="AI197" s="758" t="s">
        <v>1414</v>
      </c>
      <c r="AJ197" s="758" t="s">
        <v>852</v>
      </c>
      <c r="AL197" s="758" t="s">
        <v>758</v>
      </c>
      <c r="AM197" s="1377">
        <v>143</v>
      </c>
      <c r="AN197" s="758" t="s">
        <v>979</v>
      </c>
      <c r="AO197" s="758" t="s">
        <v>780</v>
      </c>
      <c r="AP197" s="1375">
        <v>42825</v>
      </c>
      <c r="AQ197" s="758" t="s">
        <v>1201</v>
      </c>
      <c r="AR197" s="758" t="s">
        <v>852</v>
      </c>
      <c r="AT197" s="987"/>
      <c r="AU197" s="987"/>
      <c r="AV197" s="989"/>
      <c r="AW197" s="987"/>
      <c r="AX197" s="990"/>
      <c r="AZ197" s="983"/>
      <c r="BA197" s="983"/>
      <c r="BB197" s="985"/>
      <c r="BC197" s="983"/>
      <c r="BD197" s="986"/>
      <c r="BE197" s="983"/>
      <c r="CF197" s="2"/>
    </row>
    <row r="198" spans="3:84">
      <c r="C198" s="2"/>
      <c r="O198" s="93"/>
      <c r="AD198" s="758" t="s">
        <v>758</v>
      </c>
      <c r="AE198" s="1377">
        <v>833.33</v>
      </c>
      <c r="AF198" s="758" t="s">
        <v>1422</v>
      </c>
      <c r="AG198" s="758" t="s">
        <v>779</v>
      </c>
      <c r="AH198" s="1375">
        <v>42825</v>
      </c>
      <c r="AI198" s="758" t="s">
        <v>1117</v>
      </c>
      <c r="AJ198" s="758" t="s">
        <v>852</v>
      </c>
      <c r="AL198" s="758" t="s">
        <v>758</v>
      </c>
      <c r="AM198" s="1377">
        <v>9.18</v>
      </c>
      <c r="AN198" s="758" t="s">
        <v>979</v>
      </c>
      <c r="AO198" s="758" t="s">
        <v>780</v>
      </c>
      <c r="AP198" s="1375">
        <v>42825</v>
      </c>
      <c r="AQ198" s="758" t="s">
        <v>1406</v>
      </c>
      <c r="AR198" s="758" t="s">
        <v>852</v>
      </c>
      <c r="AT198" s="987"/>
      <c r="AU198" s="987"/>
      <c r="AV198" s="989"/>
      <c r="AW198" s="987"/>
      <c r="AX198" s="990"/>
      <c r="AZ198" s="983"/>
      <c r="BA198" s="983"/>
      <c r="BB198" s="985"/>
      <c r="BC198" s="983"/>
      <c r="BD198" s="986"/>
      <c r="BE198" s="983"/>
      <c r="CF198" s="2"/>
    </row>
    <row r="199" spans="3:84">
      <c r="C199" s="2"/>
      <c r="O199" s="93"/>
      <c r="AD199" s="758" t="s">
        <v>758</v>
      </c>
      <c r="AE199" s="1377">
        <v>390</v>
      </c>
      <c r="AF199" s="758" t="s">
        <v>1472</v>
      </c>
      <c r="AG199" s="758" t="s">
        <v>779</v>
      </c>
      <c r="AH199" s="1375">
        <v>42947</v>
      </c>
      <c r="AI199" s="758" t="s">
        <v>969</v>
      </c>
      <c r="AJ199" s="758" t="s">
        <v>852</v>
      </c>
      <c r="AL199" s="758" t="s">
        <v>758</v>
      </c>
      <c r="AM199" s="1377">
        <v>325.32</v>
      </c>
      <c r="AN199" s="758" t="s">
        <v>979</v>
      </c>
      <c r="AO199" s="758" t="s">
        <v>780</v>
      </c>
      <c r="AP199" s="1375">
        <v>42825</v>
      </c>
      <c r="AQ199" s="758" t="s">
        <v>1222</v>
      </c>
      <c r="AR199" s="758" t="s">
        <v>852</v>
      </c>
      <c r="AT199" s="987"/>
      <c r="AU199" s="987"/>
      <c r="AV199" s="989"/>
      <c r="AW199" s="987"/>
      <c r="AX199" s="990"/>
      <c r="AZ199" s="983"/>
      <c r="BA199" s="983"/>
      <c r="BB199" s="985"/>
      <c r="BC199" s="983"/>
      <c r="BD199" s="986"/>
      <c r="BE199" s="983"/>
      <c r="CF199" s="2"/>
    </row>
    <row r="200" spans="3:84">
      <c r="C200" s="2"/>
      <c r="O200" s="93"/>
      <c r="AD200" s="758" t="s">
        <v>758</v>
      </c>
      <c r="AE200" s="1377">
        <v>295</v>
      </c>
      <c r="AF200" s="758" t="s">
        <v>1473</v>
      </c>
      <c r="AG200" s="758" t="s">
        <v>779</v>
      </c>
      <c r="AH200" s="1375">
        <v>42825</v>
      </c>
      <c r="AI200" s="758" t="s">
        <v>1189</v>
      </c>
      <c r="AJ200" s="758" t="s">
        <v>852</v>
      </c>
      <c r="AL200" s="758" t="s">
        <v>758</v>
      </c>
      <c r="AM200" s="1377">
        <v>449.48</v>
      </c>
      <c r="AN200" s="758" t="s">
        <v>979</v>
      </c>
      <c r="AO200" s="758" t="s">
        <v>780</v>
      </c>
      <c r="AP200" s="1375">
        <v>42825</v>
      </c>
      <c r="AQ200" s="758" t="s">
        <v>1189</v>
      </c>
      <c r="AR200" s="758" t="s">
        <v>852</v>
      </c>
      <c r="AT200" s="987"/>
      <c r="AU200" s="987"/>
      <c r="AV200" s="989"/>
      <c r="AW200" s="987"/>
      <c r="AX200" s="990"/>
      <c r="AZ200" s="983"/>
      <c r="BA200" s="983"/>
      <c r="BB200" s="985"/>
      <c r="BC200" s="983"/>
      <c r="BD200" s="986"/>
      <c r="BE200" s="983"/>
      <c r="CF200" s="2"/>
    </row>
    <row r="201" spans="3:84">
      <c r="C201" s="2"/>
      <c r="O201" s="93"/>
      <c r="AD201" s="758" t="s">
        <v>758</v>
      </c>
      <c r="AE201" s="1377">
        <v>-25000.48</v>
      </c>
      <c r="AF201" s="758" t="s">
        <v>1380</v>
      </c>
      <c r="AG201" s="758" t="s">
        <v>779</v>
      </c>
      <c r="AH201" s="1375">
        <v>42766</v>
      </c>
      <c r="AI201" s="758" t="s">
        <v>1211</v>
      </c>
      <c r="AJ201" s="758" t="s">
        <v>852</v>
      </c>
      <c r="AL201" s="758" t="s">
        <v>758</v>
      </c>
      <c r="AM201" s="1377">
        <v>4299.2700000000004</v>
      </c>
      <c r="AN201" s="758" t="s">
        <v>979</v>
      </c>
      <c r="AO201" s="758" t="s">
        <v>780</v>
      </c>
      <c r="AP201" s="1375">
        <v>42855</v>
      </c>
      <c r="AQ201" s="758" t="s">
        <v>969</v>
      </c>
      <c r="AR201" s="758" t="s">
        <v>852</v>
      </c>
      <c r="AT201" s="987"/>
      <c r="AU201" s="987"/>
      <c r="AV201" s="989"/>
      <c r="AW201" s="987"/>
      <c r="AX201" s="990"/>
      <c r="AZ201" s="983"/>
      <c r="BA201" s="983"/>
      <c r="BB201" s="985"/>
      <c r="BC201" s="983"/>
      <c r="BD201" s="986"/>
      <c r="BE201" s="983"/>
      <c r="CF201" s="2"/>
    </row>
    <row r="202" spans="3:84">
      <c r="C202" s="2"/>
      <c r="O202" s="93"/>
      <c r="AD202" s="758" t="s">
        <v>758</v>
      </c>
      <c r="AE202" s="1377">
        <v>130</v>
      </c>
      <c r="AF202" s="758" t="s">
        <v>1474</v>
      </c>
      <c r="AG202" s="758" t="s">
        <v>779</v>
      </c>
      <c r="AH202" s="1375">
        <v>42978</v>
      </c>
      <c r="AI202" s="758" t="s">
        <v>1224</v>
      </c>
      <c r="AJ202" s="758" t="s">
        <v>852</v>
      </c>
      <c r="AL202" s="758" t="s">
        <v>758</v>
      </c>
      <c r="AM202" s="1377">
        <v>189.77</v>
      </c>
      <c r="AN202" s="758" t="s">
        <v>979</v>
      </c>
      <c r="AO202" s="758" t="s">
        <v>780</v>
      </c>
      <c r="AP202" s="1375">
        <v>42855</v>
      </c>
      <c r="AQ202" s="758" t="s">
        <v>1182</v>
      </c>
      <c r="AR202" s="758" t="s">
        <v>852</v>
      </c>
      <c r="AT202" s="987"/>
      <c r="AU202" s="987"/>
      <c r="AV202" s="989"/>
      <c r="AW202" s="987"/>
      <c r="AX202" s="990"/>
      <c r="AZ202" s="983"/>
      <c r="BA202" s="983"/>
      <c r="BB202" s="985"/>
      <c r="BC202" s="983"/>
      <c r="BD202" s="986"/>
      <c r="BE202" s="983"/>
      <c r="CF202" s="2"/>
    </row>
    <row r="203" spans="3:84">
      <c r="C203" s="2"/>
      <c r="O203" s="93"/>
      <c r="AD203" s="758" t="s">
        <v>758</v>
      </c>
      <c r="AE203" s="1377">
        <v>199</v>
      </c>
      <c r="AF203" s="758" t="s">
        <v>1227</v>
      </c>
      <c r="AG203" s="758" t="s">
        <v>779</v>
      </c>
      <c r="AH203" s="1375">
        <v>42766</v>
      </c>
      <c r="AI203" s="758" t="s">
        <v>1117</v>
      </c>
      <c r="AJ203" s="758" t="s">
        <v>852</v>
      </c>
      <c r="AL203" s="758" t="s">
        <v>758</v>
      </c>
      <c r="AM203" s="1377">
        <v>-2273.2600000000002</v>
      </c>
      <c r="AN203" s="758" t="s">
        <v>979</v>
      </c>
      <c r="AO203" s="758" t="s">
        <v>780</v>
      </c>
      <c r="AP203" s="1375">
        <v>42855</v>
      </c>
      <c r="AQ203" s="758" t="s">
        <v>1117</v>
      </c>
      <c r="AR203" s="758" t="s">
        <v>852</v>
      </c>
      <c r="AT203" s="987"/>
      <c r="AU203" s="987"/>
      <c r="AV203" s="989"/>
      <c r="AW203" s="987"/>
      <c r="AX203" s="990"/>
      <c r="AZ203" s="983"/>
      <c r="BA203" s="983"/>
      <c r="BB203" s="985"/>
      <c r="BC203" s="983"/>
      <c r="BD203" s="986"/>
      <c r="BE203" s="983"/>
      <c r="CF203" s="2"/>
    </row>
    <row r="204" spans="3:84">
      <c r="C204" s="2"/>
      <c r="O204" s="93"/>
      <c r="AD204" s="758" t="s">
        <v>758</v>
      </c>
      <c r="AE204" s="1377">
        <v>675</v>
      </c>
      <c r="AF204" s="758" t="s">
        <v>856</v>
      </c>
      <c r="AG204" s="758" t="s">
        <v>779</v>
      </c>
      <c r="AH204" s="1375">
        <v>42766</v>
      </c>
      <c r="AI204" s="758" t="s">
        <v>1226</v>
      </c>
      <c r="AJ204" s="758" t="s">
        <v>852</v>
      </c>
      <c r="AL204" s="758" t="s">
        <v>758</v>
      </c>
      <c r="AM204" s="1377">
        <v>40.65</v>
      </c>
      <c r="AN204" s="758" t="s">
        <v>979</v>
      </c>
      <c r="AO204" s="758" t="s">
        <v>780</v>
      </c>
      <c r="AP204" s="1375">
        <v>42855</v>
      </c>
      <c r="AQ204" s="758" t="s">
        <v>1181</v>
      </c>
      <c r="AR204" s="758" t="s">
        <v>852</v>
      </c>
      <c r="AT204" s="987"/>
      <c r="AU204" s="987"/>
      <c r="AV204" s="989"/>
      <c r="AW204" s="987"/>
      <c r="AX204" s="990"/>
      <c r="AZ204" s="983"/>
      <c r="BA204" s="983"/>
      <c r="BB204" s="985"/>
      <c r="BC204" s="983"/>
      <c r="BD204" s="986"/>
      <c r="BE204" s="983"/>
      <c r="CF204" s="2"/>
    </row>
    <row r="205" spans="3:84">
      <c r="C205" s="2"/>
      <c r="O205" s="93"/>
      <c r="AD205" s="758" t="s">
        <v>758</v>
      </c>
      <c r="AE205" s="1377">
        <v>-675</v>
      </c>
      <c r="AF205" s="758" t="s">
        <v>856</v>
      </c>
      <c r="AG205" s="758" t="s">
        <v>779</v>
      </c>
      <c r="AH205" s="1375">
        <v>42794</v>
      </c>
      <c r="AI205" s="758" t="s">
        <v>1226</v>
      </c>
      <c r="AJ205" s="758" t="s">
        <v>852</v>
      </c>
      <c r="AL205" s="758" t="s">
        <v>758</v>
      </c>
      <c r="AM205" s="1377">
        <v>76.900000000000006</v>
      </c>
      <c r="AN205" s="758" t="s">
        <v>979</v>
      </c>
      <c r="AO205" s="758" t="s">
        <v>780</v>
      </c>
      <c r="AP205" s="1375">
        <v>42855</v>
      </c>
      <c r="AQ205" s="758" t="s">
        <v>1414</v>
      </c>
      <c r="AR205" s="758" t="s">
        <v>852</v>
      </c>
      <c r="AT205" s="987"/>
      <c r="AU205" s="987"/>
      <c r="AV205" s="989"/>
      <c r="AW205" s="987"/>
      <c r="AX205" s="990"/>
      <c r="AZ205" s="983"/>
      <c r="BA205" s="983"/>
      <c r="BB205" s="985"/>
      <c r="BC205" s="983"/>
      <c r="BD205" s="986"/>
      <c r="BE205" s="983"/>
      <c r="CF205" s="2"/>
    </row>
    <row r="206" spans="3:84">
      <c r="C206" s="2"/>
      <c r="O206" s="93"/>
      <c r="AD206" s="758" t="s">
        <v>758</v>
      </c>
      <c r="AE206" s="1377">
        <v>0</v>
      </c>
      <c r="AF206" s="758" t="s">
        <v>1475</v>
      </c>
      <c r="AG206" s="758" t="s">
        <v>779</v>
      </c>
      <c r="AH206" s="1375">
        <v>42794</v>
      </c>
      <c r="AI206" s="758" t="s">
        <v>1189</v>
      </c>
      <c r="AJ206" s="758" t="s">
        <v>852</v>
      </c>
      <c r="AL206" s="758" t="s">
        <v>758</v>
      </c>
      <c r="AM206" s="1377">
        <v>105.73</v>
      </c>
      <c r="AN206" s="758" t="s">
        <v>979</v>
      </c>
      <c r="AO206" s="758" t="s">
        <v>780</v>
      </c>
      <c r="AP206" s="1375">
        <v>42855</v>
      </c>
      <c r="AQ206" s="758" t="s">
        <v>1222</v>
      </c>
      <c r="AR206" s="758" t="s">
        <v>852</v>
      </c>
      <c r="AT206" s="987"/>
      <c r="AU206" s="987"/>
      <c r="AV206" s="989"/>
      <c r="AW206" s="987"/>
      <c r="AX206" s="990"/>
      <c r="AZ206" s="983"/>
      <c r="BA206" s="983"/>
      <c r="BB206" s="985"/>
      <c r="BC206" s="983"/>
      <c r="BD206" s="986"/>
      <c r="BE206" s="983"/>
      <c r="CF206" s="2"/>
    </row>
    <row r="207" spans="3:84">
      <c r="C207" s="2"/>
      <c r="O207" s="93"/>
      <c r="AD207" s="758" t="s">
        <v>758</v>
      </c>
      <c r="AE207" s="1377">
        <v>15</v>
      </c>
      <c r="AF207" s="758" t="s">
        <v>1476</v>
      </c>
      <c r="AG207" s="758" t="s">
        <v>779</v>
      </c>
      <c r="AH207" s="1375">
        <v>42916</v>
      </c>
      <c r="AI207" s="758" t="s">
        <v>1226</v>
      </c>
      <c r="AJ207" s="758" t="s">
        <v>852</v>
      </c>
      <c r="AL207" s="758" t="s">
        <v>758</v>
      </c>
      <c r="AM207" s="1377">
        <v>655.52</v>
      </c>
      <c r="AN207" s="758" t="s">
        <v>979</v>
      </c>
      <c r="AO207" s="758" t="s">
        <v>780</v>
      </c>
      <c r="AP207" s="1375">
        <v>42855</v>
      </c>
      <c r="AQ207" s="758" t="s">
        <v>1189</v>
      </c>
      <c r="AR207" s="758" t="s">
        <v>852</v>
      </c>
      <c r="AT207" s="987"/>
      <c r="AU207" s="987"/>
      <c r="AV207" s="989"/>
      <c r="AW207" s="987"/>
      <c r="AX207" s="990"/>
      <c r="AZ207" s="983"/>
      <c r="BA207" s="983"/>
      <c r="BB207" s="985"/>
      <c r="BC207" s="983"/>
      <c r="BD207" s="986"/>
      <c r="BE207" s="983"/>
      <c r="CF207" s="2"/>
    </row>
    <row r="208" spans="3:84">
      <c r="C208" s="2"/>
      <c r="O208" s="93"/>
      <c r="AD208" s="758" t="s">
        <v>758</v>
      </c>
      <c r="AE208" s="1377">
        <v>60</v>
      </c>
      <c r="AF208" s="758" t="s">
        <v>1476</v>
      </c>
      <c r="AG208" s="758" t="s">
        <v>779</v>
      </c>
      <c r="AH208" s="1375">
        <v>42916</v>
      </c>
      <c r="AI208" s="758" t="s">
        <v>969</v>
      </c>
      <c r="AJ208" s="758" t="s">
        <v>852</v>
      </c>
      <c r="AL208" s="758" t="s">
        <v>758</v>
      </c>
      <c r="AM208" s="1377">
        <v>1871.33</v>
      </c>
      <c r="AN208" s="758" t="s">
        <v>979</v>
      </c>
      <c r="AO208" s="758" t="s">
        <v>780</v>
      </c>
      <c r="AP208" s="1375">
        <v>42886</v>
      </c>
      <c r="AQ208" s="758" t="s">
        <v>969</v>
      </c>
      <c r="AR208" s="758" t="s">
        <v>852</v>
      </c>
      <c r="AT208" s="987"/>
      <c r="AU208" s="987"/>
      <c r="AV208" s="989"/>
      <c r="AW208" s="987"/>
      <c r="AX208" s="990"/>
      <c r="AZ208" s="983"/>
      <c r="BA208" s="983"/>
      <c r="BB208" s="985"/>
      <c r="BC208" s="983"/>
      <c r="BD208" s="986"/>
      <c r="BE208" s="983"/>
      <c r="CF208" s="2"/>
    </row>
    <row r="209" spans="3:84">
      <c r="C209" s="2"/>
      <c r="O209" s="93"/>
      <c r="AD209" s="758" t="s">
        <v>1265</v>
      </c>
      <c r="AE209" s="1377">
        <v>-16894.490000000002</v>
      </c>
      <c r="AF209" s="758" t="s">
        <v>979</v>
      </c>
      <c r="AG209" s="758" t="s">
        <v>779</v>
      </c>
      <c r="AH209" s="1375">
        <v>42766</v>
      </c>
      <c r="AI209" s="758" t="s">
        <v>969</v>
      </c>
      <c r="AJ209" s="758" t="s">
        <v>852</v>
      </c>
      <c r="AL209" s="758" t="s">
        <v>758</v>
      </c>
      <c r="AM209" s="1377">
        <v>189.77</v>
      </c>
      <c r="AN209" s="758" t="s">
        <v>979</v>
      </c>
      <c r="AO209" s="758" t="s">
        <v>780</v>
      </c>
      <c r="AP209" s="1375">
        <v>42886</v>
      </c>
      <c r="AQ209" s="758" t="s">
        <v>1182</v>
      </c>
      <c r="AR209" s="758" t="s">
        <v>852</v>
      </c>
      <c r="AT209" s="987"/>
      <c r="AU209" s="987"/>
      <c r="AV209" s="989"/>
      <c r="AW209" s="987"/>
      <c r="AX209" s="990"/>
      <c r="AZ209" s="983"/>
      <c r="BA209" s="983"/>
      <c r="BB209" s="985"/>
      <c r="BC209" s="983"/>
      <c r="BD209" s="986"/>
      <c r="BE209" s="983"/>
      <c r="CF209" s="2"/>
    </row>
    <row r="210" spans="3:84">
      <c r="C210" s="2"/>
      <c r="O210" s="93"/>
      <c r="AD210" s="758" t="s">
        <v>1265</v>
      </c>
      <c r="AE210" s="1377">
        <v>-125</v>
      </c>
      <c r="AF210" s="758" t="s">
        <v>979</v>
      </c>
      <c r="AG210" s="758" t="s">
        <v>779</v>
      </c>
      <c r="AH210" s="1375">
        <v>42766</v>
      </c>
      <c r="AI210" s="758" t="s">
        <v>1207</v>
      </c>
      <c r="AJ210" s="758" t="s">
        <v>852</v>
      </c>
      <c r="AL210" s="758" t="s">
        <v>758</v>
      </c>
      <c r="AM210" s="1377">
        <v>202.78</v>
      </c>
      <c r="AN210" s="758" t="s">
        <v>979</v>
      </c>
      <c r="AO210" s="758" t="s">
        <v>780</v>
      </c>
      <c r="AP210" s="1375">
        <v>42886</v>
      </c>
      <c r="AQ210" s="758" t="s">
        <v>1117</v>
      </c>
      <c r="AR210" s="758" t="s">
        <v>852</v>
      </c>
      <c r="AT210" s="987"/>
      <c r="AU210" s="987"/>
      <c r="AV210" s="989"/>
      <c r="AW210" s="987"/>
      <c r="AX210" s="990"/>
      <c r="AZ210" s="983"/>
      <c r="BA210" s="983"/>
      <c r="BB210" s="985"/>
      <c r="BC210" s="983"/>
      <c r="BD210" s="986"/>
      <c r="BE210" s="983"/>
      <c r="CF210" s="2"/>
    </row>
    <row r="211" spans="3:84">
      <c r="C211" s="2"/>
      <c r="O211" s="93"/>
      <c r="AD211" s="758" t="s">
        <v>1265</v>
      </c>
      <c r="AE211" s="1377">
        <v>-129</v>
      </c>
      <c r="AF211" s="758" t="s">
        <v>979</v>
      </c>
      <c r="AG211" s="758" t="s">
        <v>779</v>
      </c>
      <c r="AH211" s="1375">
        <v>42766</v>
      </c>
      <c r="AI211" s="758" t="s">
        <v>1203</v>
      </c>
      <c r="AJ211" s="758" t="s">
        <v>852</v>
      </c>
      <c r="AL211" s="758" t="s">
        <v>758</v>
      </c>
      <c r="AM211" s="1377">
        <v>194</v>
      </c>
      <c r="AN211" s="758" t="s">
        <v>979</v>
      </c>
      <c r="AO211" s="758" t="s">
        <v>780</v>
      </c>
      <c r="AP211" s="1375">
        <v>42886</v>
      </c>
      <c r="AQ211" s="758" t="s">
        <v>1208</v>
      </c>
      <c r="AR211" s="758" t="s">
        <v>852</v>
      </c>
      <c r="AT211" s="987"/>
      <c r="AU211" s="987"/>
      <c r="AV211" s="989"/>
      <c r="AW211" s="987"/>
      <c r="AX211" s="990"/>
      <c r="AZ211" s="983"/>
      <c r="BA211" s="983"/>
      <c r="BB211" s="985"/>
      <c r="BC211" s="983"/>
      <c r="BD211" s="986"/>
      <c r="BE211" s="983"/>
      <c r="CF211" s="2"/>
    </row>
    <row r="212" spans="3:84">
      <c r="C212" s="2"/>
      <c r="O212" s="93"/>
      <c r="AD212" s="758" t="s">
        <v>1265</v>
      </c>
      <c r="AE212" s="1377">
        <v>-295.27999999999997</v>
      </c>
      <c r="AF212" s="758" t="s">
        <v>979</v>
      </c>
      <c r="AG212" s="758" t="s">
        <v>779</v>
      </c>
      <c r="AH212" s="1375">
        <v>42766</v>
      </c>
      <c r="AI212" s="758" t="s">
        <v>1117</v>
      </c>
      <c r="AJ212" s="758" t="s">
        <v>852</v>
      </c>
      <c r="AL212" s="758" t="s">
        <v>758</v>
      </c>
      <c r="AM212" s="1377">
        <v>203.32</v>
      </c>
      <c r="AN212" s="758" t="s">
        <v>979</v>
      </c>
      <c r="AO212" s="758" t="s">
        <v>780</v>
      </c>
      <c r="AP212" s="1375">
        <v>42886</v>
      </c>
      <c r="AQ212" s="758" t="s">
        <v>1189</v>
      </c>
      <c r="AR212" s="758" t="s">
        <v>852</v>
      </c>
      <c r="AT212" s="987"/>
      <c r="AU212" s="987"/>
      <c r="AV212" s="989"/>
      <c r="AW212" s="987"/>
      <c r="AX212" s="990"/>
      <c r="AZ212" s="983"/>
      <c r="BA212" s="983"/>
      <c r="BB212" s="985"/>
      <c r="BC212" s="983"/>
      <c r="BD212" s="986"/>
      <c r="BE212" s="983"/>
      <c r="CF212" s="2"/>
    </row>
    <row r="213" spans="3:84">
      <c r="C213" s="2"/>
      <c r="O213" s="93"/>
      <c r="AD213" s="758" t="s">
        <v>1265</v>
      </c>
      <c r="AE213" s="1377">
        <v>-55</v>
      </c>
      <c r="AF213" s="758" t="s">
        <v>979</v>
      </c>
      <c r="AG213" s="758" t="s">
        <v>779</v>
      </c>
      <c r="AH213" s="1375">
        <v>42766</v>
      </c>
      <c r="AI213" s="758" t="s">
        <v>1406</v>
      </c>
      <c r="AJ213" s="758" t="s">
        <v>852</v>
      </c>
      <c r="AL213" s="758" t="s">
        <v>758</v>
      </c>
      <c r="AM213" s="1377">
        <v>3808.73</v>
      </c>
      <c r="AN213" s="758" t="s">
        <v>979</v>
      </c>
      <c r="AO213" s="758" t="s">
        <v>780</v>
      </c>
      <c r="AP213" s="1375">
        <v>42916</v>
      </c>
      <c r="AQ213" s="758" t="s">
        <v>969</v>
      </c>
      <c r="AR213" s="758" t="s">
        <v>852</v>
      </c>
      <c r="AT213" s="987"/>
      <c r="AU213" s="987"/>
      <c r="AV213" s="989"/>
      <c r="AW213" s="987"/>
      <c r="AX213" s="990"/>
      <c r="AZ213" s="983"/>
      <c r="BA213" s="983"/>
      <c r="BB213" s="985"/>
      <c r="BC213" s="983"/>
      <c r="BD213" s="986"/>
      <c r="BE213" s="983"/>
      <c r="CF213" s="2"/>
    </row>
    <row r="214" spans="3:84">
      <c r="C214" s="2"/>
      <c r="O214" s="93"/>
      <c r="AD214" s="758" t="s">
        <v>1265</v>
      </c>
      <c r="AE214" s="1377">
        <v>-48.12</v>
      </c>
      <c r="AF214" s="758" t="s">
        <v>979</v>
      </c>
      <c r="AG214" s="758" t="s">
        <v>779</v>
      </c>
      <c r="AH214" s="1375">
        <v>42794</v>
      </c>
      <c r="AI214" s="758" t="s">
        <v>969</v>
      </c>
      <c r="AJ214" s="758" t="s">
        <v>852</v>
      </c>
      <c r="AL214" s="758" t="s">
        <v>758</v>
      </c>
      <c r="AM214" s="1377">
        <v>189.77</v>
      </c>
      <c r="AN214" s="758" t="s">
        <v>979</v>
      </c>
      <c r="AO214" s="758" t="s">
        <v>780</v>
      </c>
      <c r="AP214" s="1375">
        <v>42916</v>
      </c>
      <c r="AQ214" s="758" t="s">
        <v>1182</v>
      </c>
      <c r="AR214" s="758" t="s">
        <v>852</v>
      </c>
      <c r="AT214" s="987"/>
      <c r="AU214" s="987"/>
      <c r="AV214" s="989"/>
      <c r="AW214" s="987"/>
      <c r="AX214" s="990"/>
      <c r="AZ214" s="983"/>
      <c r="BA214" s="983"/>
      <c r="BB214" s="985"/>
      <c r="BC214" s="983"/>
      <c r="BD214" s="986"/>
      <c r="BE214" s="983"/>
      <c r="CF214" s="2"/>
    </row>
    <row r="215" spans="3:84">
      <c r="C215" s="2"/>
      <c r="O215" s="93"/>
      <c r="AD215" s="758" t="s">
        <v>1265</v>
      </c>
      <c r="AE215" s="1377">
        <v>-784.18</v>
      </c>
      <c r="AF215" s="758" t="s">
        <v>979</v>
      </c>
      <c r="AG215" s="758" t="s">
        <v>779</v>
      </c>
      <c r="AH215" s="1375">
        <v>42794</v>
      </c>
      <c r="AI215" s="758" t="s">
        <v>1182</v>
      </c>
      <c r="AJ215" s="758" t="s">
        <v>852</v>
      </c>
      <c r="AL215" s="758" t="s">
        <v>758</v>
      </c>
      <c r="AM215" s="1377">
        <v>3440.25</v>
      </c>
      <c r="AN215" s="758" t="s">
        <v>979</v>
      </c>
      <c r="AO215" s="758" t="s">
        <v>780</v>
      </c>
      <c r="AP215" s="1375">
        <v>42916</v>
      </c>
      <c r="AQ215" s="758" t="s">
        <v>1189</v>
      </c>
      <c r="AR215" s="758" t="s">
        <v>852</v>
      </c>
      <c r="AT215" s="987"/>
      <c r="AU215" s="987"/>
      <c r="AV215" s="989"/>
      <c r="AW215" s="987"/>
      <c r="AX215" s="990"/>
      <c r="AZ215" s="983"/>
      <c r="BA215" s="983"/>
      <c r="BB215" s="985"/>
      <c r="BC215" s="983"/>
      <c r="BD215" s="986"/>
      <c r="BE215" s="983"/>
      <c r="CF215" s="2"/>
    </row>
    <row r="216" spans="3:84">
      <c r="C216" s="2"/>
      <c r="O216" s="93"/>
      <c r="AD216" s="758" t="s">
        <v>1265</v>
      </c>
      <c r="AE216" s="1377">
        <v>-440</v>
      </c>
      <c r="AF216" s="758" t="s">
        <v>979</v>
      </c>
      <c r="AG216" s="758" t="s">
        <v>779</v>
      </c>
      <c r="AH216" s="1375">
        <v>42794</v>
      </c>
      <c r="AI216" s="758" t="s">
        <v>1117</v>
      </c>
      <c r="AJ216" s="758" t="s">
        <v>852</v>
      </c>
      <c r="AL216" s="758" t="s">
        <v>758</v>
      </c>
      <c r="AM216" s="1377">
        <v>3348.99</v>
      </c>
      <c r="AN216" s="758" t="s">
        <v>979</v>
      </c>
      <c r="AO216" s="758" t="s">
        <v>780</v>
      </c>
      <c r="AP216" s="1375">
        <v>42947</v>
      </c>
      <c r="AQ216" s="758" t="s">
        <v>969</v>
      </c>
      <c r="AR216" s="758" t="s">
        <v>852</v>
      </c>
      <c r="AT216" s="987"/>
      <c r="AU216" s="987"/>
      <c r="AV216" s="989"/>
      <c r="AW216" s="987"/>
      <c r="AX216" s="990"/>
      <c r="AZ216" s="983"/>
      <c r="BA216" s="983"/>
      <c r="BB216" s="985"/>
      <c r="BC216" s="983"/>
      <c r="BD216" s="986"/>
      <c r="BE216" s="983"/>
      <c r="CF216" s="2"/>
    </row>
    <row r="217" spans="3:84">
      <c r="C217" s="2"/>
      <c r="O217" s="93"/>
      <c r="AD217" s="758" t="s">
        <v>1265</v>
      </c>
      <c r="AE217" s="1377">
        <v>-50</v>
      </c>
      <c r="AF217" s="758" t="s">
        <v>979</v>
      </c>
      <c r="AG217" s="758" t="s">
        <v>779</v>
      </c>
      <c r="AH217" s="1375">
        <v>42794</v>
      </c>
      <c r="AI217" s="758" t="s">
        <v>1278</v>
      </c>
      <c r="AJ217" s="758" t="s">
        <v>852</v>
      </c>
      <c r="AL217" s="758" t="s">
        <v>758</v>
      </c>
      <c r="AM217" s="1377">
        <v>211.42</v>
      </c>
      <c r="AN217" s="758" t="s">
        <v>979</v>
      </c>
      <c r="AO217" s="758" t="s">
        <v>780</v>
      </c>
      <c r="AP217" s="1375">
        <v>42947</v>
      </c>
      <c r="AQ217" s="758" t="s">
        <v>1182</v>
      </c>
      <c r="AR217" s="758" t="s">
        <v>852</v>
      </c>
      <c r="AT217" s="987"/>
      <c r="AU217" s="987"/>
      <c r="AV217" s="989"/>
      <c r="AW217" s="987"/>
      <c r="AX217" s="990"/>
      <c r="AZ217" s="983"/>
      <c r="BA217" s="983"/>
      <c r="BB217" s="985"/>
      <c r="BC217" s="983"/>
      <c r="BD217" s="986"/>
      <c r="BE217" s="983"/>
      <c r="CF217" s="2"/>
    </row>
    <row r="218" spans="3:84">
      <c r="C218" s="2"/>
      <c r="O218" s="93"/>
      <c r="AD218" s="758" t="s">
        <v>1265</v>
      </c>
      <c r="AE218" s="1377">
        <v>-260</v>
      </c>
      <c r="AF218" s="758" t="s">
        <v>979</v>
      </c>
      <c r="AG218" s="758" t="s">
        <v>779</v>
      </c>
      <c r="AH218" s="1375">
        <v>42794</v>
      </c>
      <c r="AI218" s="758" t="s">
        <v>1201</v>
      </c>
      <c r="AJ218" s="758" t="s">
        <v>852</v>
      </c>
      <c r="AL218" s="758" t="s">
        <v>758</v>
      </c>
      <c r="AM218" s="1377">
        <v>22.5</v>
      </c>
      <c r="AN218" s="758" t="s">
        <v>979</v>
      </c>
      <c r="AO218" s="758" t="s">
        <v>780</v>
      </c>
      <c r="AP218" s="1375">
        <v>42947</v>
      </c>
      <c r="AQ218" s="758" t="s">
        <v>1415</v>
      </c>
      <c r="AR218" s="758" t="s">
        <v>852</v>
      </c>
      <c r="AT218" s="987"/>
      <c r="AU218" s="987"/>
      <c r="AV218" s="989"/>
      <c r="AW218" s="987"/>
      <c r="AX218" s="990"/>
      <c r="AZ218" s="983"/>
      <c r="BA218" s="983"/>
      <c r="BB218" s="985"/>
      <c r="BC218" s="983"/>
      <c r="BD218" s="986"/>
      <c r="BE218" s="983"/>
      <c r="CF218" s="2"/>
    </row>
    <row r="219" spans="3:84">
      <c r="C219" s="2"/>
      <c r="O219" s="93"/>
      <c r="AD219" s="758" t="s">
        <v>1265</v>
      </c>
      <c r="AE219" s="1377">
        <v>-75</v>
      </c>
      <c r="AF219" s="758" t="s">
        <v>979</v>
      </c>
      <c r="AG219" s="758" t="s">
        <v>779</v>
      </c>
      <c r="AH219" s="1375">
        <v>42794</v>
      </c>
      <c r="AI219" s="758" t="s">
        <v>1406</v>
      </c>
      <c r="AJ219" s="758" t="s">
        <v>852</v>
      </c>
      <c r="AL219" s="758" t="s">
        <v>758</v>
      </c>
      <c r="AM219" s="1377">
        <v>134.47</v>
      </c>
      <c r="AN219" s="758" t="s">
        <v>979</v>
      </c>
      <c r="AO219" s="758" t="s">
        <v>780</v>
      </c>
      <c r="AP219" s="1375">
        <v>42947</v>
      </c>
      <c r="AQ219" s="758" t="s">
        <v>1189</v>
      </c>
      <c r="AR219" s="758" t="s">
        <v>852</v>
      </c>
      <c r="AT219" s="987"/>
      <c r="AU219" s="987"/>
      <c r="AV219" s="989"/>
      <c r="AW219" s="987"/>
      <c r="AX219" s="990"/>
      <c r="AZ219" s="983"/>
      <c r="BA219" s="983"/>
      <c r="BB219" s="985"/>
      <c r="BC219" s="983"/>
      <c r="BD219" s="986"/>
      <c r="BE219" s="983"/>
      <c r="CF219" s="2"/>
    </row>
    <row r="220" spans="3:84">
      <c r="C220" s="2"/>
      <c r="O220" s="93"/>
      <c r="AD220" s="758" t="s">
        <v>1265</v>
      </c>
      <c r="AE220" s="1377">
        <v>-600</v>
      </c>
      <c r="AF220" s="758" t="s">
        <v>979</v>
      </c>
      <c r="AG220" s="758" t="s">
        <v>779</v>
      </c>
      <c r="AH220" s="1375">
        <v>42794</v>
      </c>
      <c r="AI220" s="758" t="s">
        <v>1222</v>
      </c>
      <c r="AJ220" s="758" t="s">
        <v>852</v>
      </c>
      <c r="AL220" s="758" t="s">
        <v>758</v>
      </c>
      <c r="AM220" s="1377">
        <v>270.81</v>
      </c>
      <c r="AN220" s="758" t="s">
        <v>979</v>
      </c>
      <c r="AO220" s="758" t="s">
        <v>780</v>
      </c>
      <c r="AP220" s="1375">
        <v>42978</v>
      </c>
      <c r="AQ220" s="758" t="s">
        <v>969</v>
      </c>
      <c r="AR220" s="758" t="s">
        <v>852</v>
      </c>
      <c r="AT220" s="987"/>
      <c r="AU220" s="987"/>
      <c r="AV220" s="989"/>
      <c r="AW220" s="987"/>
      <c r="AX220" s="990"/>
      <c r="AZ220" s="983"/>
      <c r="BA220" s="983"/>
      <c r="BB220" s="985"/>
      <c r="BC220" s="983"/>
      <c r="BD220" s="986"/>
      <c r="BE220" s="983"/>
      <c r="CF220" s="2"/>
    </row>
    <row r="221" spans="3:84">
      <c r="C221" s="2"/>
      <c r="O221" s="93"/>
      <c r="AD221" s="758" t="s">
        <v>1265</v>
      </c>
      <c r="AE221" s="1377">
        <v>-829</v>
      </c>
      <c r="AF221" s="758" t="s">
        <v>979</v>
      </c>
      <c r="AG221" s="758" t="s">
        <v>779</v>
      </c>
      <c r="AH221" s="1375">
        <v>42794</v>
      </c>
      <c r="AI221" s="758" t="s">
        <v>1189</v>
      </c>
      <c r="AJ221" s="758" t="s">
        <v>852</v>
      </c>
      <c r="AL221" s="758" t="s">
        <v>758</v>
      </c>
      <c r="AM221" s="1377">
        <v>180.19</v>
      </c>
      <c r="AN221" s="758" t="s">
        <v>979</v>
      </c>
      <c r="AO221" s="758" t="s">
        <v>780</v>
      </c>
      <c r="AP221" s="1375">
        <v>42978</v>
      </c>
      <c r="AQ221" s="758" t="s">
        <v>1182</v>
      </c>
      <c r="AR221" s="758" t="s">
        <v>852</v>
      </c>
      <c r="AT221" s="987"/>
      <c r="AU221" s="987"/>
      <c r="AV221" s="989"/>
      <c r="AW221" s="987"/>
      <c r="AX221" s="990"/>
      <c r="AZ221" s="983"/>
      <c r="BA221" s="983"/>
      <c r="BB221" s="985"/>
      <c r="BC221" s="983"/>
      <c r="BD221" s="986"/>
      <c r="BE221" s="983"/>
      <c r="CF221" s="2"/>
    </row>
    <row r="222" spans="3:84">
      <c r="C222" s="2"/>
      <c r="O222" s="93"/>
      <c r="AD222" s="758" t="s">
        <v>1265</v>
      </c>
      <c r="AE222" s="1377">
        <v>-8883.4</v>
      </c>
      <c r="AF222" s="758" t="s">
        <v>979</v>
      </c>
      <c r="AG222" s="758" t="s">
        <v>779</v>
      </c>
      <c r="AH222" s="1375">
        <v>42825</v>
      </c>
      <c r="AI222" s="758" t="s">
        <v>969</v>
      </c>
      <c r="AJ222" s="758" t="s">
        <v>852</v>
      </c>
      <c r="AL222" s="758" t="s">
        <v>758</v>
      </c>
      <c r="AM222" s="1377">
        <v>105.68</v>
      </c>
      <c r="AN222" s="758" t="s">
        <v>979</v>
      </c>
      <c r="AO222" s="758" t="s">
        <v>780</v>
      </c>
      <c r="AP222" s="1375">
        <v>42978</v>
      </c>
      <c r="AQ222" s="758" t="s">
        <v>1415</v>
      </c>
      <c r="AR222" s="758" t="s">
        <v>852</v>
      </c>
      <c r="AT222" s="987"/>
      <c r="AU222" s="987"/>
      <c r="AV222" s="989"/>
      <c r="AW222" s="987"/>
      <c r="AX222" s="990"/>
      <c r="AZ222" s="983"/>
      <c r="BA222" s="983"/>
      <c r="BB222" s="985"/>
      <c r="BC222" s="983"/>
      <c r="BD222" s="986"/>
      <c r="BE222" s="983"/>
      <c r="CF222" s="2"/>
    </row>
    <row r="223" spans="3:84">
      <c r="C223" s="2"/>
      <c r="O223" s="93"/>
      <c r="AD223" s="758" t="s">
        <v>1265</v>
      </c>
      <c r="AE223" s="1377">
        <v>-392.12</v>
      </c>
      <c r="AF223" s="758" t="s">
        <v>979</v>
      </c>
      <c r="AG223" s="758" t="s">
        <v>779</v>
      </c>
      <c r="AH223" s="1375">
        <v>42825</v>
      </c>
      <c r="AI223" s="758" t="s">
        <v>1182</v>
      </c>
      <c r="AJ223" s="758" t="s">
        <v>852</v>
      </c>
      <c r="AL223" s="758" t="s">
        <v>758</v>
      </c>
      <c r="AM223" s="1377">
        <v>180.19</v>
      </c>
      <c r="AN223" s="758" t="s">
        <v>979</v>
      </c>
      <c r="AO223" s="758" t="s">
        <v>780</v>
      </c>
      <c r="AP223" s="1375">
        <v>43008</v>
      </c>
      <c r="AQ223" s="758" t="s">
        <v>1182</v>
      </c>
      <c r="AR223" s="758" t="s">
        <v>852</v>
      </c>
      <c r="AT223" s="987"/>
      <c r="AU223" s="987"/>
      <c r="AV223" s="989"/>
      <c r="AW223" s="987"/>
      <c r="AX223" s="990"/>
      <c r="AZ223" s="983"/>
      <c r="BA223" s="983"/>
      <c r="BB223" s="985"/>
      <c r="BC223" s="983"/>
      <c r="BD223" s="986"/>
      <c r="BE223" s="983"/>
      <c r="CF223" s="2"/>
    </row>
    <row r="224" spans="3:84">
      <c r="C224" s="2"/>
      <c r="O224" s="93"/>
      <c r="AD224" s="758" t="s">
        <v>1265</v>
      </c>
      <c r="AE224" s="1377">
        <v>4192.67</v>
      </c>
      <c r="AF224" s="758" t="s">
        <v>979</v>
      </c>
      <c r="AG224" s="758" t="s">
        <v>779</v>
      </c>
      <c r="AH224" s="1375">
        <v>42825</v>
      </c>
      <c r="AI224" s="758" t="s">
        <v>1117</v>
      </c>
      <c r="AJ224" s="758" t="s">
        <v>852</v>
      </c>
      <c r="AL224" s="758" t="s">
        <v>758</v>
      </c>
      <c r="AM224" s="1377">
        <v>211.45</v>
      </c>
      <c r="AN224" s="758" t="s">
        <v>979</v>
      </c>
      <c r="AO224" s="758" t="s">
        <v>780</v>
      </c>
      <c r="AP224" s="1375">
        <v>43008</v>
      </c>
      <c r="AQ224" s="758" t="s">
        <v>1189</v>
      </c>
      <c r="AR224" s="758" t="s">
        <v>852</v>
      </c>
      <c r="AT224" s="987"/>
      <c r="AU224" s="987"/>
      <c r="AV224" s="989"/>
      <c r="AW224" s="987"/>
      <c r="AX224" s="990"/>
      <c r="AZ224" s="983"/>
      <c r="BA224" s="983"/>
      <c r="BB224" s="985"/>
      <c r="BC224" s="983"/>
      <c r="BD224" s="986"/>
      <c r="BE224" s="983"/>
      <c r="CF224" s="2"/>
    </row>
    <row r="225" spans="3:84">
      <c r="C225" s="2"/>
      <c r="O225" s="93"/>
      <c r="AD225" s="758" t="s">
        <v>1265</v>
      </c>
      <c r="AE225" s="1377">
        <v>-50</v>
      </c>
      <c r="AF225" s="758" t="s">
        <v>979</v>
      </c>
      <c r="AG225" s="758" t="s">
        <v>779</v>
      </c>
      <c r="AH225" s="1375">
        <v>42825</v>
      </c>
      <c r="AI225" s="758" t="s">
        <v>1181</v>
      </c>
      <c r="AJ225" s="758" t="s">
        <v>852</v>
      </c>
      <c r="AL225" s="758" t="s">
        <v>758</v>
      </c>
      <c r="AM225" s="1377">
        <v>2095.5100000000002</v>
      </c>
      <c r="AN225" s="758" t="s">
        <v>979</v>
      </c>
      <c r="AO225" s="758" t="s">
        <v>780</v>
      </c>
      <c r="AP225" s="1375">
        <v>43039</v>
      </c>
      <c r="AQ225" s="758" t="s">
        <v>969</v>
      </c>
      <c r="AR225" s="758" t="s">
        <v>852</v>
      </c>
      <c r="AT225" s="987"/>
      <c r="AU225" s="987"/>
      <c r="AV225" s="989"/>
      <c r="AW225" s="987"/>
      <c r="AX225" s="990"/>
      <c r="AZ225" s="983"/>
      <c r="BA225" s="983"/>
      <c r="BB225" s="985"/>
      <c r="BC225" s="983"/>
      <c r="BD225" s="986"/>
      <c r="BE225" s="983"/>
      <c r="CF225" s="2"/>
    </row>
    <row r="226" spans="3:84">
      <c r="C226" s="2"/>
      <c r="O226" s="93"/>
      <c r="AD226" s="758" t="s">
        <v>1265</v>
      </c>
      <c r="AE226" s="1377">
        <v>-100</v>
      </c>
      <c r="AF226" s="758" t="s">
        <v>979</v>
      </c>
      <c r="AG226" s="758" t="s">
        <v>779</v>
      </c>
      <c r="AH226" s="1375">
        <v>42825</v>
      </c>
      <c r="AI226" s="758" t="s">
        <v>1414</v>
      </c>
      <c r="AJ226" s="758" t="s">
        <v>852</v>
      </c>
      <c r="AL226" s="758" t="s">
        <v>758</v>
      </c>
      <c r="AM226" s="1377">
        <v>200.98</v>
      </c>
      <c r="AN226" s="758" t="s">
        <v>979</v>
      </c>
      <c r="AO226" s="758" t="s">
        <v>780</v>
      </c>
      <c r="AP226" s="1375">
        <v>43039</v>
      </c>
      <c r="AQ226" s="758" t="s">
        <v>1182</v>
      </c>
      <c r="AR226" s="758" t="s">
        <v>852</v>
      </c>
      <c r="AT226" s="987"/>
      <c r="AU226" s="987"/>
      <c r="AV226" s="989"/>
      <c r="AW226" s="987"/>
      <c r="AX226" s="990"/>
      <c r="AZ226" s="983"/>
      <c r="BA226" s="983"/>
      <c r="BB226" s="985"/>
      <c r="BC226" s="983"/>
      <c r="BD226" s="986"/>
      <c r="BE226" s="983"/>
      <c r="CF226" s="2"/>
    </row>
    <row r="227" spans="3:84">
      <c r="C227" s="2"/>
      <c r="O227" s="93"/>
      <c r="AD227" s="758" t="s">
        <v>1265</v>
      </c>
      <c r="AE227" s="1377">
        <v>-195</v>
      </c>
      <c r="AF227" s="758" t="s">
        <v>979</v>
      </c>
      <c r="AG227" s="758" t="s">
        <v>779</v>
      </c>
      <c r="AH227" s="1375">
        <v>42825</v>
      </c>
      <c r="AI227" s="758" t="s">
        <v>1222</v>
      </c>
      <c r="AJ227" s="758" t="s">
        <v>852</v>
      </c>
      <c r="AL227" s="758" t="s">
        <v>758</v>
      </c>
      <c r="AM227" s="1377">
        <v>45.95</v>
      </c>
      <c r="AN227" s="758" t="s">
        <v>979</v>
      </c>
      <c r="AO227" s="758" t="s">
        <v>780</v>
      </c>
      <c r="AP227" s="1375">
        <v>43039</v>
      </c>
      <c r="AQ227" s="758" t="s">
        <v>1415</v>
      </c>
      <c r="AR227" s="758" t="s">
        <v>852</v>
      </c>
      <c r="AT227" s="987"/>
      <c r="AU227" s="987"/>
      <c r="AV227" s="989"/>
      <c r="AW227" s="987"/>
      <c r="AX227" s="990"/>
      <c r="AZ227" s="983"/>
      <c r="BA227" s="983"/>
      <c r="BB227" s="985"/>
      <c r="BC227" s="983"/>
      <c r="BD227" s="986"/>
      <c r="BE227" s="983"/>
      <c r="CF227" s="2"/>
    </row>
    <row r="228" spans="3:84">
      <c r="C228" s="2"/>
      <c r="O228" s="93"/>
      <c r="AD228" s="758" t="s">
        <v>1265</v>
      </c>
      <c r="AE228" s="1377">
        <v>-1209</v>
      </c>
      <c r="AF228" s="758" t="s">
        <v>979</v>
      </c>
      <c r="AG228" s="758" t="s">
        <v>779</v>
      </c>
      <c r="AH228" s="1375">
        <v>42825</v>
      </c>
      <c r="AI228" s="758" t="s">
        <v>1189</v>
      </c>
      <c r="AJ228" s="758" t="s">
        <v>852</v>
      </c>
      <c r="AL228" s="758" t="s">
        <v>758</v>
      </c>
      <c r="AM228" s="1377">
        <v>156.88999999999999</v>
      </c>
      <c r="AN228" s="758" t="s">
        <v>979</v>
      </c>
      <c r="AO228" s="758" t="s">
        <v>780</v>
      </c>
      <c r="AP228" s="1375">
        <v>43039</v>
      </c>
      <c r="AQ228" s="758" t="s">
        <v>1207</v>
      </c>
      <c r="AR228" s="758" t="s">
        <v>852</v>
      </c>
      <c r="AT228" s="987"/>
      <c r="AU228" s="987"/>
      <c r="AV228" s="989"/>
      <c r="AW228" s="987"/>
      <c r="AX228" s="990"/>
      <c r="AZ228" s="983"/>
      <c r="BA228" s="983"/>
      <c r="BB228" s="985"/>
      <c r="BC228" s="983"/>
      <c r="BD228" s="986"/>
      <c r="BE228" s="983"/>
      <c r="CF228" s="2"/>
    </row>
    <row r="229" spans="3:84">
      <c r="C229" s="2"/>
      <c r="O229" s="93"/>
      <c r="AD229" s="758" t="s">
        <v>1265</v>
      </c>
      <c r="AE229" s="1377">
        <v>-3866.64</v>
      </c>
      <c r="AF229" s="758" t="s">
        <v>979</v>
      </c>
      <c r="AG229" s="758" t="s">
        <v>779</v>
      </c>
      <c r="AH229" s="1375">
        <v>42855</v>
      </c>
      <c r="AI229" s="758" t="s">
        <v>969</v>
      </c>
      <c r="AJ229" s="758" t="s">
        <v>852</v>
      </c>
      <c r="AL229" s="758" t="s">
        <v>758</v>
      </c>
      <c r="AM229" s="1377">
        <v>808.87</v>
      </c>
      <c r="AN229" s="758" t="s">
        <v>979</v>
      </c>
      <c r="AO229" s="758" t="s">
        <v>780</v>
      </c>
      <c r="AP229" s="1375">
        <v>43039</v>
      </c>
      <c r="AQ229" s="758" t="s">
        <v>1181</v>
      </c>
      <c r="AR229" s="758" t="s">
        <v>852</v>
      </c>
      <c r="AT229" s="987"/>
      <c r="AU229" s="987"/>
      <c r="AV229" s="989"/>
      <c r="AW229" s="987"/>
      <c r="AX229" s="990"/>
      <c r="AZ229" s="983"/>
      <c r="BA229" s="983"/>
      <c r="BB229" s="985"/>
      <c r="BC229" s="983"/>
      <c r="BD229" s="986"/>
      <c r="BE229" s="983"/>
      <c r="CF229" s="2"/>
    </row>
    <row r="230" spans="3:84">
      <c r="C230" s="2"/>
      <c r="O230" s="93"/>
      <c r="AD230" s="758" t="s">
        <v>1265</v>
      </c>
      <c r="AE230" s="1377">
        <v>-392.12</v>
      </c>
      <c r="AF230" s="758" t="s">
        <v>979</v>
      </c>
      <c r="AG230" s="758" t="s">
        <v>779</v>
      </c>
      <c r="AH230" s="1375">
        <v>42855</v>
      </c>
      <c r="AI230" s="758" t="s">
        <v>1182</v>
      </c>
      <c r="AJ230" s="758" t="s">
        <v>852</v>
      </c>
      <c r="AL230" s="758" t="s">
        <v>758</v>
      </c>
      <c r="AM230" s="1377">
        <v>105.73</v>
      </c>
      <c r="AN230" s="758" t="s">
        <v>979</v>
      </c>
      <c r="AO230" s="758" t="s">
        <v>780</v>
      </c>
      <c r="AP230" s="1375">
        <v>43039</v>
      </c>
      <c r="AQ230" s="758" t="s">
        <v>1189</v>
      </c>
      <c r="AR230" s="758" t="s">
        <v>852</v>
      </c>
      <c r="AT230" s="987"/>
      <c r="AU230" s="987"/>
      <c r="AV230" s="989"/>
      <c r="AW230" s="987"/>
      <c r="AX230" s="990"/>
      <c r="AZ230" s="983"/>
      <c r="BA230" s="983"/>
      <c r="BB230" s="985"/>
      <c r="BC230" s="983"/>
      <c r="BD230" s="986"/>
      <c r="BE230" s="983"/>
      <c r="CF230" s="2"/>
    </row>
    <row r="231" spans="3:84">
      <c r="C231" s="2"/>
      <c r="O231" s="93"/>
      <c r="AD231" s="758" t="s">
        <v>1265</v>
      </c>
      <c r="AE231" s="1377">
        <v>-374</v>
      </c>
      <c r="AF231" s="758" t="s">
        <v>979</v>
      </c>
      <c r="AG231" s="758" t="s">
        <v>779</v>
      </c>
      <c r="AH231" s="1375">
        <v>42855</v>
      </c>
      <c r="AI231" s="758" t="s">
        <v>1117</v>
      </c>
      <c r="AJ231" s="758" t="s">
        <v>852</v>
      </c>
      <c r="AL231" s="758" t="s">
        <v>758</v>
      </c>
      <c r="AM231" s="1377">
        <v>3487.24</v>
      </c>
      <c r="AN231" s="758" t="s">
        <v>979</v>
      </c>
      <c r="AO231" s="758" t="s">
        <v>780</v>
      </c>
      <c r="AP231" s="1375">
        <v>43069</v>
      </c>
      <c r="AQ231" s="758" t="s">
        <v>969</v>
      </c>
      <c r="AR231" s="758" t="s">
        <v>852</v>
      </c>
      <c r="AT231" s="987"/>
      <c r="AU231" s="987"/>
      <c r="AV231" s="989"/>
      <c r="AW231" s="987"/>
      <c r="AX231" s="990"/>
      <c r="AZ231" s="983"/>
      <c r="BA231" s="983"/>
      <c r="BB231" s="985"/>
      <c r="BC231" s="983"/>
      <c r="BD231" s="986"/>
      <c r="BE231" s="983"/>
      <c r="CF231" s="2"/>
    </row>
    <row r="232" spans="3:84">
      <c r="C232" s="2"/>
      <c r="O232" s="93"/>
      <c r="AD232" s="758" t="s">
        <v>1265</v>
      </c>
      <c r="AE232" s="1377">
        <v>-250</v>
      </c>
      <c r="AF232" s="758" t="s">
        <v>979</v>
      </c>
      <c r="AG232" s="758" t="s">
        <v>779</v>
      </c>
      <c r="AH232" s="1375">
        <v>42855</v>
      </c>
      <c r="AI232" s="758" t="s">
        <v>1208</v>
      </c>
      <c r="AJ232" s="758" t="s">
        <v>852</v>
      </c>
      <c r="AL232" s="758" t="s">
        <v>758</v>
      </c>
      <c r="AM232" s="1377">
        <v>180.19</v>
      </c>
      <c r="AN232" s="758" t="s">
        <v>979</v>
      </c>
      <c r="AO232" s="758" t="s">
        <v>780</v>
      </c>
      <c r="AP232" s="1375">
        <v>43069</v>
      </c>
      <c r="AQ232" s="758" t="s">
        <v>1182</v>
      </c>
      <c r="AR232" s="758" t="s">
        <v>852</v>
      </c>
      <c r="AT232" s="987"/>
      <c r="AU232" s="987"/>
      <c r="AV232" s="989"/>
      <c r="AW232" s="987"/>
      <c r="AX232" s="990"/>
      <c r="AZ232" s="983"/>
      <c r="BA232" s="983"/>
      <c r="BB232" s="985"/>
      <c r="BC232" s="983"/>
      <c r="BD232" s="986"/>
      <c r="BE232" s="983"/>
      <c r="CF232" s="2"/>
    </row>
    <row r="233" spans="3:84">
      <c r="C233" s="2"/>
      <c r="O233" s="93"/>
      <c r="AD233" s="758" t="s">
        <v>1265</v>
      </c>
      <c r="AE233" s="1377">
        <v>-375</v>
      </c>
      <c r="AF233" s="758" t="s">
        <v>979</v>
      </c>
      <c r="AG233" s="758" t="s">
        <v>779</v>
      </c>
      <c r="AH233" s="1375">
        <v>42855</v>
      </c>
      <c r="AI233" s="758" t="s">
        <v>1189</v>
      </c>
      <c r="AJ233" s="758" t="s">
        <v>852</v>
      </c>
      <c r="AL233" s="758" t="s">
        <v>758</v>
      </c>
      <c r="AM233" s="1377">
        <v>286.70999999999998</v>
      </c>
      <c r="AN233" s="758" t="s">
        <v>979</v>
      </c>
      <c r="AO233" s="758" t="s">
        <v>780</v>
      </c>
      <c r="AP233" s="1375">
        <v>43069</v>
      </c>
      <c r="AQ233" s="758" t="s">
        <v>1201</v>
      </c>
      <c r="AR233" s="758" t="s">
        <v>852</v>
      </c>
      <c r="AT233" s="987"/>
      <c r="AU233" s="987"/>
      <c r="AV233" s="989"/>
      <c r="AW233" s="987"/>
      <c r="AX233" s="990"/>
      <c r="AZ233" s="983"/>
      <c r="BA233" s="983"/>
      <c r="BB233" s="985"/>
      <c r="BC233" s="983"/>
      <c r="BD233" s="986"/>
      <c r="BE233" s="983"/>
      <c r="CF233" s="2"/>
    </row>
    <row r="234" spans="3:84">
      <c r="C234" s="2"/>
      <c r="O234" s="93"/>
      <c r="AD234" s="758" t="s">
        <v>1265</v>
      </c>
      <c r="AE234" s="1377">
        <v>-7869.8</v>
      </c>
      <c r="AF234" s="758" t="s">
        <v>979</v>
      </c>
      <c r="AG234" s="758" t="s">
        <v>779</v>
      </c>
      <c r="AH234" s="1375">
        <v>42886</v>
      </c>
      <c r="AI234" s="758" t="s">
        <v>969</v>
      </c>
      <c r="AJ234" s="758" t="s">
        <v>852</v>
      </c>
      <c r="AL234" s="758" t="s">
        <v>758</v>
      </c>
      <c r="AM234" s="1377">
        <v>97.59</v>
      </c>
      <c r="AN234" s="758" t="s">
        <v>979</v>
      </c>
      <c r="AO234" s="758" t="s">
        <v>780</v>
      </c>
      <c r="AP234" s="1375">
        <v>43069</v>
      </c>
      <c r="AQ234" s="758" t="s">
        <v>1189</v>
      </c>
      <c r="AR234" s="758" t="s">
        <v>852</v>
      </c>
      <c r="AT234" s="987"/>
      <c r="AU234" s="987"/>
      <c r="AV234" s="989"/>
      <c r="AW234" s="987"/>
      <c r="AX234" s="990"/>
      <c r="AZ234" s="983"/>
      <c r="BA234" s="983"/>
      <c r="BB234" s="985"/>
      <c r="BC234" s="983"/>
      <c r="BD234" s="986"/>
      <c r="BE234" s="983"/>
      <c r="CF234" s="2"/>
    </row>
    <row r="235" spans="3:84">
      <c r="C235" s="2"/>
      <c r="O235" s="93"/>
      <c r="AD235" s="758" t="s">
        <v>1265</v>
      </c>
      <c r="AE235" s="1377">
        <v>-392.12</v>
      </c>
      <c r="AF235" s="758" t="s">
        <v>979</v>
      </c>
      <c r="AG235" s="758" t="s">
        <v>779</v>
      </c>
      <c r="AH235" s="1375">
        <v>42886</v>
      </c>
      <c r="AI235" s="758" t="s">
        <v>1182</v>
      </c>
      <c r="AJ235" s="758" t="s">
        <v>852</v>
      </c>
      <c r="AL235" s="758" t="s">
        <v>758</v>
      </c>
      <c r="AM235" s="1377">
        <v>81.25</v>
      </c>
      <c r="AN235" s="758" t="s">
        <v>979</v>
      </c>
      <c r="AO235" s="758" t="s">
        <v>780</v>
      </c>
      <c r="AP235" s="1375">
        <v>43100</v>
      </c>
      <c r="AQ235" s="758" t="s">
        <v>969</v>
      </c>
      <c r="AR235" s="758" t="s">
        <v>852</v>
      </c>
      <c r="AT235" s="987"/>
      <c r="AU235" s="987"/>
      <c r="AV235" s="989"/>
      <c r="AW235" s="987"/>
      <c r="AX235" s="990"/>
      <c r="AZ235" s="983"/>
      <c r="BA235" s="983"/>
      <c r="BB235" s="985"/>
      <c r="BC235" s="983"/>
      <c r="BD235" s="986"/>
      <c r="BE235" s="983"/>
      <c r="CF235" s="2"/>
    </row>
    <row r="236" spans="3:84">
      <c r="C236" s="2"/>
      <c r="O236" s="93"/>
      <c r="AD236" s="758" t="s">
        <v>1265</v>
      </c>
      <c r="AE236" s="1377">
        <v>-6345</v>
      </c>
      <c r="AF236" s="758" t="s">
        <v>979</v>
      </c>
      <c r="AG236" s="758" t="s">
        <v>779</v>
      </c>
      <c r="AH236" s="1375">
        <v>42886</v>
      </c>
      <c r="AI236" s="758" t="s">
        <v>1189</v>
      </c>
      <c r="AJ236" s="758" t="s">
        <v>852</v>
      </c>
      <c r="AL236" s="758" t="s">
        <v>758</v>
      </c>
      <c r="AM236" s="1377">
        <v>360.38</v>
      </c>
      <c r="AN236" s="758" t="s">
        <v>979</v>
      </c>
      <c r="AO236" s="758" t="s">
        <v>780</v>
      </c>
      <c r="AP236" s="1375">
        <v>43100</v>
      </c>
      <c r="AQ236" s="758" t="s">
        <v>1182</v>
      </c>
      <c r="AR236" s="758" t="s">
        <v>852</v>
      </c>
      <c r="AT236" s="987"/>
      <c r="AU236" s="987"/>
      <c r="AV236" s="989"/>
      <c r="AW236" s="987"/>
      <c r="AX236" s="990"/>
      <c r="AZ236" s="983"/>
      <c r="BA236" s="983"/>
      <c r="BB236" s="985"/>
      <c r="BC236" s="983"/>
      <c r="BD236" s="986"/>
      <c r="BE236" s="983"/>
      <c r="CF236" s="2"/>
    </row>
    <row r="237" spans="3:84">
      <c r="C237" s="2"/>
      <c r="O237" s="93"/>
      <c r="AD237" s="758" t="s">
        <v>1265</v>
      </c>
      <c r="AE237" s="1377">
        <v>-7288.17</v>
      </c>
      <c r="AF237" s="758" t="s">
        <v>979</v>
      </c>
      <c r="AG237" s="758" t="s">
        <v>779</v>
      </c>
      <c r="AH237" s="1375">
        <v>42916</v>
      </c>
      <c r="AI237" s="758" t="s">
        <v>969</v>
      </c>
      <c r="AJ237" s="758" t="s">
        <v>852</v>
      </c>
      <c r="AL237" s="758" t="s">
        <v>758</v>
      </c>
      <c r="AM237" s="1377">
        <v>322.20999999999998</v>
      </c>
      <c r="AN237" s="758" t="s">
        <v>979</v>
      </c>
      <c r="AO237" s="758" t="s">
        <v>780</v>
      </c>
      <c r="AP237" s="1375">
        <v>43100</v>
      </c>
      <c r="AQ237" s="758" t="s">
        <v>1207</v>
      </c>
      <c r="AR237" s="758" t="s">
        <v>852</v>
      </c>
      <c r="AT237" s="987"/>
      <c r="AU237" s="987"/>
      <c r="AV237" s="989"/>
      <c r="AW237" s="987"/>
      <c r="AX237" s="990"/>
      <c r="AZ237" s="983"/>
      <c r="BA237" s="983"/>
      <c r="BB237" s="985"/>
      <c r="BC237" s="983"/>
      <c r="BD237" s="986"/>
      <c r="BE237" s="983"/>
      <c r="CF237" s="2"/>
    </row>
    <row r="238" spans="3:84">
      <c r="C238" s="2"/>
      <c r="O238" s="93"/>
      <c r="AD238" s="758" t="s">
        <v>1265</v>
      </c>
      <c r="AE238" s="1377">
        <v>-460.12</v>
      </c>
      <c r="AF238" s="758" t="s">
        <v>979</v>
      </c>
      <c r="AG238" s="758" t="s">
        <v>779</v>
      </c>
      <c r="AH238" s="1375">
        <v>42916</v>
      </c>
      <c r="AI238" s="758" t="s">
        <v>1182</v>
      </c>
      <c r="AJ238" s="758" t="s">
        <v>852</v>
      </c>
      <c r="AL238" s="758" t="s">
        <v>758</v>
      </c>
      <c r="AM238" s="1377">
        <v>313.38</v>
      </c>
      <c r="AN238" s="758" t="s">
        <v>979</v>
      </c>
      <c r="AO238" s="758" t="s">
        <v>780</v>
      </c>
      <c r="AP238" s="1375">
        <v>43100</v>
      </c>
      <c r="AQ238" s="758" t="s">
        <v>1117</v>
      </c>
      <c r="AR238" s="758" t="s">
        <v>852</v>
      </c>
      <c r="AZ238" s="983"/>
      <c r="BA238" s="983"/>
      <c r="BB238" s="985"/>
      <c r="BC238" s="983"/>
      <c r="BD238" s="986"/>
      <c r="BE238" s="983"/>
      <c r="CF238" s="2"/>
    </row>
    <row r="239" spans="3:84">
      <c r="C239" s="2"/>
      <c r="O239" s="93"/>
      <c r="AD239" s="758" t="s">
        <v>1265</v>
      </c>
      <c r="AE239" s="1377">
        <v>-49</v>
      </c>
      <c r="AF239" s="758" t="s">
        <v>979</v>
      </c>
      <c r="AG239" s="758" t="s">
        <v>779</v>
      </c>
      <c r="AH239" s="1375">
        <v>42916</v>
      </c>
      <c r="AI239" s="758" t="s">
        <v>1415</v>
      </c>
      <c r="AJ239" s="758" t="s">
        <v>852</v>
      </c>
      <c r="AL239" s="758" t="s">
        <v>758</v>
      </c>
      <c r="AM239" s="1377">
        <v>216.49</v>
      </c>
      <c r="AN239" s="758" t="s">
        <v>979</v>
      </c>
      <c r="AO239" s="758" t="s">
        <v>780</v>
      </c>
      <c r="AP239" s="1375">
        <v>43100</v>
      </c>
      <c r="AQ239" s="758" t="s">
        <v>1416</v>
      </c>
      <c r="AR239" s="758" t="s">
        <v>852</v>
      </c>
      <c r="AZ239" s="983"/>
      <c r="BA239" s="983"/>
      <c r="BB239" s="985"/>
      <c r="BC239" s="983"/>
      <c r="BD239" s="986"/>
      <c r="BE239" s="983"/>
      <c r="CF239" s="2"/>
    </row>
    <row r="240" spans="3:84">
      <c r="C240" s="2"/>
      <c r="O240" s="93"/>
      <c r="AD240" s="758" t="s">
        <v>1265</v>
      </c>
      <c r="AE240" s="1377">
        <v>-248</v>
      </c>
      <c r="AF240" s="758" t="s">
        <v>979</v>
      </c>
      <c r="AG240" s="758" t="s">
        <v>779</v>
      </c>
      <c r="AH240" s="1375">
        <v>42916</v>
      </c>
      <c r="AI240" s="758" t="s">
        <v>1189</v>
      </c>
      <c r="AJ240" s="758" t="s">
        <v>852</v>
      </c>
      <c r="AL240" s="758" t="s">
        <v>758</v>
      </c>
      <c r="AM240" s="1377">
        <v>37.31</v>
      </c>
      <c r="AN240" s="758" t="s">
        <v>979</v>
      </c>
      <c r="AO240" s="758" t="s">
        <v>780</v>
      </c>
      <c r="AP240" s="1375">
        <v>43100</v>
      </c>
      <c r="AQ240" s="758" t="s">
        <v>1208</v>
      </c>
      <c r="AR240" s="758" t="s">
        <v>852</v>
      </c>
      <c r="AZ240" s="983"/>
      <c r="BA240" s="983"/>
      <c r="BB240" s="985"/>
      <c r="BC240" s="983"/>
      <c r="BD240" s="986"/>
      <c r="BE240" s="983"/>
      <c r="CF240" s="2"/>
    </row>
    <row r="241" spans="3:84">
      <c r="C241" s="2"/>
      <c r="O241" s="93"/>
      <c r="AD241" s="758" t="s">
        <v>1265</v>
      </c>
      <c r="AE241" s="1377">
        <v>-589.36</v>
      </c>
      <c r="AF241" s="758" t="s">
        <v>979</v>
      </c>
      <c r="AG241" s="758" t="s">
        <v>779</v>
      </c>
      <c r="AH241" s="1375">
        <v>42947</v>
      </c>
      <c r="AI241" s="758" t="s">
        <v>969</v>
      </c>
      <c r="AJ241" s="758" t="s">
        <v>852</v>
      </c>
      <c r="AL241" s="758" t="s">
        <v>758</v>
      </c>
      <c r="AM241" s="1377">
        <v>196.8</v>
      </c>
      <c r="AN241" s="758" t="s">
        <v>979</v>
      </c>
      <c r="AO241" s="758" t="s">
        <v>780</v>
      </c>
      <c r="AP241" s="1375">
        <v>43100</v>
      </c>
      <c r="AQ241" s="758" t="s">
        <v>1222</v>
      </c>
      <c r="AR241" s="758" t="s">
        <v>852</v>
      </c>
      <c r="AZ241" s="983"/>
      <c r="BA241" s="983"/>
      <c r="BB241" s="985"/>
      <c r="BC241" s="983"/>
      <c r="BD241" s="986"/>
      <c r="BE241" s="983"/>
      <c r="CF241" s="2"/>
    </row>
    <row r="242" spans="3:84">
      <c r="C242" s="2"/>
      <c r="O242" s="93"/>
      <c r="AD242" s="758" t="s">
        <v>1265</v>
      </c>
      <c r="AE242" s="1377">
        <v>-392.12</v>
      </c>
      <c r="AF242" s="758" t="s">
        <v>979</v>
      </c>
      <c r="AG242" s="758" t="s">
        <v>779</v>
      </c>
      <c r="AH242" s="1375">
        <v>42947</v>
      </c>
      <c r="AI242" s="758" t="s">
        <v>1182</v>
      </c>
      <c r="AJ242" s="758" t="s">
        <v>852</v>
      </c>
      <c r="AL242" s="758" t="s">
        <v>758</v>
      </c>
      <c r="AM242" s="1377">
        <v>81.31</v>
      </c>
      <c r="AN242" s="758" t="s">
        <v>979</v>
      </c>
      <c r="AO242" s="758" t="s">
        <v>780</v>
      </c>
      <c r="AP242" s="1375">
        <v>43100</v>
      </c>
      <c r="AQ242" s="758" t="s">
        <v>1189</v>
      </c>
      <c r="AR242" s="758" t="s">
        <v>852</v>
      </c>
      <c r="AZ242" s="983"/>
      <c r="BA242" s="983"/>
      <c r="BB242" s="985"/>
      <c r="BC242" s="983"/>
      <c r="BD242" s="986"/>
      <c r="BE242" s="983"/>
      <c r="CF242" s="2"/>
    </row>
    <row r="243" spans="3:84">
      <c r="C243" s="2"/>
      <c r="O243" s="93"/>
      <c r="AD243" s="758" t="s">
        <v>1265</v>
      </c>
      <c r="AE243" s="1377">
        <v>-230</v>
      </c>
      <c r="AF243" s="758" t="s">
        <v>979</v>
      </c>
      <c r="AG243" s="758" t="s">
        <v>779</v>
      </c>
      <c r="AH243" s="1375">
        <v>42947</v>
      </c>
      <c r="AI243" s="758" t="s">
        <v>1415</v>
      </c>
      <c r="AJ243" s="758" t="s">
        <v>852</v>
      </c>
      <c r="AL243" s="758" t="s">
        <v>758</v>
      </c>
      <c r="AM243" s="1377">
        <v>500</v>
      </c>
      <c r="AN243" s="758" t="s">
        <v>1188</v>
      </c>
      <c r="AO243" s="758" t="s">
        <v>780</v>
      </c>
      <c r="AP243" s="1375">
        <v>42766</v>
      </c>
      <c r="AQ243" s="758" t="s">
        <v>1116</v>
      </c>
      <c r="AR243" s="758" t="s">
        <v>852</v>
      </c>
      <c r="AZ243" s="983"/>
      <c r="BA243" s="983"/>
      <c r="BB243" s="985"/>
      <c r="BC243" s="983"/>
      <c r="BD243" s="986"/>
      <c r="BE243" s="983"/>
      <c r="CF243" s="2"/>
    </row>
    <row r="244" spans="3:84">
      <c r="C244" s="2"/>
      <c r="O244" s="93"/>
      <c r="AD244" s="758" t="s">
        <v>1265</v>
      </c>
      <c r="AE244" s="1377">
        <v>-392.12</v>
      </c>
      <c r="AF244" s="758" t="s">
        <v>979</v>
      </c>
      <c r="AG244" s="758" t="s">
        <v>779</v>
      </c>
      <c r="AH244" s="1375">
        <v>42978</v>
      </c>
      <c r="AI244" s="758" t="s">
        <v>1182</v>
      </c>
      <c r="AJ244" s="758" t="s">
        <v>852</v>
      </c>
      <c r="AL244" s="758" t="s">
        <v>758</v>
      </c>
      <c r="AM244" s="1377">
        <v>8625</v>
      </c>
      <c r="AN244" s="758" t="s">
        <v>1188</v>
      </c>
      <c r="AO244" s="758" t="s">
        <v>780</v>
      </c>
      <c r="AP244" s="1375">
        <v>42825</v>
      </c>
      <c r="AQ244" s="758" t="s">
        <v>1116</v>
      </c>
      <c r="AR244" s="758" t="s">
        <v>852</v>
      </c>
      <c r="AZ244" s="983"/>
      <c r="BA244" s="983"/>
      <c r="BB244" s="985"/>
      <c r="BC244" s="983"/>
      <c r="BD244" s="986"/>
      <c r="BE244" s="983"/>
      <c r="CF244" s="2"/>
    </row>
    <row r="245" spans="3:84">
      <c r="C245" s="2"/>
      <c r="O245" s="93"/>
      <c r="AD245" s="758" t="s">
        <v>1265</v>
      </c>
      <c r="AE245" s="1377">
        <v>-390</v>
      </c>
      <c r="AF245" s="758" t="s">
        <v>979</v>
      </c>
      <c r="AG245" s="758" t="s">
        <v>779</v>
      </c>
      <c r="AH245" s="1375">
        <v>42978</v>
      </c>
      <c r="AI245" s="758" t="s">
        <v>1189</v>
      </c>
      <c r="AJ245" s="758" t="s">
        <v>852</v>
      </c>
      <c r="AL245" s="758" t="s">
        <v>758</v>
      </c>
      <c r="AM245" s="1377">
        <v>250</v>
      </c>
      <c r="AN245" s="758" t="s">
        <v>1188</v>
      </c>
      <c r="AO245" s="758" t="s">
        <v>780</v>
      </c>
      <c r="AP245" s="1375">
        <v>42855</v>
      </c>
      <c r="AQ245" s="758" t="s">
        <v>1116</v>
      </c>
      <c r="AR245" s="758" t="s">
        <v>852</v>
      </c>
      <c r="AZ245" s="983"/>
      <c r="BA245" s="983"/>
      <c r="BB245" s="985"/>
      <c r="BC245" s="983"/>
      <c r="BD245" s="986"/>
      <c r="BE245" s="983"/>
      <c r="CF245" s="2"/>
    </row>
    <row r="246" spans="3:84">
      <c r="C246" s="2"/>
      <c r="O246" s="93"/>
      <c r="AD246" s="758" t="s">
        <v>1265</v>
      </c>
      <c r="AE246" s="1377">
        <v>-4560.26</v>
      </c>
      <c r="AF246" s="758" t="s">
        <v>979</v>
      </c>
      <c r="AG246" s="758" t="s">
        <v>779</v>
      </c>
      <c r="AH246" s="1375">
        <v>43008</v>
      </c>
      <c r="AI246" s="758" t="s">
        <v>969</v>
      </c>
      <c r="AJ246" s="758" t="s">
        <v>852</v>
      </c>
      <c r="AL246" s="758" t="s">
        <v>758</v>
      </c>
      <c r="AM246" s="1377">
        <v>250</v>
      </c>
      <c r="AN246" s="758" t="s">
        <v>1188</v>
      </c>
      <c r="AO246" s="758" t="s">
        <v>780</v>
      </c>
      <c r="AP246" s="1375">
        <v>42916</v>
      </c>
      <c r="AQ246" s="758" t="s">
        <v>1116</v>
      </c>
      <c r="AR246" s="758" t="s">
        <v>852</v>
      </c>
      <c r="AZ246" s="983"/>
      <c r="BA246" s="983"/>
      <c r="BB246" s="985"/>
      <c r="BC246" s="983"/>
      <c r="BD246" s="986"/>
      <c r="BE246" s="983"/>
      <c r="CF246" s="2"/>
    </row>
    <row r="247" spans="3:84">
      <c r="C247" s="2"/>
      <c r="O247" s="93"/>
      <c r="AD247" s="758" t="s">
        <v>1265</v>
      </c>
      <c r="AE247" s="1377">
        <v>-437.37</v>
      </c>
      <c r="AF247" s="758" t="s">
        <v>979</v>
      </c>
      <c r="AG247" s="758" t="s">
        <v>779</v>
      </c>
      <c r="AH247" s="1375">
        <v>43008</v>
      </c>
      <c r="AI247" s="758" t="s">
        <v>1182</v>
      </c>
      <c r="AJ247" s="758" t="s">
        <v>852</v>
      </c>
      <c r="AL247" s="758" t="s">
        <v>758</v>
      </c>
      <c r="AM247" s="1377">
        <v>2600</v>
      </c>
      <c r="AN247" s="758" t="s">
        <v>1096</v>
      </c>
      <c r="AO247" s="758" t="s">
        <v>780</v>
      </c>
      <c r="AP247" s="1375">
        <v>42766</v>
      </c>
      <c r="AQ247" s="758" t="s">
        <v>1166</v>
      </c>
      <c r="AR247" s="758" t="s">
        <v>852</v>
      </c>
      <c r="AZ247" s="983"/>
      <c r="BA247" s="983"/>
      <c r="BB247" s="985"/>
      <c r="BC247" s="983"/>
      <c r="BD247" s="986"/>
      <c r="BE247" s="983"/>
      <c r="CF247" s="2"/>
    </row>
    <row r="248" spans="3:84">
      <c r="C248" s="2"/>
      <c r="O248" s="93"/>
      <c r="AD248" s="758" t="s">
        <v>1265</v>
      </c>
      <c r="AE248" s="1377">
        <v>-100</v>
      </c>
      <c r="AF248" s="758" t="s">
        <v>979</v>
      </c>
      <c r="AG248" s="758" t="s">
        <v>779</v>
      </c>
      <c r="AH248" s="1375">
        <v>43008</v>
      </c>
      <c r="AI248" s="758" t="s">
        <v>1415</v>
      </c>
      <c r="AJ248" s="758" t="s">
        <v>852</v>
      </c>
      <c r="AL248" s="758" t="s">
        <v>758</v>
      </c>
      <c r="AM248" s="1377">
        <v>0</v>
      </c>
      <c r="AN248" s="758" t="s">
        <v>1096</v>
      </c>
      <c r="AO248" s="758" t="s">
        <v>780</v>
      </c>
      <c r="AP248" s="1375">
        <v>42794</v>
      </c>
      <c r="AQ248" s="758" t="s">
        <v>1166</v>
      </c>
      <c r="AR248" s="758" t="s">
        <v>852</v>
      </c>
      <c r="AZ248" s="983"/>
      <c r="BA248" s="983"/>
      <c r="BB248" s="985"/>
      <c r="BC248" s="983"/>
      <c r="BD248" s="986"/>
      <c r="BE248" s="983"/>
      <c r="CF248" s="2"/>
    </row>
    <row r="249" spans="3:84">
      <c r="C249" s="2"/>
      <c r="O249" s="93"/>
      <c r="AD249" s="758" t="s">
        <v>1265</v>
      </c>
      <c r="AE249" s="1377">
        <v>-260</v>
      </c>
      <c r="AF249" s="758" t="s">
        <v>979</v>
      </c>
      <c r="AG249" s="758" t="s">
        <v>779</v>
      </c>
      <c r="AH249" s="1375">
        <v>43008</v>
      </c>
      <c r="AI249" s="758" t="s">
        <v>1207</v>
      </c>
      <c r="AJ249" s="758" t="s">
        <v>852</v>
      </c>
      <c r="AL249" s="758" t="s">
        <v>758</v>
      </c>
      <c r="AM249" s="1377">
        <v>50</v>
      </c>
      <c r="AN249" s="758" t="s">
        <v>1417</v>
      </c>
      <c r="AO249" s="758" t="s">
        <v>780</v>
      </c>
      <c r="AP249" s="1375">
        <v>42825</v>
      </c>
      <c r="AQ249" s="758" t="s">
        <v>1168</v>
      </c>
      <c r="AR249" s="758" t="s">
        <v>852</v>
      </c>
      <c r="AZ249" s="983"/>
      <c r="BA249" s="983"/>
      <c r="BB249" s="985"/>
      <c r="BC249" s="983"/>
      <c r="BD249" s="986"/>
      <c r="BE249" s="983"/>
      <c r="CF249" s="2"/>
    </row>
    <row r="250" spans="3:84">
      <c r="C250" s="2"/>
      <c r="O250" s="93"/>
      <c r="AD250" s="758" t="s">
        <v>1265</v>
      </c>
      <c r="AE250" s="1377">
        <v>-995</v>
      </c>
      <c r="AF250" s="758" t="s">
        <v>979</v>
      </c>
      <c r="AG250" s="758" t="s">
        <v>779</v>
      </c>
      <c r="AH250" s="1375">
        <v>43008</v>
      </c>
      <c r="AI250" s="758" t="s">
        <v>1181</v>
      </c>
      <c r="AJ250" s="758" t="s">
        <v>852</v>
      </c>
      <c r="AL250" s="758" t="s">
        <v>758</v>
      </c>
      <c r="AM250" s="1377">
        <v>0</v>
      </c>
      <c r="AN250" s="758" t="s">
        <v>1418</v>
      </c>
      <c r="AO250" s="758" t="s">
        <v>780</v>
      </c>
      <c r="AP250" s="1375">
        <v>42825</v>
      </c>
      <c r="AQ250" s="758" t="s">
        <v>1419</v>
      </c>
      <c r="AR250" s="758" t="s">
        <v>852</v>
      </c>
      <c r="AZ250" s="983"/>
      <c r="BA250" s="983"/>
      <c r="BB250" s="985"/>
      <c r="BC250" s="983"/>
      <c r="BD250" s="986"/>
      <c r="BE250" s="983"/>
      <c r="CF250" s="2"/>
    </row>
    <row r="251" spans="3:84">
      <c r="C251" s="2"/>
      <c r="O251" s="93"/>
      <c r="AD251" s="758" t="s">
        <v>1265</v>
      </c>
      <c r="AE251" s="1377">
        <v>-195</v>
      </c>
      <c r="AF251" s="758" t="s">
        <v>979</v>
      </c>
      <c r="AG251" s="758" t="s">
        <v>779</v>
      </c>
      <c r="AH251" s="1375">
        <v>43008</v>
      </c>
      <c r="AI251" s="758" t="s">
        <v>1189</v>
      </c>
      <c r="AJ251" s="758" t="s">
        <v>852</v>
      </c>
      <c r="AL251" s="758" t="s">
        <v>758</v>
      </c>
      <c r="AM251" s="1377">
        <v>5000</v>
      </c>
      <c r="AN251" s="758" t="s">
        <v>1418</v>
      </c>
      <c r="AO251" s="758" t="s">
        <v>780</v>
      </c>
      <c r="AP251" s="1375">
        <v>42825</v>
      </c>
      <c r="AQ251" s="758" t="s">
        <v>1174</v>
      </c>
      <c r="AR251" s="758" t="s">
        <v>852</v>
      </c>
      <c r="AZ251" s="983"/>
      <c r="BA251" s="983"/>
      <c r="BB251" s="985"/>
      <c r="BC251" s="983"/>
      <c r="BD251" s="986"/>
      <c r="BE251" s="983"/>
      <c r="CF251" s="2"/>
    </row>
    <row r="252" spans="3:84">
      <c r="C252" s="2"/>
      <c r="O252" s="93"/>
      <c r="AD252" s="758" t="s">
        <v>1265</v>
      </c>
      <c r="AE252" s="1377">
        <v>-7588.98</v>
      </c>
      <c r="AF252" s="758" t="s">
        <v>979</v>
      </c>
      <c r="AG252" s="758" t="s">
        <v>779</v>
      </c>
      <c r="AH252" s="1375">
        <v>43039</v>
      </c>
      <c r="AI252" s="758" t="s">
        <v>969</v>
      </c>
      <c r="AJ252" s="758" t="s">
        <v>852</v>
      </c>
      <c r="AL252" s="758" t="s">
        <v>758</v>
      </c>
      <c r="AM252" s="1377">
        <v>3042.84</v>
      </c>
      <c r="AN252" s="758" t="s">
        <v>1230</v>
      </c>
      <c r="AO252" s="758" t="s">
        <v>780</v>
      </c>
      <c r="AP252" s="1375">
        <v>42766</v>
      </c>
      <c r="AQ252" s="758" t="s">
        <v>1210</v>
      </c>
      <c r="AR252" s="758" t="s">
        <v>852</v>
      </c>
      <c r="AZ252" s="983"/>
      <c r="BA252" s="983"/>
      <c r="BB252" s="985"/>
      <c r="BC252" s="983"/>
      <c r="BD252" s="986"/>
      <c r="BE252" s="983"/>
      <c r="CF252" s="2"/>
    </row>
    <row r="253" spans="3:84">
      <c r="C253" s="2"/>
      <c r="O253" s="93"/>
      <c r="AD253" s="758" t="s">
        <v>1265</v>
      </c>
      <c r="AE253" s="1377">
        <v>-392.12</v>
      </c>
      <c r="AF253" s="758" t="s">
        <v>979</v>
      </c>
      <c r="AG253" s="758" t="s">
        <v>779</v>
      </c>
      <c r="AH253" s="1375">
        <v>43039</v>
      </c>
      <c r="AI253" s="758" t="s">
        <v>1182</v>
      </c>
      <c r="AJ253" s="758" t="s">
        <v>852</v>
      </c>
      <c r="AL253" s="758" t="s">
        <v>758</v>
      </c>
      <c r="AM253" s="1377">
        <v>2274.46</v>
      </c>
      <c r="AN253" s="758" t="s">
        <v>1230</v>
      </c>
      <c r="AO253" s="758" t="s">
        <v>780</v>
      </c>
      <c r="AP253" s="1375">
        <v>42766</v>
      </c>
      <c r="AQ253" s="758" t="s">
        <v>1226</v>
      </c>
      <c r="AR253" s="758" t="s">
        <v>852</v>
      </c>
      <c r="AZ253" s="983"/>
      <c r="BA253" s="983"/>
      <c r="BB253" s="985"/>
      <c r="BC253" s="983"/>
      <c r="BD253" s="986"/>
      <c r="BE253" s="983"/>
      <c r="CF253" s="2"/>
    </row>
    <row r="254" spans="3:84">
      <c r="C254" s="2"/>
      <c r="O254" s="93"/>
      <c r="AD254" s="758" t="s">
        <v>1265</v>
      </c>
      <c r="AE254" s="1377">
        <v>-521.28</v>
      </c>
      <c r="AF254" s="758" t="s">
        <v>979</v>
      </c>
      <c r="AG254" s="758" t="s">
        <v>779</v>
      </c>
      <c r="AH254" s="1375">
        <v>43039</v>
      </c>
      <c r="AI254" s="758" t="s">
        <v>1201</v>
      </c>
      <c r="AJ254" s="758" t="s">
        <v>852</v>
      </c>
      <c r="AL254" s="758" t="s">
        <v>758</v>
      </c>
      <c r="AM254" s="1377">
        <v>1079.22</v>
      </c>
      <c r="AN254" s="758" t="s">
        <v>1230</v>
      </c>
      <c r="AO254" s="758" t="s">
        <v>780</v>
      </c>
      <c r="AP254" s="1375">
        <v>42766</v>
      </c>
      <c r="AQ254" s="758" t="s">
        <v>1202</v>
      </c>
      <c r="AR254" s="758" t="s">
        <v>852</v>
      </c>
      <c r="AZ254" s="983"/>
      <c r="BA254" s="983"/>
      <c r="BB254" s="985"/>
      <c r="BC254" s="983"/>
      <c r="BD254" s="986"/>
      <c r="BE254" s="983"/>
      <c r="CF254" s="2"/>
    </row>
    <row r="255" spans="3:84">
      <c r="C255" s="2"/>
      <c r="O255" s="93"/>
      <c r="AD255" s="758" t="s">
        <v>1265</v>
      </c>
      <c r="AE255" s="1377">
        <v>-180</v>
      </c>
      <c r="AF255" s="758" t="s">
        <v>979</v>
      </c>
      <c r="AG255" s="758" t="s">
        <v>779</v>
      </c>
      <c r="AH255" s="1375">
        <v>43039</v>
      </c>
      <c r="AI255" s="758" t="s">
        <v>1189</v>
      </c>
      <c r="AJ255" s="758" t="s">
        <v>852</v>
      </c>
      <c r="AL255" s="758" t="s">
        <v>758</v>
      </c>
      <c r="AM255" s="1377">
        <v>117.2</v>
      </c>
      <c r="AN255" s="758" t="s">
        <v>1230</v>
      </c>
      <c r="AO255" s="758" t="s">
        <v>780</v>
      </c>
      <c r="AP255" s="1375">
        <v>42766</v>
      </c>
      <c r="AQ255" s="758" t="s">
        <v>1204</v>
      </c>
      <c r="AR255" s="758" t="s">
        <v>852</v>
      </c>
      <c r="CF255" s="2"/>
    </row>
    <row r="256" spans="3:84">
      <c r="C256" s="2"/>
      <c r="O256" s="93"/>
      <c r="AD256" s="758" t="s">
        <v>1265</v>
      </c>
      <c r="AE256" s="1377">
        <v>3530.79</v>
      </c>
      <c r="AF256" s="758" t="s">
        <v>979</v>
      </c>
      <c r="AG256" s="758" t="s">
        <v>779</v>
      </c>
      <c r="AH256" s="1375">
        <v>43069</v>
      </c>
      <c r="AI256" s="758" t="s">
        <v>969</v>
      </c>
      <c r="AJ256" s="758" t="s">
        <v>852</v>
      </c>
      <c r="AL256" s="758" t="s">
        <v>758</v>
      </c>
      <c r="AM256" s="1377">
        <v>503.74</v>
      </c>
      <c r="AN256" s="758" t="s">
        <v>1230</v>
      </c>
      <c r="AO256" s="758" t="s">
        <v>780</v>
      </c>
      <c r="AP256" s="1375">
        <v>42766</v>
      </c>
      <c r="AQ256" s="758" t="s">
        <v>1215</v>
      </c>
      <c r="AR256" s="758" t="s">
        <v>852</v>
      </c>
      <c r="CF256" s="2"/>
    </row>
    <row r="257" spans="3:84">
      <c r="C257" s="2"/>
      <c r="O257" s="93"/>
      <c r="AD257" s="758" t="s">
        <v>1265</v>
      </c>
      <c r="AE257" s="1377">
        <v>-392.12</v>
      </c>
      <c r="AF257" s="758" t="s">
        <v>979</v>
      </c>
      <c r="AG257" s="758" t="s">
        <v>779</v>
      </c>
      <c r="AH257" s="1375">
        <v>43069</v>
      </c>
      <c r="AI257" s="758" t="s">
        <v>1182</v>
      </c>
      <c r="AJ257" s="758" t="s">
        <v>852</v>
      </c>
      <c r="AL257" s="758" t="s">
        <v>758</v>
      </c>
      <c r="AM257" s="1377">
        <v>468.8</v>
      </c>
      <c r="AN257" s="758" t="s">
        <v>1230</v>
      </c>
      <c r="AO257" s="758" t="s">
        <v>780</v>
      </c>
      <c r="AP257" s="1375">
        <v>42766</v>
      </c>
      <c r="AQ257" s="758" t="s">
        <v>1212</v>
      </c>
      <c r="AR257" s="758" t="s">
        <v>852</v>
      </c>
      <c r="CF257" s="2"/>
    </row>
    <row r="258" spans="3:84">
      <c r="C258" s="2"/>
      <c r="O258" s="93"/>
      <c r="AD258" s="758" t="s">
        <v>1265</v>
      </c>
      <c r="AE258" s="1377">
        <v>-495</v>
      </c>
      <c r="AF258" s="758" t="s">
        <v>979</v>
      </c>
      <c r="AG258" s="758" t="s">
        <v>779</v>
      </c>
      <c r="AH258" s="1375">
        <v>43069</v>
      </c>
      <c r="AI258" s="758" t="s">
        <v>1207</v>
      </c>
      <c r="AJ258" s="758" t="s">
        <v>852</v>
      </c>
      <c r="AL258" s="758" t="s">
        <v>758</v>
      </c>
      <c r="AM258" s="1377">
        <v>696.71</v>
      </c>
      <c r="AN258" s="758" t="s">
        <v>1230</v>
      </c>
      <c r="AO258" s="758" t="s">
        <v>780</v>
      </c>
      <c r="AP258" s="1375">
        <v>42766</v>
      </c>
      <c r="AQ258" s="758" t="s">
        <v>1211</v>
      </c>
      <c r="AR258" s="758" t="s">
        <v>852</v>
      </c>
      <c r="CF258" s="2"/>
    </row>
    <row r="259" spans="3:84">
      <c r="C259" s="2"/>
      <c r="O259" s="93"/>
      <c r="AD259" s="758" t="s">
        <v>1265</v>
      </c>
      <c r="AE259" s="1377">
        <v>-265</v>
      </c>
      <c r="AF259" s="758" t="s">
        <v>979</v>
      </c>
      <c r="AG259" s="758" t="s">
        <v>779</v>
      </c>
      <c r="AH259" s="1375">
        <v>43069</v>
      </c>
      <c r="AI259" s="758" t="s">
        <v>1416</v>
      </c>
      <c r="AJ259" s="758" t="s">
        <v>852</v>
      </c>
      <c r="AL259" s="758" t="s">
        <v>758</v>
      </c>
      <c r="AM259" s="1377">
        <v>792.71</v>
      </c>
      <c r="AN259" s="758" t="s">
        <v>1230</v>
      </c>
      <c r="AO259" s="758" t="s">
        <v>780</v>
      </c>
      <c r="AP259" s="1375">
        <v>42766</v>
      </c>
      <c r="AQ259" s="758" t="s">
        <v>969</v>
      </c>
      <c r="AR259" s="758" t="s">
        <v>852</v>
      </c>
      <c r="CF259" s="2"/>
    </row>
    <row r="260" spans="3:84">
      <c r="C260" s="2"/>
      <c r="O260" s="93"/>
      <c r="AD260" s="758" t="s">
        <v>1265</v>
      </c>
      <c r="AE260" s="1377">
        <v>-363</v>
      </c>
      <c r="AF260" s="758" t="s">
        <v>979</v>
      </c>
      <c r="AG260" s="758" t="s">
        <v>779</v>
      </c>
      <c r="AH260" s="1375">
        <v>43069</v>
      </c>
      <c r="AI260" s="758" t="s">
        <v>1222</v>
      </c>
      <c r="AJ260" s="758" t="s">
        <v>852</v>
      </c>
      <c r="AL260" s="758" t="s">
        <v>758</v>
      </c>
      <c r="AM260" s="1377">
        <v>7.42</v>
      </c>
      <c r="AN260" s="758" t="s">
        <v>1230</v>
      </c>
      <c r="AO260" s="758" t="s">
        <v>780</v>
      </c>
      <c r="AP260" s="1375">
        <v>42766</v>
      </c>
      <c r="AQ260" s="758" t="s">
        <v>1207</v>
      </c>
      <c r="AR260" s="758" t="s">
        <v>852</v>
      </c>
      <c r="CF260" s="2"/>
    </row>
    <row r="261" spans="3:84">
      <c r="C261" s="2"/>
      <c r="O261" s="93"/>
      <c r="AD261" s="758" t="s">
        <v>1265</v>
      </c>
      <c r="AE261" s="1377">
        <v>-3707.57</v>
      </c>
      <c r="AF261" s="758" t="s">
        <v>979</v>
      </c>
      <c r="AG261" s="758" t="s">
        <v>779</v>
      </c>
      <c r="AH261" s="1375">
        <v>43100</v>
      </c>
      <c r="AI261" s="758" t="s">
        <v>969</v>
      </c>
      <c r="AJ261" s="758" t="s">
        <v>852</v>
      </c>
      <c r="AL261" s="758" t="s">
        <v>758</v>
      </c>
      <c r="AM261" s="1377">
        <v>14.18</v>
      </c>
      <c r="AN261" s="758" t="s">
        <v>1230</v>
      </c>
      <c r="AO261" s="758" t="s">
        <v>780</v>
      </c>
      <c r="AP261" s="1375">
        <v>42766</v>
      </c>
      <c r="AQ261" s="758" t="s">
        <v>1203</v>
      </c>
      <c r="AR261" s="758" t="s">
        <v>852</v>
      </c>
      <c r="CF261" s="2"/>
    </row>
    <row r="262" spans="3:84">
      <c r="C262" s="2"/>
      <c r="O262" s="93"/>
      <c r="AD262" s="758" t="s">
        <v>1265</v>
      </c>
      <c r="AE262" s="1377">
        <v>-392.12</v>
      </c>
      <c r="AF262" s="758" t="s">
        <v>979</v>
      </c>
      <c r="AG262" s="758" t="s">
        <v>779</v>
      </c>
      <c r="AH262" s="1375">
        <v>43100</v>
      </c>
      <c r="AI262" s="758" t="s">
        <v>1182</v>
      </c>
      <c r="AJ262" s="758" t="s">
        <v>852</v>
      </c>
      <c r="AL262" s="758" t="s">
        <v>758</v>
      </c>
      <c r="AM262" s="1377">
        <v>3.87</v>
      </c>
      <c r="AN262" s="758" t="s">
        <v>1230</v>
      </c>
      <c r="AO262" s="758" t="s">
        <v>780</v>
      </c>
      <c r="AP262" s="1375">
        <v>42766</v>
      </c>
      <c r="AQ262" s="758" t="s">
        <v>1406</v>
      </c>
      <c r="AR262" s="758" t="s">
        <v>852</v>
      </c>
      <c r="CF262" s="2"/>
    </row>
    <row r="263" spans="3:84">
      <c r="C263" s="2"/>
      <c r="O263" s="93"/>
      <c r="AD263" s="758" t="s">
        <v>1265</v>
      </c>
      <c r="AE263" s="1377">
        <v>-39</v>
      </c>
      <c r="AF263" s="758" t="s">
        <v>979</v>
      </c>
      <c r="AG263" s="758" t="s">
        <v>779</v>
      </c>
      <c r="AH263" s="1375">
        <v>43100</v>
      </c>
      <c r="AI263" s="758" t="s">
        <v>1207</v>
      </c>
      <c r="AJ263" s="758" t="s">
        <v>852</v>
      </c>
      <c r="AL263" s="758" t="s">
        <v>758</v>
      </c>
      <c r="AM263" s="1377">
        <v>-665.64</v>
      </c>
      <c r="AN263" s="758" t="s">
        <v>1230</v>
      </c>
      <c r="AO263" s="758" t="s">
        <v>780</v>
      </c>
      <c r="AP263" s="1375">
        <v>42794</v>
      </c>
      <c r="AQ263" s="758" t="s">
        <v>1210</v>
      </c>
      <c r="AR263" s="758" t="s">
        <v>852</v>
      </c>
      <c r="CF263" s="2"/>
    </row>
    <row r="264" spans="3:84">
      <c r="C264" s="2"/>
      <c r="O264" s="93"/>
      <c r="AD264" s="758" t="s">
        <v>1265</v>
      </c>
      <c r="AE264" s="1377">
        <v>-578</v>
      </c>
      <c r="AF264" s="758" t="s">
        <v>979</v>
      </c>
      <c r="AG264" s="758" t="s">
        <v>779</v>
      </c>
      <c r="AH264" s="1375">
        <v>43100</v>
      </c>
      <c r="AI264" s="758" t="s">
        <v>1117</v>
      </c>
      <c r="AJ264" s="758" t="s">
        <v>852</v>
      </c>
      <c r="AL264" s="758" t="s">
        <v>758</v>
      </c>
      <c r="AM264" s="1377">
        <v>1641.58</v>
      </c>
      <c r="AN264" s="758" t="s">
        <v>1230</v>
      </c>
      <c r="AO264" s="758" t="s">
        <v>780</v>
      </c>
      <c r="AP264" s="1375">
        <v>42794</v>
      </c>
      <c r="AQ264" s="758" t="s">
        <v>1226</v>
      </c>
      <c r="AR264" s="758" t="s">
        <v>852</v>
      </c>
      <c r="CF264" s="2"/>
    </row>
    <row r="265" spans="3:84">
      <c r="C265" s="2"/>
      <c r="O265" s="93"/>
      <c r="AD265" s="758" t="s">
        <v>1265</v>
      </c>
      <c r="AE265" s="1377">
        <v>-48.08</v>
      </c>
      <c r="AF265" s="758" t="s">
        <v>979</v>
      </c>
      <c r="AG265" s="758" t="s">
        <v>779</v>
      </c>
      <c r="AH265" s="1375">
        <v>43100</v>
      </c>
      <c r="AI265" s="758" t="s">
        <v>1208</v>
      </c>
      <c r="AJ265" s="758" t="s">
        <v>852</v>
      </c>
      <c r="AL265" s="758" t="s">
        <v>758</v>
      </c>
      <c r="AM265" s="1377">
        <v>-1079.22</v>
      </c>
      <c r="AN265" s="758" t="s">
        <v>1230</v>
      </c>
      <c r="AO265" s="758" t="s">
        <v>780</v>
      </c>
      <c r="AP265" s="1375">
        <v>42794</v>
      </c>
      <c r="AQ265" s="758" t="s">
        <v>1202</v>
      </c>
      <c r="AR265" s="758" t="s">
        <v>852</v>
      </c>
      <c r="CF265" s="2"/>
    </row>
    <row r="266" spans="3:84">
      <c r="C266" s="2"/>
      <c r="O266" s="93"/>
      <c r="AD266" s="758" t="s">
        <v>1265</v>
      </c>
      <c r="AE266" s="1377">
        <v>-150</v>
      </c>
      <c r="AF266" s="758" t="s">
        <v>979</v>
      </c>
      <c r="AG266" s="758" t="s">
        <v>779</v>
      </c>
      <c r="AH266" s="1375">
        <v>43100</v>
      </c>
      <c r="AI266" s="758" t="s">
        <v>1189</v>
      </c>
      <c r="AJ266" s="758" t="s">
        <v>852</v>
      </c>
      <c r="AL266" s="758" t="s">
        <v>758</v>
      </c>
      <c r="AM266" s="1377">
        <v>720.4</v>
      </c>
      <c r="AN266" s="758" t="s">
        <v>1230</v>
      </c>
      <c r="AO266" s="758" t="s">
        <v>780</v>
      </c>
      <c r="AP266" s="1375">
        <v>42794</v>
      </c>
      <c r="AQ266" s="758" t="s">
        <v>1209</v>
      </c>
      <c r="AR266" s="758" t="s">
        <v>852</v>
      </c>
      <c r="CF266" s="2"/>
    </row>
    <row r="267" spans="3:84">
      <c r="C267" s="2"/>
      <c r="O267" s="93"/>
      <c r="AD267" s="758" t="s">
        <v>1266</v>
      </c>
      <c r="AE267" s="1377">
        <v>1690.93</v>
      </c>
      <c r="AF267" s="758" t="s">
        <v>1267</v>
      </c>
      <c r="AG267" s="758" t="s">
        <v>779</v>
      </c>
      <c r="AH267" s="1375">
        <v>42766</v>
      </c>
      <c r="AI267" s="758" t="s">
        <v>969</v>
      </c>
      <c r="AJ267" s="758" t="s">
        <v>852</v>
      </c>
      <c r="AL267" s="758" t="s">
        <v>758</v>
      </c>
      <c r="AM267" s="1377">
        <v>4688</v>
      </c>
      <c r="AN267" s="758" t="s">
        <v>1230</v>
      </c>
      <c r="AO267" s="758" t="s">
        <v>780</v>
      </c>
      <c r="AP267" s="1375">
        <v>42794</v>
      </c>
      <c r="AQ267" s="758" t="s">
        <v>1212</v>
      </c>
      <c r="AR267" s="758" t="s">
        <v>852</v>
      </c>
      <c r="CF267" s="2"/>
    </row>
    <row r="268" spans="3:84">
      <c r="C268" s="2"/>
      <c r="O268" s="93"/>
      <c r="AD268" s="758" t="s">
        <v>1266</v>
      </c>
      <c r="AE268" s="1377">
        <v>15.82</v>
      </c>
      <c r="AF268" s="758" t="s">
        <v>1267</v>
      </c>
      <c r="AG268" s="758" t="s">
        <v>779</v>
      </c>
      <c r="AH268" s="1375">
        <v>42766</v>
      </c>
      <c r="AI268" s="758" t="s">
        <v>1207</v>
      </c>
      <c r="AJ268" s="758" t="s">
        <v>852</v>
      </c>
      <c r="AL268" s="758" t="s">
        <v>758</v>
      </c>
      <c r="AM268" s="1377">
        <v>2.2599999999999998</v>
      </c>
      <c r="AN268" s="758" t="s">
        <v>1230</v>
      </c>
      <c r="AO268" s="758" t="s">
        <v>780</v>
      </c>
      <c r="AP268" s="1375">
        <v>42794</v>
      </c>
      <c r="AQ268" s="758" t="s">
        <v>969</v>
      </c>
      <c r="AR268" s="758" t="s">
        <v>852</v>
      </c>
      <c r="CF268" s="2"/>
    </row>
    <row r="269" spans="3:84">
      <c r="C269" s="2"/>
      <c r="O269" s="93"/>
      <c r="AD269" s="758" t="s">
        <v>1266</v>
      </c>
      <c r="AE269" s="1377">
        <v>30.25</v>
      </c>
      <c r="AF269" s="758" t="s">
        <v>1267</v>
      </c>
      <c r="AG269" s="758" t="s">
        <v>779</v>
      </c>
      <c r="AH269" s="1375">
        <v>42766</v>
      </c>
      <c r="AI269" s="758" t="s">
        <v>1203</v>
      </c>
      <c r="AJ269" s="758" t="s">
        <v>852</v>
      </c>
      <c r="AL269" s="758" t="s">
        <v>758</v>
      </c>
      <c r="AM269" s="1377">
        <v>116.39</v>
      </c>
      <c r="AN269" s="758" t="s">
        <v>1230</v>
      </c>
      <c r="AO269" s="758" t="s">
        <v>780</v>
      </c>
      <c r="AP269" s="1375">
        <v>42794</v>
      </c>
      <c r="AQ269" s="758" t="s">
        <v>1180</v>
      </c>
      <c r="AR269" s="758" t="s">
        <v>852</v>
      </c>
      <c r="CF269" s="2"/>
    </row>
    <row r="270" spans="3:84">
      <c r="C270" s="2"/>
      <c r="O270" s="93"/>
      <c r="AD270" s="758" t="s">
        <v>1266</v>
      </c>
      <c r="AE270" s="1377">
        <v>65.14</v>
      </c>
      <c r="AF270" s="758" t="s">
        <v>1267</v>
      </c>
      <c r="AG270" s="758" t="s">
        <v>779</v>
      </c>
      <c r="AH270" s="1375">
        <v>42766</v>
      </c>
      <c r="AI270" s="758" t="s">
        <v>1117</v>
      </c>
      <c r="AJ270" s="758" t="s">
        <v>852</v>
      </c>
      <c r="AL270" s="758" t="s">
        <v>758</v>
      </c>
      <c r="AM270" s="1377">
        <v>36.799999999999997</v>
      </c>
      <c r="AN270" s="758" t="s">
        <v>1230</v>
      </c>
      <c r="AO270" s="758" t="s">
        <v>780</v>
      </c>
      <c r="AP270" s="1375">
        <v>42794</v>
      </c>
      <c r="AQ270" s="758" t="s">
        <v>1182</v>
      </c>
      <c r="AR270" s="758" t="s">
        <v>852</v>
      </c>
      <c r="CF270" s="2"/>
    </row>
    <row r="271" spans="3:84">
      <c r="C271" s="2"/>
      <c r="O271" s="93"/>
      <c r="AD271" s="758" t="s">
        <v>1266</v>
      </c>
      <c r="AE271" s="1377">
        <v>8.25</v>
      </c>
      <c r="AF271" s="758" t="s">
        <v>1267</v>
      </c>
      <c r="AG271" s="758" t="s">
        <v>779</v>
      </c>
      <c r="AH271" s="1375">
        <v>42766</v>
      </c>
      <c r="AI271" s="758" t="s">
        <v>1406</v>
      </c>
      <c r="AJ271" s="758" t="s">
        <v>852</v>
      </c>
      <c r="AL271" s="758" t="s">
        <v>758</v>
      </c>
      <c r="AM271" s="1377">
        <v>1.37</v>
      </c>
      <c r="AN271" s="758" t="s">
        <v>1230</v>
      </c>
      <c r="AO271" s="758" t="s">
        <v>780</v>
      </c>
      <c r="AP271" s="1375">
        <v>42794</v>
      </c>
      <c r="AQ271" s="758" t="s">
        <v>1278</v>
      </c>
      <c r="AR271" s="758" t="s">
        <v>852</v>
      </c>
      <c r="CF271" s="2"/>
    </row>
    <row r="272" spans="3:84">
      <c r="C272" s="2"/>
      <c r="O272" s="93"/>
      <c r="AD272" s="758" t="s">
        <v>1266</v>
      </c>
      <c r="AE272" s="1377">
        <v>4.82</v>
      </c>
      <c r="AF272" s="758" t="s">
        <v>1267</v>
      </c>
      <c r="AG272" s="758" t="s">
        <v>779</v>
      </c>
      <c r="AH272" s="1375">
        <v>42794</v>
      </c>
      <c r="AI272" s="758" t="s">
        <v>969</v>
      </c>
      <c r="AJ272" s="758" t="s">
        <v>852</v>
      </c>
      <c r="AL272" s="758" t="s">
        <v>758</v>
      </c>
      <c r="AM272" s="1377">
        <v>36.57</v>
      </c>
      <c r="AN272" s="758" t="s">
        <v>1230</v>
      </c>
      <c r="AO272" s="758" t="s">
        <v>780</v>
      </c>
      <c r="AP272" s="1375">
        <v>42794</v>
      </c>
      <c r="AQ272" s="758" t="s">
        <v>1201</v>
      </c>
      <c r="AR272" s="758" t="s">
        <v>852</v>
      </c>
      <c r="CF272" s="2"/>
    </row>
    <row r="273" spans="3:84">
      <c r="C273" s="2"/>
      <c r="O273" s="93"/>
      <c r="AD273" s="758" t="s">
        <v>1266</v>
      </c>
      <c r="AE273" s="1377">
        <v>78.489999999999995</v>
      </c>
      <c r="AF273" s="758" t="s">
        <v>1267</v>
      </c>
      <c r="AG273" s="758" t="s">
        <v>779</v>
      </c>
      <c r="AH273" s="1375">
        <v>42794</v>
      </c>
      <c r="AI273" s="758" t="s">
        <v>1182</v>
      </c>
      <c r="AJ273" s="758" t="s">
        <v>852</v>
      </c>
      <c r="AL273" s="758" t="s">
        <v>758</v>
      </c>
      <c r="AM273" s="1377">
        <v>5.27</v>
      </c>
      <c r="AN273" s="758" t="s">
        <v>1230</v>
      </c>
      <c r="AO273" s="758" t="s">
        <v>780</v>
      </c>
      <c r="AP273" s="1375">
        <v>42794</v>
      </c>
      <c r="AQ273" s="758" t="s">
        <v>1406</v>
      </c>
      <c r="AR273" s="758" t="s">
        <v>852</v>
      </c>
      <c r="CF273" s="2"/>
    </row>
    <row r="274" spans="3:84">
      <c r="C274" s="2"/>
      <c r="O274" s="93"/>
      <c r="AD274" s="758" t="s">
        <v>1266</v>
      </c>
      <c r="AE274" s="1377">
        <v>97.06</v>
      </c>
      <c r="AF274" s="758" t="s">
        <v>1267</v>
      </c>
      <c r="AG274" s="758" t="s">
        <v>779</v>
      </c>
      <c r="AH274" s="1375">
        <v>42794</v>
      </c>
      <c r="AI274" s="758" t="s">
        <v>1117</v>
      </c>
      <c r="AJ274" s="758" t="s">
        <v>852</v>
      </c>
      <c r="AL274" s="758" t="s">
        <v>758</v>
      </c>
      <c r="AM274" s="1377">
        <v>85.73</v>
      </c>
      <c r="AN274" s="758" t="s">
        <v>1230</v>
      </c>
      <c r="AO274" s="758" t="s">
        <v>780</v>
      </c>
      <c r="AP274" s="1375">
        <v>42794</v>
      </c>
      <c r="AQ274" s="758" t="s">
        <v>1189</v>
      </c>
      <c r="AR274" s="758" t="s">
        <v>852</v>
      </c>
      <c r="CF274" s="2"/>
    </row>
    <row r="275" spans="3:84">
      <c r="C275" s="2"/>
      <c r="O275" s="93"/>
      <c r="AD275" s="758" t="s">
        <v>1266</v>
      </c>
      <c r="AE275" s="1377">
        <v>2.93</v>
      </c>
      <c r="AF275" s="758" t="s">
        <v>1267</v>
      </c>
      <c r="AG275" s="758" t="s">
        <v>779</v>
      </c>
      <c r="AH275" s="1375">
        <v>42794</v>
      </c>
      <c r="AI275" s="758" t="s">
        <v>1278</v>
      </c>
      <c r="AJ275" s="758" t="s">
        <v>852</v>
      </c>
      <c r="AL275" s="758" t="s">
        <v>758</v>
      </c>
      <c r="AM275" s="1377">
        <v>2307.1799999999998</v>
      </c>
      <c r="AN275" s="758" t="s">
        <v>1230</v>
      </c>
      <c r="AO275" s="758" t="s">
        <v>780</v>
      </c>
      <c r="AP275" s="1375">
        <v>42825</v>
      </c>
      <c r="AQ275" s="758" t="s">
        <v>1210</v>
      </c>
      <c r="AR275" s="758" t="s">
        <v>852</v>
      </c>
      <c r="CF275" s="2"/>
    </row>
    <row r="276" spans="3:84">
      <c r="C276" s="2"/>
      <c r="O276" s="93"/>
      <c r="AD276" s="758" t="s">
        <v>1266</v>
      </c>
      <c r="AE276" s="1377">
        <v>78</v>
      </c>
      <c r="AF276" s="758" t="s">
        <v>1267</v>
      </c>
      <c r="AG276" s="758" t="s">
        <v>779</v>
      </c>
      <c r="AH276" s="1375">
        <v>42794</v>
      </c>
      <c r="AI276" s="758" t="s">
        <v>1201</v>
      </c>
      <c r="AJ276" s="758" t="s">
        <v>852</v>
      </c>
      <c r="AL276" s="758" t="s">
        <v>758</v>
      </c>
      <c r="AM276" s="1377">
        <v>6806.69</v>
      </c>
      <c r="AN276" s="758" t="s">
        <v>1230</v>
      </c>
      <c r="AO276" s="758" t="s">
        <v>780</v>
      </c>
      <c r="AP276" s="1375">
        <v>42825</v>
      </c>
      <c r="AQ276" s="758" t="s">
        <v>1226</v>
      </c>
      <c r="AR276" s="758" t="s">
        <v>852</v>
      </c>
      <c r="CF276" s="2"/>
    </row>
    <row r="277" spans="3:84">
      <c r="C277" s="2"/>
      <c r="O277" s="93"/>
      <c r="AD277" s="758" t="s">
        <v>1266</v>
      </c>
      <c r="AE277" s="1377">
        <v>11.25</v>
      </c>
      <c r="AF277" s="758" t="s">
        <v>1267</v>
      </c>
      <c r="AG277" s="758" t="s">
        <v>779</v>
      </c>
      <c r="AH277" s="1375">
        <v>42794</v>
      </c>
      <c r="AI277" s="758" t="s">
        <v>1406</v>
      </c>
      <c r="AJ277" s="758" t="s">
        <v>852</v>
      </c>
      <c r="AL277" s="758" t="s">
        <v>758</v>
      </c>
      <c r="AM277" s="1377">
        <v>377.27</v>
      </c>
      <c r="AN277" s="758" t="s">
        <v>1230</v>
      </c>
      <c r="AO277" s="758" t="s">
        <v>780</v>
      </c>
      <c r="AP277" s="1375">
        <v>42825</v>
      </c>
      <c r="AQ277" s="758" t="s">
        <v>1209</v>
      </c>
      <c r="AR277" s="758" t="s">
        <v>852</v>
      </c>
      <c r="CF277" s="2"/>
    </row>
    <row r="278" spans="3:84">
      <c r="C278" s="2"/>
      <c r="O278" s="93"/>
      <c r="AD278" s="758" t="s">
        <v>1266</v>
      </c>
      <c r="AE278" s="1377">
        <v>132.36000000000001</v>
      </c>
      <c r="AF278" s="758" t="s">
        <v>1267</v>
      </c>
      <c r="AG278" s="758" t="s">
        <v>779</v>
      </c>
      <c r="AH278" s="1375">
        <v>42794</v>
      </c>
      <c r="AI278" s="758" t="s">
        <v>1222</v>
      </c>
      <c r="AJ278" s="758" t="s">
        <v>852</v>
      </c>
      <c r="AL278" s="758" t="s">
        <v>758</v>
      </c>
      <c r="AM278" s="1377">
        <v>5032.75</v>
      </c>
      <c r="AN278" s="758" t="s">
        <v>1230</v>
      </c>
      <c r="AO278" s="758" t="s">
        <v>780</v>
      </c>
      <c r="AP278" s="1375">
        <v>42825</v>
      </c>
      <c r="AQ278" s="758" t="s">
        <v>1204</v>
      </c>
      <c r="AR278" s="758" t="s">
        <v>852</v>
      </c>
      <c r="CF278" s="2"/>
    </row>
    <row r="279" spans="3:84">
      <c r="C279" s="2"/>
      <c r="O279" s="93"/>
      <c r="AD279" s="758" t="s">
        <v>1266</v>
      </c>
      <c r="AE279" s="1377">
        <v>182.88</v>
      </c>
      <c r="AF279" s="758" t="s">
        <v>1267</v>
      </c>
      <c r="AG279" s="758" t="s">
        <v>779</v>
      </c>
      <c r="AH279" s="1375">
        <v>42794</v>
      </c>
      <c r="AI279" s="758" t="s">
        <v>1189</v>
      </c>
      <c r="AJ279" s="758" t="s">
        <v>852</v>
      </c>
      <c r="AL279" s="758" t="s">
        <v>758</v>
      </c>
      <c r="AM279" s="1377">
        <v>438.51</v>
      </c>
      <c r="AN279" s="758" t="s">
        <v>1230</v>
      </c>
      <c r="AO279" s="758" t="s">
        <v>780</v>
      </c>
      <c r="AP279" s="1375">
        <v>42825</v>
      </c>
      <c r="AQ279" s="758" t="s">
        <v>969</v>
      </c>
      <c r="AR279" s="758" t="s">
        <v>852</v>
      </c>
      <c r="CF279" s="2"/>
    </row>
    <row r="280" spans="3:84">
      <c r="C280" s="2"/>
      <c r="O280" s="93"/>
      <c r="AD280" s="758" t="s">
        <v>1266</v>
      </c>
      <c r="AE280" s="1377">
        <v>893.09</v>
      </c>
      <c r="AF280" s="758" t="s">
        <v>1267</v>
      </c>
      <c r="AG280" s="758" t="s">
        <v>779</v>
      </c>
      <c r="AH280" s="1375">
        <v>42825</v>
      </c>
      <c r="AI280" s="758" t="s">
        <v>969</v>
      </c>
      <c r="AJ280" s="758" t="s">
        <v>852</v>
      </c>
      <c r="AL280" s="758" t="s">
        <v>758</v>
      </c>
      <c r="AM280" s="1377">
        <v>19.36</v>
      </c>
      <c r="AN280" s="758" t="s">
        <v>1230</v>
      </c>
      <c r="AO280" s="758" t="s">
        <v>780</v>
      </c>
      <c r="AP280" s="1375">
        <v>42825</v>
      </c>
      <c r="AQ280" s="758" t="s">
        <v>1182</v>
      </c>
      <c r="AR280" s="758" t="s">
        <v>852</v>
      </c>
      <c r="CF280" s="2"/>
    </row>
    <row r="281" spans="3:84">
      <c r="C281" s="2"/>
      <c r="O281" s="93"/>
      <c r="AD281" s="758" t="s">
        <v>1266</v>
      </c>
      <c r="AE281" s="1377">
        <v>39.42</v>
      </c>
      <c r="AF281" s="758" t="s">
        <v>1267</v>
      </c>
      <c r="AG281" s="758" t="s">
        <v>779</v>
      </c>
      <c r="AH281" s="1375">
        <v>42825</v>
      </c>
      <c r="AI281" s="758" t="s">
        <v>1182</v>
      </c>
      <c r="AJ281" s="758" t="s">
        <v>852</v>
      </c>
      <c r="AL281" s="758" t="s">
        <v>758</v>
      </c>
      <c r="AM281" s="1377">
        <v>130.96</v>
      </c>
      <c r="AN281" s="758" t="s">
        <v>1230</v>
      </c>
      <c r="AO281" s="758" t="s">
        <v>780</v>
      </c>
      <c r="AP281" s="1375">
        <v>42825</v>
      </c>
      <c r="AQ281" s="758" t="s">
        <v>1189</v>
      </c>
      <c r="AR281" s="758" t="s">
        <v>852</v>
      </c>
      <c r="CF281" s="2"/>
    </row>
    <row r="282" spans="3:84">
      <c r="C282" s="2"/>
      <c r="O282" s="93"/>
      <c r="AD282" s="758" t="s">
        <v>1266</v>
      </c>
      <c r="AE282" s="1377">
        <v>-924.9</v>
      </c>
      <c r="AF282" s="758" t="s">
        <v>1267</v>
      </c>
      <c r="AG282" s="758" t="s">
        <v>779</v>
      </c>
      <c r="AH282" s="1375">
        <v>42825</v>
      </c>
      <c r="AI282" s="758" t="s">
        <v>1117</v>
      </c>
      <c r="AJ282" s="758" t="s">
        <v>852</v>
      </c>
      <c r="AL282" s="758" t="s">
        <v>758</v>
      </c>
      <c r="AM282" s="1377">
        <v>2429.9299999999998</v>
      </c>
      <c r="AN282" s="758" t="s">
        <v>1230</v>
      </c>
      <c r="AO282" s="758" t="s">
        <v>780</v>
      </c>
      <c r="AP282" s="1375">
        <v>42855</v>
      </c>
      <c r="AQ282" s="758" t="s">
        <v>1210</v>
      </c>
      <c r="AR282" s="758" t="s">
        <v>852</v>
      </c>
      <c r="CF282" s="2"/>
    </row>
    <row r="283" spans="3:84">
      <c r="C283" s="2"/>
      <c r="O283" s="93"/>
      <c r="AD283" s="758" t="s">
        <v>1266</v>
      </c>
      <c r="AE283" s="1377">
        <v>43.02</v>
      </c>
      <c r="AF283" s="758" t="s">
        <v>1267</v>
      </c>
      <c r="AG283" s="758" t="s">
        <v>779</v>
      </c>
      <c r="AH283" s="1375">
        <v>42825</v>
      </c>
      <c r="AI283" s="758" t="s">
        <v>1222</v>
      </c>
      <c r="AJ283" s="758" t="s">
        <v>852</v>
      </c>
      <c r="AL283" s="758" t="s">
        <v>758</v>
      </c>
      <c r="AM283" s="1377">
        <v>2050.75</v>
      </c>
      <c r="AN283" s="758" t="s">
        <v>1230</v>
      </c>
      <c r="AO283" s="758" t="s">
        <v>780</v>
      </c>
      <c r="AP283" s="1375">
        <v>42855</v>
      </c>
      <c r="AQ283" s="758" t="s">
        <v>1226</v>
      </c>
      <c r="AR283" s="758" t="s">
        <v>852</v>
      </c>
      <c r="CF283" s="2"/>
    </row>
    <row r="284" spans="3:84">
      <c r="C284" s="2"/>
      <c r="O284" s="93"/>
      <c r="AD284" s="758" t="s">
        <v>1266</v>
      </c>
      <c r="AE284" s="1377">
        <v>266.70999999999998</v>
      </c>
      <c r="AF284" s="758" t="s">
        <v>1267</v>
      </c>
      <c r="AG284" s="758" t="s">
        <v>779</v>
      </c>
      <c r="AH284" s="1375">
        <v>42825</v>
      </c>
      <c r="AI284" s="758" t="s">
        <v>1189</v>
      </c>
      <c r="AJ284" s="758" t="s">
        <v>852</v>
      </c>
      <c r="AL284" s="758" t="s">
        <v>758</v>
      </c>
      <c r="AM284" s="1377">
        <v>377.27</v>
      </c>
      <c r="AN284" s="758" t="s">
        <v>1230</v>
      </c>
      <c r="AO284" s="758" t="s">
        <v>780</v>
      </c>
      <c r="AP284" s="1375">
        <v>42855</v>
      </c>
      <c r="AQ284" s="758" t="s">
        <v>1209</v>
      </c>
      <c r="AR284" s="758" t="s">
        <v>852</v>
      </c>
      <c r="CF284" s="2"/>
    </row>
    <row r="285" spans="3:84">
      <c r="C285" s="2"/>
      <c r="O285" s="93"/>
      <c r="AD285" s="758" t="s">
        <v>1266</v>
      </c>
      <c r="AE285" s="1377">
        <v>388.73</v>
      </c>
      <c r="AF285" s="758" t="s">
        <v>1267</v>
      </c>
      <c r="AG285" s="758" t="s">
        <v>779</v>
      </c>
      <c r="AH285" s="1375">
        <v>42855</v>
      </c>
      <c r="AI285" s="758" t="s">
        <v>969</v>
      </c>
      <c r="AJ285" s="758" t="s">
        <v>852</v>
      </c>
      <c r="AL285" s="758" t="s">
        <v>758</v>
      </c>
      <c r="AM285" s="1377">
        <v>1387.08</v>
      </c>
      <c r="AN285" s="758" t="s">
        <v>1230</v>
      </c>
      <c r="AO285" s="758" t="s">
        <v>780</v>
      </c>
      <c r="AP285" s="1375">
        <v>42855</v>
      </c>
      <c r="AQ285" s="758" t="s">
        <v>1212</v>
      </c>
      <c r="AR285" s="758" t="s">
        <v>852</v>
      </c>
      <c r="CF285" s="2"/>
    </row>
    <row r="286" spans="3:84">
      <c r="C286" s="2"/>
      <c r="O286" s="93"/>
      <c r="AD286" s="758" t="s">
        <v>1266</v>
      </c>
      <c r="AE286" s="1377">
        <v>39.42</v>
      </c>
      <c r="AF286" s="758" t="s">
        <v>1267</v>
      </c>
      <c r="AG286" s="758" t="s">
        <v>779</v>
      </c>
      <c r="AH286" s="1375">
        <v>42855</v>
      </c>
      <c r="AI286" s="758" t="s">
        <v>1182</v>
      </c>
      <c r="AJ286" s="758" t="s">
        <v>852</v>
      </c>
      <c r="AL286" s="758" t="s">
        <v>758</v>
      </c>
      <c r="AM286" s="1377">
        <v>190.87</v>
      </c>
      <c r="AN286" s="758" t="s">
        <v>1230</v>
      </c>
      <c r="AO286" s="758" t="s">
        <v>780</v>
      </c>
      <c r="AP286" s="1375">
        <v>42855</v>
      </c>
      <c r="AQ286" s="758" t="s">
        <v>969</v>
      </c>
      <c r="AR286" s="758" t="s">
        <v>852</v>
      </c>
      <c r="CF286" s="2"/>
    </row>
    <row r="287" spans="3:84">
      <c r="C287" s="2"/>
      <c r="O287" s="93"/>
      <c r="AD287" s="758" t="s">
        <v>1266</v>
      </c>
      <c r="AE287" s="1377">
        <v>82.5</v>
      </c>
      <c r="AF287" s="758" t="s">
        <v>1267</v>
      </c>
      <c r="AG287" s="758" t="s">
        <v>779</v>
      </c>
      <c r="AH287" s="1375">
        <v>42855</v>
      </c>
      <c r="AI287" s="758" t="s">
        <v>1117</v>
      </c>
      <c r="AJ287" s="758" t="s">
        <v>852</v>
      </c>
      <c r="AL287" s="758" t="s">
        <v>758</v>
      </c>
      <c r="AM287" s="1377">
        <v>19.36</v>
      </c>
      <c r="AN287" s="758" t="s">
        <v>1230</v>
      </c>
      <c r="AO287" s="758" t="s">
        <v>780</v>
      </c>
      <c r="AP287" s="1375">
        <v>42855</v>
      </c>
      <c r="AQ287" s="758" t="s">
        <v>1182</v>
      </c>
      <c r="AR287" s="758" t="s">
        <v>852</v>
      </c>
      <c r="CF287" s="2"/>
    </row>
    <row r="288" spans="3:84">
      <c r="C288" s="2"/>
      <c r="O288" s="93"/>
      <c r="AD288" s="758" t="s">
        <v>1266</v>
      </c>
      <c r="AE288" s="1377">
        <v>4.75</v>
      </c>
      <c r="AF288" s="758" t="s">
        <v>1267</v>
      </c>
      <c r="AG288" s="758" t="s">
        <v>779</v>
      </c>
      <c r="AH288" s="1375">
        <v>42855</v>
      </c>
      <c r="AI288" s="758" t="s">
        <v>1208</v>
      </c>
      <c r="AJ288" s="758" t="s">
        <v>852</v>
      </c>
      <c r="AL288" s="758" t="s">
        <v>758</v>
      </c>
      <c r="AM288" s="1377">
        <v>2.33</v>
      </c>
      <c r="AN288" s="758" t="s">
        <v>1230</v>
      </c>
      <c r="AO288" s="758" t="s">
        <v>780</v>
      </c>
      <c r="AP288" s="1375">
        <v>42855</v>
      </c>
      <c r="AQ288" s="758" t="s">
        <v>1208</v>
      </c>
      <c r="AR288" s="758" t="s">
        <v>852</v>
      </c>
      <c r="CF288" s="2"/>
    </row>
    <row r="289" spans="3:84">
      <c r="C289" s="2"/>
      <c r="O289" s="93"/>
      <c r="AD289" s="758" t="s">
        <v>1266</v>
      </c>
      <c r="AE289" s="1377">
        <v>82.73</v>
      </c>
      <c r="AF289" s="758" t="s">
        <v>1267</v>
      </c>
      <c r="AG289" s="758" t="s">
        <v>779</v>
      </c>
      <c r="AH289" s="1375">
        <v>42855</v>
      </c>
      <c r="AI289" s="758" t="s">
        <v>1189</v>
      </c>
      <c r="AJ289" s="758" t="s">
        <v>852</v>
      </c>
      <c r="AL289" s="758" t="s">
        <v>758</v>
      </c>
      <c r="AM289" s="1377">
        <v>40.619999999999997</v>
      </c>
      <c r="AN289" s="758" t="s">
        <v>1230</v>
      </c>
      <c r="AO289" s="758" t="s">
        <v>780</v>
      </c>
      <c r="AP289" s="1375">
        <v>42855</v>
      </c>
      <c r="AQ289" s="758" t="s">
        <v>1189</v>
      </c>
      <c r="AR289" s="758" t="s">
        <v>852</v>
      </c>
      <c r="CF289" s="2"/>
    </row>
    <row r="290" spans="3:84">
      <c r="C290" s="2"/>
      <c r="O290" s="93"/>
      <c r="AD290" s="758" t="s">
        <v>1266</v>
      </c>
      <c r="AE290" s="1377">
        <v>791.19</v>
      </c>
      <c r="AF290" s="758" t="s">
        <v>1267</v>
      </c>
      <c r="AG290" s="758" t="s">
        <v>779</v>
      </c>
      <c r="AH290" s="1375">
        <v>42886</v>
      </c>
      <c r="AI290" s="758" t="s">
        <v>969</v>
      </c>
      <c r="AJ290" s="758" t="s">
        <v>852</v>
      </c>
      <c r="AL290" s="758" t="s">
        <v>758</v>
      </c>
      <c r="AM290" s="1377">
        <v>2307.1799999999998</v>
      </c>
      <c r="AN290" s="758" t="s">
        <v>1230</v>
      </c>
      <c r="AO290" s="758" t="s">
        <v>780</v>
      </c>
      <c r="AP290" s="1375">
        <v>42886</v>
      </c>
      <c r="AQ290" s="758" t="s">
        <v>1210</v>
      </c>
      <c r="AR290" s="758" t="s">
        <v>852</v>
      </c>
      <c r="CF290" s="2"/>
    </row>
    <row r="291" spans="3:84">
      <c r="C291" s="2"/>
      <c r="O291" s="93"/>
      <c r="AD291" s="758" t="s">
        <v>1266</v>
      </c>
      <c r="AE291" s="1377">
        <v>39.42</v>
      </c>
      <c r="AF291" s="758" t="s">
        <v>1267</v>
      </c>
      <c r="AG291" s="758" t="s">
        <v>779</v>
      </c>
      <c r="AH291" s="1375">
        <v>42886</v>
      </c>
      <c r="AI291" s="758" t="s">
        <v>1182</v>
      </c>
      <c r="AJ291" s="758" t="s">
        <v>852</v>
      </c>
      <c r="AL291" s="758" t="s">
        <v>758</v>
      </c>
      <c r="AM291" s="1377">
        <v>2050.75</v>
      </c>
      <c r="AN291" s="758" t="s">
        <v>1230</v>
      </c>
      <c r="AO291" s="758" t="s">
        <v>780</v>
      </c>
      <c r="AP291" s="1375">
        <v>42886</v>
      </c>
      <c r="AQ291" s="758" t="s">
        <v>1226</v>
      </c>
      <c r="AR291" s="758" t="s">
        <v>852</v>
      </c>
      <c r="CF291" s="2"/>
    </row>
    <row r="292" spans="3:84">
      <c r="C292" s="2"/>
      <c r="O292" s="93"/>
      <c r="AD292" s="758" t="s">
        <v>1266</v>
      </c>
      <c r="AE292" s="1377">
        <v>1399.71</v>
      </c>
      <c r="AF292" s="758" t="s">
        <v>1267</v>
      </c>
      <c r="AG292" s="758" t="s">
        <v>779</v>
      </c>
      <c r="AH292" s="1375">
        <v>42886</v>
      </c>
      <c r="AI292" s="758" t="s">
        <v>1189</v>
      </c>
      <c r="AJ292" s="758" t="s">
        <v>852</v>
      </c>
      <c r="AL292" s="758" t="s">
        <v>758</v>
      </c>
      <c r="AM292" s="1377">
        <v>377.27</v>
      </c>
      <c r="AN292" s="758" t="s">
        <v>1230</v>
      </c>
      <c r="AO292" s="758" t="s">
        <v>780</v>
      </c>
      <c r="AP292" s="1375">
        <v>42886</v>
      </c>
      <c r="AQ292" s="758" t="s">
        <v>1209</v>
      </c>
      <c r="AR292" s="758" t="s">
        <v>852</v>
      </c>
      <c r="CF292" s="2"/>
    </row>
    <row r="293" spans="3:84">
      <c r="C293" s="2"/>
      <c r="O293" s="93"/>
      <c r="AD293" s="758" t="s">
        <v>1266</v>
      </c>
      <c r="AE293" s="1377">
        <v>695.69</v>
      </c>
      <c r="AF293" s="758" t="s">
        <v>1267</v>
      </c>
      <c r="AG293" s="758" t="s">
        <v>779</v>
      </c>
      <c r="AH293" s="1375">
        <v>42916</v>
      </c>
      <c r="AI293" s="758" t="s">
        <v>969</v>
      </c>
      <c r="AJ293" s="758" t="s">
        <v>852</v>
      </c>
      <c r="AL293" s="758" t="s">
        <v>758</v>
      </c>
      <c r="AM293" s="1377">
        <v>122.75</v>
      </c>
      <c r="AN293" s="758" t="s">
        <v>1230</v>
      </c>
      <c r="AO293" s="758" t="s">
        <v>780</v>
      </c>
      <c r="AP293" s="1375">
        <v>42886</v>
      </c>
      <c r="AQ293" s="758" t="s">
        <v>1212</v>
      </c>
      <c r="AR293" s="758" t="s">
        <v>852</v>
      </c>
      <c r="CF293" s="2"/>
    </row>
    <row r="294" spans="3:84">
      <c r="C294" s="2"/>
      <c r="O294" s="93"/>
      <c r="AD294" s="758" t="s">
        <v>1266</v>
      </c>
      <c r="AE294" s="1377">
        <v>43.92</v>
      </c>
      <c r="AF294" s="758" t="s">
        <v>1267</v>
      </c>
      <c r="AG294" s="758" t="s">
        <v>779</v>
      </c>
      <c r="AH294" s="1375">
        <v>42916</v>
      </c>
      <c r="AI294" s="758" t="s">
        <v>1182</v>
      </c>
      <c r="AJ294" s="758" t="s">
        <v>852</v>
      </c>
      <c r="AL294" s="758" t="s">
        <v>758</v>
      </c>
      <c r="AM294" s="1377">
        <v>388.47</v>
      </c>
      <c r="AN294" s="758" t="s">
        <v>1230</v>
      </c>
      <c r="AO294" s="758" t="s">
        <v>780</v>
      </c>
      <c r="AP294" s="1375">
        <v>42886</v>
      </c>
      <c r="AQ294" s="758" t="s">
        <v>969</v>
      </c>
      <c r="AR294" s="758" t="s">
        <v>852</v>
      </c>
      <c r="CF294" s="2"/>
    </row>
    <row r="295" spans="3:84">
      <c r="C295" s="2"/>
      <c r="O295" s="93"/>
      <c r="AD295" s="758" t="s">
        <v>1266</v>
      </c>
      <c r="AE295" s="1377">
        <v>4.68</v>
      </c>
      <c r="AF295" s="758" t="s">
        <v>1267</v>
      </c>
      <c r="AG295" s="758" t="s">
        <v>779</v>
      </c>
      <c r="AH295" s="1375">
        <v>42916</v>
      </c>
      <c r="AI295" s="758" t="s">
        <v>1415</v>
      </c>
      <c r="AJ295" s="758" t="s">
        <v>852</v>
      </c>
      <c r="AL295" s="758" t="s">
        <v>758</v>
      </c>
      <c r="AM295" s="1377">
        <v>19.36</v>
      </c>
      <c r="AN295" s="758" t="s">
        <v>1230</v>
      </c>
      <c r="AO295" s="758" t="s">
        <v>780</v>
      </c>
      <c r="AP295" s="1375">
        <v>42886</v>
      </c>
      <c r="AQ295" s="758" t="s">
        <v>1182</v>
      </c>
      <c r="AR295" s="758" t="s">
        <v>852</v>
      </c>
      <c r="CF295" s="2"/>
    </row>
    <row r="296" spans="3:84">
      <c r="C296" s="2"/>
      <c r="O296" s="93"/>
      <c r="AD296" s="758" t="s">
        <v>1266</v>
      </c>
      <c r="AE296" s="1377">
        <v>54.71</v>
      </c>
      <c r="AF296" s="758" t="s">
        <v>1267</v>
      </c>
      <c r="AG296" s="758" t="s">
        <v>779</v>
      </c>
      <c r="AH296" s="1375">
        <v>42916</v>
      </c>
      <c r="AI296" s="758" t="s">
        <v>1189</v>
      </c>
      <c r="AJ296" s="758" t="s">
        <v>852</v>
      </c>
      <c r="AL296" s="758" t="s">
        <v>758</v>
      </c>
      <c r="AM296" s="1377">
        <v>687.26</v>
      </c>
      <c r="AN296" s="758" t="s">
        <v>1230</v>
      </c>
      <c r="AO296" s="758" t="s">
        <v>780</v>
      </c>
      <c r="AP296" s="1375">
        <v>42886</v>
      </c>
      <c r="AQ296" s="758" t="s">
        <v>1189</v>
      </c>
      <c r="AR296" s="758" t="s">
        <v>852</v>
      </c>
      <c r="CF296" s="2"/>
    </row>
    <row r="297" spans="3:84">
      <c r="C297" s="2"/>
      <c r="O297" s="93"/>
      <c r="AD297" s="758" t="s">
        <v>1266</v>
      </c>
      <c r="AE297" s="1377">
        <v>56.26</v>
      </c>
      <c r="AF297" s="758" t="s">
        <v>1267</v>
      </c>
      <c r="AG297" s="758" t="s">
        <v>779</v>
      </c>
      <c r="AH297" s="1375">
        <v>42947</v>
      </c>
      <c r="AI297" s="758" t="s">
        <v>969</v>
      </c>
      <c r="AJ297" s="758" t="s">
        <v>852</v>
      </c>
      <c r="AL297" s="758" t="s">
        <v>758</v>
      </c>
      <c r="AM297" s="1377">
        <v>2307.1799999999998</v>
      </c>
      <c r="AN297" s="758" t="s">
        <v>1230</v>
      </c>
      <c r="AO297" s="758" t="s">
        <v>780</v>
      </c>
      <c r="AP297" s="1375">
        <v>42916</v>
      </c>
      <c r="AQ297" s="758" t="s">
        <v>1210</v>
      </c>
      <c r="AR297" s="758" t="s">
        <v>852</v>
      </c>
      <c r="CF297" s="2"/>
    </row>
    <row r="298" spans="3:84">
      <c r="C298" s="2"/>
      <c r="O298" s="93"/>
      <c r="AD298" s="758" t="s">
        <v>1266</v>
      </c>
      <c r="AE298" s="1377">
        <v>37.43</v>
      </c>
      <c r="AF298" s="758" t="s">
        <v>1267</v>
      </c>
      <c r="AG298" s="758" t="s">
        <v>779</v>
      </c>
      <c r="AH298" s="1375">
        <v>42947</v>
      </c>
      <c r="AI298" s="758" t="s">
        <v>1182</v>
      </c>
      <c r="AJ298" s="758" t="s">
        <v>852</v>
      </c>
      <c r="AL298" s="758" t="s">
        <v>758</v>
      </c>
      <c r="AM298" s="1377">
        <v>2298.6999999999998</v>
      </c>
      <c r="AN298" s="758" t="s">
        <v>1230</v>
      </c>
      <c r="AO298" s="758" t="s">
        <v>780</v>
      </c>
      <c r="AP298" s="1375">
        <v>42916</v>
      </c>
      <c r="AQ298" s="758" t="s">
        <v>1226</v>
      </c>
      <c r="AR298" s="758" t="s">
        <v>852</v>
      </c>
      <c r="CF298" s="2"/>
    </row>
    <row r="299" spans="3:84">
      <c r="C299" s="2"/>
      <c r="O299" s="93"/>
      <c r="AD299" s="758" t="s">
        <v>1266</v>
      </c>
      <c r="AE299" s="1377">
        <v>21.96</v>
      </c>
      <c r="AF299" s="758" t="s">
        <v>1267</v>
      </c>
      <c r="AG299" s="758" t="s">
        <v>779</v>
      </c>
      <c r="AH299" s="1375">
        <v>42947</v>
      </c>
      <c r="AI299" s="758" t="s">
        <v>1415</v>
      </c>
      <c r="AJ299" s="758" t="s">
        <v>852</v>
      </c>
      <c r="AL299" s="758" t="s">
        <v>758</v>
      </c>
      <c r="AM299" s="1377">
        <v>377.27</v>
      </c>
      <c r="AN299" s="758" t="s">
        <v>1230</v>
      </c>
      <c r="AO299" s="758" t="s">
        <v>780</v>
      </c>
      <c r="AP299" s="1375">
        <v>42916</v>
      </c>
      <c r="AQ299" s="758" t="s">
        <v>1209</v>
      </c>
      <c r="AR299" s="758" t="s">
        <v>852</v>
      </c>
      <c r="CF299" s="2"/>
    </row>
    <row r="300" spans="3:84">
      <c r="C300" s="2"/>
      <c r="O300" s="93"/>
      <c r="AD300" s="758" t="s">
        <v>1266</v>
      </c>
      <c r="AE300" s="1377">
        <v>37.43</v>
      </c>
      <c r="AF300" s="758" t="s">
        <v>1267</v>
      </c>
      <c r="AG300" s="758" t="s">
        <v>779</v>
      </c>
      <c r="AH300" s="1375">
        <v>42978</v>
      </c>
      <c r="AI300" s="758" t="s">
        <v>1182</v>
      </c>
      <c r="AJ300" s="758" t="s">
        <v>852</v>
      </c>
      <c r="AL300" s="758" t="s">
        <v>758</v>
      </c>
      <c r="AM300" s="1377">
        <v>341.58</v>
      </c>
      <c r="AN300" s="758" t="s">
        <v>1230</v>
      </c>
      <c r="AO300" s="758" t="s">
        <v>780</v>
      </c>
      <c r="AP300" s="1375">
        <v>42916</v>
      </c>
      <c r="AQ300" s="758" t="s">
        <v>969</v>
      </c>
      <c r="AR300" s="758" t="s">
        <v>852</v>
      </c>
      <c r="CF300" s="2"/>
    </row>
    <row r="301" spans="3:84">
      <c r="C301" s="2"/>
      <c r="O301" s="93"/>
      <c r="AD301" s="758" t="s">
        <v>1266</v>
      </c>
      <c r="AE301" s="1377">
        <v>86.03</v>
      </c>
      <c r="AF301" s="758" t="s">
        <v>1267</v>
      </c>
      <c r="AG301" s="758" t="s">
        <v>779</v>
      </c>
      <c r="AH301" s="1375">
        <v>42978</v>
      </c>
      <c r="AI301" s="758" t="s">
        <v>1189</v>
      </c>
      <c r="AJ301" s="758" t="s">
        <v>852</v>
      </c>
      <c r="AL301" s="758" t="s">
        <v>758</v>
      </c>
      <c r="AM301" s="1377">
        <v>21.57</v>
      </c>
      <c r="AN301" s="758" t="s">
        <v>1230</v>
      </c>
      <c r="AO301" s="758" t="s">
        <v>780</v>
      </c>
      <c r="AP301" s="1375">
        <v>42916</v>
      </c>
      <c r="AQ301" s="758" t="s">
        <v>1182</v>
      </c>
      <c r="AR301" s="758" t="s">
        <v>852</v>
      </c>
      <c r="CF301" s="2"/>
    </row>
    <row r="302" spans="3:84">
      <c r="C302" s="2"/>
      <c r="O302" s="93"/>
      <c r="AD302" s="758" t="s">
        <v>1266</v>
      </c>
      <c r="AE302" s="1377">
        <v>435.3</v>
      </c>
      <c r="AF302" s="758" t="s">
        <v>1267</v>
      </c>
      <c r="AG302" s="758" t="s">
        <v>779</v>
      </c>
      <c r="AH302" s="1375">
        <v>43008</v>
      </c>
      <c r="AI302" s="758" t="s">
        <v>969</v>
      </c>
      <c r="AJ302" s="758" t="s">
        <v>852</v>
      </c>
      <c r="AL302" s="758" t="s">
        <v>758</v>
      </c>
      <c r="AM302" s="1377">
        <v>2.2999999999999998</v>
      </c>
      <c r="AN302" s="758" t="s">
        <v>1230</v>
      </c>
      <c r="AO302" s="758" t="s">
        <v>780</v>
      </c>
      <c r="AP302" s="1375">
        <v>42916</v>
      </c>
      <c r="AQ302" s="758" t="s">
        <v>1415</v>
      </c>
      <c r="AR302" s="758" t="s">
        <v>852</v>
      </c>
      <c r="CF302" s="2"/>
    </row>
    <row r="303" spans="3:84">
      <c r="C303" s="2"/>
      <c r="O303" s="93"/>
      <c r="AD303" s="758" t="s">
        <v>1266</v>
      </c>
      <c r="AE303" s="1377">
        <v>41.75</v>
      </c>
      <c r="AF303" s="758" t="s">
        <v>1267</v>
      </c>
      <c r="AG303" s="758" t="s">
        <v>779</v>
      </c>
      <c r="AH303" s="1375">
        <v>43008</v>
      </c>
      <c r="AI303" s="758" t="s">
        <v>1182</v>
      </c>
      <c r="AJ303" s="758" t="s">
        <v>852</v>
      </c>
      <c r="AL303" s="758" t="s">
        <v>758</v>
      </c>
      <c r="AM303" s="1377">
        <v>26.86</v>
      </c>
      <c r="AN303" s="758" t="s">
        <v>1230</v>
      </c>
      <c r="AO303" s="758" t="s">
        <v>780</v>
      </c>
      <c r="AP303" s="1375">
        <v>42916</v>
      </c>
      <c r="AQ303" s="758" t="s">
        <v>1189</v>
      </c>
      <c r="AR303" s="758" t="s">
        <v>852</v>
      </c>
      <c r="CF303" s="2"/>
    </row>
    <row r="304" spans="3:84">
      <c r="C304" s="2"/>
      <c r="O304" s="93"/>
      <c r="AD304" s="758" t="s">
        <v>1266</v>
      </c>
      <c r="AE304" s="1377">
        <v>9.5500000000000007</v>
      </c>
      <c r="AF304" s="758" t="s">
        <v>1267</v>
      </c>
      <c r="AG304" s="758" t="s">
        <v>779</v>
      </c>
      <c r="AH304" s="1375">
        <v>43008</v>
      </c>
      <c r="AI304" s="758" t="s">
        <v>1415</v>
      </c>
      <c r="AJ304" s="758" t="s">
        <v>852</v>
      </c>
      <c r="AL304" s="758" t="s">
        <v>758</v>
      </c>
      <c r="AM304" s="1377">
        <v>2307.1799999999998</v>
      </c>
      <c r="AN304" s="758" t="s">
        <v>1230</v>
      </c>
      <c r="AO304" s="758" t="s">
        <v>780</v>
      </c>
      <c r="AP304" s="1375">
        <v>42947</v>
      </c>
      <c r="AQ304" s="758" t="s">
        <v>1210</v>
      </c>
      <c r="AR304" s="758" t="s">
        <v>852</v>
      </c>
      <c r="CF304" s="2"/>
    </row>
    <row r="305" spans="3:84">
      <c r="C305" s="2"/>
      <c r="O305" s="93"/>
      <c r="AD305" s="758" t="s">
        <v>1266</v>
      </c>
      <c r="AE305" s="1377">
        <v>32.590000000000003</v>
      </c>
      <c r="AF305" s="758" t="s">
        <v>1267</v>
      </c>
      <c r="AG305" s="758" t="s">
        <v>779</v>
      </c>
      <c r="AH305" s="1375">
        <v>43008</v>
      </c>
      <c r="AI305" s="758" t="s">
        <v>1207</v>
      </c>
      <c r="AJ305" s="758" t="s">
        <v>852</v>
      </c>
      <c r="AL305" s="758" t="s">
        <v>758</v>
      </c>
      <c r="AM305" s="1377">
        <v>4096.58</v>
      </c>
      <c r="AN305" s="758" t="s">
        <v>1230</v>
      </c>
      <c r="AO305" s="758" t="s">
        <v>780</v>
      </c>
      <c r="AP305" s="1375">
        <v>42947</v>
      </c>
      <c r="AQ305" s="758" t="s">
        <v>1226</v>
      </c>
      <c r="AR305" s="758" t="s">
        <v>852</v>
      </c>
      <c r="CF305" s="2"/>
    </row>
    <row r="306" spans="3:84">
      <c r="C306" s="2"/>
      <c r="O306" s="93"/>
      <c r="AD306" s="758" t="s">
        <v>1266</v>
      </c>
      <c r="AE306" s="1377">
        <v>43.02</v>
      </c>
      <c r="AF306" s="758" t="s">
        <v>1267</v>
      </c>
      <c r="AG306" s="758" t="s">
        <v>779</v>
      </c>
      <c r="AH306" s="1375">
        <v>43008</v>
      </c>
      <c r="AI306" s="758" t="s">
        <v>1189</v>
      </c>
      <c r="AJ306" s="758" t="s">
        <v>852</v>
      </c>
      <c r="AL306" s="758" t="s">
        <v>758</v>
      </c>
      <c r="AM306" s="1377">
        <v>377.27</v>
      </c>
      <c r="AN306" s="758" t="s">
        <v>1230</v>
      </c>
      <c r="AO306" s="758" t="s">
        <v>780</v>
      </c>
      <c r="AP306" s="1375">
        <v>42947</v>
      </c>
      <c r="AQ306" s="758" t="s">
        <v>1209</v>
      </c>
      <c r="AR306" s="758" t="s">
        <v>852</v>
      </c>
      <c r="CF306" s="2"/>
    </row>
    <row r="307" spans="3:84">
      <c r="C307" s="2"/>
      <c r="O307" s="93"/>
      <c r="AD307" s="758" t="s">
        <v>1266</v>
      </c>
      <c r="AE307" s="1377">
        <v>724.4</v>
      </c>
      <c r="AF307" s="758" t="s">
        <v>1267</v>
      </c>
      <c r="AG307" s="758" t="s">
        <v>779</v>
      </c>
      <c r="AH307" s="1375">
        <v>43039</v>
      </c>
      <c r="AI307" s="758" t="s">
        <v>969</v>
      </c>
      <c r="AJ307" s="758" t="s">
        <v>852</v>
      </c>
      <c r="AL307" s="758" t="s">
        <v>758</v>
      </c>
      <c r="AM307" s="1377">
        <v>147.30000000000001</v>
      </c>
      <c r="AN307" s="758" t="s">
        <v>1230</v>
      </c>
      <c r="AO307" s="758" t="s">
        <v>780</v>
      </c>
      <c r="AP307" s="1375">
        <v>42947</v>
      </c>
      <c r="AQ307" s="758" t="s">
        <v>1211</v>
      </c>
      <c r="AR307" s="758" t="s">
        <v>852</v>
      </c>
      <c r="CF307" s="2"/>
    </row>
    <row r="308" spans="3:84">
      <c r="C308" s="2"/>
      <c r="O308" s="93"/>
      <c r="AD308" s="758" t="s">
        <v>1266</v>
      </c>
      <c r="AE308" s="1377">
        <v>37.43</v>
      </c>
      <c r="AF308" s="758" t="s">
        <v>1267</v>
      </c>
      <c r="AG308" s="758" t="s">
        <v>779</v>
      </c>
      <c r="AH308" s="1375">
        <v>43039</v>
      </c>
      <c r="AI308" s="758" t="s">
        <v>1182</v>
      </c>
      <c r="AJ308" s="758" t="s">
        <v>852</v>
      </c>
      <c r="AL308" s="758" t="s">
        <v>758</v>
      </c>
      <c r="AM308" s="1377">
        <v>27.62</v>
      </c>
      <c r="AN308" s="758" t="s">
        <v>1230</v>
      </c>
      <c r="AO308" s="758" t="s">
        <v>780</v>
      </c>
      <c r="AP308" s="1375">
        <v>42947</v>
      </c>
      <c r="AQ308" s="758" t="s">
        <v>969</v>
      </c>
      <c r="AR308" s="758" t="s">
        <v>852</v>
      </c>
      <c r="CF308" s="2"/>
    </row>
    <row r="309" spans="3:84">
      <c r="C309" s="2"/>
      <c r="O309" s="93"/>
      <c r="AD309" s="758" t="s">
        <v>1266</v>
      </c>
      <c r="AE309" s="1377">
        <v>156.38</v>
      </c>
      <c r="AF309" s="758" t="s">
        <v>1267</v>
      </c>
      <c r="AG309" s="758" t="s">
        <v>779</v>
      </c>
      <c r="AH309" s="1375">
        <v>43039</v>
      </c>
      <c r="AI309" s="758" t="s">
        <v>1201</v>
      </c>
      <c r="AJ309" s="758" t="s">
        <v>852</v>
      </c>
      <c r="AL309" s="758" t="s">
        <v>758</v>
      </c>
      <c r="AM309" s="1377">
        <v>18.38</v>
      </c>
      <c r="AN309" s="758" t="s">
        <v>1230</v>
      </c>
      <c r="AO309" s="758" t="s">
        <v>780</v>
      </c>
      <c r="AP309" s="1375">
        <v>42947</v>
      </c>
      <c r="AQ309" s="758" t="s">
        <v>1182</v>
      </c>
      <c r="AR309" s="758" t="s">
        <v>852</v>
      </c>
      <c r="CF309" s="2"/>
    </row>
    <row r="310" spans="3:84">
      <c r="C310" s="2"/>
      <c r="O310" s="93"/>
      <c r="AD310" s="758" t="s">
        <v>1266</v>
      </c>
      <c r="AE310" s="1377">
        <v>39.71</v>
      </c>
      <c r="AF310" s="758" t="s">
        <v>1267</v>
      </c>
      <c r="AG310" s="758" t="s">
        <v>779</v>
      </c>
      <c r="AH310" s="1375">
        <v>43039</v>
      </c>
      <c r="AI310" s="758" t="s">
        <v>1189</v>
      </c>
      <c r="AJ310" s="758" t="s">
        <v>852</v>
      </c>
      <c r="AL310" s="758" t="s">
        <v>758</v>
      </c>
      <c r="AM310" s="1377">
        <v>10.78</v>
      </c>
      <c r="AN310" s="758" t="s">
        <v>1230</v>
      </c>
      <c r="AO310" s="758" t="s">
        <v>780</v>
      </c>
      <c r="AP310" s="1375">
        <v>42947</v>
      </c>
      <c r="AQ310" s="758" t="s">
        <v>1415</v>
      </c>
      <c r="AR310" s="758" t="s">
        <v>852</v>
      </c>
      <c r="CF310" s="2"/>
    </row>
    <row r="311" spans="3:84">
      <c r="C311" s="2"/>
      <c r="O311" s="93"/>
      <c r="AD311" s="758" t="s">
        <v>1266</v>
      </c>
      <c r="AE311" s="1377">
        <v>-337.03</v>
      </c>
      <c r="AF311" s="758" t="s">
        <v>1267</v>
      </c>
      <c r="AG311" s="758" t="s">
        <v>779</v>
      </c>
      <c r="AH311" s="1375">
        <v>43069</v>
      </c>
      <c r="AI311" s="758" t="s">
        <v>969</v>
      </c>
      <c r="AJ311" s="758" t="s">
        <v>852</v>
      </c>
      <c r="AL311" s="758" t="s">
        <v>758</v>
      </c>
      <c r="AM311" s="1377">
        <v>10490.52</v>
      </c>
      <c r="AN311" s="758" t="s">
        <v>1230</v>
      </c>
      <c r="AO311" s="758" t="s">
        <v>780</v>
      </c>
      <c r="AP311" s="1375">
        <v>42978</v>
      </c>
      <c r="AQ311" s="758" t="s">
        <v>1210</v>
      </c>
      <c r="AR311" s="758" t="s">
        <v>852</v>
      </c>
      <c r="CF311" s="2"/>
    </row>
    <row r="312" spans="3:84">
      <c r="C312" s="2"/>
      <c r="O312" s="93"/>
      <c r="AD312" s="758" t="s">
        <v>1266</v>
      </c>
      <c r="AE312" s="1377">
        <v>37.43</v>
      </c>
      <c r="AF312" s="758" t="s">
        <v>1267</v>
      </c>
      <c r="AG312" s="758" t="s">
        <v>779</v>
      </c>
      <c r="AH312" s="1375">
        <v>43069</v>
      </c>
      <c r="AI312" s="758" t="s">
        <v>1182</v>
      </c>
      <c r="AJ312" s="758" t="s">
        <v>852</v>
      </c>
      <c r="AL312" s="758" t="s">
        <v>758</v>
      </c>
      <c r="AM312" s="1377">
        <v>2065.81</v>
      </c>
      <c r="AN312" s="758" t="s">
        <v>1230</v>
      </c>
      <c r="AO312" s="758" t="s">
        <v>780</v>
      </c>
      <c r="AP312" s="1375">
        <v>42978</v>
      </c>
      <c r="AQ312" s="758" t="s">
        <v>1226</v>
      </c>
      <c r="AR312" s="758" t="s">
        <v>852</v>
      </c>
      <c r="CF312" s="2"/>
    </row>
    <row r="313" spans="3:84">
      <c r="C313" s="2"/>
      <c r="O313" s="93"/>
      <c r="AD313" s="758" t="s">
        <v>1266</v>
      </c>
      <c r="AE313" s="1377">
        <v>62.05</v>
      </c>
      <c r="AF313" s="758" t="s">
        <v>1267</v>
      </c>
      <c r="AG313" s="758" t="s">
        <v>779</v>
      </c>
      <c r="AH313" s="1375">
        <v>43069</v>
      </c>
      <c r="AI313" s="758" t="s">
        <v>1207</v>
      </c>
      <c r="AJ313" s="758" t="s">
        <v>852</v>
      </c>
      <c r="AL313" s="758" t="s">
        <v>758</v>
      </c>
      <c r="AM313" s="1377">
        <v>377.27</v>
      </c>
      <c r="AN313" s="758" t="s">
        <v>1230</v>
      </c>
      <c r="AO313" s="758" t="s">
        <v>780</v>
      </c>
      <c r="AP313" s="1375">
        <v>42978</v>
      </c>
      <c r="AQ313" s="758" t="s">
        <v>1209</v>
      </c>
      <c r="AR313" s="758" t="s">
        <v>852</v>
      </c>
      <c r="CF313" s="2"/>
    </row>
    <row r="314" spans="3:84">
      <c r="C314" s="2"/>
      <c r="O314" s="93"/>
      <c r="AD314" s="758" t="s">
        <v>1266</v>
      </c>
      <c r="AE314" s="1377">
        <v>80.08</v>
      </c>
      <c r="AF314" s="758" t="s">
        <v>1267</v>
      </c>
      <c r="AG314" s="758" t="s">
        <v>779</v>
      </c>
      <c r="AH314" s="1375">
        <v>43069</v>
      </c>
      <c r="AI314" s="758" t="s">
        <v>1222</v>
      </c>
      <c r="AJ314" s="758" t="s">
        <v>852</v>
      </c>
      <c r="AL314" s="758" t="s">
        <v>758</v>
      </c>
      <c r="AM314" s="1377">
        <v>18.38</v>
      </c>
      <c r="AN314" s="758" t="s">
        <v>1230</v>
      </c>
      <c r="AO314" s="758" t="s">
        <v>780</v>
      </c>
      <c r="AP314" s="1375">
        <v>42978</v>
      </c>
      <c r="AQ314" s="758" t="s">
        <v>1182</v>
      </c>
      <c r="AR314" s="758" t="s">
        <v>852</v>
      </c>
      <c r="CF314" s="2"/>
    </row>
    <row r="315" spans="3:84">
      <c r="C315" s="2"/>
      <c r="O315" s="93"/>
      <c r="AD315" s="758" t="s">
        <v>1266</v>
      </c>
      <c r="AE315" s="1377">
        <v>353.9</v>
      </c>
      <c r="AF315" s="758" t="s">
        <v>1267</v>
      </c>
      <c r="AG315" s="758" t="s">
        <v>779</v>
      </c>
      <c r="AH315" s="1375">
        <v>43100</v>
      </c>
      <c r="AI315" s="758" t="s">
        <v>969</v>
      </c>
      <c r="AJ315" s="758" t="s">
        <v>852</v>
      </c>
      <c r="AL315" s="758" t="s">
        <v>758</v>
      </c>
      <c r="AM315" s="1377">
        <v>42.24</v>
      </c>
      <c r="AN315" s="758" t="s">
        <v>1230</v>
      </c>
      <c r="AO315" s="758" t="s">
        <v>780</v>
      </c>
      <c r="AP315" s="1375">
        <v>42978</v>
      </c>
      <c r="AQ315" s="758" t="s">
        <v>1189</v>
      </c>
      <c r="AR315" s="758" t="s">
        <v>852</v>
      </c>
      <c r="CF315" s="2"/>
    </row>
    <row r="316" spans="3:84">
      <c r="C316" s="2"/>
      <c r="O316" s="93"/>
      <c r="AD316" s="758" t="s">
        <v>1266</v>
      </c>
      <c r="AE316" s="1377">
        <v>37.43</v>
      </c>
      <c r="AF316" s="758" t="s">
        <v>1267</v>
      </c>
      <c r="AG316" s="758" t="s">
        <v>779</v>
      </c>
      <c r="AH316" s="1375">
        <v>43100</v>
      </c>
      <c r="AI316" s="758" t="s">
        <v>1182</v>
      </c>
      <c r="AJ316" s="758" t="s">
        <v>852</v>
      </c>
      <c r="AL316" s="758" t="s">
        <v>758</v>
      </c>
      <c r="AM316" s="1377">
        <v>6398.84</v>
      </c>
      <c r="AN316" s="758" t="s">
        <v>1230</v>
      </c>
      <c r="AO316" s="758" t="s">
        <v>780</v>
      </c>
      <c r="AP316" s="1375">
        <v>43008</v>
      </c>
      <c r="AQ316" s="758" t="s">
        <v>1210</v>
      </c>
      <c r="AR316" s="758" t="s">
        <v>852</v>
      </c>
      <c r="CF316" s="2"/>
    </row>
    <row r="317" spans="3:84">
      <c r="C317" s="2"/>
      <c r="O317" s="93"/>
      <c r="AD317" s="758" t="s">
        <v>1266</v>
      </c>
      <c r="AE317" s="1377">
        <v>4.8899999999999997</v>
      </c>
      <c r="AF317" s="758" t="s">
        <v>1267</v>
      </c>
      <c r="AG317" s="758" t="s">
        <v>779</v>
      </c>
      <c r="AH317" s="1375">
        <v>43100</v>
      </c>
      <c r="AI317" s="758" t="s">
        <v>1207</v>
      </c>
      <c r="AJ317" s="758" t="s">
        <v>852</v>
      </c>
      <c r="AL317" s="758" t="s">
        <v>758</v>
      </c>
      <c r="AM317" s="1377">
        <v>2045.84</v>
      </c>
      <c r="AN317" s="758" t="s">
        <v>1230</v>
      </c>
      <c r="AO317" s="758" t="s">
        <v>780</v>
      </c>
      <c r="AP317" s="1375">
        <v>43008</v>
      </c>
      <c r="AQ317" s="758" t="s">
        <v>1226</v>
      </c>
      <c r="AR317" s="758" t="s">
        <v>852</v>
      </c>
      <c r="CF317" s="2"/>
    </row>
    <row r="318" spans="3:84">
      <c r="C318" s="2"/>
      <c r="O318" s="93"/>
      <c r="AD318" s="758" t="s">
        <v>1266</v>
      </c>
      <c r="AE318" s="1377">
        <v>127.51</v>
      </c>
      <c r="AF318" s="758" t="s">
        <v>1267</v>
      </c>
      <c r="AG318" s="758" t="s">
        <v>779</v>
      </c>
      <c r="AH318" s="1375">
        <v>43100</v>
      </c>
      <c r="AI318" s="758" t="s">
        <v>1117</v>
      </c>
      <c r="AJ318" s="758" t="s">
        <v>852</v>
      </c>
      <c r="AL318" s="758" t="s">
        <v>758</v>
      </c>
      <c r="AM318" s="1377">
        <v>377.27</v>
      </c>
      <c r="AN318" s="758" t="s">
        <v>1230</v>
      </c>
      <c r="AO318" s="758" t="s">
        <v>780</v>
      </c>
      <c r="AP318" s="1375">
        <v>43008</v>
      </c>
      <c r="AQ318" s="758" t="s">
        <v>1209</v>
      </c>
      <c r="AR318" s="758" t="s">
        <v>852</v>
      </c>
      <c r="CF318" s="2"/>
    </row>
    <row r="319" spans="3:84">
      <c r="C319" s="2"/>
      <c r="O319" s="93"/>
      <c r="AD319" s="758" t="s">
        <v>1266</v>
      </c>
      <c r="AE319" s="1377">
        <v>0.91</v>
      </c>
      <c r="AF319" s="758" t="s">
        <v>1267</v>
      </c>
      <c r="AG319" s="758" t="s">
        <v>779</v>
      </c>
      <c r="AH319" s="1375">
        <v>43100</v>
      </c>
      <c r="AI319" s="758" t="s">
        <v>1208</v>
      </c>
      <c r="AJ319" s="758" t="s">
        <v>852</v>
      </c>
      <c r="AL319" s="758" t="s">
        <v>758</v>
      </c>
      <c r="AM319" s="1377">
        <v>213.73</v>
      </c>
      <c r="AN319" s="758" t="s">
        <v>1230</v>
      </c>
      <c r="AO319" s="758" t="s">
        <v>780</v>
      </c>
      <c r="AP319" s="1375">
        <v>43008</v>
      </c>
      <c r="AQ319" s="758" t="s">
        <v>969</v>
      </c>
      <c r="AR319" s="758" t="s">
        <v>852</v>
      </c>
      <c r="CF319" s="2"/>
    </row>
    <row r="320" spans="3:84">
      <c r="C320" s="2"/>
      <c r="O320" s="93"/>
      <c r="AD320" s="758" t="s">
        <v>1266</v>
      </c>
      <c r="AE320" s="1377">
        <v>33.090000000000003</v>
      </c>
      <c r="AF320" s="758" t="s">
        <v>1267</v>
      </c>
      <c r="AG320" s="758" t="s">
        <v>779</v>
      </c>
      <c r="AH320" s="1375">
        <v>43100</v>
      </c>
      <c r="AI320" s="758" t="s">
        <v>1189</v>
      </c>
      <c r="AJ320" s="758" t="s">
        <v>852</v>
      </c>
      <c r="AL320" s="758" t="s">
        <v>758</v>
      </c>
      <c r="AM320" s="1377">
        <v>20.5</v>
      </c>
      <c r="AN320" s="758" t="s">
        <v>1230</v>
      </c>
      <c r="AO320" s="758" t="s">
        <v>780</v>
      </c>
      <c r="AP320" s="1375">
        <v>43008</v>
      </c>
      <c r="AQ320" s="758" t="s">
        <v>1182</v>
      </c>
      <c r="AR320" s="758" t="s">
        <v>852</v>
      </c>
      <c r="CF320" s="2"/>
    </row>
    <row r="321" spans="3:84">
      <c r="C321" s="2"/>
      <c r="O321" s="93"/>
      <c r="AD321" s="758" t="s">
        <v>144</v>
      </c>
      <c r="AE321" s="1377">
        <v>0</v>
      </c>
      <c r="AF321" s="758" t="s">
        <v>1213</v>
      </c>
      <c r="AG321" s="758" t="s">
        <v>779</v>
      </c>
      <c r="AH321" s="1375">
        <v>42766</v>
      </c>
      <c r="AI321" s="758" t="s">
        <v>1204</v>
      </c>
      <c r="AJ321" s="758" t="s">
        <v>852</v>
      </c>
      <c r="AL321" s="758" t="s">
        <v>758</v>
      </c>
      <c r="AM321" s="1377">
        <v>4.6900000000000004</v>
      </c>
      <c r="AN321" s="758" t="s">
        <v>1230</v>
      </c>
      <c r="AO321" s="758" t="s">
        <v>780</v>
      </c>
      <c r="AP321" s="1375">
        <v>43008</v>
      </c>
      <c r="AQ321" s="758" t="s">
        <v>1415</v>
      </c>
      <c r="AR321" s="758" t="s">
        <v>852</v>
      </c>
      <c r="CF321" s="2"/>
    </row>
    <row r="322" spans="3:84">
      <c r="C322" s="2"/>
      <c r="O322" s="93"/>
      <c r="AD322" s="758" t="s">
        <v>144</v>
      </c>
      <c r="AE322" s="1377">
        <v>0</v>
      </c>
      <c r="AF322" s="758" t="s">
        <v>1213</v>
      </c>
      <c r="AG322" s="758" t="s">
        <v>779</v>
      </c>
      <c r="AH322" s="1375">
        <v>42825</v>
      </c>
      <c r="AI322" s="758" t="s">
        <v>1204</v>
      </c>
      <c r="AJ322" s="758" t="s">
        <v>852</v>
      </c>
      <c r="AL322" s="758" t="s">
        <v>758</v>
      </c>
      <c r="AM322" s="1377">
        <v>16</v>
      </c>
      <c r="AN322" s="758" t="s">
        <v>1230</v>
      </c>
      <c r="AO322" s="758" t="s">
        <v>780</v>
      </c>
      <c r="AP322" s="1375">
        <v>43008</v>
      </c>
      <c r="AQ322" s="758" t="s">
        <v>1207</v>
      </c>
      <c r="AR322" s="758" t="s">
        <v>852</v>
      </c>
      <c r="CF322" s="2"/>
    </row>
    <row r="323" spans="3:84">
      <c r="C323" s="2"/>
      <c r="O323" s="93"/>
      <c r="AD323" s="758" t="s">
        <v>1228</v>
      </c>
      <c r="AE323" s="1377">
        <v>4166.67</v>
      </c>
      <c r="AF323" s="758" t="s">
        <v>1229</v>
      </c>
      <c r="AG323" s="758" t="s">
        <v>779</v>
      </c>
      <c r="AH323" s="1375">
        <v>42766</v>
      </c>
      <c r="AI323" s="758" t="s">
        <v>1210</v>
      </c>
      <c r="AJ323" s="758" t="s">
        <v>852</v>
      </c>
      <c r="AL323" s="758" t="s">
        <v>758</v>
      </c>
      <c r="AM323" s="1377">
        <v>21.12</v>
      </c>
      <c r="AN323" s="758" t="s">
        <v>1230</v>
      </c>
      <c r="AO323" s="758" t="s">
        <v>780</v>
      </c>
      <c r="AP323" s="1375">
        <v>43008</v>
      </c>
      <c r="AQ323" s="758" t="s">
        <v>1189</v>
      </c>
      <c r="AR323" s="758" t="s">
        <v>852</v>
      </c>
      <c r="CF323" s="2"/>
    </row>
    <row r="324" spans="3:84">
      <c r="C324" s="2"/>
      <c r="O324" s="93"/>
      <c r="AD324" s="758" t="s">
        <v>1228</v>
      </c>
      <c r="AE324" s="1377">
        <v>4166.67</v>
      </c>
      <c r="AF324" s="758" t="s">
        <v>1229</v>
      </c>
      <c r="AG324" s="758" t="s">
        <v>779</v>
      </c>
      <c r="AH324" s="1375">
        <v>42794</v>
      </c>
      <c r="AI324" s="758" t="s">
        <v>1210</v>
      </c>
      <c r="AJ324" s="758" t="s">
        <v>852</v>
      </c>
      <c r="AL324" s="758" t="s">
        <v>758</v>
      </c>
      <c r="AM324" s="1377">
        <v>4598.51</v>
      </c>
      <c r="AN324" s="758" t="s">
        <v>1230</v>
      </c>
      <c r="AO324" s="758" t="s">
        <v>780</v>
      </c>
      <c r="AP324" s="1375">
        <v>43039</v>
      </c>
      <c r="AQ324" s="758" t="s">
        <v>1210</v>
      </c>
      <c r="AR324" s="758" t="s">
        <v>852</v>
      </c>
      <c r="CF324" s="2"/>
    </row>
    <row r="325" spans="3:84">
      <c r="C325" s="2"/>
      <c r="O325" s="93"/>
      <c r="AD325" s="758" t="s">
        <v>1228</v>
      </c>
      <c r="AE325" s="1377">
        <v>4166.67</v>
      </c>
      <c r="AF325" s="758" t="s">
        <v>1229</v>
      </c>
      <c r="AG325" s="758" t="s">
        <v>779</v>
      </c>
      <c r="AH325" s="1375">
        <v>42825</v>
      </c>
      <c r="AI325" s="758" t="s">
        <v>1210</v>
      </c>
      <c r="AJ325" s="758" t="s">
        <v>852</v>
      </c>
      <c r="AL325" s="758" t="s">
        <v>758</v>
      </c>
      <c r="AM325" s="1377">
        <v>2045.84</v>
      </c>
      <c r="AN325" s="758" t="s">
        <v>1230</v>
      </c>
      <c r="AO325" s="758" t="s">
        <v>780</v>
      </c>
      <c r="AP325" s="1375">
        <v>43039</v>
      </c>
      <c r="AQ325" s="758" t="s">
        <v>1226</v>
      </c>
      <c r="AR325" s="758" t="s">
        <v>852</v>
      </c>
      <c r="CF325" s="2"/>
    </row>
    <row r="326" spans="3:84">
      <c r="C326" s="2"/>
      <c r="O326" s="93"/>
      <c r="AD326" s="758" t="s">
        <v>1228</v>
      </c>
      <c r="AE326" s="1377">
        <v>4166.67</v>
      </c>
      <c r="AF326" s="758" t="s">
        <v>1229</v>
      </c>
      <c r="AG326" s="758" t="s">
        <v>779</v>
      </c>
      <c r="AH326" s="1375">
        <v>42855</v>
      </c>
      <c r="AI326" s="758" t="s">
        <v>1210</v>
      </c>
      <c r="AJ326" s="758" t="s">
        <v>852</v>
      </c>
      <c r="AL326" s="758" t="s">
        <v>758</v>
      </c>
      <c r="AM326" s="1377">
        <v>377.27</v>
      </c>
      <c r="AN326" s="758" t="s">
        <v>1230</v>
      </c>
      <c r="AO326" s="758" t="s">
        <v>780</v>
      </c>
      <c r="AP326" s="1375">
        <v>43039</v>
      </c>
      <c r="AQ326" s="758" t="s">
        <v>1209</v>
      </c>
      <c r="AR326" s="758" t="s">
        <v>852</v>
      </c>
      <c r="CF326" s="2"/>
    </row>
    <row r="327" spans="3:84">
      <c r="C327" s="2"/>
      <c r="O327" s="93"/>
      <c r="AD327" s="758" t="s">
        <v>1228</v>
      </c>
      <c r="AE327" s="1377">
        <v>4166.67</v>
      </c>
      <c r="AF327" s="758" t="s">
        <v>1229</v>
      </c>
      <c r="AG327" s="758" t="s">
        <v>779</v>
      </c>
      <c r="AH327" s="1375">
        <v>42886</v>
      </c>
      <c r="AI327" s="758" t="s">
        <v>1210</v>
      </c>
      <c r="AJ327" s="758" t="s">
        <v>852</v>
      </c>
      <c r="AL327" s="758" t="s">
        <v>758</v>
      </c>
      <c r="AM327" s="1377">
        <v>355.68</v>
      </c>
      <c r="AN327" s="758" t="s">
        <v>1230</v>
      </c>
      <c r="AO327" s="758" t="s">
        <v>780</v>
      </c>
      <c r="AP327" s="1375">
        <v>43039</v>
      </c>
      <c r="AQ327" s="758" t="s">
        <v>969</v>
      </c>
      <c r="AR327" s="758" t="s">
        <v>852</v>
      </c>
      <c r="CF327" s="2"/>
    </row>
    <row r="328" spans="3:84">
      <c r="C328" s="2"/>
      <c r="O328" s="93"/>
      <c r="AD328" s="758" t="s">
        <v>1228</v>
      </c>
      <c r="AE328" s="1377">
        <v>4166.67</v>
      </c>
      <c r="AF328" s="758" t="s">
        <v>1229</v>
      </c>
      <c r="AG328" s="758" t="s">
        <v>779</v>
      </c>
      <c r="AH328" s="1375">
        <v>42916</v>
      </c>
      <c r="AI328" s="758" t="s">
        <v>1210</v>
      </c>
      <c r="AJ328" s="758" t="s">
        <v>852</v>
      </c>
      <c r="AL328" s="758" t="s">
        <v>758</v>
      </c>
      <c r="AM328" s="1377">
        <v>18.38</v>
      </c>
      <c r="AN328" s="758" t="s">
        <v>1230</v>
      </c>
      <c r="AO328" s="758" t="s">
        <v>780</v>
      </c>
      <c r="AP328" s="1375">
        <v>43039</v>
      </c>
      <c r="AQ328" s="758" t="s">
        <v>1182</v>
      </c>
      <c r="AR328" s="758" t="s">
        <v>852</v>
      </c>
      <c r="CF328" s="2"/>
    </row>
    <row r="329" spans="3:84">
      <c r="C329" s="2"/>
      <c r="O329" s="93"/>
      <c r="AD329" s="758" t="s">
        <v>1228</v>
      </c>
      <c r="AE329" s="1377">
        <v>12499.97</v>
      </c>
      <c r="AF329" s="758" t="s">
        <v>1229</v>
      </c>
      <c r="AG329" s="758" t="s">
        <v>779</v>
      </c>
      <c r="AH329" s="1375">
        <v>43008</v>
      </c>
      <c r="AI329" s="758" t="s">
        <v>1210</v>
      </c>
      <c r="AJ329" s="758" t="s">
        <v>852</v>
      </c>
      <c r="AL329" s="758" t="s">
        <v>758</v>
      </c>
      <c r="AM329" s="1377">
        <v>76.78</v>
      </c>
      <c r="AN329" s="758" t="s">
        <v>1230</v>
      </c>
      <c r="AO329" s="758" t="s">
        <v>780</v>
      </c>
      <c r="AP329" s="1375">
        <v>43039</v>
      </c>
      <c r="AQ329" s="758" t="s">
        <v>1201</v>
      </c>
      <c r="AR329" s="758" t="s">
        <v>852</v>
      </c>
      <c r="CF329" s="2"/>
    </row>
    <row r="330" spans="3:84">
      <c r="C330" s="2"/>
      <c r="O330" s="93"/>
      <c r="AD330" s="758" t="s">
        <v>1228</v>
      </c>
      <c r="AE330" s="1377">
        <v>4166.67</v>
      </c>
      <c r="AF330" s="758" t="s">
        <v>1229</v>
      </c>
      <c r="AG330" s="758" t="s">
        <v>779</v>
      </c>
      <c r="AH330" s="1375">
        <v>43039</v>
      </c>
      <c r="AI330" s="758" t="s">
        <v>1210</v>
      </c>
      <c r="AJ330" s="758" t="s">
        <v>852</v>
      </c>
      <c r="AL330" s="758" t="s">
        <v>758</v>
      </c>
      <c r="AM330" s="1377">
        <v>19.5</v>
      </c>
      <c r="AN330" s="758" t="s">
        <v>1230</v>
      </c>
      <c r="AO330" s="758" t="s">
        <v>780</v>
      </c>
      <c r="AP330" s="1375">
        <v>43039</v>
      </c>
      <c r="AQ330" s="758" t="s">
        <v>1189</v>
      </c>
      <c r="AR330" s="758" t="s">
        <v>852</v>
      </c>
      <c r="CF330" s="2"/>
    </row>
    <row r="331" spans="3:84">
      <c r="C331" s="2"/>
      <c r="O331" s="93"/>
      <c r="AD331" s="758" t="s">
        <v>1228</v>
      </c>
      <c r="AE331" s="1377">
        <v>4166.67</v>
      </c>
      <c r="AF331" s="758" t="s">
        <v>1229</v>
      </c>
      <c r="AG331" s="758" t="s">
        <v>779</v>
      </c>
      <c r="AH331" s="1375">
        <v>43069</v>
      </c>
      <c r="AI331" s="758" t="s">
        <v>1210</v>
      </c>
      <c r="AJ331" s="758" t="s">
        <v>852</v>
      </c>
      <c r="AL331" s="758" t="s">
        <v>758</v>
      </c>
      <c r="AM331" s="1377">
        <v>4598.51</v>
      </c>
      <c r="AN331" s="758" t="s">
        <v>1230</v>
      </c>
      <c r="AO331" s="758" t="s">
        <v>780</v>
      </c>
      <c r="AP331" s="1375">
        <v>43069</v>
      </c>
      <c r="AQ331" s="758" t="s">
        <v>1210</v>
      </c>
      <c r="AR331" s="758" t="s">
        <v>852</v>
      </c>
      <c r="CF331" s="2"/>
    </row>
    <row r="332" spans="3:84">
      <c r="C332" s="2"/>
      <c r="O332" s="93"/>
      <c r="AD332" s="758" t="s">
        <v>1228</v>
      </c>
      <c r="AE332" s="1377">
        <v>4166.67</v>
      </c>
      <c r="AF332" s="758" t="s">
        <v>1229</v>
      </c>
      <c r="AG332" s="758" t="s">
        <v>779</v>
      </c>
      <c r="AH332" s="1375">
        <v>43100</v>
      </c>
      <c r="AI332" s="758" t="s">
        <v>1210</v>
      </c>
      <c r="AJ332" s="758" t="s">
        <v>852</v>
      </c>
      <c r="AL332" s="758" t="s">
        <v>758</v>
      </c>
      <c r="AM332" s="1377">
        <v>2045.84</v>
      </c>
      <c r="AN332" s="758" t="s">
        <v>1230</v>
      </c>
      <c r="AO332" s="758" t="s">
        <v>780</v>
      </c>
      <c r="AP332" s="1375">
        <v>43069</v>
      </c>
      <c r="AQ332" s="758" t="s">
        <v>1226</v>
      </c>
      <c r="AR332" s="758" t="s">
        <v>852</v>
      </c>
      <c r="CF332" s="2"/>
    </row>
    <row r="333" spans="3:84">
      <c r="C333" s="2"/>
      <c r="O333" s="93"/>
      <c r="AD333" s="758"/>
      <c r="AE333" s="759"/>
      <c r="AF333" s="758"/>
      <c r="AG333" s="758"/>
      <c r="AH333" s="1106"/>
      <c r="AI333" s="758"/>
      <c r="AJ333" s="758"/>
      <c r="AL333" s="758" t="s">
        <v>758</v>
      </c>
      <c r="AM333" s="1377">
        <v>377.27</v>
      </c>
      <c r="AN333" s="758" t="s">
        <v>1230</v>
      </c>
      <c r="AO333" s="758" t="s">
        <v>780</v>
      </c>
      <c r="AP333" s="1375">
        <v>43069</v>
      </c>
      <c r="AQ333" s="758" t="s">
        <v>1209</v>
      </c>
      <c r="AR333" s="758" t="s">
        <v>852</v>
      </c>
      <c r="CF333" s="2"/>
    </row>
    <row r="334" spans="3:84">
      <c r="C334" s="2"/>
      <c r="O334" s="93"/>
      <c r="AD334" s="758"/>
      <c r="AE334" s="178">
        <f>SUM(AE3:AE332)</f>
        <v>254425.15000000029</v>
      </c>
      <c r="AF334" s="758"/>
      <c r="AG334" s="758"/>
      <c r="AH334" s="1106"/>
      <c r="AI334" s="758"/>
      <c r="AJ334" s="758"/>
      <c r="AL334" s="758" t="s">
        <v>758</v>
      </c>
      <c r="AM334" s="1377">
        <v>111.7</v>
      </c>
      <c r="AN334" s="758" t="s">
        <v>1230</v>
      </c>
      <c r="AO334" s="758" t="s">
        <v>780</v>
      </c>
      <c r="AP334" s="1375">
        <v>43069</v>
      </c>
      <c r="AQ334" s="758" t="s">
        <v>1215</v>
      </c>
      <c r="AR334" s="758" t="s">
        <v>852</v>
      </c>
      <c r="CF334" s="2"/>
    </row>
    <row r="335" spans="3:84">
      <c r="C335" s="2"/>
      <c r="O335" s="93"/>
      <c r="AD335" s="758"/>
      <c r="AE335" s="759"/>
      <c r="AF335" s="758"/>
      <c r="AG335" s="758"/>
      <c r="AH335" s="1106"/>
      <c r="AI335" s="758"/>
      <c r="AJ335" s="758"/>
      <c r="AL335" s="758" t="s">
        <v>758</v>
      </c>
      <c r="AM335" s="1377">
        <v>-165.48</v>
      </c>
      <c r="AN335" s="758" t="s">
        <v>1230</v>
      </c>
      <c r="AO335" s="758" t="s">
        <v>780</v>
      </c>
      <c r="AP335" s="1375">
        <v>43069</v>
      </c>
      <c r="AQ335" s="758" t="s">
        <v>969</v>
      </c>
      <c r="AR335" s="758" t="s">
        <v>852</v>
      </c>
      <c r="CF335" s="2"/>
    </row>
    <row r="336" spans="3:84">
      <c r="C336" s="2"/>
      <c r="O336" s="93"/>
      <c r="AD336" s="758"/>
      <c r="AE336" s="759"/>
      <c r="AF336" s="758"/>
      <c r="AG336" s="758"/>
      <c r="AH336" s="1106"/>
      <c r="AI336" s="758"/>
      <c r="AJ336" s="758"/>
      <c r="AL336" s="758" t="s">
        <v>758</v>
      </c>
      <c r="AM336" s="1377">
        <v>124.67</v>
      </c>
      <c r="AN336" s="758" t="s">
        <v>1230</v>
      </c>
      <c r="AO336" s="758" t="s">
        <v>780</v>
      </c>
      <c r="AP336" s="1375">
        <v>43069</v>
      </c>
      <c r="AQ336" s="758" t="s">
        <v>1420</v>
      </c>
      <c r="AR336" s="758" t="s">
        <v>852</v>
      </c>
      <c r="CF336" s="2"/>
    </row>
    <row r="337" spans="3:84">
      <c r="C337" s="2"/>
      <c r="O337" s="93"/>
      <c r="AD337" s="758"/>
      <c r="AE337" s="759"/>
      <c r="AF337" s="758"/>
      <c r="AG337" s="758"/>
      <c r="AH337" s="1106"/>
      <c r="AI337" s="758"/>
      <c r="AJ337" s="758"/>
      <c r="AL337" s="758" t="s">
        <v>758</v>
      </c>
      <c r="AM337" s="1377">
        <v>18.38</v>
      </c>
      <c r="AN337" s="758" t="s">
        <v>1230</v>
      </c>
      <c r="AO337" s="758" t="s">
        <v>780</v>
      </c>
      <c r="AP337" s="1375">
        <v>43069</v>
      </c>
      <c r="AQ337" s="758" t="s">
        <v>1182</v>
      </c>
      <c r="AR337" s="758" t="s">
        <v>852</v>
      </c>
      <c r="CF337" s="2"/>
    </row>
    <row r="338" spans="3:84">
      <c r="C338" s="2"/>
      <c r="O338" s="93"/>
      <c r="AD338" s="758"/>
      <c r="AE338" s="759"/>
      <c r="AF338" s="758"/>
      <c r="AG338" s="758"/>
      <c r="AH338" s="1106"/>
      <c r="AI338" s="758"/>
      <c r="AJ338" s="758"/>
      <c r="AL338" s="758" t="s">
        <v>758</v>
      </c>
      <c r="AM338" s="1377">
        <v>30.47</v>
      </c>
      <c r="AN338" s="758" t="s">
        <v>1230</v>
      </c>
      <c r="AO338" s="758" t="s">
        <v>780</v>
      </c>
      <c r="AP338" s="1375">
        <v>43069</v>
      </c>
      <c r="AQ338" s="758" t="s">
        <v>1207</v>
      </c>
      <c r="AR338" s="758" t="s">
        <v>852</v>
      </c>
      <c r="CF338" s="2"/>
    </row>
    <row r="339" spans="3:84">
      <c r="C339" s="2"/>
      <c r="O339" s="93"/>
      <c r="AD339" s="758"/>
      <c r="AE339" s="759"/>
      <c r="AF339" s="758"/>
      <c r="AG339" s="758"/>
      <c r="AH339" s="1106"/>
      <c r="AI339" s="758"/>
      <c r="AJ339" s="758"/>
      <c r="AL339" s="758" t="s">
        <v>758</v>
      </c>
      <c r="AM339" s="1377">
        <v>4598.51</v>
      </c>
      <c r="AN339" s="758" t="s">
        <v>1230</v>
      </c>
      <c r="AO339" s="758" t="s">
        <v>780</v>
      </c>
      <c r="AP339" s="1375">
        <v>43100</v>
      </c>
      <c r="AQ339" s="758" t="s">
        <v>1210</v>
      </c>
      <c r="AR339" s="758" t="s">
        <v>852</v>
      </c>
      <c r="CF339" s="2"/>
    </row>
    <row r="340" spans="3:84">
      <c r="C340" s="2"/>
      <c r="O340" s="93"/>
      <c r="AD340" s="758"/>
      <c r="AE340" s="759"/>
      <c r="AF340" s="758"/>
      <c r="AG340" s="758"/>
      <c r="AH340" s="1106"/>
      <c r="AI340" s="758"/>
      <c r="AJ340" s="758"/>
      <c r="AL340" s="758" t="s">
        <v>758</v>
      </c>
      <c r="AM340" s="1377">
        <v>2045.84</v>
      </c>
      <c r="AN340" s="758" t="s">
        <v>1230</v>
      </c>
      <c r="AO340" s="758" t="s">
        <v>780</v>
      </c>
      <c r="AP340" s="1375">
        <v>43100</v>
      </c>
      <c r="AQ340" s="758" t="s">
        <v>1226</v>
      </c>
      <c r="AR340" s="758" t="s">
        <v>852</v>
      </c>
      <c r="CF340" s="2"/>
    </row>
    <row r="341" spans="3:84">
      <c r="C341" s="2"/>
      <c r="O341" s="93"/>
      <c r="AD341" s="758"/>
      <c r="AE341" s="759"/>
      <c r="AF341" s="758"/>
      <c r="AG341" s="758"/>
      <c r="AH341" s="1106"/>
      <c r="AI341" s="758"/>
      <c r="AJ341" s="758"/>
      <c r="AL341" s="758" t="s">
        <v>758</v>
      </c>
      <c r="AM341" s="1377">
        <v>377.27</v>
      </c>
      <c r="AN341" s="758" t="s">
        <v>1230</v>
      </c>
      <c r="AO341" s="758" t="s">
        <v>780</v>
      </c>
      <c r="AP341" s="1375">
        <v>43100</v>
      </c>
      <c r="AQ341" s="758" t="s">
        <v>1209</v>
      </c>
      <c r="AR341" s="758" t="s">
        <v>852</v>
      </c>
      <c r="CF341" s="2"/>
    </row>
    <row r="342" spans="3:84">
      <c r="C342" s="2"/>
      <c r="O342" s="93"/>
      <c r="AD342" s="758"/>
      <c r="AE342" s="759"/>
      <c r="AF342" s="758"/>
      <c r="AG342" s="758"/>
      <c r="AH342" s="1106"/>
      <c r="AI342" s="758"/>
      <c r="AJ342" s="758"/>
      <c r="AL342" s="758" t="s">
        <v>758</v>
      </c>
      <c r="AM342" s="1377">
        <v>331.43</v>
      </c>
      <c r="AN342" s="758" t="s">
        <v>1230</v>
      </c>
      <c r="AO342" s="758" t="s">
        <v>780</v>
      </c>
      <c r="AP342" s="1375">
        <v>43100</v>
      </c>
      <c r="AQ342" s="758" t="s">
        <v>1206</v>
      </c>
      <c r="AR342" s="758" t="s">
        <v>852</v>
      </c>
      <c r="CF342" s="2"/>
    </row>
    <row r="343" spans="3:84">
      <c r="C343" s="2"/>
      <c r="O343" s="93"/>
      <c r="AD343" s="758"/>
      <c r="AE343" s="759"/>
      <c r="AF343" s="758"/>
      <c r="AG343" s="758"/>
      <c r="AH343" s="1106"/>
      <c r="AI343" s="758"/>
      <c r="AJ343" s="758"/>
      <c r="AL343" s="758" t="s">
        <v>758</v>
      </c>
      <c r="AM343" s="1377">
        <v>173.77</v>
      </c>
      <c r="AN343" s="758" t="s">
        <v>1230</v>
      </c>
      <c r="AO343" s="758" t="s">
        <v>780</v>
      </c>
      <c r="AP343" s="1375">
        <v>43100</v>
      </c>
      <c r="AQ343" s="758" t="s">
        <v>969</v>
      </c>
      <c r="AR343" s="758" t="s">
        <v>852</v>
      </c>
      <c r="CF343" s="2"/>
    </row>
    <row r="344" spans="3:84">
      <c r="C344" s="2"/>
      <c r="O344" s="93"/>
      <c r="AD344" s="758"/>
      <c r="AE344" s="759"/>
      <c r="AF344" s="758"/>
      <c r="AG344" s="758"/>
      <c r="AH344" s="1106"/>
      <c r="AI344" s="758"/>
      <c r="AJ344" s="758"/>
      <c r="AL344" s="758" t="s">
        <v>758</v>
      </c>
      <c r="AM344" s="1377">
        <v>18.38</v>
      </c>
      <c r="AN344" s="758" t="s">
        <v>1230</v>
      </c>
      <c r="AO344" s="758" t="s">
        <v>780</v>
      </c>
      <c r="AP344" s="1375">
        <v>43100</v>
      </c>
      <c r="AQ344" s="758" t="s">
        <v>1182</v>
      </c>
      <c r="AR344" s="758" t="s">
        <v>852</v>
      </c>
      <c r="CF344" s="2"/>
    </row>
    <row r="345" spans="3:84">
      <c r="C345" s="2"/>
      <c r="O345" s="93"/>
      <c r="AD345" s="758"/>
      <c r="AE345" s="759"/>
      <c r="AF345" s="758"/>
      <c r="AG345" s="758"/>
      <c r="AH345" s="1106"/>
      <c r="AI345" s="758"/>
      <c r="AJ345" s="758"/>
      <c r="AL345" s="758" t="s">
        <v>758</v>
      </c>
      <c r="AM345" s="1377">
        <v>2.4</v>
      </c>
      <c r="AN345" s="758" t="s">
        <v>1230</v>
      </c>
      <c r="AO345" s="758" t="s">
        <v>780</v>
      </c>
      <c r="AP345" s="1375">
        <v>43100</v>
      </c>
      <c r="AQ345" s="758" t="s">
        <v>1207</v>
      </c>
      <c r="AR345" s="758" t="s">
        <v>852</v>
      </c>
      <c r="CF345" s="2"/>
    </row>
    <row r="346" spans="3:84">
      <c r="C346" s="2"/>
      <c r="O346" s="93"/>
      <c r="AD346" s="758"/>
      <c r="AE346" s="759"/>
      <c r="AF346" s="758"/>
      <c r="AG346" s="758"/>
      <c r="AH346" s="1106"/>
      <c r="AI346" s="758"/>
      <c r="AJ346" s="758"/>
      <c r="AL346" s="758" t="s">
        <v>758</v>
      </c>
      <c r="AM346" s="1377">
        <v>0.45</v>
      </c>
      <c r="AN346" s="758" t="s">
        <v>1230</v>
      </c>
      <c r="AO346" s="758" t="s">
        <v>780</v>
      </c>
      <c r="AP346" s="1375">
        <v>43100</v>
      </c>
      <c r="AQ346" s="758" t="s">
        <v>1208</v>
      </c>
      <c r="AR346" s="758" t="s">
        <v>852</v>
      </c>
      <c r="CF346" s="2"/>
    </row>
    <row r="347" spans="3:84">
      <c r="C347" s="2"/>
      <c r="O347" s="93"/>
      <c r="AD347" s="758"/>
      <c r="AE347" s="759"/>
      <c r="AF347" s="758"/>
      <c r="AG347" s="758"/>
      <c r="AH347" s="1106"/>
      <c r="AI347" s="758"/>
      <c r="AJ347" s="758"/>
      <c r="AL347" s="758" t="s">
        <v>758</v>
      </c>
      <c r="AM347" s="1377">
        <v>16.25</v>
      </c>
      <c r="AN347" s="758" t="s">
        <v>1230</v>
      </c>
      <c r="AO347" s="758" t="s">
        <v>780</v>
      </c>
      <c r="AP347" s="1375">
        <v>43100</v>
      </c>
      <c r="AQ347" s="758" t="s">
        <v>1189</v>
      </c>
      <c r="AR347" s="758" t="s">
        <v>852</v>
      </c>
      <c r="CF347" s="2"/>
    </row>
    <row r="348" spans="3:84">
      <c r="C348" s="2"/>
      <c r="O348" s="93"/>
      <c r="AD348" s="758"/>
      <c r="AE348" s="759"/>
      <c r="AF348" s="758"/>
      <c r="AG348" s="758"/>
      <c r="AH348" s="1106"/>
      <c r="AI348" s="758"/>
      <c r="AJ348" s="758"/>
      <c r="AL348" s="758" t="s">
        <v>758</v>
      </c>
      <c r="AM348" s="1377">
        <v>6000</v>
      </c>
      <c r="AN348" s="758" t="s">
        <v>1057</v>
      </c>
      <c r="AO348" s="758" t="s">
        <v>780</v>
      </c>
      <c r="AP348" s="1375">
        <v>42886</v>
      </c>
      <c r="AQ348" s="758" t="s">
        <v>1171</v>
      </c>
      <c r="AR348" s="758" t="s">
        <v>852</v>
      </c>
      <c r="CF348" s="2"/>
    </row>
    <row r="349" spans="3:84">
      <c r="C349" s="2"/>
      <c r="O349" s="93"/>
      <c r="AD349" s="758"/>
      <c r="AE349" s="759"/>
      <c r="AF349" s="758"/>
      <c r="AG349" s="758"/>
      <c r="AH349" s="1106"/>
      <c r="AI349" s="758"/>
      <c r="AJ349" s="758"/>
      <c r="AL349" s="758" t="s">
        <v>758</v>
      </c>
      <c r="AM349" s="1377">
        <v>375</v>
      </c>
      <c r="AN349" s="758" t="s">
        <v>1421</v>
      </c>
      <c r="AO349" s="758" t="s">
        <v>780</v>
      </c>
      <c r="AP349" s="1375">
        <v>42766</v>
      </c>
      <c r="AQ349" s="758" t="s">
        <v>1161</v>
      </c>
      <c r="AR349" s="758" t="s">
        <v>852</v>
      </c>
      <c r="CF349" s="2"/>
    </row>
    <row r="350" spans="3:84">
      <c r="C350" s="2"/>
      <c r="O350" s="93"/>
      <c r="AD350" s="758"/>
      <c r="AE350" s="759"/>
      <c r="AF350" s="758"/>
      <c r="AG350" s="758"/>
      <c r="AH350" s="1106"/>
      <c r="AI350" s="758"/>
      <c r="AJ350" s="758"/>
      <c r="AL350" s="758" t="s">
        <v>758</v>
      </c>
      <c r="AM350" s="1377">
        <v>3105</v>
      </c>
      <c r="AN350" s="758" t="s">
        <v>1281</v>
      </c>
      <c r="AO350" s="758" t="s">
        <v>780</v>
      </c>
      <c r="AP350" s="1375">
        <v>42825</v>
      </c>
      <c r="AQ350" s="758" t="s">
        <v>1172</v>
      </c>
      <c r="AR350" s="758" t="s">
        <v>852</v>
      </c>
      <c r="CF350" s="2"/>
    </row>
    <row r="351" spans="3:84">
      <c r="C351" s="2"/>
      <c r="O351" s="93"/>
      <c r="AD351" s="758"/>
      <c r="AE351" s="759"/>
      <c r="AF351" s="758"/>
      <c r="AG351" s="758"/>
      <c r="AH351" s="1106"/>
      <c r="AI351" s="758"/>
      <c r="AJ351" s="758"/>
      <c r="AL351" s="758" t="s">
        <v>758</v>
      </c>
      <c r="AM351" s="1377">
        <v>112.57</v>
      </c>
      <c r="AN351" s="758" t="s">
        <v>1231</v>
      </c>
      <c r="AO351" s="758" t="s">
        <v>780</v>
      </c>
      <c r="AP351" s="1375">
        <v>42825</v>
      </c>
      <c r="AQ351" s="758" t="s">
        <v>1210</v>
      </c>
      <c r="AR351" s="758" t="s">
        <v>852</v>
      </c>
      <c r="CF351" s="2"/>
    </row>
    <row r="352" spans="3:84">
      <c r="C352" s="2"/>
      <c r="O352" s="93"/>
      <c r="AD352" s="758"/>
      <c r="AE352" s="759"/>
      <c r="AF352" s="758"/>
      <c r="AG352" s="758"/>
      <c r="AH352" s="1106"/>
      <c r="AI352" s="758"/>
      <c r="AJ352" s="758"/>
      <c r="AL352" s="758" t="s">
        <v>758</v>
      </c>
      <c r="AM352" s="1377">
        <v>185.44</v>
      </c>
      <c r="AN352" s="758" t="s">
        <v>1231</v>
      </c>
      <c r="AO352" s="758" t="s">
        <v>780</v>
      </c>
      <c r="AP352" s="1375">
        <v>42825</v>
      </c>
      <c r="AQ352" s="758" t="s">
        <v>1226</v>
      </c>
      <c r="AR352" s="758" t="s">
        <v>852</v>
      </c>
      <c r="CF352" s="2"/>
    </row>
    <row r="353" spans="3:84">
      <c r="C353" s="2"/>
      <c r="O353" s="93"/>
      <c r="AD353" s="758"/>
      <c r="AE353" s="759"/>
      <c r="AF353" s="758"/>
      <c r="AG353" s="758"/>
      <c r="AH353" s="1106"/>
      <c r="AI353" s="758"/>
      <c r="AJ353" s="758"/>
      <c r="AL353" s="758" t="s">
        <v>758</v>
      </c>
      <c r="AM353" s="1377">
        <v>34.119999999999997</v>
      </c>
      <c r="AN353" s="758" t="s">
        <v>1231</v>
      </c>
      <c r="AO353" s="758" t="s">
        <v>780</v>
      </c>
      <c r="AP353" s="1375">
        <v>42825</v>
      </c>
      <c r="AQ353" s="758" t="s">
        <v>1209</v>
      </c>
      <c r="AR353" s="758" t="s">
        <v>852</v>
      </c>
      <c r="CF353" s="2"/>
    </row>
    <row r="354" spans="3:84">
      <c r="C354" s="2"/>
      <c r="O354" s="93"/>
      <c r="AD354" s="758"/>
      <c r="AE354" s="759"/>
      <c r="AF354" s="758"/>
      <c r="AG354" s="758"/>
      <c r="AH354" s="1106"/>
      <c r="AI354" s="758"/>
      <c r="AJ354" s="758"/>
      <c r="AL354" s="758" t="s">
        <v>758</v>
      </c>
      <c r="AM354" s="1377">
        <v>5.55</v>
      </c>
      <c r="AN354" s="758" t="s">
        <v>1231</v>
      </c>
      <c r="AO354" s="758" t="s">
        <v>780</v>
      </c>
      <c r="AP354" s="1375">
        <v>42825</v>
      </c>
      <c r="AQ354" s="758" t="s">
        <v>1204</v>
      </c>
      <c r="AR354" s="758" t="s">
        <v>852</v>
      </c>
      <c r="CF354" s="2"/>
    </row>
    <row r="355" spans="3:84">
      <c r="C355" s="2"/>
      <c r="O355" s="93"/>
      <c r="AD355" s="758"/>
      <c r="AE355" s="759"/>
      <c r="AF355" s="758"/>
      <c r="AG355" s="758"/>
      <c r="AH355" s="1106"/>
      <c r="AI355" s="758"/>
      <c r="AJ355" s="758"/>
      <c r="AL355" s="758" t="s">
        <v>758</v>
      </c>
      <c r="AM355" s="1377">
        <v>23.85</v>
      </c>
      <c r="AN355" s="758" t="s">
        <v>1231</v>
      </c>
      <c r="AO355" s="758" t="s">
        <v>780</v>
      </c>
      <c r="AP355" s="1375">
        <v>42825</v>
      </c>
      <c r="AQ355" s="758" t="s">
        <v>1215</v>
      </c>
      <c r="AR355" s="758" t="s">
        <v>852</v>
      </c>
      <c r="CF355" s="2"/>
    </row>
    <row r="356" spans="3:84">
      <c r="C356" s="2"/>
      <c r="O356" s="93"/>
      <c r="AD356" s="758"/>
      <c r="AE356" s="759"/>
      <c r="AF356" s="758"/>
      <c r="AG356" s="758"/>
      <c r="AH356" s="1106"/>
      <c r="AI356" s="758"/>
      <c r="AJ356" s="758"/>
      <c r="AL356" s="758" t="s">
        <v>758</v>
      </c>
      <c r="AM356" s="1377">
        <v>244.2</v>
      </c>
      <c r="AN356" s="758" t="s">
        <v>1231</v>
      </c>
      <c r="AO356" s="758" t="s">
        <v>780</v>
      </c>
      <c r="AP356" s="1375">
        <v>42825</v>
      </c>
      <c r="AQ356" s="758" t="s">
        <v>1212</v>
      </c>
      <c r="AR356" s="758" t="s">
        <v>852</v>
      </c>
      <c r="CF356" s="2"/>
    </row>
    <row r="357" spans="3:84">
      <c r="C357" s="2"/>
      <c r="O357" s="93"/>
      <c r="AD357" s="758"/>
      <c r="AE357" s="759"/>
      <c r="AF357" s="758"/>
      <c r="AG357" s="758"/>
      <c r="AH357" s="1106"/>
      <c r="AI357" s="758"/>
      <c r="AJ357" s="758"/>
      <c r="AL357" s="758" t="s">
        <v>758</v>
      </c>
      <c r="AM357" s="1377">
        <v>32.99</v>
      </c>
      <c r="AN357" s="758" t="s">
        <v>1231</v>
      </c>
      <c r="AO357" s="758" t="s">
        <v>780</v>
      </c>
      <c r="AP357" s="1375">
        <v>42825</v>
      </c>
      <c r="AQ357" s="758" t="s">
        <v>1211</v>
      </c>
      <c r="AR357" s="758" t="s">
        <v>852</v>
      </c>
      <c r="CF357" s="2"/>
    </row>
    <row r="358" spans="3:84">
      <c r="C358" s="2"/>
      <c r="O358" s="93"/>
      <c r="AD358" s="758"/>
      <c r="AE358" s="759"/>
      <c r="AF358" s="758"/>
      <c r="AG358" s="758"/>
      <c r="AH358" s="1106"/>
      <c r="AI358" s="758"/>
      <c r="AJ358" s="758"/>
      <c r="AL358" s="758" t="s">
        <v>758</v>
      </c>
      <c r="AM358" s="1377">
        <v>37.65</v>
      </c>
      <c r="AN358" s="758" t="s">
        <v>1231</v>
      </c>
      <c r="AO358" s="758" t="s">
        <v>780</v>
      </c>
      <c r="AP358" s="1375">
        <v>42825</v>
      </c>
      <c r="AQ358" s="758" t="s">
        <v>969</v>
      </c>
      <c r="AR358" s="758" t="s">
        <v>852</v>
      </c>
      <c r="CF358" s="2"/>
    </row>
    <row r="359" spans="3:84">
      <c r="C359" s="2"/>
      <c r="O359" s="93"/>
      <c r="AD359" s="758"/>
      <c r="AE359" s="759"/>
      <c r="AF359" s="758"/>
      <c r="AG359" s="758"/>
      <c r="AH359" s="1106"/>
      <c r="AI359" s="758"/>
      <c r="AJ359" s="758"/>
      <c r="AL359" s="758" t="s">
        <v>758</v>
      </c>
      <c r="AM359" s="1377">
        <v>5.51</v>
      </c>
      <c r="AN359" s="758" t="s">
        <v>1231</v>
      </c>
      <c r="AO359" s="758" t="s">
        <v>780</v>
      </c>
      <c r="AP359" s="1375">
        <v>42825</v>
      </c>
      <c r="AQ359" s="758" t="s">
        <v>1180</v>
      </c>
      <c r="AR359" s="758" t="s">
        <v>852</v>
      </c>
      <c r="CF359" s="2"/>
    </row>
    <row r="360" spans="3:84">
      <c r="C360" s="2"/>
      <c r="O360" s="93"/>
      <c r="AD360" s="758"/>
      <c r="AE360" s="759"/>
      <c r="AF360" s="758"/>
      <c r="AG360" s="758"/>
      <c r="AH360" s="1106"/>
      <c r="AI360" s="758"/>
      <c r="AJ360" s="758"/>
      <c r="AL360" s="758" t="s">
        <v>758</v>
      </c>
      <c r="AM360" s="1377">
        <v>1.74</v>
      </c>
      <c r="AN360" s="758" t="s">
        <v>1231</v>
      </c>
      <c r="AO360" s="758" t="s">
        <v>780</v>
      </c>
      <c r="AP360" s="1375">
        <v>42825</v>
      </c>
      <c r="AQ360" s="758" t="s">
        <v>1182</v>
      </c>
      <c r="AR360" s="758" t="s">
        <v>852</v>
      </c>
      <c r="CF360" s="2"/>
    </row>
    <row r="361" spans="3:84">
      <c r="C361" s="2"/>
      <c r="O361" s="93"/>
      <c r="AD361" s="758"/>
      <c r="AE361" s="759"/>
      <c r="AF361" s="758"/>
      <c r="AG361" s="758"/>
      <c r="AH361" s="1106"/>
      <c r="AI361" s="758"/>
      <c r="AJ361" s="758"/>
      <c r="AL361" s="758" t="s">
        <v>758</v>
      </c>
      <c r="AM361" s="1377">
        <v>0.35</v>
      </c>
      <c r="AN361" s="758" t="s">
        <v>1231</v>
      </c>
      <c r="AO361" s="758" t="s">
        <v>780</v>
      </c>
      <c r="AP361" s="1375">
        <v>42825</v>
      </c>
      <c r="AQ361" s="758" t="s">
        <v>1207</v>
      </c>
      <c r="AR361" s="758" t="s">
        <v>852</v>
      </c>
      <c r="CF361" s="2"/>
    </row>
    <row r="362" spans="3:84">
      <c r="C362" s="2"/>
      <c r="O362" s="93"/>
      <c r="AD362" s="758"/>
      <c r="AE362" s="759"/>
      <c r="AF362" s="758"/>
      <c r="AG362" s="758"/>
      <c r="AH362" s="1106"/>
      <c r="AI362" s="758"/>
      <c r="AJ362" s="758"/>
      <c r="AL362" s="758" t="s">
        <v>758</v>
      </c>
      <c r="AM362" s="1377">
        <v>0.67</v>
      </c>
      <c r="AN362" s="758" t="s">
        <v>1231</v>
      </c>
      <c r="AO362" s="758" t="s">
        <v>780</v>
      </c>
      <c r="AP362" s="1375">
        <v>42825</v>
      </c>
      <c r="AQ362" s="758" t="s">
        <v>1203</v>
      </c>
      <c r="AR362" s="758" t="s">
        <v>852</v>
      </c>
      <c r="CF362" s="2"/>
    </row>
    <row r="363" spans="3:84">
      <c r="C363" s="2"/>
      <c r="O363" s="93"/>
      <c r="AD363" s="758"/>
      <c r="AE363" s="759"/>
      <c r="AF363" s="758"/>
      <c r="AG363" s="758"/>
      <c r="AH363" s="1106"/>
      <c r="AI363" s="758"/>
      <c r="AJ363" s="758"/>
      <c r="AL363" s="758" t="s">
        <v>758</v>
      </c>
      <c r="AM363" s="1377">
        <v>7.0000000000000007E-2</v>
      </c>
      <c r="AN363" s="758" t="s">
        <v>1231</v>
      </c>
      <c r="AO363" s="758" t="s">
        <v>780</v>
      </c>
      <c r="AP363" s="1375">
        <v>42825</v>
      </c>
      <c r="AQ363" s="758" t="s">
        <v>1278</v>
      </c>
      <c r="AR363" s="758" t="s">
        <v>852</v>
      </c>
      <c r="CF363" s="2"/>
    </row>
    <row r="364" spans="3:84">
      <c r="C364" s="2"/>
      <c r="O364" s="93"/>
      <c r="AD364" s="758"/>
      <c r="AE364" s="759"/>
      <c r="AF364" s="758"/>
      <c r="AG364" s="758"/>
      <c r="AH364" s="1106"/>
      <c r="AI364" s="758"/>
      <c r="AJ364" s="758"/>
      <c r="AL364" s="758" t="s">
        <v>758</v>
      </c>
      <c r="AM364" s="1377">
        <v>1.73</v>
      </c>
      <c r="AN364" s="758" t="s">
        <v>1231</v>
      </c>
      <c r="AO364" s="758" t="s">
        <v>780</v>
      </c>
      <c r="AP364" s="1375">
        <v>42825</v>
      </c>
      <c r="AQ364" s="758" t="s">
        <v>1201</v>
      </c>
      <c r="AR364" s="758" t="s">
        <v>852</v>
      </c>
      <c r="CF364" s="2"/>
    </row>
    <row r="365" spans="3:84">
      <c r="C365" s="2"/>
      <c r="O365" s="93"/>
      <c r="AD365" s="758"/>
      <c r="AE365" s="759"/>
      <c r="AF365" s="758"/>
      <c r="AG365" s="758"/>
      <c r="AH365" s="1106"/>
      <c r="AI365" s="758"/>
      <c r="AJ365" s="758"/>
      <c r="AL365" s="758" t="s">
        <v>758</v>
      </c>
      <c r="AM365" s="1377">
        <v>0.43</v>
      </c>
      <c r="AN365" s="758" t="s">
        <v>1231</v>
      </c>
      <c r="AO365" s="758" t="s">
        <v>780</v>
      </c>
      <c r="AP365" s="1375">
        <v>42825</v>
      </c>
      <c r="AQ365" s="758" t="s">
        <v>1406</v>
      </c>
      <c r="AR365" s="758" t="s">
        <v>852</v>
      </c>
      <c r="CF365" s="2"/>
    </row>
    <row r="366" spans="3:84">
      <c r="C366" s="2"/>
      <c r="O366" s="93"/>
      <c r="AD366" s="758"/>
      <c r="AE366" s="759"/>
      <c r="AF366" s="758"/>
      <c r="AG366" s="758"/>
      <c r="AH366" s="1106"/>
      <c r="AI366" s="758"/>
      <c r="AJ366" s="758"/>
      <c r="AL366" s="758" t="s">
        <v>758</v>
      </c>
      <c r="AM366" s="1377">
        <v>4.0599999999999996</v>
      </c>
      <c r="AN366" s="758" t="s">
        <v>1231</v>
      </c>
      <c r="AO366" s="758" t="s">
        <v>780</v>
      </c>
      <c r="AP366" s="1375">
        <v>42825</v>
      </c>
      <c r="AQ366" s="758" t="s">
        <v>1189</v>
      </c>
      <c r="AR366" s="758" t="s">
        <v>852</v>
      </c>
      <c r="CF366" s="2"/>
    </row>
    <row r="367" spans="3:84">
      <c r="C367" s="2"/>
      <c r="O367" s="93"/>
      <c r="AD367" s="758"/>
      <c r="AE367" s="759"/>
      <c r="AF367" s="758"/>
      <c r="AG367" s="758"/>
      <c r="AH367" s="1106"/>
      <c r="AI367" s="758"/>
      <c r="AJ367" s="758"/>
      <c r="AL367" s="758" t="s">
        <v>758</v>
      </c>
      <c r="AM367" s="1377">
        <v>833.34</v>
      </c>
      <c r="AN367" s="758" t="s">
        <v>1422</v>
      </c>
      <c r="AO367" s="758" t="s">
        <v>780</v>
      </c>
      <c r="AP367" s="1375">
        <v>42825</v>
      </c>
      <c r="AQ367" s="758" t="s">
        <v>1174</v>
      </c>
      <c r="AR367" s="758" t="s">
        <v>852</v>
      </c>
      <c r="CF367" s="2"/>
    </row>
    <row r="368" spans="3:84">
      <c r="C368" s="2"/>
      <c r="O368" s="93"/>
      <c r="AD368" s="758"/>
      <c r="AE368" s="759"/>
      <c r="AF368" s="758"/>
      <c r="AG368" s="758"/>
      <c r="AH368" s="1106"/>
      <c r="AI368" s="758"/>
      <c r="AJ368" s="758"/>
      <c r="AL368" s="758" t="s">
        <v>758</v>
      </c>
      <c r="AM368" s="1377">
        <v>0</v>
      </c>
      <c r="AN368" s="758" t="s">
        <v>1423</v>
      </c>
      <c r="AO368" s="758" t="s">
        <v>780</v>
      </c>
      <c r="AP368" s="1375">
        <v>43069</v>
      </c>
      <c r="AQ368" s="758" t="s">
        <v>1199</v>
      </c>
      <c r="AR368" s="758" t="s">
        <v>852</v>
      </c>
      <c r="CF368" s="2"/>
    </row>
    <row r="369" spans="3:84">
      <c r="C369" s="2"/>
      <c r="O369" s="93"/>
      <c r="AD369" s="758"/>
      <c r="AE369" s="759"/>
      <c r="AF369" s="758"/>
      <c r="AG369" s="758"/>
      <c r="AH369" s="1106"/>
      <c r="AI369" s="758"/>
      <c r="AJ369" s="758"/>
      <c r="AL369" s="758" t="s">
        <v>758</v>
      </c>
      <c r="AM369" s="1377">
        <v>1000</v>
      </c>
      <c r="AN369" s="758" t="s">
        <v>1100</v>
      </c>
      <c r="AO369" s="758" t="s">
        <v>780</v>
      </c>
      <c r="AP369" s="1375">
        <v>43100</v>
      </c>
      <c r="AQ369" s="758" t="s">
        <v>1116</v>
      </c>
      <c r="AR369" s="758" t="s">
        <v>852</v>
      </c>
      <c r="CF369" s="2"/>
    </row>
    <row r="370" spans="3:84">
      <c r="C370" s="2"/>
      <c r="O370" s="93"/>
      <c r="AD370" s="758"/>
      <c r="AE370" s="759"/>
      <c r="AF370" s="758"/>
      <c r="AG370" s="758"/>
      <c r="AH370" s="1106"/>
      <c r="AI370" s="758"/>
      <c r="AJ370" s="758"/>
      <c r="AL370" s="758" t="s">
        <v>758</v>
      </c>
      <c r="AM370" s="1377">
        <v>1400</v>
      </c>
      <c r="AN370" s="758" t="s">
        <v>1185</v>
      </c>
      <c r="AO370" s="758" t="s">
        <v>780</v>
      </c>
      <c r="AP370" s="1375">
        <v>42766</v>
      </c>
      <c r="AQ370" s="758" t="s">
        <v>1116</v>
      </c>
      <c r="AR370" s="758" t="s">
        <v>852</v>
      </c>
      <c r="CF370" s="2"/>
    </row>
    <row r="371" spans="3:84">
      <c r="C371" s="2"/>
      <c r="O371" s="93"/>
      <c r="AD371" s="758"/>
      <c r="AE371" s="759"/>
      <c r="AF371" s="758"/>
      <c r="AG371" s="758"/>
      <c r="AH371" s="1106"/>
      <c r="AI371" s="758"/>
      <c r="AJ371" s="758"/>
      <c r="AL371" s="758" t="s">
        <v>758</v>
      </c>
      <c r="AM371" s="1377">
        <v>5200</v>
      </c>
      <c r="AN371" s="758" t="s">
        <v>1059</v>
      </c>
      <c r="AO371" s="758" t="s">
        <v>780</v>
      </c>
      <c r="AP371" s="1375">
        <v>42916</v>
      </c>
      <c r="AQ371" s="758" t="s">
        <v>1186</v>
      </c>
      <c r="AR371" s="758" t="s">
        <v>852</v>
      </c>
      <c r="CF371" s="2"/>
    </row>
    <row r="372" spans="3:84">
      <c r="C372" s="2"/>
      <c r="O372" s="93"/>
      <c r="AD372" s="758"/>
      <c r="AE372" s="759"/>
      <c r="AF372" s="758"/>
      <c r="AG372" s="758"/>
      <c r="AH372" s="1106"/>
      <c r="AI372" s="758"/>
      <c r="AJ372" s="758"/>
      <c r="AL372" s="758" t="s">
        <v>758</v>
      </c>
      <c r="AM372" s="1377">
        <v>7000</v>
      </c>
      <c r="AN372" s="758" t="s">
        <v>1095</v>
      </c>
      <c r="AO372" s="758" t="s">
        <v>780</v>
      </c>
      <c r="AP372" s="1375">
        <v>43069</v>
      </c>
      <c r="AQ372" s="758" t="s">
        <v>1116</v>
      </c>
      <c r="AR372" s="758" t="s">
        <v>852</v>
      </c>
      <c r="CF372" s="2"/>
    </row>
    <row r="373" spans="3:84">
      <c r="C373" s="2"/>
      <c r="O373" s="93"/>
      <c r="AL373" s="758" t="s">
        <v>759</v>
      </c>
      <c r="AM373" s="1377">
        <v>10000</v>
      </c>
      <c r="AN373" s="758" t="s">
        <v>1099</v>
      </c>
      <c r="AO373" s="758" t="s">
        <v>780</v>
      </c>
      <c r="AP373" s="1375">
        <v>43039</v>
      </c>
      <c r="AQ373" s="758" t="s">
        <v>1196</v>
      </c>
      <c r="AR373" s="758" t="s">
        <v>852</v>
      </c>
      <c r="CF373" s="2"/>
    </row>
    <row r="374" spans="3:84">
      <c r="C374" s="2"/>
      <c r="O374" s="93"/>
      <c r="AL374" s="758" t="s">
        <v>144</v>
      </c>
      <c r="AM374" s="1377">
        <v>29716.87</v>
      </c>
      <c r="AN374" s="758" t="s">
        <v>851</v>
      </c>
      <c r="AO374" s="758" t="s">
        <v>780</v>
      </c>
      <c r="AP374" s="1375">
        <v>42766</v>
      </c>
      <c r="AQ374" s="758" t="s">
        <v>1103</v>
      </c>
      <c r="AR374" s="758" t="s">
        <v>852</v>
      </c>
      <c r="CF374" s="2"/>
    </row>
    <row r="375" spans="3:84">
      <c r="C375" s="2"/>
      <c r="O375" s="93"/>
      <c r="AL375" s="758" t="s">
        <v>144</v>
      </c>
      <c r="AM375" s="1377">
        <v>29716.83</v>
      </c>
      <c r="AN375" s="758" t="s">
        <v>851</v>
      </c>
      <c r="AO375" s="758" t="s">
        <v>780</v>
      </c>
      <c r="AP375" s="1375">
        <v>42794</v>
      </c>
      <c r="AQ375" s="758" t="s">
        <v>1103</v>
      </c>
      <c r="AR375" s="758" t="s">
        <v>852</v>
      </c>
      <c r="CF375" s="2"/>
    </row>
    <row r="376" spans="3:84">
      <c r="C376" s="2"/>
      <c r="O376" s="93"/>
      <c r="AL376" s="758" t="s">
        <v>144</v>
      </c>
      <c r="AM376" s="1377">
        <v>29716.83</v>
      </c>
      <c r="AN376" s="758" t="s">
        <v>851</v>
      </c>
      <c r="AO376" s="758" t="s">
        <v>780</v>
      </c>
      <c r="AP376" s="1375">
        <v>42825</v>
      </c>
      <c r="AQ376" s="758" t="s">
        <v>1103</v>
      </c>
      <c r="AR376" s="758" t="s">
        <v>852</v>
      </c>
      <c r="CF376" s="2"/>
    </row>
    <row r="377" spans="3:84">
      <c r="C377" s="2"/>
      <c r="O377" s="93"/>
      <c r="AL377" s="758" t="s">
        <v>144</v>
      </c>
      <c r="AM377" s="1377">
        <v>29716.83</v>
      </c>
      <c r="AN377" s="758" t="s">
        <v>851</v>
      </c>
      <c r="AO377" s="758" t="s">
        <v>780</v>
      </c>
      <c r="AP377" s="1375">
        <v>42855</v>
      </c>
      <c r="AQ377" s="758" t="s">
        <v>1103</v>
      </c>
      <c r="AR377" s="758" t="s">
        <v>852</v>
      </c>
      <c r="CF377" s="2"/>
    </row>
    <row r="378" spans="3:84">
      <c r="C378" s="2"/>
      <c r="O378" s="93"/>
      <c r="AL378" s="758" t="s">
        <v>144</v>
      </c>
      <c r="AM378" s="1377">
        <v>29716.83</v>
      </c>
      <c r="AN378" s="758" t="s">
        <v>851</v>
      </c>
      <c r="AO378" s="758" t="s">
        <v>780</v>
      </c>
      <c r="AP378" s="1375">
        <v>42886</v>
      </c>
      <c r="AQ378" s="758" t="s">
        <v>1103</v>
      </c>
      <c r="AR378" s="758" t="s">
        <v>852</v>
      </c>
      <c r="CF378" s="2"/>
    </row>
    <row r="379" spans="3:84">
      <c r="C379" s="2"/>
      <c r="O379" s="93"/>
      <c r="AL379" s="758" t="s">
        <v>144</v>
      </c>
      <c r="AM379" s="1377">
        <v>29716.83</v>
      </c>
      <c r="AN379" s="758" t="s">
        <v>851</v>
      </c>
      <c r="AO379" s="758" t="s">
        <v>780</v>
      </c>
      <c r="AP379" s="1375">
        <v>42916</v>
      </c>
      <c r="AQ379" s="758" t="s">
        <v>1103</v>
      </c>
      <c r="AR379" s="758" t="s">
        <v>852</v>
      </c>
      <c r="CF379" s="2"/>
    </row>
    <row r="380" spans="3:84">
      <c r="C380" s="2"/>
      <c r="O380" s="93"/>
      <c r="AL380" s="758" t="s">
        <v>144</v>
      </c>
      <c r="AM380" s="1377">
        <v>29716.83</v>
      </c>
      <c r="AN380" s="758" t="s">
        <v>851</v>
      </c>
      <c r="AO380" s="758" t="s">
        <v>780</v>
      </c>
      <c r="AP380" s="1375">
        <v>42947</v>
      </c>
      <c r="AQ380" s="758" t="s">
        <v>1103</v>
      </c>
      <c r="AR380" s="758" t="s">
        <v>852</v>
      </c>
      <c r="CF380" s="2"/>
    </row>
    <row r="381" spans="3:84">
      <c r="C381" s="2"/>
      <c r="O381" s="93"/>
      <c r="AL381" s="758" t="s">
        <v>144</v>
      </c>
      <c r="AM381" s="1377">
        <v>29716.83</v>
      </c>
      <c r="AN381" s="758" t="s">
        <v>851</v>
      </c>
      <c r="AO381" s="758" t="s">
        <v>780</v>
      </c>
      <c r="AP381" s="1375">
        <v>42978</v>
      </c>
      <c r="AQ381" s="758" t="s">
        <v>1103</v>
      </c>
      <c r="AR381" s="758" t="s">
        <v>852</v>
      </c>
      <c r="CF381" s="2"/>
    </row>
    <row r="382" spans="3:84">
      <c r="C382" s="2"/>
      <c r="O382" s="93"/>
      <c r="AL382" s="758" t="s">
        <v>144</v>
      </c>
      <c r="AM382" s="1377">
        <v>29716.83</v>
      </c>
      <c r="AN382" s="758" t="s">
        <v>851</v>
      </c>
      <c r="AO382" s="758" t="s">
        <v>780</v>
      </c>
      <c r="AP382" s="1375">
        <v>43008</v>
      </c>
      <c r="AQ382" s="758" t="s">
        <v>1103</v>
      </c>
      <c r="AR382" s="758" t="s">
        <v>852</v>
      </c>
      <c r="CF382" s="2"/>
    </row>
    <row r="383" spans="3:84">
      <c r="C383" s="2"/>
      <c r="O383" s="93"/>
      <c r="AL383" s="758" t="s">
        <v>144</v>
      </c>
      <c r="AM383" s="1377">
        <v>29716.83</v>
      </c>
      <c r="AN383" s="758" t="s">
        <v>851</v>
      </c>
      <c r="AO383" s="758" t="s">
        <v>780</v>
      </c>
      <c r="AP383" s="1375">
        <v>43039</v>
      </c>
      <c r="AQ383" s="758" t="s">
        <v>1103</v>
      </c>
      <c r="AR383" s="758" t="s">
        <v>852</v>
      </c>
      <c r="CF383" s="2"/>
    </row>
    <row r="384" spans="3:84">
      <c r="C384" s="2"/>
      <c r="O384" s="93"/>
      <c r="AL384" s="758" t="s">
        <v>144</v>
      </c>
      <c r="AM384" s="1377">
        <v>29716.83</v>
      </c>
      <c r="AN384" s="758" t="s">
        <v>851</v>
      </c>
      <c r="AO384" s="758" t="s">
        <v>780</v>
      </c>
      <c r="AP384" s="1375">
        <v>43069</v>
      </c>
      <c r="AQ384" s="758" t="s">
        <v>1103</v>
      </c>
      <c r="AR384" s="758" t="s">
        <v>852</v>
      </c>
      <c r="CF384" s="2"/>
    </row>
    <row r="385" spans="3:84">
      <c r="C385" s="2"/>
      <c r="O385" s="93"/>
      <c r="AL385" s="758" t="s">
        <v>144</v>
      </c>
      <c r="AM385" s="1377">
        <v>29716.83</v>
      </c>
      <c r="AN385" s="758" t="s">
        <v>851</v>
      </c>
      <c r="AO385" s="758" t="s">
        <v>780</v>
      </c>
      <c r="AP385" s="1375">
        <v>43100</v>
      </c>
      <c r="AQ385" s="758" t="s">
        <v>1103</v>
      </c>
      <c r="AR385" s="758" t="s">
        <v>852</v>
      </c>
      <c r="CF385" s="2"/>
    </row>
    <row r="386" spans="3:84">
      <c r="C386" s="2"/>
      <c r="O386" s="93"/>
      <c r="AL386" s="758" t="s">
        <v>144</v>
      </c>
      <c r="AM386" s="1377">
        <v>874.5</v>
      </c>
      <c r="AN386" s="758" t="s">
        <v>1125</v>
      </c>
      <c r="AO386" s="758" t="s">
        <v>780</v>
      </c>
      <c r="AP386" s="1375">
        <v>42766</v>
      </c>
      <c r="AQ386" s="758" t="s">
        <v>1196</v>
      </c>
      <c r="AR386" s="758" t="s">
        <v>1164</v>
      </c>
      <c r="CF386" s="2"/>
    </row>
    <row r="387" spans="3:84">
      <c r="C387" s="2"/>
      <c r="O387" s="93"/>
      <c r="AL387" s="758" t="s">
        <v>144</v>
      </c>
      <c r="AM387" s="1377">
        <v>1600.5</v>
      </c>
      <c r="AN387" s="758" t="s">
        <v>1125</v>
      </c>
      <c r="AO387" s="758" t="s">
        <v>780</v>
      </c>
      <c r="AP387" s="1375">
        <v>42794</v>
      </c>
      <c r="AQ387" s="758" t="s">
        <v>1196</v>
      </c>
      <c r="AR387" s="758" t="s">
        <v>1164</v>
      </c>
      <c r="CF387" s="2"/>
    </row>
    <row r="388" spans="3:84">
      <c r="C388" s="2"/>
      <c r="O388" s="93"/>
      <c r="AL388" s="758" t="s">
        <v>144</v>
      </c>
      <c r="AM388" s="1377">
        <v>2458.5</v>
      </c>
      <c r="AN388" s="758" t="s">
        <v>1125</v>
      </c>
      <c r="AO388" s="758" t="s">
        <v>780</v>
      </c>
      <c r="AP388" s="1375">
        <v>42825</v>
      </c>
      <c r="AQ388" s="758" t="s">
        <v>1196</v>
      </c>
      <c r="AR388" s="758" t="s">
        <v>1164</v>
      </c>
      <c r="CF388" s="2"/>
    </row>
    <row r="389" spans="3:84">
      <c r="C389" s="2"/>
      <c r="O389" s="93"/>
      <c r="AL389" s="758" t="s">
        <v>144</v>
      </c>
      <c r="AM389" s="1377">
        <v>2673</v>
      </c>
      <c r="AN389" s="758" t="s">
        <v>1125</v>
      </c>
      <c r="AO389" s="758" t="s">
        <v>780</v>
      </c>
      <c r="AP389" s="1375">
        <v>42855</v>
      </c>
      <c r="AQ389" s="758" t="s">
        <v>1196</v>
      </c>
      <c r="AR389" s="758" t="s">
        <v>1164</v>
      </c>
      <c r="CF389" s="2"/>
    </row>
    <row r="390" spans="3:84">
      <c r="C390" s="2"/>
      <c r="O390" s="93"/>
      <c r="AL390" s="758" t="s">
        <v>144</v>
      </c>
      <c r="AM390" s="1377">
        <v>2112</v>
      </c>
      <c r="AN390" s="758" t="s">
        <v>1125</v>
      </c>
      <c r="AO390" s="758" t="s">
        <v>780</v>
      </c>
      <c r="AP390" s="1375">
        <v>42886</v>
      </c>
      <c r="AQ390" s="758" t="s">
        <v>1196</v>
      </c>
      <c r="AR390" s="758" t="s">
        <v>1164</v>
      </c>
      <c r="CF390" s="2"/>
    </row>
    <row r="391" spans="3:84">
      <c r="C391" s="2"/>
      <c r="O391" s="93"/>
      <c r="AL391" s="758" t="s">
        <v>144</v>
      </c>
      <c r="AM391" s="1377">
        <v>2178</v>
      </c>
      <c r="AN391" s="758" t="s">
        <v>1125</v>
      </c>
      <c r="AO391" s="758" t="s">
        <v>780</v>
      </c>
      <c r="AP391" s="1375">
        <v>42916</v>
      </c>
      <c r="AQ391" s="758" t="s">
        <v>1196</v>
      </c>
      <c r="AR391" s="758" t="s">
        <v>1164</v>
      </c>
      <c r="CF391" s="2"/>
    </row>
    <row r="392" spans="3:84">
      <c r="C392" s="2"/>
      <c r="O392" s="93"/>
      <c r="AL392" s="758" t="s">
        <v>144</v>
      </c>
      <c r="AM392" s="1377">
        <v>2194.5</v>
      </c>
      <c r="AN392" s="758" t="s">
        <v>1125</v>
      </c>
      <c r="AO392" s="758" t="s">
        <v>780</v>
      </c>
      <c r="AP392" s="1375">
        <v>42947</v>
      </c>
      <c r="AQ392" s="758" t="s">
        <v>1196</v>
      </c>
      <c r="AR392" s="758" t="s">
        <v>1164</v>
      </c>
      <c r="CF392" s="2"/>
    </row>
    <row r="393" spans="3:84">
      <c r="C393" s="2"/>
      <c r="O393" s="93"/>
      <c r="AL393" s="758" t="s">
        <v>144</v>
      </c>
      <c r="AM393" s="1377">
        <v>1699.5</v>
      </c>
      <c r="AN393" s="758" t="s">
        <v>1125</v>
      </c>
      <c r="AO393" s="758" t="s">
        <v>780</v>
      </c>
      <c r="AP393" s="1375">
        <v>42978</v>
      </c>
      <c r="AQ393" s="758" t="s">
        <v>1196</v>
      </c>
      <c r="AR393" s="758" t="s">
        <v>1164</v>
      </c>
      <c r="CF393" s="2"/>
    </row>
    <row r="394" spans="3:84">
      <c r="C394" s="2"/>
      <c r="O394" s="93"/>
      <c r="AL394" s="758" t="s">
        <v>144</v>
      </c>
      <c r="AM394" s="1377">
        <v>1881</v>
      </c>
      <c r="AN394" s="758" t="s">
        <v>1125</v>
      </c>
      <c r="AO394" s="758" t="s">
        <v>780</v>
      </c>
      <c r="AP394" s="1375">
        <v>43008</v>
      </c>
      <c r="AQ394" s="758" t="s">
        <v>1196</v>
      </c>
      <c r="AR394" s="758" t="s">
        <v>1164</v>
      </c>
      <c r="CF394" s="2"/>
    </row>
    <row r="395" spans="3:84">
      <c r="C395" s="2"/>
      <c r="O395" s="93"/>
      <c r="AL395" s="758" t="s">
        <v>144</v>
      </c>
      <c r="AM395" s="1377">
        <v>2029.5</v>
      </c>
      <c r="AN395" s="758" t="s">
        <v>1125</v>
      </c>
      <c r="AO395" s="758" t="s">
        <v>780</v>
      </c>
      <c r="AP395" s="1375">
        <v>43039</v>
      </c>
      <c r="AQ395" s="758" t="s">
        <v>1196</v>
      </c>
      <c r="AR395" s="758" t="s">
        <v>1164</v>
      </c>
      <c r="CF395" s="2"/>
    </row>
    <row r="396" spans="3:84">
      <c r="C396" s="2"/>
      <c r="O396" s="93"/>
      <c r="AL396" s="758" t="s">
        <v>144</v>
      </c>
      <c r="AM396" s="1377">
        <v>2491.5</v>
      </c>
      <c r="AN396" s="758" t="s">
        <v>1125</v>
      </c>
      <c r="AO396" s="758" t="s">
        <v>780</v>
      </c>
      <c r="AP396" s="1375">
        <v>43069</v>
      </c>
      <c r="AQ396" s="758" t="s">
        <v>1196</v>
      </c>
      <c r="AR396" s="758" t="s">
        <v>1164</v>
      </c>
      <c r="CF396" s="2"/>
    </row>
    <row r="397" spans="3:84">
      <c r="C397" s="2"/>
      <c r="O397" s="93"/>
      <c r="AL397" s="758" t="s">
        <v>144</v>
      </c>
      <c r="AM397" s="1377">
        <v>775.5</v>
      </c>
      <c r="AN397" s="758" t="s">
        <v>1125</v>
      </c>
      <c r="AO397" s="758" t="s">
        <v>780</v>
      </c>
      <c r="AP397" s="1375">
        <v>43100</v>
      </c>
      <c r="AQ397" s="758" t="s">
        <v>1196</v>
      </c>
      <c r="AR397" s="758" t="s">
        <v>1164</v>
      </c>
      <c r="CF397" s="2"/>
    </row>
    <row r="398" spans="3:84">
      <c r="C398" s="2"/>
      <c r="O398" s="93"/>
      <c r="AL398" s="758"/>
      <c r="AM398" s="759"/>
      <c r="AN398" s="758"/>
      <c r="AO398" s="758"/>
      <c r="AP398" s="1106"/>
      <c r="AQ398" s="758"/>
      <c r="AR398" s="758"/>
      <c r="CF398" s="2"/>
    </row>
    <row r="399" spans="3:84">
      <c r="C399" s="2"/>
      <c r="O399" s="93"/>
      <c r="AL399" s="758"/>
      <c r="AM399" s="436">
        <f>SUM(AM4:AM397)</f>
        <v>758547.44</v>
      </c>
      <c r="AN399" s="758"/>
      <c r="AO399" s="758"/>
      <c r="AP399" s="1106"/>
      <c r="AQ399" s="758"/>
      <c r="AR399" s="758"/>
      <c r="CF399" s="2"/>
    </row>
    <row r="400" spans="3:84">
      <c r="C400" s="2"/>
      <c r="O400" s="93"/>
      <c r="AL400" s="758"/>
      <c r="AM400" s="759"/>
      <c r="AN400" s="758"/>
      <c r="AO400" s="758"/>
      <c r="AP400" s="1106"/>
      <c r="AQ400" s="758"/>
      <c r="AR400" s="758"/>
      <c r="CF400" s="2"/>
    </row>
    <row r="401" spans="3:84">
      <c r="C401" s="2"/>
      <c r="O401" s="93"/>
      <c r="AL401" s="758"/>
      <c r="AM401" s="759"/>
      <c r="AN401" s="758"/>
      <c r="AO401" s="758"/>
      <c r="AP401" s="1106"/>
      <c r="AQ401" s="758"/>
      <c r="AR401" s="758"/>
      <c r="CF401" s="2"/>
    </row>
    <row r="402" spans="3:84">
      <c r="C402" s="2"/>
      <c r="O402" s="93"/>
      <c r="AL402" s="758"/>
      <c r="AM402" s="759"/>
      <c r="AN402" s="758"/>
      <c r="AO402" s="758"/>
      <c r="AP402" s="1106"/>
      <c r="AQ402" s="758"/>
      <c r="AR402" s="758"/>
      <c r="CF402" s="2"/>
    </row>
    <row r="403" spans="3:84">
      <c r="C403" s="2"/>
      <c r="O403" s="93"/>
      <c r="AL403" s="758"/>
      <c r="AM403" s="759"/>
      <c r="AN403" s="758"/>
      <c r="AO403" s="758"/>
      <c r="AP403" s="1106"/>
      <c r="AQ403" s="758"/>
      <c r="AR403" s="758"/>
      <c r="CF403" s="2"/>
    </row>
    <row r="404" spans="3:84">
      <c r="C404" s="2"/>
      <c r="O404" s="93"/>
      <c r="AL404" s="758"/>
      <c r="AM404" s="759"/>
      <c r="AN404" s="758"/>
      <c r="AO404" s="758"/>
      <c r="AP404" s="1106"/>
      <c r="AQ404" s="758"/>
      <c r="AR404" s="758"/>
      <c r="CF404" s="2"/>
    </row>
    <row r="405" spans="3:84">
      <c r="C405" s="2"/>
      <c r="O405" s="93"/>
      <c r="AL405" s="758"/>
      <c r="AM405" s="759"/>
      <c r="AN405" s="758"/>
      <c r="AO405" s="758"/>
      <c r="AP405" s="1106"/>
      <c r="AQ405" s="758"/>
      <c r="AR405" s="758"/>
      <c r="CF405" s="2"/>
    </row>
    <row r="406" spans="3:84">
      <c r="C406" s="2"/>
      <c r="O406" s="93"/>
      <c r="AL406" s="758"/>
      <c r="AM406" s="759"/>
      <c r="AN406" s="758"/>
      <c r="AO406" s="758"/>
      <c r="AP406" s="1106"/>
      <c r="AQ406" s="758"/>
      <c r="AR406" s="758"/>
      <c r="CF406" s="2"/>
    </row>
    <row r="407" spans="3:84">
      <c r="C407" s="2"/>
      <c r="O407" s="93"/>
      <c r="AL407" s="758"/>
      <c r="AM407" s="759"/>
      <c r="AN407" s="758"/>
      <c r="AO407" s="758"/>
      <c r="AP407" s="1106"/>
      <c r="AQ407" s="758"/>
      <c r="AR407" s="758"/>
      <c r="CF407" s="2"/>
    </row>
    <row r="408" spans="3:84">
      <c r="C408" s="2"/>
      <c r="O408" s="93"/>
      <c r="AL408" s="758"/>
      <c r="AM408" s="759"/>
      <c r="AN408" s="758"/>
      <c r="AO408" s="758"/>
      <c r="AP408" s="1106"/>
      <c r="AQ408" s="758"/>
      <c r="AR408" s="758"/>
      <c r="CF408" s="2"/>
    </row>
    <row r="409" spans="3:84">
      <c r="C409" s="2"/>
      <c r="O409" s="93"/>
      <c r="AL409" s="758"/>
      <c r="AM409" s="759"/>
      <c r="AN409" s="758"/>
      <c r="AO409" s="758"/>
      <c r="AP409" s="1106"/>
      <c r="AQ409" s="758"/>
      <c r="AR409" s="758"/>
      <c r="CF409" s="2"/>
    </row>
    <row r="410" spans="3:84">
      <c r="C410" s="2"/>
      <c r="O410" s="93"/>
      <c r="AL410" s="758"/>
      <c r="AM410" s="759"/>
      <c r="AN410" s="758"/>
      <c r="AO410" s="758"/>
      <c r="AP410" s="1106"/>
      <c r="AQ410" s="758"/>
      <c r="AR410" s="758"/>
      <c r="CF410" s="2"/>
    </row>
    <row r="411" spans="3:84">
      <c r="C411" s="2"/>
      <c r="O411" s="93"/>
      <c r="AL411" s="758"/>
      <c r="AM411" s="759"/>
      <c r="AN411" s="758"/>
      <c r="AO411" s="758"/>
      <c r="AP411" s="1106"/>
      <c r="AQ411" s="758"/>
      <c r="AR411" s="758"/>
      <c r="CF411" s="2"/>
    </row>
    <row r="412" spans="3:84">
      <c r="C412" s="2"/>
      <c r="O412" s="93"/>
      <c r="AL412" s="758"/>
      <c r="AM412" s="759"/>
      <c r="AN412" s="758"/>
      <c r="AO412" s="758"/>
      <c r="AP412" s="1106"/>
      <c r="AQ412" s="758"/>
      <c r="AR412" s="758"/>
      <c r="CF412" s="2"/>
    </row>
    <row r="413" spans="3:84">
      <c r="C413" s="2"/>
      <c r="O413" s="93"/>
      <c r="AL413" s="758"/>
      <c r="AM413" s="759"/>
      <c r="AN413" s="758"/>
      <c r="AO413" s="758"/>
      <c r="AP413" s="1106"/>
      <c r="AQ413" s="758"/>
      <c r="AR413" s="758"/>
      <c r="CF413" s="2"/>
    </row>
    <row r="414" spans="3:84">
      <c r="C414" s="2"/>
      <c r="O414" s="93"/>
      <c r="AL414" s="434"/>
      <c r="AN414" s="434"/>
      <c r="AO414" s="434"/>
      <c r="AP414" s="556"/>
      <c r="AQ414" s="556"/>
      <c r="AR414" s="556"/>
      <c r="CF414" s="2"/>
    </row>
    <row r="415" spans="3:84">
      <c r="C415" s="2"/>
      <c r="O415" s="93"/>
      <c r="AL415" s="434"/>
      <c r="AM415" s="436"/>
      <c r="AN415" s="434"/>
      <c r="AO415" s="434"/>
      <c r="AP415" s="556"/>
      <c r="AQ415" s="556"/>
      <c r="AR415" s="556"/>
      <c r="CF415" s="2"/>
    </row>
    <row r="416" spans="3:84">
      <c r="C416" s="2"/>
      <c r="O416" s="93"/>
      <c r="AL416" s="434"/>
      <c r="AM416" s="436"/>
      <c r="AN416" s="434"/>
      <c r="AO416" s="434"/>
      <c r="AP416" s="556"/>
      <c r="AQ416" s="556"/>
      <c r="AR416" s="556"/>
      <c r="CF416" s="2"/>
    </row>
    <row r="417" spans="3:84">
      <c r="C417" s="2"/>
      <c r="O417" s="93"/>
      <c r="AL417" s="434"/>
      <c r="AM417" s="436"/>
      <c r="AN417" s="434"/>
      <c r="AO417" s="434"/>
      <c r="AP417" s="556"/>
      <c r="AQ417" s="556"/>
      <c r="AR417" s="556"/>
      <c r="CF417" s="2"/>
    </row>
    <row r="418" spans="3:84">
      <c r="C418" s="2"/>
      <c r="O418" s="93"/>
      <c r="AL418" s="434"/>
      <c r="AM418" s="436"/>
      <c r="AN418" s="434"/>
      <c r="AO418" s="434"/>
      <c r="AP418" s="556"/>
      <c r="AQ418" s="556"/>
      <c r="AR418" s="556"/>
      <c r="CF418" s="2"/>
    </row>
    <row r="419" spans="3:84">
      <c r="C419" s="2"/>
      <c r="O419" s="93"/>
      <c r="AL419" s="434"/>
      <c r="AM419" s="436"/>
      <c r="AN419" s="434"/>
      <c r="AO419" s="434"/>
      <c r="AP419" s="556"/>
      <c r="AQ419" s="556"/>
      <c r="AR419" s="556"/>
      <c r="CF419" s="2"/>
    </row>
    <row r="420" spans="3:84">
      <c r="C420" s="2"/>
      <c r="O420" s="93"/>
      <c r="AL420" s="434"/>
      <c r="AM420" s="436"/>
      <c r="AN420" s="434"/>
      <c r="AO420" s="434"/>
      <c r="AP420" s="556"/>
      <c r="AQ420" s="556"/>
      <c r="AR420" s="556"/>
      <c r="CF420" s="2"/>
    </row>
    <row r="421" spans="3:84">
      <c r="C421" s="2"/>
      <c r="O421" s="93"/>
      <c r="AL421" s="434"/>
      <c r="AM421" s="436"/>
      <c r="AN421" s="434"/>
      <c r="AO421" s="434"/>
      <c r="AP421" s="556"/>
      <c r="AQ421" s="556"/>
      <c r="AR421" s="556"/>
      <c r="CF421" s="2"/>
    </row>
    <row r="422" spans="3:84">
      <c r="C422" s="2"/>
      <c r="O422" s="93"/>
      <c r="AL422" s="434"/>
      <c r="AM422" s="436"/>
      <c r="AN422" s="434"/>
      <c r="AO422" s="434"/>
      <c r="AP422" s="556"/>
      <c r="AQ422" s="556"/>
      <c r="AR422" s="556"/>
      <c r="CF422" s="2"/>
    </row>
    <row r="423" spans="3:84">
      <c r="C423" s="2"/>
      <c r="O423" s="93"/>
      <c r="AL423" s="434"/>
      <c r="AM423" s="436"/>
      <c r="AN423" s="434"/>
      <c r="AO423" s="434"/>
      <c r="AP423" s="556"/>
      <c r="AQ423" s="556"/>
      <c r="AR423" s="556"/>
      <c r="CF423" s="2"/>
    </row>
    <row r="424" spans="3:84">
      <c r="C424" s="2"/>
      <c r="O424" s="93"/>
      <c r="AL424" s="434"/>
      <c r="AM424" s="436"/>
      <c r="AN424" s="434"/>
      <c r="AO424" s="434"/>
      <c r="AP424" s="556"/>
      <c r="AQ424" s="556"/>
      <c r="AR424" s="556"/>
      <c r="CF424" s="2"/>
    </row>
    <row r="425" spans="3:84">
      <c r="C425" s="2"/>
      <c r="O425" s="93"/>
      <c r="AL425" s="434"/>
      <c r="AM425" s="436"/>
      <c r="AN425" s="434"/>
      <c r="AO425" s="434"/>
      <c r="AP425" s="556"/>
      <c r="AQ425" s="556"/>
      <c r="AR425" s="556"/>
      <c r="CF425" s="2"/>
    </row>
    <row r="426" spans="3:84">
      <c r="C426" s="2"/>
      <c r="O426" s="93"/>
      <c r="AL426" s="434"/>
      <c r="AM426" s="436"/>
      <c r="AN426" s="434"/>
      <c r="AO426" s="434"/>
      <c r="AP426" s="556"/>
      <c r="AQ426" s="556"/>
      <c r="AR426" s="556"/>
      <c r="CF426" s="2"/>
    </row>
    <row r="427" spans="3:84">
      <c r="C427" s="2"/>
      <c r="O427" s="93"/>
      <c r="AL427" s="434"/>
      <c r="AM427" s="436"/>
      <c r="AN427" s="434"/>
      <c r="AO427" s="434"/>
      <c r="AP427" s="556"/>
      <c r="AQ427" s="556"/>
      <c r="AR427" s="556"/>
      <c r="CF427" s="2"/>
    </row>
    <row r="428" spans="3:84">
      <c r="C428" s="2"/>
      <c r="O428" s="93"/>
      <c r="AL428" s="434"/>
      <c r="AM428" s="436"/>
      <c r="AN428" s="434"/>
      <c r="AO428" s="434"/>
      <c r="AP428" s="556"/>
      <c r="AQ428" s="556"/>
      <c r="AR428" s="556"/>
      <c r="CF428" s="2"/>
    </row>
    <row r="429" spans="3:84">
      <c r="C429" s="2"/>
      <c r="O429" s="93"/>
      <c r="AL429" s="434"/>
      <c r="AM429" s="436"/>
      <c r="AN429" s="434"/>
      <c r="AO429" s="434"/>
      <c r="AP429" s="556"/>
      <c r="AQ429" s="556"/>
      <c r="AR429" s="556"/>
      <c r="CF429" s="2"/>
    </row>
    <row r="430" spans="3:84">
      <c r="C430" s="2"/>
      <c r="O430" s="93"/>
      <c r="AL430" s="434"/>
      <c r="AM430" s="436"/>
      <c r="AN430" s="434"/>
      <c r="AO430" s="434"/>
      <c r="AP430" s="556"/>
      <c r="AQ430" s="556"/>
      <c r="AR430" s="556"/>
      <c r="CF430" s="2"/>
    </row>
    <row r="431" spans="3:84">
      <c r="C431" s="2"/>
      <c r="O431" s="93"/>
      <c r="AL431" s="434"/>
      <c r="AM431" s="436"/>
      <c r="AN431" s="434"/>
      <c r="AO431" s="434"/>
      <c r="AP431" s="556"/>
      <c r="AQ431" s="556"/>
      <c r="AR431" s="556"/>
      <c r="CF431" s="2"/>
    </row>
    <row r="432" spans="3:84">
      <c r="C432" s="2"/>
      <c r="O432" s="93"/>
      <c r="AL432" s="434"/>
      <c r="AM432" s="436"/>
      <c r="AN432" s="434"/>
      <c r="AO432" s="434"/>
      <c r="AP432" s="556"/>
      <c r="AQ432" s="556"/>
      <c r="AR432" s="556"/>
      <c r="CF432" s="2"/>
    </row>
    <row r="433" spans="3:84">
      <c r="C433" s="2"/>
      <c r="O433" s="93"/>
      <c r="AL433" s="434"/>
      <c r="AM433" s="436"/>
      <c r="AN433" s="434"/>
      <c r="AO433" s="434"/>
      <c r="AP433" s="556"/>
      <c r="AQ433" s="556"/>
      <c r="AR433" s="556"/>
      <c r="CF433" s="2"/>
    </row>
    <row r="434" spans="3:84">
      <c r="C434" s="2"/>
      <c r="O434" s="93"/>
      <c r="AL434" s="434"/>
      <c r="AM434" s="436"/>
      <c r="AN434" s="434"/>
      <c r="AO434" s="434"/>
      <c r="AP434" s="556"/>
      <c r="AQ434" s="556"/>
      <c r="AR434" s="556"/>
      <c r="CF434" s="2"/>
    </row>
    <row r="435" spans="3:84">
      <c r="C435" s="2"/>
      <c r="O435" s="93"/>
      <c r="AL435" s="434"/>
      <c r="AM435" s="436"/>
      <c r="AN435" s="434"/>
      <c r="AO435" s="434"/>
      <c r="AP435" s="556"/>
      <c r="AQ435" s="556"/>
      <c r="AR435" s="556"/>
      <c r="CF435" s="2"/>
    </row>
    <row r="436" spans="3:84">
      <c r="C436" s="2"/>
      <c r="O436" s="93"/>
      <c r="AL436" s="434"/>
      <c r="AM436" s="436"/>
      <c r="AN436" s="434"/>
      <c r="AO436" s="434"/>
      <c r="AP436" s="556"/>
      <c r="AQ436" s="556"/>
      <c r="AR436" s="556"/>
      <c r="CF436" s="2"/>
    </row>
    <row r="437" spans="3:84">
      <c r="C437" s="2"/>
      <c r="O437" s="93"/>
      <c r="AL437" s="434"/>
      <c r="AM437" s="436"/>
      <c r="AN437" s="434"/>
      <c r="AO437" s="434"/>
      <c r="AP437" s="556"/>
      <c r="AQ437" s="556"/>
      <c r="AR437" s="556"/>
      <c r="CF437" s="2"/>
    </row>
    <row r="438" spans="3:84">
      <c r="C438" s="2"/>
      <c r="O438" s="93"/>
      <c r="AL438" s="434"/>
      <c r="AM438" s="436"/>
      <c r="AN438" s="434"/>
      <c r="AO438" s="434"/>
      <c r="AP438" s="556"/>
      <c r="AQ438" s="556"/>
      <c r="AR438" s="556"/>
      <c r="CF438" s="2"/>
    </row>
    <row r="439" spans="3:84">
      <c r="C439" s="2"/>
      <c r="O439" s="93"/>
      <c r="AL439" s="434"/>
      <c r="AM439" s="436"/>
      <c r="AN439" s="434"/>
      <c r="AO439" s="434"/>
      <c r="AP439" s="556"/>
      <c r="AQ439" s="556"/>
      <c r="AR439" s="556"/>
      <c r="CF439" s="2"/>
    </row>
    <row r="440" spans="3:84">
      <c r="C440" s="2"/>
      <c r="O440" s="93"/>
      <c r="AL440" s="434"/>
      <c r="AM440" s="436"/>
      <c r="AN440" s="434"/>
      <c r="AO440" s="434"/>
      <c r="AP440" s="556"/>
      <c r="AQ440" s="556"/>
      <c r="AR440" s="556"/>
      <c r="CF440" s="2"/>
    </row>
    <row r="441" spans="3:84">
      <c r="C441" s="2"/>
      <c r="O441" s="93"/>
      <c r="AL441" s="434"/>
      <c r="AM441" s="436"/>
      <c r="AN441" s="434"/>
      <c r="AO441" s="434"/>
      <c r="AP441" s="556"/>
      <c r="AQ441" s="556"/>
      <c r="AR441" s="556"/>
      <c r="CF441" s="2"/>
    </row>
    <row r="442" spans="3:84">
      <c r="C442" s="2"/>
      <c r="O442" s="93"/>
      <c r="AL442" s="434"/>
      <c r="AM442" s="436"/>
      <c r="AN442" s="434"/>
      <c r="AO442" s="434"/>
      <c r="AP442" s="556"/>
      <c r="AQ442" s="556"/>
      <c r="AR442" s="556"/>
      <c r="CF442" s="2"/>
    </row>
    <row r="443" spans="3:84">
      <c r="C443" s="2"/>
      <c r="O443" s="93"/>
      <c r="AL443" s="434"/>
      <c r="AM443" s="436"/>
      <c r="AN443" s="434"/>
      <c r="AO443" s="434"/>
      <c r="AP443" s="556"/>
      <c r="AQ443" s="556"/>
      <c r="AR443" s="556"/>
      <c r="CF443" s="2"/>
    </row>
    <row r="444" spans="3:84">
      <c r="C444" s="2"/>
      <c r="O444" s="93"/>
      <c r="AL444" s="434"/>
      <c r="AM444" s="436"/>
      <c r="AN444" s="434"/>
      <c r="AO444" s="434"/>
      <c r="AP444" s="556"/>
      <c r="AQ444" s="556"/>
      <c r="AR444" s="556"/>
      <c r="CF444" s="2"/>
    </row>
    <row r="445" spans="3:84">
      <c r="C445" s="2"/>
      <c r="O445" s="93"/>
      <c r="AL445" s="434"/>
      <c r="AM445" s="436"/>
      <c r="AN445" s="434"/>
      <c r="AO445" s="434"/>
      <c r="AP445" s="556"/>
      <c r="AQ445" s="556"/>
      <c r="AR445" s="556"/>
      <c r="CF445" s="2"/>
    </row>
    <row r="446" spans="3:84">
      <c r="C446" s="2"/>
      <c r="O446" s="93"/>
      <c r="AL446" s="434"/>
      <c r="AM446" s="436"/>
      <c r="AN446" s="434"/>
      <c r="AO446" s="434"/>
      <c r="AP446" s="556"/>
      <c r="AQ446" s="556"/>
      <c r="AR446" s="556"/>
      <c r="CF446" s="2"/>
    </row>
    <row r="447" spans="3:84">
      <c r="C447" s="2"/>
      <c r="O447" s="93"/>
      <c r="AL447" s="434"/>
      <c r="AM447" s="436"/>
      <c r="AN447" s="434"/>
      <c r="AO447" s="434"/>
      <c r="AP447" s="556"/>
      <c r="AQ447" s="556"/>
      <c r="AR447" s="556"/>
      <c r="CF447" s="2"/>
    </row>
    <row r="448" spans="3:84">
      <c r="C448" s="2"/>
      <c r="O448" s="93"/>
      <c r="AL448" s="434"/>
      <c r="AM448" s="436"/>
      <c r="AN448" s="434"/>
      <c r="AO448" s="434"/>
      <c r="AP448" s="556"/>
      <c r="AQ448" s="556"/>
      <c r="AR448" s="556"/>
      <c r="CF448" s="2"/>
    </row>
    <row r="449" spans="3:84">
      <c r="C449" s="2"/>
      <c r="O449" s="93"/>
      <c r="AL449" s="434"/>
      <c r="AM449" s="436"/>
      <c r="AN449" s="434"/>
      <c r="AO449" s="434"/>
      <c r="AP449" s="556"/>
      <c r="AQ449" s="556"/>
      <c r="AR449" s="556"/>
      <c r="CF449" s="2"/>
    </row>
    <row r="450" spans="3:84">
      <c r="C450" s="2"/>
      <c r="O450" s="93"/>
      <c r="AL450" s="434"/>
      <c r="AM450" s="436"/>
      <c r="AN450" s="434"/>
      <c r="AO450" s="434"/>
      <c r="AP450" s="556"/>
      <c r="AQ450" s="556"/>
      <c r="AR450" s="556"/>
      <c r="CF450" s="2"/>
    </row>
    <row r="451" spans="3:84">
      <c r="C451" s="2"/>
      <c r="O451" s="93"/>
      <c r="AL451" s="434"/>
      <c r="AM451" s="436"/>
      <c r="AN451" s="434"/>
      <c r="AO451" s="434"/>
      <c r="AP451" s="556"/>
      <c r="AQ451" s="556"/>
      <c r="AR451" s="556"/>
      <c r="CF451" s="2"/>
    </row>
    <row r="452" spans="3:84">
      <c r="C452" s="2"/>
      <c r="O452" s="93"/>
      <c r="AL452" s="434"/>
      <c r="AM452" s="436"/>
      <c r="AN452" s="434"/>
      <c r="AO452" s="434"/>
      <c r="AP452" s="556"/>
      <c r="AQ452" s="556"/>
      <c r="AR452" s="556"/>
      <c r="CF452" s="2"/>
    </row>
    <row r="453" spans="3:84">
      <c r="C453" s="2"/>
      <c r="O453" s="93"/>
      <c r="AL453" s="434"/>
      <c r="AM453" s="436"/>
      <c r="AN453" s="434"/>
      <c r="AO453" s="434"/>
      <c r="AP453" s="556"/>
      <c r="AQ453" s="556"/>
      <c r="AR453" s="556"/>
      <c r="CF453" s="2"/>
    </row>
    <row r="454" spans="3:84">
      <c r="C454" s="2"/>
      <c r="O454" s="93"/>
      <c r="AL454" s="434"/>
      <c r="AM454" s="436"/>
      <c r="AN454" s="434"/>
      <c r="AO454" s="434"/>
      <c r="AP454" s="556"/>
      <c r="AQ454" s="556"/>
      <c r="AR454" s="556"/>
      <c r="CF454" s="2"/>
    </row>
    <row r="455" spans="3:84">
      <c r="C455" s="2"/>
      <c r="O455" s="93"/>
      <c r="AL455" s="434"/>
      <c r="AM455" s="436"/>
      <c r="AN455" s="434"/>
      <c r="AO455" s="434"/>
      <c r="AP455" s="556"/>
      <c r="AQ455" s="556"/>
      <c r="AR455" s="556"/>
      <c r="CF455" s="2"/>
    </row>
    <row r="456" spans="3:84">
      <c r="C456" s="2"/>
      <c r="O456" s="93"/>
      <c r="AL456" s="434"/>
      <c r="AM456" s="436"/>
      <c r="AN456" s="434"/>
      <c r="AO456" s="434"/>
      <c r="AP456" s="556"/>
      <c r="AQ456" s="556"/>
      <c r="AR456" s="556"/>
      <c r="CF456" s="2"/>
    </row>
    <row r="457" spans="3:84">
      <c r="C457" s="2"/>
      <c r="O457" s="93"/>
      <c r="AL457" s="434"/>
      <c r="AM457" s="436"/>
      <c r="AN457" s="434"/>
      <c r="AO457" s="434"/>
      <c r="AP457" s="556"/>
      <c r="AQ457" s="556"/>
      <c r="AR457" s="556"/>
      <c r="CF457" s="2"/>
    </row>
    <row r="458" spans="3:84">
      <c r="C458" s="2"/>
      <c r="O458" s="93"/>
      <c r="AL458" s="434"/>
      <c r="AM458" s="436"/>
      <c r="AN458" s="434"/>
      <c r="AO458" s="434"/>
      <c r="AP458" s="556"/>
      <c r="AQ458" s="556"/>
      <c r="AR458" s="556"/>
      <c r="CF458" s="2"/>
    </row>
    <row r="459" spans="3:84">
      <c r="C459" s="2"/>
      <c r="O459" s="93"/>
      <c r="AL459" s="434"/>
      <c r="AM459" s="436"/>
      <c r="AN459" s="434"/>
      <c r="AO459" s="434"/>
      <c r="AP459" s="556"/>
      <c r="AQ459" s="556"/>
      <c r="AR459" s="556"/>
      <c r="CF459" s="2"/>
    </row>
    <row r="460" spans="3:84">
      <c r="C460" s="2"/>
      <c r="O460" s="93"/>
      <c r="AL460" s="434"/>
      <c r="AM460" s="436"/>
      <c r="AN460" s="434"/>
      <c r="AO460" s="434"/>
      <c r="AP460" s="556"/>
      <c r="AQ460" s="556"/>
      <c r="AR460" s="556"/>
      <c r="CF460" s="2"/>
    </row>
    <row r="461" spans="3:84">
      <c r="C461" s="2"/>
      <c r="O461" s="93"/>
      <c r="AL461" s="434"/>
      <c r="AM461" s="436"/>
      <c r="AN461" s="434"/>
      <c r="AO461" s="434"/>
      <c r="AP461" s="556"/>
      <c r="AQ461" s="556"/>
      <c r="AR461" s="556"/>
      <c r="CF461" s="2"/>
    </row>
    <row r="462" spans="3:84">
      <c r="C462" s="2"/>
      <c r="O462" s="93"/>
      <c r="AL462" s="434"/>
      <c r="AM462" s="436"/>
      <c r="AN462" s="434"/>
      <c r="AO462" s="434"/>
      <c r="AP462" s="556"/>
      <c r="AQ462" s="556"/>
      <c r="AR462" s="556"/>
      <c r="CF462" s="2"/>
    </row>
    <row r="463" spans="3:84">
      <c r="C463" s="2"/>
      <c r="O463" s="93"/>
      <c r="AL463" s="434"/>
      <c r="AM463" s="436"/>
      <c r="AN463" s="434"/>
      <c r="AO463" s="434"/>
      <c r="AP463" s="556"/>
      <c r="AQ463" s="556"/>
      <c r="AR463" s="556"/>
      <c r="CF463" s="2"/>
    </row>
    <row r="464" spans="3:84">
      <c r="C464" s="2"/>
      <c r="O464" s="93"/>
      <c r="AL464" s="434"/>
      <c r="AM464" s="436"/>
      <c r="AN464" s="434"/>
      <c r="AO464" s="434"/>
      <c r="AP464" s="556"/>
      <c r="AQ464" s="556"/>
      <c r="AR464" s="556"/>
      <c r="CF464" s="2"/>
    </row>
    <row r="465" spans="3:84">
      <c r="C465" s="2"/>
      <c r="O465" s="93"/>
      <c r="AL465" s="434"/>
      <c r="AM465" s="436"/>
      <c r="AN465" s="434"/>
      <c r="AO465" s="434"/>
      <c r="AP465" s="556"/>
      <c r="AQ465" s="556"/>
      <c r="AR465" s="556"/>
      <c r="CF465" s="2"/>
    </row>
    <row r="466" spans="3:84">
      <c r="C466" s="2"/>
      <c r="O466" s="93"/>
      <c r="AL466" s="434"/>
      <c r="AM466" s="436"/>
      <c r="AN466" s="434"/>
      <c r="AO466" s="434"/>
      <c r="AP466" s="556"/>
      <c r="AQ466" s="556"/>
      <c r="AR466" s="556"/>
      <c r="CF466" s="2"/>
    </row>
    <row r="467" spans="3:84">
      <c r="C467" s="2"/>
      <c r="O467" s="93"/>
      <c r="AL467" s="434"/>
      <c r="AM467" s="436"/>
      <c r="AN467" s="434"/>
      <c r="AO467" s="434"/>
      <c r="AP467" s="556"/>
      <c r="AQ467" s="556"/>
      <c r="AR467" s="556"/>
      <c r="CF467" s="2"/>
    </row>
    <row r="468" spans="3:84">
      <c r="C468" s="2"/>
      <c r="O468" s="93"/>
      <c r="AL468" s="434"/>
      <c r="AM468" s="436"/>
      <c r="AN468" s="434"/>
      <c r="AO468" s="434"/>
      <c r="AP468" s="556"/>
      <c r="AQ468" s="556"/>
      <c r="AR468" s="556"/>
      <c r="CF468" s="2"/>
    </row>
    <row r="469" spans="3:84">
      <c r="C469" s="2"/>
      <c r="O469" s="93"/>
      <c r="AL469" s="434"/>
      <c r="AM469" s="436"/>
      <c r="AN469" s="434"/>
      <c r="AO469" s="434"/>
      <c r="AP469" s="556"/>
      <c r="AQ469" s="556"/>
      <c r="AR469" s="556"/>
      <c r="CF469" s="2"/>
    </row>
    <row r="470" spans="3:84">
      <c r="C470" s="2"/>
      <c r="O470" s="93"/>
      <c r="AL470" s="434"/>
      <c r="AM470" s="436"/>
      <c r="AN470" s="434"/>
      <c r="AO470" s="434"/>
      <c r="AP470" s="556"/>
      <c r="AQ470" s="556"/>
      <c r="AR470" s="556"/>
      <c r="CF470" s="2"/>
    </row>
    <row r="471" spans="3:84">
      <c r="C471" s="2"/>
      <c r="O471" s="93"/>
      <c r="AL471" s="434"/>
      <c r="AM471" s="436"/>
      <c r="AN471" s="434"/>
      <c r="AO471" s="434"/>
      <c r="AP471" s="556"/>
      <c r="AQ471" s="556"/>
      <c r="AR471" s="556"/>
      <c r="CF471" s="2"/>
    </row>
    <row r="472" spans="3:84">
      <c r="C472" s="2"/>
      <c r="O472" s="93"/>
      <c r="AL472" s="434"/>
      <c r="AM472" s="436"/>
      <c r="AN472" s="434"/>
      <c r="AO472" s="434"/>
      <c r="AP472" s="556"/>
      <c r="AQ472" s="556"/>
      <c r="AR472" s="556"/>
      <c r="CF472" s="2"/>
    </row>
    <row r="473" spans="3:84">
      <c r="C473" s="2"/>
      <c r="O473" s="93"/>
      <c r="AL473" s="434"/>
      <c r="AM473" s="436"/>
      <c r="AN473" s="434"/>
      <c r="AO473" s="434"/>
      <c r="AP473" s="556"/>
      <c r="AQ473" s="556"/>
      <c r="AR473" s="556"/>
      <c r="CF473" s="2"/>
    </row>
    <row r="474" spans="3:84">
      <c r="C474" s="2"/>
      <c r="O474" s="93"/>
      <c r="AL474" s="434"/>
      <c r="AM474" s="436"/>
      <c r="AN474" s="434"/>
      <c r="AO474" s="434"/>
      <c r="AP474" s="556"/>
      <c r="AQ474" s="556"/>
      <c r="AR474" s="556"/>
      <c r="CF474" s="2"/>
    </row>
    <row r="475" spans="3:84">
      <c r="C475" s="2"/>
      <c r="O475" s="93"/>
      <c r="AL475" s="434"/>
      <c r="AM475" s="436"/>
      <c r="AN475" s="434"/>
      <c r="AO475" s="434"/>
      <c r="AP475" s="556"/>
      <c r="AQ475" s="556"/>
      <c r="AR475" s="556"/>
      <c r="CF475" s="2"/>
    </row>
    <row r="476" spans="3:84">
      <c r="C476" s="2"/>
      <c r="O476" s="93"/>
      <c r="AL476" s="434"/>
      <c r="AM476" s="436"/>
      <c r="AN476" s="434"/>
      <c r="AO476" s="434"/>
      <c r="AP476" s="556"/>
      <c r="AQ476" s="556"/>
      <c r="AR476" s="556"/>
      <c r="CF476" s="2"/>
    </row>
    <row r="477" spans="3:84">
      <c r="C477" s="2"/>
      <c r="O477" s="93"/>
      <c r="AL477" s="434"/>
      <c r="AM477" s="436"/>
      <c r="AN477" s="434"/>
      <c r="AO477" s="434"/>
      <c r="AP477" s="556"/>
      <c r="AQ477" s="556"/>
      <c r="AR477" s="556"/>
      <c r="CF477" s="2"/>
    </row>
    <row r="478" spans="3:84">
      <c r="C478" s="2"/>
      <c r="O478" s="93"/>
      <c r="AL478" s="434"/>
      <c r="AM478" s="436"/>
      <c r="AN478" s="434"/>
      <c r="AO478" s="434"/>
      <c r="AP478" s="556"/>
      <c r="AQ478" s="556"/>
      <c r="AR478" s="556"/>
      <c r="CF478" s="2"/>
    </row>
    <row r="479" spans="3:84">
      <c r="C479" s="2"/>
      <c r="O479" s="93"/>
      <c r="AL479" s="434"/>
      <c r="AM479" s="436"/>
      <c r="AN479" s="434"/>
      <c r="AO479" s="434"/>
      <c r="AP479" s="556"/>
      <c r="AQ479" s="556"/>
      <c r="AR479" s="556"/>
      <c r="CF479" s="2"/>
    </row>
    <row r="480" spans="3:84">
      <c r="C480" s="2"/>
      <c r="O480" s="93"/>
      <c r="AL480" s="434"/>
      <c r="AM480" s="436"/>
      <c r="AN480" s="434"/>
      <c r="AO480" s="434"/>
      <c r="AP480" s="556"/>
      <c r="AQ480" s="556"/>
      <c r="AR480" s="556"/>
      <c r="CF480" s="2"/>
    </row>
    <row r="481" spans="3:84">
      <c r="C481" s="2"/>
      <c r="O481" s="93"/>
      <c r="AL481" s="434"/>
      <c r="AM481" s="436"/>
      <c r="AN481" s="434"/>
      <c r="AO481" s="434"/>
      <c r="AP481" s="556"/>
      <c r="AQ481" s="556"/>
      <c r="AR481" s="556"/>
      <c r="CF481" s="2"/>
    </row>
    <row r="482" spans="3:84">
      <c r="C482" s="2"/>
      <c r="O482" s="93"/>
      <c r="AL482" s="434"/>
      <c r="AM482" s="436"/>
      <c r="AN482" s="434"/>
      <c r="AO482" s="434"/>
      <c r="AP482" s="556"/>
      <c r="AQ482" s="556"/>
      <c r="AR482" s="556"/>
      <c r="CF482" s="2"/>
    </row>
    <row r="483" spans="3:84">
      <c r="C483" s="2"/>
      <c r="O483" s="93"/>
      <c r="AL483" s="434"/>
      <c r="AM483" s="436"/>
      <c r="AN483" s="434"/>
      <c r="AO483" s="434"/>
      <c r="AP483" s="556"/>
      <c r="AQ483" s="556"/>
      <c r="AR483" s="556"/>
      <c r="CF483" s="2"/>
    </row>
    <row r="484" spans="3:84">
      <c r="C484" s="2"/>
      <c r="O484" s="93"/>
      <c r="AL484" s="434"/>
      <c r="AM484" s="436"/>
      <c r="AN484" s="434"/>
      <c r="AO484" s="434"/>
      <c r="AP484" s="556"/>
      <c r="AQ484" s="556"/>
      <c r="AR484" s="556"/>
      <c r="CF484" s="2"/>
    </row>
    <row r="485" spans="3:84">
      <c r="C485" s="2"/>
      <c r="O485" s="93"/>
      <c r="AL485" s="434"/>
      <c r="AM485" s="436"/>
      <c r="AN485" s="434"/>
      <c r="AO485" s="434"/>
      <c r="AP485" s="556"/>
      <c r="AQ485" s="556"/>
      <c r="AR485" s="556"/>
      <c r="CF485" s="2"/>
    </row>
    <row r="486" spans="3:84">
      <c r="C486" s="2"/>
      <c r="O486" s="93"/>
      <c r="AL486" s="434"/>
      <c r="AM486" s="436"/>
      <c r="AN486" s="434"/>
      <c r="AO486" s="434"/>
      <c r="AP486" s="556"/>
      <c r="AQ486" s="556"/>
      <c r="AR486" s="556"/>
      <c r="CF486" s="2"/>
    </row>
    <row r="487" spans="3:84">
      <c r="C487" s="2"/>
      <c r="O487" s="93"/>
      <c r="AL487" s="434"/>
      <c r="AM487" s="436"/>
      <c r="AN487" s="434"/>
      <c r="AO487" s="434"/>
      <c r="AP487" s="556"/>
      <c r="AQ487" s="556"/>
      <c r="AR487" s="556"/>
      <c r="CF487" s="2"/>
    </row>
    <row r="488" spans="3:84">
      <c r="C488" s="2"/>
      <c r="O488" s="93"/>
      <c r="AL488" s="434"/>
      <c r="AM488" s="436"/>
      <c r="AN488" s="434"/>
      <c r="AO488" s="434"/>
      <c r="AP488" s="556"/>
      <c r="AQ488" s="556"/>
      <c r="AR488" s="556"/>
      <c r="CF488" s="2"/>
    </row>
    <row r="489" spans="3:84">
      <c r="C489" s="2"/>
      <c r="O489" s="93"/>
      <c r="AL489" s="434"/>
      <c r="AM489" s="436"/>
      <c r="AN489" s="434"/>
      <c r="AO489" s="434"/>
      <c r="AP489" s="556"/>
      <c r="AQ489" s="556"/>
      <c r="AR489" s="556"/>
      <c r="CF489" s="2"/>
    </row>
    <row r="490" spans="3:84">
      <c r="C490" s="2"/>
      <c r="O490" s="93"/>
      <c r="AL490" s="434"/>
      <c r="AM490" s="436"/>
      <c r="AN490" s="434"/>
      <c r="AO490" s="434"/>
      <c r="AP490" s="556"/>
      <c r="AQ490" s="556"/>
      <c r="AR490" s="556"/>
      <c r="CF490" s="2"/>
    </row>
    <row r="491" spans="3:84">
      <c r="C491" s="2"/>
      <c r="O491" s="93"/>
      <c r="AL491" s="434"/>
      <c r="AM491" s="436"/>
      <c r="AN491" s="434"/>
      <c r="AO491" s="434"/>
      <c r="AP491" s="556"/>
      <c r="AQ491" s="556"/>
      <c r="AR491" s="556"/>
      <c r="CF491" s="2"/>
    </row>
    <row r="492" spans="3:84">
      <c r="C492" s="2"/>
      <c r="O492" s="93"/>
      <c r="AL492" s="434"/>
      <c r="AM492" s="436"/>
      <c r="AN492" s="434"/>
      <c r="AO492" s="434"/>
      <c r="AP492" s="556"/>
      <c r="AQ492" s="556"/>
      <c r="AR492" s="556"/>
      <c r="CF492" s="2"/>
    </row>
    <row r="493" spans="3:84">
      <c r="C493" s="2"/>
      <c r="O493" s="93"/>
      <c r="AL493" s="434"/>
      <c r="AM493" s="436"/>
      <c r="AN493" s="434"/>
      <c r="AO493" s="434"/>
      <c r="AP493" s="556"/>
      <c r="AQ493" s="556"/>
      <c r="AR493" s="556"/>
      <c r="CF493" s="2"/>
    </row>
    <row r="494" spans="3:84">
      <c r="C494" s="2"/>
      <c r="O494" s="93"/>
      <c r="AL494" s="434"/>
      <c r="AM494" s="436"/>
      <c r="AN494" s="434"/>
      <c r="AO494" s="434"/>
      <c r="AP494" s="556"/>
      <c r="AQ494" s="556"/>
      <c r="AR494" s="556"/>
      <c r="CF494" s="2"/>
    </row>
    <row r="495" spans="3:84">
      <c r="C495" s="2"/>
      <c r="O495" s="93"/>
      <c r="AL495" s="434"/>
      <c r="AM495" s="436"/>
      <c r="AN495" s="434"/>
      <c r="AO495" s="434"/>
      <c r="AP495" s="556"/>
      <c r="AQ495" s="556"/>
      <c r="AR495" s="556"/>
      <c r="CF495" s="2"/>
    </row>
    <row r="496" spans="3:84">
      <c r="C496" s="2"/>
      <c r="O496" s="93"/>
      <c r="AL496" s="434"/>
      <c r="AM496" s="436"/>
      <c r="AN496" s="434"/>
      <c r="AO496" s="434"/>
      <c r="AP496" s="556"/>
      <c r="AQ496" s="556"/>
      <c r="AR496" s="556"/>
      <c r="CF496" s="2"/>
    </row>
    <row r="497" spans="3:84">
      <c r="C497" s="2"/>
      <c r="O497" s="93"/>
      <c r="AL497" s="434"/>
      <c r="AM497" s="436"/>
      <c r="AN497" s="434"/>
      <c r="AO497" s="434"/>
      <c r="AP497" s="556"/>
      <c r="AQ497" s="556"/>
      <c r="AR497" s="556"/>
      <c r="CF497" s="2"/>
    </row>
    <row r="498" spans="3:84">
      <c r="C498" s="2"/>
      <c r="O498" s="93"/>
      <c r="AL498" s="434"/>
      <c r="AM498" s="436"/>
      <c r="AN498" s="434"/>
      <c r="AO498" s="434"/>
      <c r="AP498" s="556"/>
      <c r="AQ498" s="556"/>
      <c r="AR498" s="556"/>
      <c r="CF498" s="2"/>
    </row>
    <row r="499" spans="3:84">
      <c r="C499" s="2"/>
      <c r="O499" s="93"/>
      <c r="AL499" s="434"/>
      <c r="AM499" s="436"/>
      <c r="AN499" s="434"/>
      <c r="AO499" s="434"/>
      <c r="AP499" s="556"/>
      <c r="AQ499" s="556"/>
      <c r="AR499" s="556"/>
      <c r="CF499" s="2"/>
    </row>
    <row r="500" spans="3:84">
      <c r="C500" s="2"/>
      <c r="O500" s="93"/>
      <c r="AL500" s="434"/>
      <c r="AM500" s="436"/>
      <c r="AN500" s="434"/>
      <c r="AO500" s="434"/>
      <c r="AP500" s="556"/>
      <c r="AQ500" s="556"/>
      <c r="AR500" s="556"/>
      <c r="CF500" s="2"/>
    </row>
    <row r="501" spans="3:84">
      <c r="C501" s="2"/>
      <c r="O501" s="93"/>
      <c r="AL501" s="434"/>
      <c r="AM501" s="436"/>
      <c r="AN501" s="434"/>
      <c r="AO501" s="434"/>
      <c r="AP501" s="556"/>
      <c r="AQ501" s="556"/>
      <c r="AR501" s="556"/>
      <c r="CF501" s="2"/>
    </row>
    <row r="502" spans="3:84">
      <c r="C502" s="2"/>
      <c r="O502" s="93"/>
      <c r="AL502" s="434"/>
      <c r="AM502" s="436"/>
      <c r="AN502" s="434"/>
      <c r="AO502" s="434"/>
      <c r="AP502" s="556"/>
      <c r="AQ502" s="556"/>
      <c r="AR502" s="556"/>
      <c r="CF502" s="2"/>
    </row>
    <row r="503" spans="3:84">
      <c r="C503" s="2"/>
      <c r="O503" s="93"/>
      <c r="AL503" s="434"/>
      <c r="AM503" s="436"/>
      <c r="AN503" s="434"/>
      <c r="AO503" s="434"/>
      <c r="AP503" s="556"/>
      <c r="AQ503" s="556"/>
      <c r="AR503" s="556"/>
      <c r="CF503" s="2"/>
    </row>
    <row r="504" spans="3:84">
      <c r="C504" s="2"/>
      <c r="O504" s="93"/>
      <c r="AL504" s="434"/>
      <c r="AM504" s="436"/>
      <c r="AN504" s="434"/>
      <c r="AO504" s="434"/>
      <c r="AP504" s="556"/>
      <c r="AQ504" s="556"/>
      <c r="AR504" s="556"/>
      <c r="CF504" s="2"/>
    </row>
    <row r="505" spans="3:84">
      <c r="C505" s="2"/>
      <c r="O505" s="93"/>
      <c r="AL505" s="434"/>
      <c r="AM505" s="436"/>
      <c r="AN505" s="434"/>
      <c r="AO505" s="434"/>
      <c r="AP505" s="556"/>
      <c r="AQ505" s="556"/>
      <c r="AR505" s="556"/>
      <c r="CF505" s="2"/>
    </row>
    <row r="506" spans="3:84">
      <c r="C506" s="2"/>
      <c r="O506" s="93"/>
      <c r="AL506" s="434"/>
      <c r="AM506" s="436"/>
      <c r="AN506" s="434"/>
      <c r="AO506" s="434"/>
      <c r="AP506" s="556"/>
      <c r="AQ506" s="556"/>
      <c r="AR506" s="556"/>
      <c r="CF506" s="2"/>
    </row>
    <row r="507" spans="3:84">
      <c r="C507" s="2"/>
      <c r="O507" s="93"/>
      <c r="AL507" s="434"/>
      <c r="AM507" s="436"/>
      <c r="AN507" s="434"/>
      <c r="AO507" s="434"/>
      <c r="AP507" s="556"/>
      <c r="AQ507" s="556"/>
      <c r="AR507" s="556"/>
      <c r="CF507" s="2"/>
    </row>
    <row r="508" spans="3:84">
      <c r="C508" s="2"/>
      <c r="O508" s="93"/>
      <c r="AL508" s="434"/>
      <c r="AM508" s="436"/>
      <c r="AN508" s="434"/>
      <c r="AO508" s="434"/>
      <c r="AP508" s="556"/>
      <c r="AQ508" s="556"/>
      <c r="AR508" s="556"/>
      <c r="CF508" s="2"/>
    </row>
    <row r="509" spans="3:84">
      <c r="C509" s="2"/>
      <c r="O509" s="93"/>
      <c r="AL509" s="434"/>
      <c r="AM509" s="436"/>
      <c r="AN509" s="434"/>
      <c r="AO509" s="434"/>
      <c r="AP509" s="556"/>
      <c r="AQ509" s="556"/>
      <c r="AR509" s="556"/>
      <c r="CF509" s="2"/>
    </row>
    <row r="510" spans="3:84">
      <c r="C510" s="2"/>
      <c r="O510" s="93"/>
      <c r="AL510" s="434"/>
      <c r="AM510" s="436"/>
      <c r="AN510" s="434"/>
      <c r="AO510" s="434"/>
      <c r="AP510" s="556"/>
      <c r="AQ510" s="556"/>
      <c r="AR510" s="556"/>
      <c r="CF510" s="2"/>
    </row>
    <row r="511" spans="3:84">
      <c r="C511" s="2"/>
      <c r="O511" s="93"/>
      <c r="AL511" s="434"/>
      <c r="AM511" s="436"/>
      <c r="AN511" s="434"/>
      <c r="AO511" s="434"/>
      <c r="AP511" s="556"/>
      <c r="AQ511" s="556"/>
      <c r="AR511" s="556"/>
      <c r="CF511" s="2"/>
    </row>
    <row r="512" spans="3:84">
      <c r="C512" s="2"/>
      <c r="O512" s="93"/>
      <c r="AL512" s="434"/>
      <c r="AM512" s="436"/>
      <c r="AN512" s="434"/>
      <c r="AO512" s="434"/>
      <c r="AP512" s="556"/>
      <c r="AQ512" s="556"/>
      <c r="AR512" s="556"/>
      <c r="CF512" s="2"/>
    </row>
    <row r="513" spans="3:84">
      <c r="C513" s="2"/>
      <c r="O513" s="93"/>
      <c r="AL513" s="434"/>
      <c r="AM513" s="436"/>
      <c r="AN513" s="434"/>
      <c r="AO513" s="434"/>
      <c r="AP513" s="556"/>
      <c r="AQ513" s="556"/>
      <c r="AR513" s="556"/>
      <c r="CF513" s="2"/>
    </row>
    <row r="514" spans="3:84">
      <c r="C514" s="2"/>
      <c r="O514" s="93"/>
      <c r="AL514" s="434"/>
      <c r="AM514" s="436"/>
      <c r="AN514" s="434"/>
      <c r="AO514" s="434"/>
      <c r="AP514" s="556"/>
      <c r="AQ514" s="556"/>
      <c r="AR514" s="556"/>
      <c r="CF514" s="2"/>
    </row>
    <row r="515" spans="3:84">
      <c r="C515" s="2"/>
      <c r="O515" s="93"/>
      <c r="AL515" s="434"/>
      <c r="AM515" s="436"/>
      <c r="AN515" s="434"/>
      <c r="AO515" s="434"/>
      <c r="AP515" s="556"/>
      <c r="AQ515" s="556"/>
      <c r="AR515" s="556"/>
      <c r="CF515" s="2"/>
    </row>
    <row r="516" spans="3:84">
      <c r="C516" s="2"/>
      <c r="O516" s="93"/>
      <c r="AL516" s="434"/>
      <c r="AM516" s="436"/>
      <c r="AN516" s="434"/>
      <c r="AO516" s="434"/>
      <c r="AP516" s="556"/>
      <c r="AQ516" s="556"/>
      <c r="AR516" s="556"/>
      <c r="CF516" s="2"/>
    </row>
    <row r="517" spans="3:84">
      <c r="C517" s="2"/>
      <c r="O517" s="93"/>
      <c r="AL517" s="434"/>
      <c r="AM517" s="436"/>
      <c r="AN517" s="434"/>
      <c r="AO517" s="434"/>
      <c r="AP517" s="556"/>
      <c r="AQ517" s="556"/>
      <c r="AR517" s="556"/>
      <c r="CF517" s="2"/>
    </row>
    <row r="518" spans="3:84">
      <c r="C518" s="2"/>
      <c r="O518" s="93"/>
      <c r="AL518" s="434"/>
      <c r="AM518" s="436"/>
      <c r="AN518" s="434"/>
      <c r="AO518" s="434"/>
      <c r="AP518" s="556"/>
      <c r="AQ518" s="556"/>
      <c r="AR518" s="556"/>
      <c r="CF518" s="2"/>
    </row>
    <row r="519" spans="3:84">
      <c r="C519" s="2"/>
      <c r="O519" s="93"/>
      <c r="AL519" s="434"/>
      <c r="AM519" s="436"/>
      <c r="AN519" s="434"/>
      <c r="AO519" s="434"/>
      <c r="AP519" s="556"/>
      <c r="AQ519" s="556"/>
      <c r="AR519" s="556"/>
      <c r="CF519" s="2"/>
    </row>
    <row r="520" spans="3:84">
      <c r="C520" s="2"/>
      <c r="O520" s="93"/>
      <c r="AL520" s="434"/>
      <c r="AM520" s="436"/>
      <c r="AN520" s="434"/>
      <c r="AO520" s="434"/>
      <c r="AP520" s="556"/>
      <c r="AQ520" s="556"/>
      <c r="AR520" s="556"/>
      <c r="CF520" s="2"/>
    </row>
    <row r="521" spans="3:84">
      <c r="C521" s="2"/>
      <c r="O521" s="93"/>
      <c r="AL521" s="434"/>
      <c r="AM521" s="436"/>
      <c r="AN521" s="434"/>
      <c r="AO521" s="434"/>
      <c r="AP521" s="556"/>
      <c r="AQ521" s="556"/>
      <c r="AR521" s="556"/>
      <c r="CF521" s="2"/>
    </row>
    <row r="522" spans="3:84">
      <c r="C522" s="2"/>
      <c r="O522" s="93"/>
      <c r="AL522" s="434"/>
      <c r="AM522" s="436"/>
      <c r="AN522" s="434"/>
      <c r="AO522" s="434"/>
      <c r="AP522" s="556"/>
      <c r="AQ522" s="556"/>
      <c r="AR522" s="556"/>
      <c r="CF522" s="2"/>
    </row>
    <row r="523" spans="3:84">
      <c r="C523" s="2"/>
      <c r="O523" s="93"/>
      <c r="AL523" s="434"/>
      <c r="AM523" s="436"/>
      <c r="AN523" s="434"/>
      <c r="AO523" s="434"/>
      <c r="AP523" s="556"/>
      <c r="AQ523" s="556"/>
      <c r="AR523" s="556"/>
      <c r="CF523" s="2"/>
    </row>
    <row r="524" spans="3:84">
      <c r="C524" s="2"/>
      <c r="O524" s="93"/>
      <c r="AL524" s="434"/>
      <c r="AM524" s="436"/>
      <c r="AN524" s="434"/>
      <c r="AO524" s="434"/>
      <c r="AP524" s="556"/>
      <c r="AQ524" s="556"/>
      <c r="AR524" s="556"/>
      <c r="CF524" s="2"/>
    </row>
    <row r="525" spans="3:84">
      <c r="C525" s="2"/>
      <c r="O525" s="93"/>
      <c r="AL525" s="434"/>
      <c r="AM525" s="436"/>
      <c r="AN525" s="434"/>
      <c r="AO525" s="434"/>
      <c r="AP525" s="556"/>
      <c r="AQ525" s="556"/>
      <c r="AR525" s="556"/>
      <c r="CF525" s="2"/>
    </row>
    <row r="526" spans="3:84">
      <c r="C526" s="2"/>
      <c r="O526" s="93"/>
      <c r="AL526" s="434"/>
      <c r="AM526" s="436"/>
      <c r="AN526" s="434"/>
      <c r="AO526" s="434"/>
      <c r="AP526" s="556"/>
      <c r="AQ526" s="556"/>
      <c r="AR526" s="556"/>
      <c r="CF526" s="2"/>
    </row>
    <row r="527" spans="3:84">
      <c r="C527" s="2"/>
      <c r="O527" s="93"/>
      <c r="AL527" s="434"/>
      <c r="AM527" s="436"/>
      <c r="AN527" s="434"/>
      <c r="AO527" s="434"/>
      <c r="AP527" s="556"/>
      <c r="AQ527" s="556"/>
      <c r="AR527" s="556"/>
      <c r="CF527" s="2"/>
    </row>
    <row r="528" spans="3:84">
      <c r="C528" s="2"/>
      <c r="O528" s="93"/>
      <c r="AL528" s="434"/>
      <c r="AM528" s="436"/>
      <c r="AN528" s="434"/>
      <c r="AO528" s="434"/>
      <c r="AP528" s="556"/>
      <c r="AQ528" s="556"/>
      <c r="AR528" s="556"/>
      <c r="CF528" s="2"/>
    </row>
    <row r="529" spans="3:84">
      <c r="C529" s="2"/>
      <c r="O529" s="93"/>
      <c r="AL529" s="434"/>
      <c r="AM529" s="436"/>
      <c r="AN529" s="434"/>
      <c r="AO529" s="434"/>
      <c r="AP529" s="556"/>
      <c r="AQ529" s="556"/>
      <c r="AR529" s="556"/>
      <c r="CF529" s="2"/>
    </row>
    <row r="530" spans="3:84">
      <c r="C530" s="2"/>
      <c r="O530" s="93"/>
      <c r="AL530" s="434"/>
      <c r="AM530" s="436"/>
      <c r="AN530" s="434"/>
      <c r="AO530" s="434"/>
      <c r="AP530" s="556"/>
      <c r="AQ530" s="556"/>
      <c r="AR530" s="556"/>
      <c r="CF530" s="2"/>
    </row>
    <row r="531" spans="3:84">
      <c r="C531" s="2"/>
      <c r="O531" s="93"/>
      <c r="AL531" s="434"/>
      <c r="AM531" s="436"/>
      <c r="AN531" s="434"/>
      <c r="AO531" s="434"/>
      <c r="AP531" s="556"/>
      <c r="AQ531" s="556"/>
      <c r="AR531" s="556"/>
      <c r="CF531" s="2"/>
    </row>
    <row r="532" spans="3:84">
      <c r="C532" s="2"/>
      <c r="O532" s="93"/>
      <c r="AL532" s="434"/>
      <c r="AM532" s="436"/>
      <c r="AN532" s="434"/>
      <c r="AO532" s="434"/>
      <c r="AP532" s="556"/>
      <c r="AQ532" s="556"/>
      <c r="AR532" s="556"/>
      <c r="CF532" s="2"/>
    </row>
    <row r="533" spans="3:84">
      <c r="C533" s="2"/>
      <c r="O533" s="93"/>
      <c r="AL533" s="434"/>
      <c r="AM533" s="436"/>
      <c r="AN533" s="434"/>
      <c r="AO533" s="434"/>
      <c r="AP533" s="556"/>
      <c r="AQ533" s="556"/>
      <c r="AR533" s="556"/>
      <c r="CF533" s="2"/>
    </row>
    <row r="534" spans="3:84">
      <c r="C534" s="2"/>
      <c r="O534" s="93"/>
      <c r="AL534" s="434"/>
      <c r="AM534" s="436"/>
      <c r="AN534" s="434"/>
      <c r="AO534" s="434"/>
      <c r="AP534" s="556"/>
      <c r="AQ534" s="556"/>
      <c r="AR534" s="556"/>
      <c r="CF534" s="2"/>
    </row>
    <row r="535" spans="3:84">
      <c r="C535" s="2"/>
      <c r="O535" s="93"/>
      <c r="AL535" s="434"/>
      <c r="AM535" s="436"/>
      <c r="AN535" s="434"/>
      <c r="AO535" s="434"/>
      <c r="AP535" s="556"/>
      <c r="AQ535" s="556"/>
      <c r="AR535" s="556"/>
      <c r="CF535" s="2"/>
    </row>
    <row r="536" spans="3:84">
      <c r="C536" s="2"/>
      <c r="O536" s="93"/>
      <c r="AL536" s="434"/>
      <c r="AM536" s="436"/>
      <c r="AN536" s="434"/>
      <c r="AO536" s="434"/>
      <c r="AP536" s="556"/>
      <c r="AQ536" s="556"/>
      <c r="AR536" s="556"/>
      <c r="CF536" s="2"/>
    </row>
    <row r="537" spans="3:84">
      <c r="C537" s="2"/>
      <c r="O537" s="93"/>
      <c r="AL537" s="434"/>
      <c r="AM537" s="436"/>
      <c r="AN537" s="434"/>
      <c r="AO537" s="434"/>
      <c r="AP537" s="556"/>
      <c r="AQ537" s="556"/>
      <c r="AR537" s="556"/>
      <c r="CF537" s="2"/>
    </row>
    <row r="538" spans="3:84">
      <c r="C538" s="2"/>
      <c r="O538" s="93"/>
      <c r="AL538" s="434"/>
      <c r="AM538" s="436"/>
      <c r="AN538" s="434"/>
      <c r="AO538" s="434"/>
      <c r="AP538" s="556"/>
      <c r="AQ538" s="556"/>
      <c r="AR538" s="556"/>
      <c r="CF538" s="2"/>
    </row>
    <row r="539" spans="3:84">
      <c r="C539" s="2"/>
      <c r="O539" s="93"/>
      <c r="AL539" s="434"/>
      <c r="AM539" s="436"/>
      <c r="AN539" s="434"/>
      <c r="AO539" s="434"/>
      <c r="AP539" s="556"/>
      <c r="AQ539" s="556"/>
      <c r="AR539" s="556"/>
      <c r="CF539" s="2"/>
    </row>
    <row r="540" spans="3:84">
      <c r="C540" s="2"/>
      <c r="O540" s="93"/>
      <c r="AL540" s="434"/>
      <c r="AM540" s="436"/>
      <c r="AN540" s="434"/>
      <c r="AO540" s="434"/>
      <c r="AP540" s="556"/>
      <c r="AQ540" s="556"/>
      <c r="AR540" s="556"/>
      <c r="CF540" s="2"/>
    </row>
    <row r="541" spans="3:84">
      <c r="C541" s="2"/>
      <c r="O541" s="93"/>
      <c r="AL541" s="434"/>
      <c r="AM541" s="436"/>
      <c r="AN541" s="434"/>
      <c r="AO541" s="434"/>
      <c r="AP541" s="556"/>
      <c r="AQ541" s="556"/>
      <c r="AR541" s="556"/>
      <c r="CF541" s="2"/>
    </row>
    <row r="542" spans="3:84">
      <c r="C542" s="2"/>
      <c r="O542" s="93"/>
      <c r="AL542" s="434"/>
      <c r="AM542" s="436"/>
      <c r="AN542" s="434"/>
      <c r="AO542" s="434"/>
      <c r="AP542" s="556"/>
      <c r="AQ542" s="556"/>
      <c r="AR542" s="556"/>
      <c r="CF542" s="2"/>
    </row>
    <row r="543" spans="3:84">
      <c r="C543" s="2"/>
      <c r="O543" s="93"/>
      <c r="AL543" s="434"/>
      <c r="AM543" s="436"/>
      <c r="AN543" s="434"/>
      <c r="AO543" s="434"/>
      <c r="AP543" s="556"/>
      <c r="AQ543" s="556"/>
      <c r="AR543" s="556"/>
      <c r="CF543" s="2"/>
    </row>
    <row r="544" spans="3:84">
      <c r="C544" s="2"/>
      <c r="O544" s="93"/>
      <c r="AL544" s="434"/>
      <c r="AM544" s="436"/>
      <c r="AN544" s="434"/>
      <c r="AO544" s="434"/>
      <c r="AP544" s="556"/>
      <c r="AQ544" s="556"/>
      <c r="AR544" s="556"/>
      <c r="CF544" s="2"/>
    </row>
    <row r="545" spans="3:84">
      <c r="C545" s="2"/>
      <c r="O545" s="93"/>
      <c r="AL545" s="434"/>
      <c r="AM545" s="436"/>
      <c r="AN545" s="434"/>
      <c r="AO545" s="434"/>
      <c r="AP545" s="556"/>
      <c r="AQ545" s="556"/>
      <c r="AR545" s="556"/>
      <c r="CF545" s="2"/>
    </row>
    <row r="546" spans="3:84">
      <c r="C546" s="2"/>
      <c r="O546" s="93"/>
      <c r="AL546" s="434"/>
      <c r="AM546" s="436"/>
      <c r="AN546" s="434"/>
      <c r="AO546" s="434"/>
      <c r="AP546" s="556"/>
      <c r="AQ546" s="556"/>
      <c r="AR546" s="556"/>
      <c r="CF546" s="2"/>
    </row>
    <row r="547" spans="3:84">
      <c r="C547" s="2"/>
      <c r="O547" s="93"/>
      <c r="AL547" s="434"/>
      <c r="AM547" s="436"/>
      <c r="AN547" s="434"/>
      <c r="AO547" s="434"/>
      <c r="AP547" s="556"/>
      <c r="AQ547" s="556"/>
      <c r="AR547" s="556"/>
      <c r="CF547" s="2"/>
    </row>
    <row r="548" spans="3:84">
      <c r="C548" s="2"/>
      <c r="O548" s="93"/>
      <c r="AL548" s="434"/>
      <c r="AM548" s="436"/>
      <c r="AN548" s="434"/>
      <c r="AO548" s="434"/>
      <c r="AP548" s="556"/>
      <c r="AQ548" s="556"/>
      <c r="AR548" s="556"/>
      <c r="CF548" s="2"/>
    </row>
    <row r="549" spans="3:84">
      <c r="C549" s="2"/>
      <c r="O549" s="93"/>
      <c r="AL549" s="434"/>
      <c r="AM549" s="436"/>
      <c r="AN549" s="434"/>
      <c r="AO549" s="434"/>
      <c r="AP549" s="556"/>
      <c r="AQ549" s="556"/>
      <c r="AR549" s="556"/>
      <c r="CF549" s="2"/>
    </row>
    <row r="550" spans="3:84">
      <c r="C550" s="2"/>
      <c r="O550" s="93"/>
      <c r="AL550" s="434"/>
      <c r="AM550" s="436"/>
      <c r="AN550" s="434"/>
      <c r="AO550" s="434"/>
      <c r="AP550" s="556"/>
      <c r="AQ550" s="556"/>
      <c r="AR550" s="556"/>
      <c r="CF550" s="2"/>
    </row>
    <row r="551" spans="3:84">
      <c r="C551" s="2"/>
      <c r="O551" s="93"/>
      <c r="AL551" s="434"/>
      <c r="AM551" s="436"/>
      <c r="AN551" s="434"/>
      <c r="AO551" s="434"/>
      <c r="AP551" s="556"/>
      <c r="AQ551" s="556"/>
      <c r="AR551" s="556"/>
      <c r="CF551" s="2"/>
    </row>
    <row r="552" spans="3:84">
      <c r="C552" s="2"/>
      <c r="O552" s="93"/>
      <c r="AL552" s="434"/>
      <c r="AM552" s="436"/>
      <c r="AN552" s="434"/>
      <c r="AO552" s="434"/>
      <c r="AP552" s="556"/>
      <c r="AQ552" s="556"/>
      <c r="AR552" s="556"/>
      <c r="CF552" s="2"/>
    </row>
    <row r="553" spans="3:84">
      <c r="C553" s="2"/>
      <c r="O553" s="93"/>
      <c r="AL553" s="434"/>
      <c r="AM553" s="436"/>
      <c r="AN553" s="434"/>
      <c r="AO553" s="434"/>
      <c r="AP553" s="556"/>
      <c r="AQ553" s="556"/>
      <c r="AR553" s="556"/>
      <c r="CF553" s="2"/>
    </row>
    <row r="554" spans="3:84">
      <c r="C554" s="2"/>
      <c r="O554" s="93"/>
      <c r="AL554" s="434"/>
      <c r="AM554" s="436"/>
      <c r="AN554" s="434"/>
      <c r="AO554" s="434"/>
      <c r="AP554" s="556"/>
      <c r="AQ554" s="556"/>
      <c r="AR554" s="556"/>
      <c r="CF554" s="2"/>
    </row>
    <row r="555" spans="3:84">
      <c r="C555" s="2"/>
      <c r="O555" s="93"/>
      <c r="AL555" s="434"/>
      <c r="AM555" s="436"/>
      <c r="AN555" s="434"/>
      <c r="AO555" s="434"/>
      <c r="AP555" s="556"/>
      <c r="AQ555" s="556"/>
      <c r="AR555" s="556"/>
      <c r="CF555" s="2"/>
    </row>
    <row r="556" spans="3:84">
      <c r="C556" s="2"/>
      <c r="O556" s="93"/>
      <c r="AL556" s="434"/>
      <c r="AM556" s="436"/>
      <c r="AN556" s="434"/>
      <c r="AO556" s="434"/>
      <c r="AP556" s="556"/>
      <c r="AQ556" s="556"/>
      <c r="AR556" s="556"/>
      <c r="CF556" s="2"/>
    </row>
    <row r="557" spans="3:84">
      <c r="C557" s="2"/>
      <c r="O557" s="93"/>
      <c r="AL557" s="434"/>
      <c r="AM557" s="436"/>
      <c r="AN557" s="434"/>
      <c r="AO557" s="434"/>
      <c r="AP557" s="556"/>
      <c r="AQ557" s="556"/>
      <c r="AR557" s="556"/>
      <c r="CF557" s="2"/>
    </row>
    <row r="558" spans="3:84">
      <c r="C558" s="2"/>
      <c r="O558" s="93"/>
      <c r="AL558" s="434"/>
      <c r="AM558" s="436"/>
      <c r="AN558" s="434"/>
      <c r="AO558" s="434"/>
      <c r="AP558" s="556"/>
      <c r="AQ558" s="556"/>
      <c r="AR558" s="556"/>
      <c r="CF558" s="2"/>
    </row>
    <row r="559" spans="3:84">
      <c r="C559" s="2"/>
      <c r="O559" s="93"/>
      <c r="AL559" s="434"/>
      <c r="AM559" s="436"/>
      <c r="AN559" s="434"/>
      <c r="AO559" s="434"/>
      <c r="AP559" s="556"/>
      <c r="AQ559" s="556"/>
      <c r="AR559" s="556"/>
      <c r="CF559" s="2"/>
    </row>
    <row r="560" spans="3:84">
      <c r="C560" s="2"/>
      <c r="O560" s="93"/>
      <c r="AL560" s="434"/>
      <c r="AM560" s="436"/>
      <c r="AN560" s="434"/>
      <c r="AO560" s="434"/>
      <c r="AP560" s="556"/>
      <c r="AQ560" s="556"/>
      <c r="AR560" s="556"/>
      <c r="CF560" s="2"/>
    </row>
    <row r="561" spans="3:84">
      <c r="C561" s="2"/>
      <c r="O561" s="93"/>
      <c r="AL561" s="434"/>
      <c r="AM561" s="436"/>
      <c r="AN561" s="434"/>
      <c r="AO561" s="434"/>
      <c r="AP561" s="556"/>
      <c r="AQ561" s="556"/>
      <c r="AR561" s="556"/>
      <c r="CF561" s="2"/>
    </row>
    <row r="562" spans="3:84">
      <c r="C562" s="2"/>
      <c r="O562" s="93"/>
      <c r="AL562" s="434"/>
      <c r="AM562" s="436"/>
      <c r="AN562" s="434"/>
      <c r="AO562" s="434"/>
      <c r="AP562" s="556"/>
      <c r="AQ562" s="556"/>
      <c r="AR562" s="556"/>
      <c r="CF562" s="2"/>
    </row>
    <row r="563" spans="3:84">
      <c r="C563" s="2"/>
      <c r="O563" s="93"/>
      <c r="AL563" s="434"/>
      <c r="AM563" s="436"/>
      <c r="AN563" s="434"/>
      <c r="AO563" s="434"/>
      <c r="AP563" s="556"/>
      <c r="AQ563" s="556"/>
      <c r="AR563" s="556"/>
      <c r="CF563" s="2"/>
    </row>
    <row r="564" spans="3:84">
      <c r="C564" s="2"/>
      <c r="O564" s="93"/>
      <c r="AL564" s="434"/>
      <c r="AM564" s="436"/>
      <c r="AN564" s="434"/>
      <c r="AO564" s="434"/>
      <c r="AP564" s="556"/>
      <c r="AQ564" s="556"/>
      <c r="AR564" s="556"/>
      <c r="CF564" s="2"/>
    </row>
    <row r="565" spans="3:84">
      <c r="C565" s="2"/>
      <c r="O565" s="93"/>
      <c r="AL565" s="434"/>
      <c r="AM565" s="436"/>
      <c r="AN565" s="434"/>
      <c r="AO565" s="434"/>
      <c r="AP565" s="556"/>
      <c r="AQ565" s="556"/>
      <c r="AR565" s="556"/>
      <c r="CF565" s="2"/>
    </row>
    <row r="566" spans="3:84">
      <c r="C566" s="2"/>
      <c r="O566" s="93"/>
      <c r="AL566" s="434"/>
      <c r="AM566" s="436"/>
      <c r="AN566" s="434"/>
      <c r="AO566" s="434"/>
      <c r="AP566" s="556"/>
      <c r="AQ566" s="556"/>
      <c r="AR566" s="556"/>
      <c r="CF566" s="2"/>
    </row>
    <row r="567" spans="3:84">
      <c r="C567" s="2"/>
      <c r="O567" s="93"/>
      <c r="AL567" s="434"/>
      <c r="AM567" s="436"/>
      <c r="AN567" s="434"/>
      <c r="AO567" s="434"/>
      <c r="AP567" s="556"/>
      <c r="AQ567" s="556"/>
      <c r="AR567" s="556"/>
      <c r="CF567" s="2"/>
    </row>
    <row r="568" spans="3:84">
      <c r="C568" s="2"/>
      <c r="O568" s="93"/>
      <c r="AL568" s="434"/>
      <c r="AM568" s="436"/>
      <c r="AN568" s="434"/>
      <c r="AO568" s="434"/>
      <c r="AP568" s="556"/>
      <c r="AQ568" s="556"/>
      <c r="AR568" s="556"/>
      <c r="CF568" s="2"/>
    </row>
    <row r="569" spans="3:84">
      <c r="C569" s="2"/>
      <c r="O569" s="93"/>
      <c r="AL569" s="434"/>
      <c r="AM569" s="436"/>
      <c r="AN569" s="434"/>
      <c r="AO569" s="434"/>
      <c r="AP569" s="556"/>
      <c r="AQ569" s="556"/>
      <c r="AR569" s="556"/>
      <c r="CF569" s="2"/>
    </row>
    <row r="570" spans="3:84">
      <c r="C570" s="2"/>
      <c r="O570" s="93"/>
      <c r="AL570" s="434"/>
      <c r="AM570" s="436"/>
      <c r="AN570" s="434"/>
      <c r="AO570" s="434"/>
      <c r="AP570" s="556"/>
      <c r="AQ570" s="556"/>
      <c r="AR570" s="556"/>
      <c r="CF570" s="2"/>
    </row>
    <row r="571" spans="3:84">
      <c r="C571" s="2"/>
      <c r="O571" s="93"/>
      <c r="AL571" s="434"/>
      <c r="AM571" s="436"/>
      <c r="AN571" s="434"/>
      <c r="AO571" s="434"/>
      <c r="AP571" s="556"/>
      <c r="AQ571" s="556"/>
      <c r="AR571" s="556"/>
      <c r="CF571" s="2"/>
    </row>
    <row r="572" spans="3:84">
      <c r="C572" s="2"/>
      <c r="O572" s="93"/>
      <c r="AL572" s="434"/>
      <c r="AM572" s="436"/>
      <c r="AN572" s="434"/>
      <c r="AO572" s="434"/>
      <c r="AP572" s="556"/>
      <c r="AQ572" s="556"/>
      <c r="AR572" s="556"/>
      <c r="CF572" s="2"/>
    </row>
    <row r="573" spans="3:84">
      <c r="C573" s="2"/>
      <c r="O573" s="93"/>
      <c r="AL573" s="434"/>
      <c r="AM573" s="436"/>
      <c r="AN573" s="434"/>
      <c r="AO573" s="434"/>
      <c r="AP573" s="556"/>
      <c r="AQ573" s="556"/>
      <c r="AR573" s="556"/>
      <c r="CF573" s="2"/>
    </row>
    <row r="574" spans="3:84">
      <c r="C574" s="2"/>
      <c r="O574" s="93"/>
      <c r="AL574" s="434"/>
      <c r="AM574" s="436"/>
      <c r="AN574" s="434"/>
      <c r="AO574" s="434"/>
      <c r="AP574" s="556"/>
      <c r="AQ574" s="556"/>
      <c r="AR574" s="556"/>
      <c r="CF574" s="2"/>
    </row>
    <row r="575" spans="3:84">
      <c r="C575" s="2"/>
      <c r="O575" s="93"/>
      <c r="AL575" s="434"/>
      <c r="AM575" s="436"/>
      <c r="AN575" s="434"/>
      <c r="AO575" s="434"/>
      <c r="AP575" s="556"/>
      <c r="AQ575" s="556"/>
      <c r="AR575" s="556"/>
      <c r="CF575" s="2"/>
    </row>
    <row r="576" spans="3:84">
      <c r="C576" s="2"/>
      <c r="O576" s="93"/>
      <c r="AL576" s="434"/>
      <c r="AM576" s="436"/>
      <c r="AN576" s="434"/>
      <c r="AO576" s="434"/>
      <c r="AP576" s="556"/>
      <c r="AQ576" s="556"/>
      <c r="AR576" s="556"/>
      <c r="CF576" s="2"/>
    </row>
    <row r="577" spans="3:84">
      <c r="C577" s="2"/>
      <c r="O577" s="93"/>
      <c r="AL577" s="434"/>
      <c r="AM577" s="436"/>
      <c r="AN577" s="434"/>
      <c r="AO577" s="434"/>
      <c r="AP577" s="556"/>
      <c r="AQ577" s="556"/>
      <c r="AR577" s="556"/>
      <c r="CF577" s="2"/>
    </row>
    <row r="578" spans="3:84">
      <c r="C578" s="2"/>
      <c r="O578" s="93"/>
      <c r="AL578" s="434"/>
      <c r="AM578" s="436"/>
      <c r="AN578" s="434"/>
      <c r="AO578" s="434"/>
      <c r="AP578" s="556"/>
      <c r="AQ578" s="556"/>
      <c r="AR578" s="556"/>
      <c r="CF578" s="2"/>
    </row>
    <row r="579" spans="3:84">
      <c r="C579" s="2"/>
      <c r="O579" s="93"/>
      <c r="AL579" s="434"/>
      <c r="AM579" s="436"/>
      <c r="AN579" s="434"/>
      <c r="AO579" s="434"/>
      <c r="AP579" s="556"/>
      <c r="AQ579" s="556"/>
      <c r="AR579" s="556"/>
      <c r="CF579" s="2"/>
    </row>
    <row r="580" spans="3:84">
      <c r="C580" s="2"/>
      <c r="O580" s="93"/>
      <c r="AL580" s="434"/>
      <c r="AM580" s="436"/>
      <c r="AN580" s="434"/>
      <c r="AO580" s="434"/>
      <c r="AP580" s="556"/>
      <c r="AQ580" s="556"/>
      <c r="AR580" s="556"/>
      <c r="CF580" s="2"/>
    </row>
    <row r="581" spans="3:84">
      <c r="C581" s="2"/>
      <c r="O581" s="93"/>
      <c r="AL581" s="434"/>
      <c r="AM581" s="436"/>
      <c r="AN581" s="434"/>
      <c r="AO581" s="434"/>
      <c r="AP581" s="556"/>
      <c r="AQ581" s="556"/>
      <c r="AR581" s="556"/>
      <c r="CF581" s="2"/>
    </row>
    <row r="582" spans="3:84">
      <c r="C582" s="2"/>
      <c r="O582" s="93"/>
      <c r="AL582" s="434"/>
      <c r="AM582" s="436"/>
      <c r="AN582" s="434"/>
      <c r="AO582" s="434"/>
      <c r="AP582" s="556"/>
      <c r="AQ582" s="556"/>
      <c r="AR582" s="556"/>
      <c r="CF582" s="2"/>
    </row>
    <row r="583" spans="3:84">
      <c r="C583" s="2"/>
      <c r="O583" s="93"/>
      <c r="AL583" s="434"/>
      <c r="AM583" s="436"/>
      <c r="AN583" s="434"/>
      <c r="AO583" s="434"/>
      <c r="AP583" s="556"/>
      <c r="AQ583" s="556"/>
      <c r="AR583" s="556"/>
      <c r="CF583" s="2"/>
    </row>
    <row r="584" spans="3:84">
      <c r="C584" s="2"/>
      <c r="O584" s="93"/>
      <c r="AL584" s="434"/>
      <c r="AM584" s="436"/>
      <c r="AN584" s="434"/>
      <c r="AO584" s="434"/>
      <c r="AP584" s="556"/>
      <c r="AQ584" s="556"/>
      <c r="AR584" s="556"/>
      <c r="CF584" s="2"/>
    </row>
    <row r="585" spans="3:84">
      <c r="C585" s="2"/>
      <c r="O585" s="93"/>
      <c r="AL585" s="434"/>
      <c r="AM585" s="436"/>
      <c r="AN585" s="434"/>
      <c r="AO585" s="434"/>
      <c r="AP585" s="556"/>
      <c r="AQ585" s="556"/>
      <c r="AR585" s="556"/>
      <c r="CF585" s="2"/>
    </row>
    <row r="586" spans="3:84">
      <c r="C586" s="2"/>
      <c r="O586" s="93"/>
      <c r="AL586" s="434"/>
      <c r="AM586" s="436"/>
      <c r="AN586" s="434"/>
      <c r="AO586" s="434"/>
      <c r="AP586" s="556"/>
      <c r="AQ586" s="556"/>
      <c r="AR586" s="556"/>
      <c r="CF586" s="2"/>
    </row>
    <row r="587" spans="3:84">
      <c r="C587" s="2"/>
      <c r="O587" s="93"/>
      <c r="AL587" s="434"/>
      <c r="AM587" s="436"/>
      <c r="AN587" s="434"/>
      <c r="AO587" s="434"/>
      <c r="AP587" s="556"/>
      <c r="AQ587" s="556"/>
      <c r="AR587" s="556"/>
      <c r="CF587" s="2"/>
    </row>
    <row r="588" spans="3:84">
      <c r="C588" s="2"/>
      <c r="O588" s="93"/>
      <c r="AL588" s="434"/>
      <c r="AM588" s="436"/>
      <c r="AN588" s="434"/>
      <c r="AO588" s="434"/>
      <c r="AP588" s="556"/>
      <c r="AQ588" s="556"/>
      <c r="AR588" s="556"/>
      <c r="CF588" s="2"/>
    </row>
    <row r="589" spans="3:84">
      <c r="C589" s="2"/>
      <c r="O589" s="93"/>
      <c r="AL589" s="434"/>
      <c r="AM589" s="436"/>
      <c r="AN589" s="434"/>
      <c r="AO589" s="434"/>
      <c r="AP589" s="556"/>
      <c r="AQ589" s="556"/>
      <c r="AR589" s="556"/>
      <c r="CF589" s="2"/>
    </row>
    <row r="590" spans="3:84">
      <c r="C590" s="2"/>
      <c r="O590" s="93"/>
      <c r="AL590" s="434"/>
      <c r="AM590" s="436"/>
      <c r="AN590" s="434"/>
      <c r="AO590" s="434"/>
      <c r="AP590" s="556"/>
      <c r="AQ590" s="556"/>
      <c r="AR590" s="556"/>
      <c r="CF590" s="2"/>
    </row>
    <row r="591" spans="3:84">
      <c r="C591" s="2"/>
      <c r="O591" s="93"/>
      <c r="AL591" s="434"/>
      <c r="AM591" s="436"/>
      <c r="AN591" s="434"/>
      <c r="AO591" s="434"/>
      <c r="AP591" s="556"/>
      <c r="AQ591" s="556"/>
      <c r="AR591" s="556"/>
      <c r="CF591" s="2"/>
    </row>
    <row r="592" spans="3:84">
      <c r="C592" s="2"/>
      <c r="O592" s="93"/>
      <c r="AL592" s="434"/>
      <c r="AM592" s="436"/>
      <c r="AN592" s="434"/>
      <c r="AO592" s="434"/>
      <c r="AP592" s="556"/>
      <c r="AQ592" s="556"/>
      <c r="AR592" s="556"/>
      <c r="CF592" s="2"/>
    </row>
    <row r="593" spans="3:84">
      <c r="C593" s="2"/>
      <c r="O593" s="93"/>
      <c r="AL593" s="434"/>
      <c r="AM593" s="436"/>
      <c r="AN593" s="434"/>
      <c r="AO593" s="434"/>
      <c r="AP593" s="556"/>
      <c r="AQ593" s="556"/>
      <c r="AR593" s="556"/>
      <c r="CF593" s="2"/>
    </row>
    <row r="594" spans="3:84">
      <c r="C594" s="2"/>
      <c r="O594" s="93"/>
      <c r="AL594" s="434"/>
      <c r="AM594" s="436"/>
      <c r="AN594" s="434"/>
      <c r="AO594" s="434"/>
      <c r="AP594" s="556"/>
      <c r="AQ594" s="556"/>
      <c r="AR594" s="556"/>
      <c r="CF594" s="2"/>
    </row>
    <row r="595" spans="3:84">
      <c r="C595" s="2"/>
      <c r="O595" s="93"/>
      <c r="AL595" s="434"/>
      <c r="AM595" s="436"/>
      <c r="AN595" s="434"/>
      <c r="AO595" s="434"/>
      <c r="AP595" s="556"/>
      <c r="AQ595" s="556"/>
      <c r="AR595" s="556"/>
      <c r="CF595" s="2"/>
    </row>
    <row r="596" spans="3:84">
      <c r="C596" s="2"/>
      <c r="O596" s="93"/>
      <c r="AL596" s="434"/>
      <c r="AM596" s="436"/>
      <c r="AN596" s="434"/>
      <c r="AO596" s="434"/>
      <c r="AP596" s="556"/>
      <c r="AQ596" s="556"/>
      <c r="AR596" s="556"/>
      <c r="CF596" s="2"/>
    </row>
    <row r="597" spans="3:84">
      <c r="C597" s="2"/>
      <c r="O597" s="93"/>
      <c r="AL597" s="434"/>
      <c r="AM597" s="436"/>
      <c r="AN597" s="434"/>
      <c r="AO597" s="434"/>
      <c r="AP597" s="556"/>
      <c r="AQ597" s="556"/>
      <c r="AR597" s="556"/>
      <c r="CF597" s="2"/>
    </row>
    <row r="598" spans="3:84">
      <c r="C598" s="2"/>
      <c r="O598" s="93"/>
      <c r="AL598" s="434"/>
      <c r="AM598" s="436"/>
      <c r="AN598" s="434"/>
      <c r="AO598" s="434"/>
      <c r="AP598" s="556"/>
      <c r="AQ598" s="556"/>
      <c r="AR598" s="556"/>
      <c r="CF598" s="2"/>
    </row>
    <row r="599" spans="3:84">
      <c r="C599" s="2"/>
      <c r="O599" s="93"/>
      <c r="AL599" s="434"/>
      <c r="AM599" s="436"/>
      <c r="AN599" s="434"/>
      <c r="AO599" s="434"/>
      <c r="AP599" s="556"/>
      <c r="AQ599" s="556"/>
      <c r="AR599" s="556"/>
      <c r="CF599" s="2"/>
    </row>
    <row r="600" spans="3:84">
      <c r="C600" s="2"/>
      <c r="O600" s="93"/>
      <c r="AL600" s="434"/>
      <c r="AM600" s="436"/>
      <c r="AN600" s="434"/>
      <c r="AO600" s="434"/>
      <c r="AP600" s="556"/>
      <c r="AQ600" s="556"/>
      <c r="AR600" s="556"/>
      <c r="CF600" s="2"/>
    </row>
    <row r="601" spans="3:84">
      <c r="C601" s="2"/>
      <c r="O601" s="93"/>
      <c r="AL601" s="434"/>
      <c r="AM601" s="436"/>
      <c r="AN601" s="434"/>
      <c r="AO601" s="434"/>
      <c r="AP601" s="556"/>
      <c r="AQ601" s="556"/>
      <c r="AR601" s="556"/>
      <c r="CF601" s="2"/>
    </row>
    <row r="602" spans="3:84">
      <c r="C602" s="2"/>
      <c r="O602" s="93"/>
      <c r="AL602" s="434"/>
      <c r="AM602" s="436"/>
      <c r="AN602" s="434"/>
      <c r="AO602" s="434"/>
      <c r="AP602" s="556"/>
      <c r="AQ602" s="556"/>
      <c r="AR602" s="556"/>
      <c r="CF602" s="2"/>
    </row>
    <row r="603" spans="3:84">
      <c r="C603" s="2"/>
      <c r="O603" s="93"/>
      <c r="AL603" s="434"/>
      <c r="AM603" s="436"/>
      <c r="AN603" s="434"/>
      <c r="AO603" s="434"/>
      <c r="AP603" s="556"/>
      <c r="AQ603" s="556"/>
      <c r="AR603" s="556"/>
      <c r="CF603" s="2"/>
    </row>
    <row r="604" spans="3:84">
      <c r="C604" s="2"/>
      <c r="O604" s="93"/>
      <c r="AL604" s="434"/>
      <c r="AM604" s="436"/>
      <c r="AN604" s="434"/>
      <c r="AO604" s="434"/>
      <c r="AP604" s="556"/>
      <c r="AQ604" s="556"/>
      <c r="AR604" s="556"/>
      <c r="CF604" s="2"/>
    </row>
    <row r="605" spans="3:84">
      <c r="C605" s="2"/>
      <c r="O605" s="93"/>
      <c r="AL605" s="434"/>
      <c r="AM605" s="436"/>
      <c r="AN605" s="434"/>
      <c r="AO605" s="434"/>
      <c r="AP605" s="556"/>
      <c r="AQ605" s="556"/>
      <c r="AR605" s="556"/>
      <c r="CF605" s="2"/>
    </row>
    <row r="606" spans="3:84">
      <c r="C606" s="2"/>
      <c r="O606" s="93"/>
      <c r="AL606" s="434"/>
      <c r="AM606" s="436"/>
      <c r="AN606" s="434"/>
      <c r="AO606" s="434"/>
      <c r="AP606" s="556"/>
      <c r="AQ606" s="556"/>
      <c r="AR606" s="556"/>
      <c r="CF606" s="2"/>
    </row>
    <row r="607" spans="3:84">
      <c r="C607" s="2"/>
      <c r="O607" s="93"/>
      <c r="AL607" s="434"/>
      <c r="AM607" s="436"/>
      <c r="AN607" s="434"/>
      <c r="AO607" s="434"/>
      <c r="AP607" s="556"/>
      <c r="AQ607" s="556"/>
      <c r="AR607" s="556"/>
      <c r="CF607" s="2"/>
    </row>
    <row r="608" spans="3:84">
      <c r="C608" s="2"/>
      <c r="O608" s="93"/>
      <c r="AL608" s="434"/>
      <c r="AM608" s="436"/>
      <c r="AN608" s="434"/>
      <c r="AO608" s="434"/>
      <c r="AP608" s="556"/>
      <c r="AQ608" s="556"/>
      <c r="AR608" s="556"/>
      <c r="CF608" s="2"/>
    </row>
    <row r="609" spans="3:84">
      <c r="C609" s="2"/>
      <c r="O609" s="93"/>
      <c r="AL609" s="434"/>
      <c r="AM609" s="436"/>
      <c r="AN609" s="434"/>
      <c r="AO609" s="434"/>
      <c r="AP609" s="556"/>
      <c r="AQ609" s="556"/>
      <c r="AR609" s="556"/>
      <c r="CF609" s="2"/>
    </row>
    <row r="610" spans="3:84">
      <c r="C610" s="2"/>
      <c r="O610" s="93"/>
      <c r="AL610" s="434"/>
      <c r="AM610" s="436"/>
      <c r="AN610" s="434"/>
      <c r="AO610" s="434"/>
      <c r="AP610" s="556"/>
      <c r="AQ610" s="556"/>
      <c r="AR610" s="556"/>
      <c r="CF610" s="2"/>
    </row>
    <row r="611" spans="3:84">
      <c r="C611" s="2"/>
      <c r="O611" s="93"/>
      <c r="AL611" s="434"/>
      <c r="AM611" s="436"/>
      <c r="AN611" s="434"/>
      <c r="AO611" s="434"/>
      <c r="AP611" s="556"/>
      <c r="AQ611" s="556"/>
      <c r="AR611" s="556"/>
      <c r="CF611" s="2"/>
    </row>
    <row r="612" spans="3:84">
      <c r="C612" s="2"/>
      <c r="O612" s="93"/>
      <c r="AL612" s="434"/>
      <c r="AM612" s="436"/>
      <c r="AN612" s="434"/>
      <c r="AO612" s="434"/>
      <c r="AP612" s="556"/>
      <c r="AQ612" s="556"/>
      <c r="AR612" s="556"/>
      <c r="CF612" s="2"/>
    </row>
    <row r="613" spans="3:84">
      <c r="C613" s="2"/>
      <c r="O613" s="93"/>
      <c r="AL613" s="434"/>
      <c r="AM613" s="436"/>
      <c r="AN613" s="434"/>
      <c r="AO613" s="434"/>
      <c r="AP613" s="556"/>
      <c r="AQ613" s="556"/>
      <c r="AR613" s="556"/>
      <c r="CF613" s="2"/>
    </row>
    <row r="614" spans="3:84">
      <c r="C614" s="2"/>
      <c r="O614" s="93"/>
      <c r="AL614" s="434"/>
      <c r="AM614" s="436"/>
      <c r="AN614" s="434"/>
      <c r="AO614" s="434"/>
      <c r="AP614" s="556"/>
      <c r="AQ614" s="556"/>
      <c r="AR614" s="556"/>
      <c r="CF614" s="2"/>
    </row>
    <row r="615" spans="3:84">
      <c r="C615" s="2"/>
      <c r="O615" s="93"/>
      <c r="AL615" s="434"/>
      <c r="AM615" s="436"/>
      <c r="AN615" s="434"/>
      <c r="AO615" s="434"/>
      <c r="AP615" s="556"/>
      <c r="AQ615" s="556"/>
      <c r="AR615" s="556"/>
      <c r="CF615" s="2"/>
    </row>
    <row r="616" spans="3:84">
      <c r="C616" s="2"/>
      <c r="O616" s="93"/>
      <c r="AL616" s="434"/>
      <c r="AM616" s="436"/>
      <c r="AN616" s="434"/>
      <c r="AO616" s="434"/>
      <c r="AP616" s="556"/>
      <c r="AQ616" s="556"/>
      <c r="AR616" s="556"/>
      <c r="CF616" s="2"/>
    </row>
    <row r="617" spans="3:84">
      <c r="C617" s="2"/>
      <c r="O617" s="93"/>
      <c r="AL617" s="434"/>
      <c r="AM617" s="436"/>
      <c r="AN617" s="434"/>
      <c r="AO617" s="434"/>
      <c r="AP617" s="556"/>
      <c r="AQ617" s="556"/>
      <c r="AR617" s="556"/>
      <c r="CF617" s="2"/>
    </row>
    <row r="618" spans="3:84">
      <c r="C618" s="2"/>
      <c r="O618" s="93"/>
      <c r="AL618" s="434"/>
      <c r="AM618" s="436"/>
      <c r="AN618" s="434"/>
      <c r="AO618" s="434"/>
      <c r="AP618" s="556"/>
      <c r="AQ618" s="556"/>
      <c r="AR618" s="556"/>
      <c r="CF618" s="2"/>
    </row>
    <row r="619" spans="3:84">
      <c r="C619" s="2"/>
      <c r="O619" s="93"/>
      <c r="AL619" s="434"/>
      <c r="AM619" s="436"/>
      <c r="AN619" s="434"/>
      <c r="AO619" s="434"/>
      <c r="AP619" s="556"/>
      <c r="AQ619" s="556"/>
      <c r="AR619" s="556"/>
      <c r="CF619" s="2"/>
    </row>
    <row r="620" spans="3:84">
      <c r="C620" s="2"/>
      <c r="O620" s="93"/>
      <c r="AL620" s="434"/>
      <c r="AM620" s="436"/>
      <c r="AN620" s="434"/>
      <c r="AO620" s="434"/>
      <c r="AP620" s="556"/>
      <c r="AQ620" s="556"/>
      <c r="AR620" s="556"/>
      <c r="CF620" s="2"/>
    </row>
    <row r="621" spans="3:84">
      <c r="C621" s="2"/>
      <c r="O621" s="93"/>
      <c r="AL621" s="434"/>
      <c r="AM621" s="436"/>
      <c r="AN621" s="434"/>
      <c r="AO621" s="434"/>
      <c r="AP621" s="556"/>
      <c r="AQ621" s="556"/>
      <c r="AR621" s="556"/>
      <c r="CF621" s="2"/>
    </row>
    <row r="622" spans="3:84">
      <c r="C622" s="2"/>
      <c r="O622" s="93"/>
      <c r="AL622" s="434"/>
      <c r="AM622" s="436"/>
      <c r="AN622" s="434"/>
      <c r="AO622" s="434"/>
      <c r="AP622" s="556"/>
      <c r="AQ622" s="556"/>
      <c r="AR622" s="556"/>
      <c r="CF622" s="2"/>
    </row>
    <row r="623" spans="3:84">
      <c r="C623" s="2"/>
      <c r="O623" s="93"/>
      <c r="AL623" s="434"/>
      <c r="AM623" s="436"/>
      <c r="AN623" s="434"/>
      <c r="AO623" s="434"/>
      <c r="AP623" s="556"/>
      <c r="AQ623" s="556"/>
      <c r="AR623" s="556"/>
      <c r="CF623" s="2"/>
    </row>
    <row r="624" spans="3:84">
      <c r="C624" s="2"/>
      <c r="O624" s="93"/>
      <c r="AL624" s="434"/>
      <c r="AM624" s="436"/>
      <c r="AN624" s="434"/>
      <c r="AO624" s="434"/>
      <c r="AP624" s="556"/>
      <c r="AQ624" s="556"/>
      <c r="AR624" s="556"/>
      <c r="CF624" s="2"/>
    </row>
    <row r="625" spans="3:84">
      <c r="C625" s="2"/>
      <c r="O625" s="93"/>
      <c r="AD625" s="502"/>
      <c r="AE625" s="911"/>
      <c r="AF625" s="502"/>
      <c r="AH625" s="898"/>
      <c r="AI625" s="502"/>
      <c r="AJ625" s="502"/>
      <c r="AL625" s="434"/>
      <c r="AM625" s="436"/>
      <c r="AN625" s="434"/>
      <c r="AO625" s="434"/>
      <c r="AP625" s="556"/>
      <c r="AQ625" s="556"/>
      <c r="AR625" s="556"/>
      <c r="CF625" s="2"/>
    </row>
    <row r="626" spans="3:84">
      <c r="C626" s="2"/>
      <c r="O626" s="93"/>
      <c r="AD626" s="502"/>
      <c r="AE626" s="911"/>
      <c r="AF626" s="502"/>
      <c r="AH626" s="898"/>
      <c r="AI626" s="502"/>
      <c r="AJ626" s="502"/>
      <c r="AL626" s="434"/>
      <c r="AM626" s="436"/>
      <c r="AN626" s="434"/>
      <c r="AO626" s="434"/>
      <c r="AP626" s="556"/>
      <c r="AQ626" s="556"/>
      <c r="AR626" s="556"/>
      <c r="CF626" s="2"/>
    </row>
    <row r="627" spans="3:84">
      <c r="C627" s="2"/>
      <c r="O627" s="93"/>
      <c r="AD627" s="502"/>
      <c r="AE627" s="911"/>
      <c r="AF627" s="502"/>
      <c r="AH627" s="898"/>
      <c r="AI627" s="502"/>
      <c r="AJ627" s="502"/>
      <c r="AL627" s="434"/>
      <c r="AM627" s="436"/>
      <c r="AN627" s="434"/>
      <c r="AO627" s="434"/>
      <c r="AP627" s="556"/>
      <c r="AQ627" s="556"/>
      <c r="AR627" s="556"/>
      <c r="CF627" s="2"/>
    </row>
    <row r="628" spans="3:84">
      <c r="C628" s="2"/>
      <c r="O628" s="93"/>
      <c r="AD628" s="502"/>
      <c r="AE628" s="911"/>
      <c r="AF628" s="502"/>
      <c r="AH628" s="898"/>
      <c r="AI628" s="502"/>
      <c r="AJ628" s="502"/>
      <c r="AL628" s="434"/>
      <c r="AM628" s="436"/>
      <c r="AN628" s="434"/>
      <c r="AO628" s="434"/>
      <c r="AP628" s="556"/>
      <c r="AQ628" s="556"/>
      <c r="AR628" s="556"/>
      <c r="CF628" s="2"/>
    </row>
    <row r="629" spans="3:84">
      <c r="C629" s="2"/>
      <c r="O629" s="93"/>
      <c r="AD629" s="502"/>
      <c r="AE629" s="911"/>
      <c r="AF629" s="502"/>
      <c r="AH629" s="898"/>
      <c r="AI629" s="502"/>
      <c r="AJ629" s="502"/>
      <c r="AL629" s="434"/>
      <c r="AM629" s="436"/>
      <c r="AN629" s="434"/>
      <c r="AO629" s="434"/>
      <c r="AP629" s="556"/>
      <c r="AQ629" s="556"/>
      <c r="AR629" s="556"/>
      <c r="CF629" s="2"/>
    </row>
    <row r="630" spans="3:84">
      <c r="C630" s="2"/>
      <c r="O630" s="93"/>
      <c r="AD630" s="502"/>
      <c r="AE630" s="911"/>
      <c r="AF630" s="502"/>
      <c r="AH630" s="898"/>
      <c r="AI630" s="502"/>
      <c r="AJ630" s="502"/>
      <c r="AL630" s="434"/>
      <c r="AM630" s="436"/>
      <c r="AN630" s="434"/>
      <c r="AO630" s="434"/>
      <c r="AP630" s="556"/>
      <c r="AQ630" s="556"/>
      <c r="AR630" s="556"/>
      <c r="CF630" s="2"/>
    </row>
    <row r="631" spans="3:84">
      <c r="C631" s="2"/>
      <c r="O631" s="93"/>
      <c r="AD631" s="502"/>
      <c r="AE631" s="911"/>
      <c r="AF631" s="502"/>
      <c r="AH631" s="898"/>
      <c r="AI631" s="502"/>
      <c r="AJ631" s="502"/>
      <c r="AL631" s="434"/>
      <c r="AM631" s="436"/>
      <c r="AN631" s="434"/>
      <c r="AO631" s="434"/>
      <c r="AP631" s="556"/>
      <c r="AQ631" s="556"/>
      <c r="AR631" s="556"/>
      <c r="CF631" s="2"/>
    </row>
    <row r="632" spans="3:84">
      <c r="C632" s="2"/>
      <c r="O632" s="93"/>
      <c r="AD632" s="502"/>
      <c r="AE632" s="911"/>
      <c r="AF632" s="502"/>
      <c r="AH632" s="898"/>
      <c r="AI632" s="502"/>
      <c r="AJ632" s="502"/>
      <c r="AL632" s="434"/>
      <c r="AM632" s="436"/>
      <c r="AN632" s="434"/>
      <c r="AO632" s="434"/>
      <c r="AP632" s="556"/>
      <c r="AQ632" s="556"/>
      <c r="AR632" s="556"/>
      <c r="CF632" s="2"/>
    </row>
    <row r="633" spans="3:84">
      <c r="C633" s="2"/>
      <c r="O633" s="93"/>
      <c r="AD633" s="502"/>
      <c r="AE633" s="911"/>
      <c r="AF633" s="502"/>
      <c r="AH633" s="898"/>
      <c r="AI633" s="502"/>
      <c r="AJ633" s="502"/>
      <c r="AL633" s="434"/>
      <c r="AM633" s="436"/>
      <c r="AN633" s="434"/>
      <c r="AO633" s="434"/>
      <c r="AP633" s="556"/>
      <c r="AQ633" s="556"/>
      <c r="AR633" s="556"/>
      <c r="CF633" s="2"/>
    </row>
    <row r="634" spans="3:84">
      <c r="C634" s="2"/>
      <c r="O634" s="93"/>
      <c r="AD634" s="502"/>
      <c r="AE634" s="911"/>
      <c r="AF634" s="502"/>
      <c r="AH634" s="898"/>
      <c r="AI634" s="502"/>
      <c r="AJ634" s="502"/>
      <c r="AL634" s="434"/>
      <c r="AM634" s="436"/>
      <c r="AN634" s="434"/>
      <c r="AO634" s="434"/>
      <c r="AP634" s="556"/>
      <c r="AQ634" s="556"/>
      <c r="AR634" s="556"/>
      <c r="CF634" s="2"/>
    </row>
    <row r="635" spans="3:84">
      <c r="C635" s="2"/>
      <c r="O635" s="93"/>
      <c r="AD635" s="502"/>
      <c r="AE635" s="911"/>
      <c r="AF635" s="502"/>
      <c r="AH635" s="898"/>
      <c r="AI635" s="502"/>
      <c r="AJ635" s="502"/>
      <c r="AL635" s="434"/>
      <c r="AM635" s="436"/>
      <c r="AN635" s="434"/>
      <c r="AO635" s="434"/>
      <c r="AP635" s="556"/>
      <c r="AQ635" s="556"/>
      <c r="AR635" s="556"/>
      <c r="CF635" s="2"/>
    </row>
    <row r="636" spans="3:84">
      <c r="C636" s="2"/>
      <c r="O636" s="93"/>
      <c r="AD636" s="502"/>
      <c r="AE636" s="911"/>
      <c r="AF636" s="502"/>
      <c r="AH636" s="898"/>
      <c r="AI636" s="502"/>
      <c r="AJ636" s="502"/>
      <c r="AL636" s="434"/>
      <c r="AM636" s="436"/>
      <c r="AN636" s="434"/>
      <c r="AO636" s="434"/>
      <c r="AP636" s="556"/>
      <c r="AQ636" s="556"/>
      <c r="AR636" s="556"/>
      <c r="CF636" s="2"/>
    </row>
    <row r="637" spans="3:84">
      <c r="C637" s="2"/>
      <c r="O637" s="93"/>
      <c r="AD637" s="502"/>
      <c r="AE637" s="911"/>
      <c r="AF637" s="502"/>
      <c r="AH637" s="898"/>
      <c r="AI637" s="502"/>
      <c r="AJ637" s="502"/>
      <c r="AL637" s="434"/>
      <c r="AM637" s="436"/>
      <c r="AN637" s="434"/>
      <c r="AO637" s="434"/>
      <c r="AP637" s="556"/>
      <c r="AQ637" s="556"/>
      <c r="AR637" s="556"/>
      <c r="CF637" s="2"/>
    </row>
    <row r="638" spans="3:84">
      <c r="C638" s="2"/>
      <c r="O638" s="93"/>
      <c r="AD638" s="502"/>
      <c r="AE638" s="911"/>
      <c r="AF638" s="502"/>
      <c r="AH638" s="898"/>
      <c r="AI638" s="502"/>
      <c r="AJ638" s="502"/>
      <c r="AL638" s="434"/>
      <c r="AM638" s="436"/>
      <c r="AN638" s="434"/>
      <c r="AO638" s="434"/>
      <c r="AP638" s="556"/>
      <c r="AQ638" s="556"/>
      <c r="AR638" s="556"/>
      <c r="CF638" s="2"/>
    </row>
    <row r="639" spans="3:84">
      <c r="C639" s="2"/>
      <c r="O639" s="93"/>
      <c r="AD639" s="502"/>
      <c r="AE639" s="911"/>
      <c r="AF639" s="502"/>
      <c r="AH639" s="898"/>
      <c r="AI639" s="502"/>
      <c r="AJ639" s="502"/>
      <c r="AL639" s="434"/>
      <c r="AM639" s="436"/>
      <c r="AN639" s="434"/>
      <c r="AO639" s="434"/>
      <c r="AP639" s="556"/>
      <c r="AQ639" s="556"/>
      <c r="AR639" s="556"/>
      <c r="CF639" s="2"/>
    </row>
    <row r="640" spans="3:84">
      <c r="C640" s="2"/>
      <c r="O640" s="93"/>
      <c r="AD640" s="502"/>
      <c r="AE640" s="911"/>
      <c r="AF640" s="502"/>
      <c r="AH640" s="898"/>
      <c r="AI640" s="502"/>
      <c r="AJ640" s="502"/>
      <c r="AL640" s="434"/>
      <c r="AM640" s="436"/>
      <c r="AN640" s="434"/>
      <c r="AO640" s="434"/>
      <c r="AP640" s="556"/>
      <c r="AQ640" s="556"/>
      <c r="AR640" s="556"/>
      <c r="CF640" s="2"/>
    </row>
    <row r="641" spans="3:84">
      <c r="C641" s="2"/>
      <c r="O641" s="93"/>
      <c r="AD641" s="502"/>
      <c r="AE641" s="911"/>
      <c r="AF641" s="502"/>
      <c r="AH641" s="898"/>
      <c r="AI641" s="502"/>
      <c r="AJ641" s="502"/>
      <c r="AL641" s="434"/>
      <c r="AM641" s="436"/>
      <c r="AN641" s="434"/>
      <c r="AO641" s="434"/>
      <c r="AP641" s="556"/>
      <c r="AQ641" s="556"/>
      <c r="AR641" s="556"/>
      <c r="CF641" s="2"/>
    </row>
    <row r="642" spans="3:84">
      <c r="C642" s="2"/>
      <c r="O642" s="93"/>
      <c r="AD642" s="502"/>
      <c r="AE642" s="911"/>
      <c r="AF642" s="502"/>
      <c r="AH642" s="898"/>
      <c r="AI642" s="502"/>
      <c r="AJ642" s="502"/>
      <c r="AL642" s="434"/>
      <c r="AM642" s="436"/>
      <c r="AN642" s="434"/>
      <c r="AO642" s="434"/>
      <c r="AP642" s="556"/>
      <c r="AQ642" s="556"/>
      <c r="AR642" s="556"/>
      <c r="CF642" s="2"/>
    </row>
    <row r="643" spans="3:84">
      <c r="C643" s="2"/>
      <c r="O643" s="93"/>
      <c r="AD643" s="502"/>
      <c r="AE643" s="911"/>
      <c r="AF643" s="502"/>
      <c r="AH643" s="898"/>
      <c r="AI643" s="502"/>
      <c r="AJ643" s="502"/>
      <c r="AL643" s="434"/>
      <c r="AM643" s="436"/>
      <c r="AN643" s="434"/>
      <c r="AO643" s="434"/>
      <c r="AP643" s="556"/>
      <c r="AQ643" s="556"/>
      <c r="AR643" s="556"/>
      <c r="CF643" s="2"/>
    </row>
    <row r="644" spans="3:84">
      <c r="C644" s="2"/>
      <c r="O644" s="93"/>
      <c r="AD644" s="502"/>
      <c r="AE644" s="911"/>
      <c r="AF644" s="502"/>
      <c r="AH644" s="898"/>
      <c r="AI644" s="502"/>
      <c r="AJ644" s="502"/>
      <c r="AL644" s="434"/>
      <c r="AM644" s="436"/>
      <c r="AN644" s="434"/>
      <c r="AO644" s="434"/>
      <c r="AP644" s="556"/>
      <c r="AQ644" s="556"/>
      <c r="AR644" s="556"/>
      <c r="CF644" s="2"/>
    </row>
    <row r="645" spans="3:84">
      <c r="C645" s="2"/>
      <c r="O645" s="93"/>
      <c r="AD645" s="502"/>
      <c r="AE645" s="911"/>
      <c r="AF645" s="502"/>
      <c r="AH645" s="898"/>
      <c r="AI645" s="502"/>
      <c r="AJ645" s="502"/>
      <c r="AL645" s="434"/>
      <c r="AM645" s="436"/>
      <c r="AN645" s="434"/>
      <c r="AO645" s="434"/>
      <c r="AP645" s="556"/>
      <c r="AQ645" s="556"/>
      <c r="AR645" s="556"/>
      <c r="CF645" s="2"/>
    </row>
    <row r="646" spans="3:84">
      <c r="C646" s="2"/>
      <c r="O646" s="93"/>
      <c r="AD646" s="502"/>
      <c r="AE646" s="911"/>
      <c r="AF646" s="502"/>
      <c r="AH646" s="898"/>
      <c r="AI646" s="502"/>
      <c r="AJ646" s="502"/>
      <c r="AL646" s="434"/>
      <c r="AM646" s="436"/>
      <c r="AN646" s="434"/>
      <c r="AO646" s="434"/>
      <c r="AP646" s="556"/>
      <c r="AQ646" s="556"/>
      <c r="AR646" s="556"/>
      <c r="CF646" s="2"/>
    </row>
    <row r="647" spans="3:84">
      <c r="C647" s="2"/>
      <c r="O647" s="93"/>
      <c r="AD647" s="502"/>
      <c r="AE647" s="911"/>
      <c r="AF647" s="502"/>
      <c r="AH647" s="898"/>
      <c r="AI647" s="502"/>
      <c r="AJ647" s="502"/>
      <c r="AL647" s="434"/>
      <c r="AM647" s="436"/>
      <c r="AN647" s="434"/>
      <c r="AO647" s="434"/>
      <c r="AP647" s="556"/>
      <c r="AQ647" s="556"/>
      <c r="AR647" s="556"/>
      <c r="CF647" s="2"/>
    </row>
    <row r="648" spans="3:84">
      <c r="C648" s="2"/>
      <c r="O648" s="93"/>
      <c r="AD648" s="502"/>
      <c r="AE648" s="911"/>
      <c r="AF648" s="502"/>
      <c r="AH648" s="898"/>
      <c r="AI648" s="502"/>
      <c r="AJ648" s="502"/>
      <c r="AL648" s="434"/>
      <c r="AM648" s="436"/>
      <c r="AN648" s="434"/>
      <c r="AO648" s="434"/>
      <c r="AP648" s="556"/>
      <c r="AQ648" s="556"/>
      <c r="AR648" s="556"/>
      <c r="CF648" s="2"/>
    </row>
    <row r="649" spans="3:84">
      <c r="C649" s="2"/>
      <c r="O649" s="93"/>
      <c r="AD649" s="502"/>
      <c r="AE649" s="911"/>
      <c r="AF649" s="502"/>
      <c r="AH649" s="898"/>
      <c r="AI649" s="502"/>
      <c r="AJ649" s="502"/>
      <c r="AL649" s="434"/>
      <c r="AM649" s="436"/>
      <c r="AN649" s="434"/>
      <c r="AO649" s="434"/>
      <c r="AP649" s="556"/>
      <c r="AQ649" s="556"/>
      <c r="AR649" s="556"/>
      <c r="CF649" s="2"/>
    </row>
    <row r="650" spans="3:84">
      <c r="C650" s="2"/>
      <c r="O650" s="93"/>
      <c r="AD650" s="502"/>
      <c r="AE650" s="911"/>
      <c r="AF650" s="502"/>
      <c r="AH650" s="898"/>
      <c r="AI650" s="502"/>
      <c r="AJ650" s="502"/>
      <c r="AL650" s="434"/>
      <c r="AM650" s="436"/>
      <c r="AN650" s="434"/>
      <c r="AO650" s="434"/>
      <c r="AP650" s="556"/>
      <c r="AQ650" s="556"/>
      <c r="AR650" s="556"/>
      <c r="CF650" s="2"/>
    </row>
    <row r="651" spans="3:84">
      <c r="C651" s="2"/>
      <c r="O651" s="93"/>
      <c r="AD651" s="502"/>
      <c r="AE651" s="911"/>
      <c r="AF651" s="502"/>
      <c r="AH651" s="898"/>
      <c r="AI651" s="502"/>
      <c r="AJ651" s="502"/>
      <c r="AL651" s="434"/>
      <c r="AM651" s="436"/>
      <c r="AN651" s="434"/>
      <c r="AO651" s="434"/>
      <c r="AP651" s="556"/>
      <c r="AQ651" s="556"/>
      <c r="AR651" s="556"/>
      <c r="CF651" s="2"/>
    </row>
    <row r="652" spans="3:84">
      <c r="C652" s="2"/>
      <c r="O652" s="93"/>
      <c r="AD652" s="502"/>
      <c r="AE652" s="911"/>
      <c r="AF652" s="502"/>
      <c r="AH652" s="898"/>
      <c r="AI652" s="502"/>
      <c r="AJ652" s="502"/>
      <c r="AL652" s="434"/>
      <c r="AM652" s="436"/>
      <c r="AN652" s="434"/>
      <c r="AO652" s="434"/>
      <c r="AP652" s="556"/>
      <c r="AQ652" s="556"/>
      <c r="AR652" s="556"/>
      <c r="CF652" s="2"/>
    </row>
    <row r="653" spans="3:84">
      <c r="C653" s="2"/>
      <c r="O653" s="93"/>
      <c r="AD653" s="502"/>
      <c r="AE653" s="911"/>
      <c r="AF653" s="502"/>
      <c r="AH653" s="898"/>
      <c r="AI653" s="502"/>
      <c r="AJ653" s="502"/>
      <c r="AL653" s="434"/>
      <c r="AM653" s="436"/>
      <c r="AN653" s="434"/>
      <c r="AO653" s="434"/>
      <c r="AP653" s="556"/>
      <c r="AQ653" s="556"/>
      <c r="AR653" s="556"/>
      <c r="CF653" s="2"/>
    </row>
    <row r="654" spans="3:84">
      <c r="C654" s="2"/>
      <c r="O654" s="93"/>
      <c r="AD654" s="502"/>
      <c r="AE654" s="911"/>
      <c r="AF654" s="502"/>
      <c r="AH654" s="898"/>
      <c r="AI654" s="502"/>
      <c r="AJ654" s="502"/>
      <c r="AL654" s="434"/>
      <c r="AM654" s="436"/>
      <c r="AN654" s="434"/>
      <c r="AO654" s="434"/>
      <c r="AP654" s="556"/>
      <c r="AQ654" s="556"/>
      <c r="AR654" s="556"/>
      <c r="CF654" s="2"/>
    </row>
    <row r="655" spans="3:84">
      <c r="C655" s="2"/>
      <c r="O655" s="93"/>
      <c r="AD655" s="502"/>
      <c r="AE655" s="911"/>
      <c r="AF655" s="502"/>
      <c r="AH655" s="898"/>
      <c r="AI655" s="502"/>
      <c r="AJ655" s="502"/>
      <c r="AL655" s="434"/>
      <c r="AM655" s="436"/>
      <c r="AN655" s="434"/>
      <c r="AO655" s="434"/>
      <c r="AP655" s="556"/>
      <c r="AQ655" s="556"/>
      <c r="AR655" s="556"/>
      <c r="CF655" s="2"/>
    </row>
    <row r="656" spans="3:84">
      <c r="C656" s="2"/>
      <c r="O656" s="93"/>
      <c r="AD656" s="502"/>
      <c r="AE656" s="911"/>
      <c r="AF656" s="502"/>
      <c r="AH656" s="898"/>
      <c r="AI656" s="502"/>
      <c r="AJ656" s="502"/>
      <c r="AL656" s="434"/>
      <c r="AM656" s="436"/>
      <c r="AN656" s="434"/>
      <c r="AO656" s="434"/>
      <c r="AP656" s="556"/>
      <c r="AQ656" s="556"/>
      <c r="AR656" s="556"/>
      <c r="CF656" s="2"/>
    </row>
    <row r="657" spans="3:84">
      <c r="C657" s="2"/>
      <c r="O657" s="93"/>
      <c r="AD657" s="502"/>
      <c r="AE657" s="911"/>
      <c r="AF657" s="502"/>
      <c r="AH657" s="898"/>
      <c r="AI657" s="502"/>
      <c r="AJ657" s="502"/>
      <c r="AL657" s="434"/>
      <c r="AM657" s="436"/>
      <c r="AN657" s="434"/>
      <c r="AO657" s="434"/>
      <c r="AP657" s="556"/>
      <c r="AQ657" s="556"/>
      <c r="AR657" s="556"/>
      <c r="CF657" s="2"/>
    </row>
    <row r="658" spans="3:84">
      <c r="C658" s="2"/>
      <c r="O658" s="93"/>
      <c r="AD658" s="502"/>
      <c r="AE658" s="911"/>
      <c r="AF658" s="502"/>
      <c r="AH658" s="898"/>
      <c r="AI658" s="502"/>
      <c r="AJ658" s="502"/>
      <c r="AL658" s="434"/>
      <c r="AM658" s="436"/>
      <c r="AN658" s="434"/>
      <c r="AO658" s="434"/>
      <c r="AP658" s="556"/>
      <c r="AQ658" s="556"/>
      <c r="AR658" s="556"/>
      <c r="CF658" s="2"/>
    </row>
    <row r="659" spans="3:84">
      <c r="C659" s="2"/>
      <c r="O659" s="93"/>
      <c r="AD659" s="502"/>
      <c r="AE659" s="911"/>
      <c r="AF659" s="502"/>
      <c r="AH659" s="898"/>
      <c r="AI659" s="502"/>
      <c r="AJ659" s="502"/>
      <c r="AL659" s="434"/>
      <c r="AM659" s="436"/>
      <c r="AN659" s="434"/>
      <c r="AO659" s="434"/>
      <c r="AP659" s="556"/>
      <c r="AQ659" s="556"/>
      <c r="AR659" s="556"/>
      <c r="CF659" s="2"/>
    </row>
    <row r="660" spans="3:84">
      <c r="C660" s="2"/>
      <c r="O660" s="93"/>
      <c r="AD660" s="502"/>
      <c r="AE660" s="911"/>
      <c r="AF660" s="502"/>
      <c r="AH660" s="898"/>
      <c r="AI660" s="502"/>
      <c r="AJ660" s="502"/>
      <c r="AL660" s="434"/>
      <c r="AM660" s="436"/>
      <c r="AN660" s="434"/>
      <c r="AO660" s="434"/>
      <c r="AP660" s="556"/>
      <c r="AQ660" s="556"/>
      <c r="AR660" s="556"/>
      <c r="CF660" s="2"/>
    </row>
    <row r="661" spans="3:84">
      <c r="C661" s="2"/>
      <c r="O661" s="93"/>
      <c r="AD661" s="502"/>
      <c r="AE661" s="911"/>
      <c r="AF661" s="502"/>
      <c r="AH661" s="898"/>
      <c r="AI661" s="502"/>
      <c r="AJ661" s="502"/>
      <c r="AL661" s="434"/>
      <c r="AM661" s="436"/>
      <c r="AN661" s="434"/>
      <c r="AO661" s="434"/>
      <c r="AP661" s="556"/>
      <c r="AQ661" s="556"/>
      <c r="AR661" s="556"/>
      <c r="CF661" s="2"/>
    </row>
    <row r="662" spans="3:84">
      <c r="C662" s="2"/>
      <c r="O662" s="93"/>
      <c r="AD662" s="502"/>
      <c r="AE662" s="911"/>
      <c r="AF662" s="502"/>
      <c r="AH662" s="898"/>
      <c r="AI662" s="502"/>
      <c r="AJ662" s="502"/>
      <c r="AL662" s="434"/>
      <c r="AM662" s="436"/>
      <c r="AN662" s="434"/>
      <c r="AO662" s="434"/>
      <c r="AP662" s="556"/>
      <c r="AQ662" s="556"/>
      <c r="AR662" s="556"/>
      <c r="CF662" s="2"/>
    </row>
    <row r="663" spans="3:84">
      <c r="C663" s="2"/>
      <c r="O663" s="93"/>
      <c r="AD663" s="502"/>
      <c r="AE663" s="911"/>
      <c r="AF663" s="502"/>
      <c r="AH663" s="898"/>
      <c r="AI663" s="502"/>
      <c r="AJ663" s="502"/>
      <c r="AL663" s="434"/>
      <c r="AM663" s="436"/>
      <c r="AN663" s="434"/>
      <c r="AO663" s="434"/>
      <c r="AP663" s="556"/>
      <c r="AQ663" s="556"/>
      <c r="AR663" s="556"/>
      <c r="CF663" s="2"/>
    </row>
    <row r="664" spans="3:84">
      <c r="C664" s="2"/>
      <c r="O664" s="93"/>
      <c r="AD664" s="502"/>
      <c r="AE664" s="911"/>
      <c r="AF664" s="502"/>
      <c r="AH664" s="898"/>
      <c r="AI664" s="502"/>
      <c r="AJ664" s="502"/>
      <c r="AL664" s="434"/>
      <c r="AM664" s="436"/>
      <c r="AN664" s="434"/>
      <c r="AO664" s="434"/>
      <c r="AP664" s="556"/>
      <c r="AQ664" s="556"/>
      <c r="AR664" s="556"/>
      <c r="CF664" s="2"/>
    </row>
    <row r="665" spans="3:84">
      <c r="C665" s="2"/>
      <c r="O665" s="93"/>
      <c r="AD665" s="502"/>
      <c r="AE665" s="911"/>
      <c r="AF665" s="502"/>
      <c r="AH665" s="898"/>
      <c r="AI665" s="502"/>
      <c r="AJ665" s="502"/>
      <c r="AL665" s="434"/>
      <c r="AM665" s="436"/>
      <c r="AN665" s="434"/>
      <c r="AO665" s="434"/>
      <c r="AP665" s="556"/>
      <c r="AQ665" s="556"/>
      <c r="AR665" s="556"/>
      <c r="CF665" s="2"/>
    </row>
    <row r="666" spans="3:84">
      <c r="C666" s="2"/>
      <c r="O666" s="93"/>
      <c r="AD666" s="502"/>
      <c r="AE666" s="911"/>
      <c r="AF666" s="502"/>
      <c r="AH666" s="898"/>
      <c r="AI666" s="502"/>
      <c r="AJ666" s="502"/>
      <c r="AL666" s="434"/>
      <c r="AM666" s="436"/>
      <c r="AN666" s="434"/>
      <c r="AO666" s="434"/>
      <c r="AP666" s="556"/>
      <c r="AQ666" s="556"/>
      <c r="AR666" s="556"/>
      <c r="CF666" s="2"/>
    </row>
    <row r="667" spans="3:84">
      <c r="C667" s="2"/>
      <c r="O667" s="93"/>
      <c r="AD667" s="502"/>
      <c r="AE667" s="911"/>
      <c r="AF667" s="502"/>
      <c r="AH667" s="898"/>
      <c r="AI667" s="502"/>
      <c r="AJ667" s="502"/>
      <c r="AL667" s="434"/>
      <c r="AM667" s="436"/>
      <c r="AN667" s="434"/>
      <c r="AO667" s="434"/>
      <c r="AP667" s="556"/>
      <c r="AQ667" s="556"/>
      <c r="AR667" s="556"/>
      <c r="CF667" s="2"/>
    </row>
    <row r="668" spans="3:84">
      <c r="C668" s="2"/>
      <c r="O668" s="93"/>
      <c r="AD668" s="502"/>
      <c r="AE668" s="911"/>
      <c r="AF668" s="502"/>
      <c r="AH668" s="898"/>
      <c r="AI668" s="502"/>
      <c r="AJ668" s="502"/>
      <c r="AL668" s="434"/>
      <c r="AM668" s="436"/>
      <c r="AN668" s="434"/>
      <c r="AO668" s="434"/>
      <c r="AP668" s="556"/>
      <c r="AQ668" s="556"/>
      <c r="AR668" s="556"/>
      <c r="CF668" s="2"/>
    </row>
    <row r="669" spans="3:84">
      <c r="C669" s="2"/>
      <c r="O669" s="93"/>
      <c r="AD669" s="502"/>
      <c r="AE669" s="911"/>
      <c r="AF669" s="502"/>
      <c r="AH669" s="898"/>
      <c r="AI669" s="502"/>
      <c r="AJ669" s="502"/>
      <c r="AL669" s="434"/>
      <c r="AM669" s="436"/>
      <c r="AN669" s="434"/>
      <c r="AO669" s="434"/>
      <c r="AP669" s="556"/>
      <c r="AQ669" s="556"/>
      <c r="AR669" s="556"/>
      <c r="CF669" s="2"/>
    </row>
    <row r="670" spans="3:84">
      <c r="C670" s="2"/>
      <c r="O670" s="93"/>
      <c r="AD670" s="502"/>
      <c r="AE670" s="911"/>
      <c r="AF670" s="502"/>
      <c r="AH670" s="898"/>
      <c r="AI670" s="502"/>
      <c r="AJ670" s="502"/>
      <c r="AL670" s="434"/>
      <c r="AM670" s="436"/>
      <c r="AN670" s="434"/>
      <c r="AO670" s="434"/>
      <c r="AP670" s="556"/>
      <c r="AQ670" s="556"/>
      <c r="AR670" s="556"/>
      <c r="CF670" s="2"/>
    </row>
    <row r="671" spans="3:84">
      <c r="C671" s="2"/>
      <c r="O671" s="93"/>
      <c r="AD671" s="502"/>
      <c r="AE671" s="911"/>
      <c r="AF671" s="502"/>
      <c r="AH671" s="898"/>
      <c r="AI671" s="502"/>
      <c r="AJ671" s="502"/>
      <c r="AL671" s="434"/>
      <c r="AM671" s="436"/>
      <c r="AN671" s="434"/>
      <c r="AO671" s="434"/>
      <c r="AP671" s="556"/>
      <c r="AQ671" s="556"/>
      <c r="AR671" s="556"/>
      <c r="CF671" s="2"/>
    </row>
    <row r="672" spans="3:84">
      <c r="C672" s="2"/>
      <c r="O672" s="93"/>
      <c r="AD672" s="502"/>
      <c r="AE672" s="911"/>
      <c r="AF672" s="502"/>
      <c r="AH672" s="898"/>
      <c r="AI672" s="502"/>
      <c r="AJ672" s="502"/>
      <c r="AL672" s="434"/>
      <c r="AM672" s="436"/>
      <c r="AN672" s="434"/>
      <c r="AO672" s="434"/>
      <c r="AP672" s="556"/>
      <c r="AQ672" s="556"/>
      <c r="AR672" s="556"/>
      <c r="CF672" s="2"/>
    </row>
    <row r="673" spans="3:84">
      <c r="C673" s="2"/>
      <c r="O673" s="93"/>
      <c r="AD673" s="502"/>
      <c r="AE673" s="911"/>
      <c r="AF673" s="502"/>
      <c r="AH673" s="898"/>
      <c r="AI673" s="502"/>
      <c r="AJ673" s="502"/>
      <c r="AL673" s="434"/>
      <c r="AM673" s="436"/>
      <c r="AN673" s="434"/>
      <c r="AO673" s="434"/>
      <c r="AP673" s="556"/>
      <c r="AQ673" s="556"/>
      <c r="AR673" s="556"/>
      <c r="CF673" s="2"/>
    </row>
    <row r="674" spans="3:84">
      <c r="C674" s="2"/>
      <c r="O674" s="93"/>
      <c r="AD674" s="502"/>
      <c r="AE674" s="911"/>
      <c r="AF674" s="502"/>
      <c r="AH674" s="898"/>
      <c r="AI674" s="502"/>
      <c r="AJ674" s="502"/>
      <c r="AL674" s="434"/>
      <c r="AM674" s="436"/>
      <c r="AN674" s="434"/>
      <c r="AO674" s="434"/>
      <c r="AP674" s="556"/>
      <c r="AQ674" s="556"/>
      <c r="AR674" s="556"/>
      <c r="CF674" s="2"/>
    </row>
    <row r="675" spans="3:84">
      <c r="C675" s="2"/>
      <c r="O675" s="93"/>
      <c r="AD675" s="502"/>
      <c r="AE675" s="911"/>
      <c r="AF675" s="502"/>
      <c r="AH675" s="898"/>
      <c r="AI675" s="502"/>
      <c r="AJ675" s="502"/>
      <c r="AL675" s="434"/>
      <c r="AM675" s="436"/>
      <c r="AN675" s="434"/>
      <c r="AO675" s="434"/>
      <c r="AP675" s="556"/>
      <c r="AQ675" s="556"/>
      <c r="AR675" s="556"/>
      <c r="CF675" s="2"/>
    </row>
    <row r="676" spans="3:84">
      <c r="C676" s="2"/>
      <c r="O676" s="93"/>
      <c r="AD676" s="502"/>
      <c r="AE676" s="911"/>
      <c r="AF676" s="502"/>
      <c r="AH676" s="898"/>
      <c r="AI676" s="502"/>
      <c r="AJ676" s="502"/>
      <c r="AL676" s="434"/>
      <c r="AM676" s="436"/>
      <c r="AN676" s="434"/>
      <c r="AO676" s="434"/>
      <c r="AP676" s="556"/>
      <c r="AQ676" s="556"/>
      <c r="AR676" s="556"/>
      <c r="CF676" s="2"/>
    </row>
    <row r="677" spans="3:84">
      <c r="C677" s="2"/>
      <c r="O677" s="93"/>
      <c r="AD677" s="502"/>
      <c r="AE677" s="911"/>
      <c r="AF677" s="502"/>
      <c r="AH677" s="898"/>
      <c r="AI677" s="502"/>
      <c r="AJ677" s="502"/>
      <c r="AL677" s="434"/>
      <c r="AM677" s="436"/>
      <c r="AN677" s="434"/>
      <c r="AO677" s="434"/>
      <c r="AP677" s="556"/>
      <c r="AQ677" s="556"/>
      <c r="AR677" s="556"/>
      <c r="CF677" s="2"/>
    </row>
    <row r="678" spans="3:84">
      <c r="C678" s="2"/>
      <c r="O678" s="93"/>
      <c r="AD678" s="502"/>
      <c r="AE678" s="911"/>
      <c r="AF678" s="502"/>
      <c r="AH678" s="898"/>
      <c r="AI678" s="502"/>
      <c r="AJ678" s="502"/>
      <c r="AL678" s="434"/>
      <c r="AM678" s="436"/>
      <c r="AN678" s="434"/>
      <c r="AO678" s="434"/>
      <c r="AP678" s="556"/>
      <c r="AQ678" s="556"/>
      <c r="AR678" s="556"/>
      <c r="CF678" s="2"/>
    </row>
    <row r="679" spans="3:84">
      <c r="C679" s="2"/>
      <c r="O679" s="93"/>
      <c r="AD679" s="502"/>
      <c r="AE679" s="911"/>
      <c r="AF679" s="502"/>
      <c r="AH679" s="898"/>
      <c r="AI679" s="502"/>
      <c r="AJ679" s="502"/>
      <c r="AL679" s="434"/>
      <c r="AM679" s="436"/>
      <c r="AN679" s="434"/>
      <c r="AO679" s="434"/>
      <c r="AP679" s="556"/>
      <c r="AQ679" s="556"/>
      <c r="AR679" s="556"/>
      <c r="CF679" s="2"/>
    </row>
    <row r="680" spans="3:84">
      <c r="C680" s="2"/>
      <c r="O680" s="93"/>
      <c r="AD680" s="502"/>
      <c r="AE680" s="911"/>
      <c r="AF680" s="502"/>
      <c r="AH680" s="898"/>
      <c r="AI680" s="502"/>
      <c r="AJ680" s="502"/>
      <c r="AL680" s="434"/>
      <c r="AM680" s="436"/>
      <c r="AN680" s="434"/>
      <c r="AO680" s="434"/>
      <c r="AP680" s="556"/>
      <c r="AQ680" s="556"/>
      <c r="AR680" s="556"/>
      <c r="CF680" s="2"/>
    </row>
    <row r="681" spans="3:84">
      <c r="C681" s="2"/>
      <c r="O681" s="93"/>
      <c r="AD681" s="502"/>
      <c r="AE681" s="911"/>
      <c r="AF681" s="502"/>
      <c r="AH681" s="898"/>
      <c r="AI681" s="502"/>
      <c r="AJ681" s="502"/>
      <c r="AL681" s="434"/>
      <c r="AM681" s="436"/>
      <c r="AN681" s="434"/>
      <c r="AO681" s="434"/>
      <c r="AP681" s="556"/>
      <c r="AQ681" s="556"/>
      <c r="AR681" s="556"/>
      <c r="CF681" s="2"/>
    </row>
    <row r="682" spans="3:84">
      <c r="C682" s="2"/>
      <c r="O682" s="93"/>
      <c r="AD682" s="502"/>
      <c r="AE682" s="911"/>
      <c r="AF682" s="502"/>
      <c r="AH682" s="898"/>
      <c r="AI682" s="502"/>
      <c r="AJ682" s="502"/>
      <c r="AL682" s="434"/>
      <c r="AM682" s="436"/>
      <c r="AN682" s="434"/>
      <c r="AO682" s="434"/>
      <c r="AP682" s="556"/>
      <c r="AQ682" s="556"/>
      <c r="AR682" s="556"/>
      <c r="CF682" s="2"/>
    </row>
    <row r="683" spans="3:84">
      <c r="C683" s="2"/>
      <c r="O683" s="93"/>
      <c r="AD683" s="502"/>
      <c r="AE683" s="911"/>
      <c r="AF683" s="502"/>
      <c r="AH683" s="898"/>
      <c r="AI683" s="502"/>
      <c r="AJ683" s="502"/>
      <c r="AL683" s="434"/>
      <c r="AM683" s="436"/>
      <c r="AN683" s="434"/>
      <c r="AO683" s="434"/>
      <c r="AP683" s="556"/>
      <c r="AQ683" s="556"/>
      <c r="AR683" s="556"/>
      <c r="CF683" s="2"/>
    </row>
    <row r="684" spans="3:84">
      <c r="C684" s="2"/>
      <c r="O684" s="93"/>
      <c r="AD684" s="502"/>
      <c r="AE684" s="911"/>
      <c r="AF684" s="502"/>
      <c r="AH684" s="898"/>
      <c r="AI684" s="502"/>
      <c r="AJ684" s="502"/>
      <c r="AL684" s="434"/>
      <c r="AM684" s="436"/>
      <c r="AN684" s="434"/>
      <c r="AO684" s="434"/>
      <c r="AP684" s="556"/>
      <c r="AQ684" s="556"/>
      <c r="AR684" s="556"/>
      <c r="CF684" s="2"/>
    </row>
    <row r="685" spans="3:84">
      <c r="C685" s="2"/>
      <c r="O685" s="93"/>
      <c r="AD685" s="502"/>
      <c r="AE685" s="911"/>
      <c r="AF685" s="502"/>
      <c r="AH685" s="898"/>
      <c r="AI685" s="502"/>
      <c r="AJ685" s="502"/>
      <c r="AL685" s="434"/>
      <c r="AM685" s="436"/>
      <c r="AN685" s="434"/>
      <c r="AO685" s="434"/>
      <c r="AP685" s="556"/>
      <c r="AQ685" s="556"/>
      <c r="AR685" s="556"/>
      <c r="CF685" s="2"/>
    </row>
    <row r="686" spans="3:84">
      <c r="C686" s="2"/>
      <c r="O686" s="93"/>
      <c r="AD686" s="502"/>
      <c r="AE686" s="911"/>
      <c r="AF686" s="502"/>
      <c r="AH686" s="898"/>
      <c r="AI686" s="502"/>
      <c r="AJ686" s="502"/>
      <c r="AL686" s="434"/>
      <c r="AM686" s="436"/>
      <c r="AN686" s="434"/>
      <c r="AO686" s="434"/>
      <c r="AP686" s="556"/>
      <c r="AQ686" s="556"/>
      <c r="AR686" s="556"/>
      <c r="CF686" s="2"/>
    </row>
    <row r="687" spans="3:84">
      <c r="C687" s="2"/>
      <c r="O687" s="93"/>
      <c r="AD687" s="502"/>
      <c r="AE687" s="911"/>
      <c r="AF687" s="502"/>
      <c r="AH687" s="898"/>
      <c r="AI687" s="502"/>
      <c r="AJ687" s="502"/>
      <c r="AL687" s="434"/>
      <c r="AM687" s="436"/>
      <c r="AN687" s="434"/>
      <c r="AO687" s="434"/>
      <c r="AP687" s="556"/>
      <c r="AQ687" s="556"/>
      <c r="AR687" s="556"/>
      <c r="CF687" s="2"/>
    </row>
    <row r="688" spans="3:84">
      <c r="C688" s="2"/>
      <c r="O688" s="93"/>
      <c r="AD688" s="502"/>
      <c r="AE688" s="911"/>
      <c r="AF688" s="502"/>
      <c r="AH688" s="898"/>
      <c r="AI688" s="502"/>
      <c r="AJ688" s="502"/>
      <c r="AL688" s="434"/>
      <c r="AM688" s="436"/>
      <c r="AN688" s="434"/>
      <c r="AO688" s="434"/>
      <c r="AP688" s="556"/>
      <c r="AQ688" s="556"/>
      <c r="AR688" s="556"/>
      <c r="CF688" s="2"/>
    </row>
    <row r="689" spans="3:84">
      <c r="C689" s="2"/>
      <c r="O689" s="93"/>
      <c r="AD689" s="502"/>
      <c r="AE689" s="911"/>
      <c r="AF689" s="502"/>
      <c r="AH689" s="898"/>
      <c r="AI689" s="502"/>
      <c r="AJ689" s="502"/>
      <c r="AL689" s="434"/>
      <c r="AM689" s="436"/>
      <c r="AN689" s="434"/>
      <c r="AO689" s="434"/>
      <c r="AP689" s="556"/>
      <c r="AQ689" s="556"/>
      <c r="AR689" s="556"/>
      <c r="CF689" s="2"/>
    </row>
    <row r="690" spans="3:84">
      <c r="C690" s="2"/>
      <c r="O690" s="93"/>
      <c r="AD690" s="502"/>
      <c r="AE690" s="911"/>
      <c r="AF690" s="502"/>
      <c r="AH690" s="898"/>
      <c r="AI690" s="502"/>
      <c r="AJ690" s="502"/>
      <c r="AL690" s="434"/>
      <c r="AM690" s="436"/>
      <c r="AN690" s="434"/>
      <c r="AO690" s="434"/>
      <c r="AP690" s="556"/>
      <c r="AQ690" s="556"/>
      <c r="AR690" s="556"/>
      <c r="CF690" s="2"/>
    </row>
    <row r="691" spans="3:84">
      <c r="C691" s="2"/>
      <c r="O691" s="93"/>
      <c r="AD691" s="502"/>
      <c r="AE691" s="911"/>
      <c r="AF691" s="502"/>
      <c r="AH691" s="898"/>
      <c r="AI691" s="502"/>
      <c r="AJ691" s="502"/>
      <c r="AL691" s="434"/>
      <c r="AM691" s="436"/>
      <c r="AN691" s="434"/>
      <c r="AO691" s="434"/>
      <c r="AP691" s="556"/>
      <c r="AQ691" s="556"/>
      <c r="AR691" s="556"/>
      <c r="CF691" s="2"/>
    </row>
    <row r="692" spans="3:84">
      <c r="C692" s="2"/>
      <c r="O692" s="93"/>
      <c r="AD692" s="502"/>
      <c r="AE692" s="911"/>
      <c r="AF692" s="502"/>
      <c r="AH692" s="898"/>
      <c r="AI692" s="502"/>
      <c r="AJ692" s="502"/>
      <c r="AL692" s="434"/>
      <c r="AM692" s="436"/>
      <c r="AN692" s="434"/>
      <c r="AO692" s="434"/>
      <c r="AP692" s="556"/>
      <c r="AQ692" s="556"/>
      <c r="AR692" s="556"/>
      <c r="CF692" s="2"/>
    </row>
    <row r="693" spans="3:84">
      <c r="C693" s="2"/>
      <c r="O693" s="93"/>
      <c r="AD693" s="502"/>
      <c r="AE693" s="911"/>
      <c r="AF693" s="502"/>
      <c r="AH693" s="898"/>
      <c r="AI693" s="502"/>
      <c r="AJ693" s="502"/>
      <c r="AL693" s="434"/>
      <c r="AM693" s="436"/>
      <c r="AN693" s="434"/>
      <c r="AO693" s="434"/>
      <c r="AP693" s="556"/>
      <c r="AQ693" s="556"/>
      <c r="AR693" s="556"/>
      <c r="CF693" s="2"/>
    </row>
    <row r="694" spans="3:84">
      <c r="C694" s="2"/>
      <c r="O694" s="93"/>
      <c r="AD694" s="502"/>
      <c r="AE694" s="911"/>
      <c r="AF694" s="502"/>
      <c r="AH694" s="898"/>
      <c r="AI694" s="502"/>
      <c r="AJ694" s="502"/>
      <c r="AL694" s="434"/>
      <c r="AM694" s="436"/>
      <c r="AN694" s="434"/>
      <c r="AO694" s="434"/>
      <c r="AP694" s="556"/>
      <c r="AQ694" s="556"/>
      <c r="AR694" s="556"/>
      <c r="CF694" s="2"/>
    </row>
    <row r="695" spans="3:84">
      <c r="C695" s="2"/>
      <c r="O695" s="93"/>
      <c r="AD695" s="502"/>
      <c r="AE695" s="911"/>
      <c r="AF695" s="502"/>
      <c r="AH695" s="898"/>
      <c r="AI695" s="502"/>
      <c r="AJ695" s="502"/>
      <c r="AL695" s="434"/>
      <c r="AM695" s="436"/>
      <c r="AN695" s="434"/>
      <c r="AO695" s="434"/>
      <c r="AP695" s="556"/>
      <c r="AQ695" s="556"/>
      <c r="AR695" s="556"/>
      <c r="CF695" s="2"/>
    </row>
    <row r="696" spans="3:84">
      <c r="C696" s="2"/>
      <c r="O696" s="93"/>
      <c r="AD696" s="502"/>
      <c r="AE696" s="911"/>
      <c r="AF696" s="502"/>
      <c r="AH696" s="898"/>
      <c r="AI696" s="502"/>
      <c r="AJ696" s="502"/>
      <c r="AL696" s="434"/>
      <c r="AM696" s="436"/>
      <c r="AN696" s="434"/>
      <c r="AO696" s="434"/>
      <c r="AP696" s="556"/>
      <c r="AQ696" s="556"/>
      <c r="AR696" s="556"/>
      <c r="CF696" s="2"/>
    </row>
    <row r="697" spans="3:84">
      <c r="C697" s="2"/>
      <c r="O697" s="93"/>
      <c r="AD697" s="502"/>
      <c r="AE697" s="911"/>
      <c r="AF697" s="502"/>
      <c r="AH697" s="898"/>
      <c r="AI697" s="502"/>
      <c r="AJ697" s="502"/>
      <c r="AL697" s="434"/>
      <c r="AM697" s="436"/>
      <c r="AN697" s="434"/>
      <c r="AO697" s="434"/>
      <c r="AP697" s="556"/>
      <c r="AQ697" s="556"/>
      <c r="AR697" s="556"/>
      <c r="CF697" s="2"/>
    </row>
    <row r="698" spans="3:84">
      <c r="C698" s="2"/>
      <c r="O698" s="93"/>
      <c r="AD698" s="502"/>
      <c r="AE698" s="911"/>
      <c r="AF698" s="502"/>
      <c r="AH698" s="898"/>
      <c r="AI698" s="502"/>
      <c r="AJ698" s="502"/>
      <c r="AL698" s="434"/>
      <c r="AM698" s="436"/>
      <c r="AN698" s="434"/>
      <c r="AO698" s="434"/>
      <c r="AP698" s="556"/>
      <c r="AQ698" s="556"/>
      <c r="AR698" s="556"/>
      <c r="CF698" s="2"/>
    </row>
    <row r="699" spans="3:84">
      <c r="C699" s="2"/>
      <c r="O699" s="93"/>
      <c r="AD699" s="502"/>
      <c r="AE699" s="911"/>
      <c r="AF699" s="502"/>
      <c r="AH699" s="898"/>
      <c r="AI699" s="502"/>
      <c r="AJ699" s="502"/>
      <c r="AL699" s="434"/>
      <c r="AM699" s="436"/>
      <c r="AN699" s="434"/>
      <c r="AO699" s="434"/>
      <c r="AP699" s="556"/>
      <c r="AQ699" s="556"/>
      <c r="AR699" s="556"/>
      <c r="CF699" s="2"/>
    </row>
    <row r="700" spans="3:84">
      <c r="C700" s="2"/>
      <c r="O700" s="93"/>
      <c r="AD700" s="502"/>
      <c r="AE700" s="911"/>
      <c r="AF700" s="502"/>
      <c r="AH700" s="898"/>
      <c r="AI700" s="502"/>
      <c r="AJ700" s="502"/>
      <c r="AL700" s="434"/>
      <c r="AM700" s="436"/>
      <c r="AN700" s="434"/>
      <c r="AO700" s="434"/>
      <c r="AP700" s="556"/>
      <c r="AQ700" s="556"/>
      <c r="AR700" s="556"/>
      <c r="CF700" s="2"/>
    </row>
    <row r="701" spans="3:84">
      <c r="C701" s="2"/>
      <c r="O701" s="93"/>
      <c r="AD701" s="502"/>
      <c r="AE701" s="911"/>
      <c r="AF701" s="502"/>
      <c r="AH701" s="898"/>
      <c r="AI701" s="502"/>
      <c r="AJ701" s="502"/>
      <c r="AL701" s="434"/>
      <c r="AM701" s="436"/>
      <c r="AN701" s="434"/>
      <c r="AO701" s="434"/>
      <c r="AP701" s="556"/>
      <c r="AQ701" s="556"/>
      <c r="AR701" s="556"/>
      <c r="CF701" s="2"/>
    </row>
    <row r="702" spans="3:84">
      <c r="C702" s="2"/>
      <c r="O702" s="93"/>
      <c r="AD702" s="502"/>
      <c r="AE702" s="911"/>
      <c r="AF702" s="502"/>
      <c r="AH702" s="898"/>
      <c r="AI702" s="502"/>
      <c r="AJ702" s="502"/>
      <c r="AL702" s="434"/>
      <c r="AM702" s="436"/>
      <c r="AN702" s="434"/>
      <c r="AO702" s="434"/>
      <c r="AP702" s="556"/>
      <c r="AQ702" s="556"/>
      <c r="AR702" s="556"/>
      <c r="CF702" s="2"/>
    </row>
    <row r="703" spans="3:84">
      <c r="C703" s="2"/>
      <c r="O703" s="93"/>
      <c r="AD703" s="502"/>
      <c r="AE703" s="911"/>
      <c r="AF703" s="502"/>
      <c r="AH703" s="898"/>
      <c r="AI703" s="502"/>
      <c r="AJ703" s="502"/>
      <c r="AL703" s="434"/>
      <c r="AM703" s="436"/>
      <c r="AN703" s="434"/>
      <c r="AO703" s="434"/>
      <c r="AP703" s="556"/>
      <c r="AQ703" s="556"/>
      <c r="AR703" s="556"/>
      <c r="CF703" s="2"/>
    </row>
    <row r="704" spans="3:84">
      <c r="C704" s="2"/>
      <c r="O704" s="93"/>
      <c r="AD704" s="502"/>
      <c r="AE704" s="911"/>
      <c r="AF704" s="502"/>
      <c r="AH704" s="898"/>
      <c r="AI704" s="502"/>
      <c r="AJ704" s="502"/>
      <c r="AL704" s="434"/>
      <c r="AM704" s="436"/>
      <c r="AN704" s="434"/>
      <c r="AO704" s="434"/>
      <c r="AP704" s="556"/>
      <c r="AQ704" s="556"/>
      <c r="AR704" s="556"/>
      <c r="CF704" s="2"/>
    </row>
    <row r="705" spans="3:84">
      <c r="C705" s="2"/>
      <c r="O705" s="93"/>
      <c r="AD705" s="502"/>
      <c r="AE705" s="911"/>
      <c r="AF705" s="502"/>
      <c r="AH705" s="898"/>
      <c r="AI705" s="502"/>
      <c r="AJ705" s="502"/>
      <c r="AL705" s="434"/>
      <c r="AM705" s="436"/>
      <c r="AN705" s="434"/>
      <c r="AO705" s="434"/>
      <c r="AP705" s="556"/>
      <c r="AQ705" s="556"/>
      <c r="AR705" s="556"/>
      <c r="CF705" s="2"/>
    </row>
    <row r="706" spans="3:84">
      <c r="C706" s="2"/>
      <c r="O706" s="93"/>
      <c r="AD706" s="502"/>
      <c r="AE706" s="911"/>
      <c r="AF706" s="502"/>
      <c r="AH706" s="898"/>
      <c r="AI706" s="502"/>
      <c r="AJ706" s="502"/>
      <c r="AL706" s="434"/>
      <c r="AM706" s="436"/>
      <c r="AN706" s="434"/>
      <c r="AO706" s="434"/>
      <c r="AP706" s="556"/>
      <c r="AQ706" s="556"/>
      <c r="AR706" s="556"/>
      <c r="CF706" s="2"/>
    </row>
    <row r="707" spans="3:84">
      <c r="C707" s="2"/>
      <c r="O707" s="93"/>
      <c r="AD707" s="502"/>
      <c r="AE707" s="911"/>
      <c r="AF707" s="502"/>
      <c r="AH707" s="898"/>
      <c r="AI707" s="502"/>
      <c r="AJ707" s="502"/>
      <c r="AL707" s="434"/>
      <c r="AM707" s="436"/>
      <c r="AN707" s="434"/>
      <c r="AO707" s="434"/>
      <c r="AP707" s="556"/>
      <c r="AQ707" s="556"/>
      <c r="AR707" s="556"/>
      <c r="CF707" s="2"/>
    </row>
    <row r="708" spans="3:84">
      <c r="C708" s="2"/>
      <c r="O708" s="93"/>
      <c r="AD708" s="502"/>
      <c r="AE708" s="911"/>
      <c r="AF708" s="502"/>
      <c r="AH708" s="898"/>
      <c r="AI708" s="502"/>
      <c r="AJ708" s="502"/>
      <c r="AL708" s="434"/>
      <c r="AM708" s="436"/>
      <c r="AN708" s="434"/>
      <c r="AO708" s="434"/>
      <c r="AP708" s="556"/>
      <c r="AQ708" s="556"/>
      <c r="AR708" s="556"/>
      <c r="CF708" s="2"/>
    </row>
    <row r="709" spans="3:84">
      <c r="C709" s="2"/>
      <c r="O709" s="93"/>
      <c r="AD709" s="502"/>
      <c r="AE709" s="911"/>
      <c r="AF709" s="502"/>
      <c r="AH709" s="898"/>
      <c r="AI709" s="502"/>
      <c r="AJ709" s="502"/>
      <c r="AL709" s="434"/>
      <c r="AM709" s="436"/>
      <c r="AN709" s="434"/>
      <c r="AO709" s="434"/>
      <c r="AP709" s="556"/>
      <c r="AQ709" s="556"/>
      <c r="AR709" s="556"/>
      <c r="CF709" s="2"/>
    </row>
    <row r="710" spans="3:84">
      <c r="C710" s="2"/>
      <c r="O710" s="93"/>
      <c r="AD710" s="502"/>
      <c r="AE710" s="911"/>
      <c r="AF710" s="502"/>
      <c r="AH710" s="898"/>
      <c r="AI710" s="502"/>
      <c r="AJ710" s="502"/>
      <c r="AL710" s="434"/>
      <c r="AM710" s="436"/>
      <c r="AN710" s="434"/>
      <c r="AO710" s="434"/>
      <c r="AP710" s="556"/>
      <c r="AQ710" s="556"/>
      <c r="AR710" s="556"/>
      <c r="CF710" s="2"/>
    </row>
    <row r="711" spans="3:84">
      <c r="C711" s="2"/>
      <c r="O711" s="93"/>
      <c r="AD711" s="502"/>
      <c r="AE711" s="911"/>
      <c r="AF711" s="502"/>
      <c r="AH711" s="898"/>
      <c r="AI711" s="502"/>
      <c r="AJ711" s="502"/>
      <c r="AL711" s="434"/>
      <c r="AM711" s="436"/>
      <c r="AN711" s="434"/>
      <c r="AO711" s="434"/>
      <c r="AP711" s="556"/>
      <c r="AQ711" s="556"/>
      <c r="AR711" s="556"/>
      <c r="CF711" s="2"/>
    </row>
    <row r="712" spans="3:84">
      <c r="C712" s="2"/>
      <c r="O712" s="93"/>
      <c r="AD712" s="502"/>
      <c r="AE712" s="911"/>
      <c r="AF712" s="502"/>
      <c r="AH712" s="898"/>
      <c r="AI712" s="502"/>
      <c r="AJ712" s="502"/>
      <c r="AL712" s="434"/>
      <c r="AM712" s="436"/>
      <c r="AN712" s="434"/>
      <c r="AO712" s="434"/>
      <c r="AP712" s="556"/>
      <c r="AQ712" s="556"/>
      <c r="AR712" s="556"/>
      <c r="CF712" s="2"/>
    </row>
    <row r="713" spans="3:84">
      <c r="C713" s="2"/>
      <c r="O713" s="93"/>
      <c r="AD713" s="502"/>
      <c r="AE713" s="911"/>
      <c r="AF713" s="502"/>
      <c r="AH713" s="898"/>
      <c r="AI713" s="502"/>
      <c r="AJ713" s="502"/>
      <c r="AL713" s="434"/>
      <c r="AM713" s="436"/>
      <c r="AN713" s="434"/>
      <c r="AO713" s="434"/>
      <c r="AP713" s="556"/>
      <c r="AQ713" s="556"/>
      <c r="AR713" s="556"/>
      <c r="CF713" s="2"/>
    </row>
    <row r="714" spans="3:84">
      <c r="C714" s="2"/>
      <c r="O714" s="93"/>
      <c r="AD714" s="502"/>
      <c r="AE714" s="911"/>
      <c r="AF714" s="502"/>
      <c r="AH714" s="898"/>
      <c r="AI714" s="502"/>
      <c r="AJ714" s="502"/>
      <c r="AL714" s="434"/>
      <c r="AM714" s="436"/>
      <c r="AN714" s="434"/>
      <c r="AO714" s="434"/>
      <c r="AP714" s="556"/>
      <c r="AQ714" s="556"/>
      <c r="AR714" s="556"/>
      <c r="CF714" s="2"/>
    </row>
    <row r="715" spans="3:84">
      <c r="C715" s="2"/>
      <c r="O715" s="93"/>
      <c r="AD715" s="502"/>
      <c r="AE715" s="911"/>
      <c r="AF715" s="502"/>
      <c r="AH715" s="898"/>
      <c r="AI715" s="502"/>
      <c r="AJ715" s="502"/>
      <c r="AL715" s="434"/>
      <c r="AM715" s="436"/>
      <c r="AN715" s="434"/>
      <c r="AO715" s="434"/>
      <c r="AP715" s="556"/>
      <c r="AQ715" s="556"/>
      <c r="AR715" s="556"/>
      <c r="CF715" s="2"/>
    </row>
    <row r="716" spans="3:84">
      <c r="C716" s="2"/>
      <c r="O716" s="93"/>
      <c r="AD716" s="502"/>
      <c r="AE716" s="911"/>
      <c r="AF716" s="502"/>
      <c r="AH716" s="898"/>
      <c r="AI716" s="502"/>
      <c r="AJ716" s="502"/>
      <c r="AL716" s="434"/>
      <c r="AM716" s="436"/>
      <c r="AN716" s="434"/>
      <c r="AO716" s="434"/>
      <c r="AP716" s="556"/>
      <c r="AQ716" s="556"/>
      <c r="AR716" s="556"/>
      <c r="CF716" s="2"/>
    </row>
    <row r="717" spans="3:84">
      <c r="C717" s="2"/>
      <c r="O717" s="93"/>
      <c r="AD717" s="502"/>
      <c r="AE717" s="911"/>
      <c r="AF717" s="502"/>
      <c r="AH717" s="898"/>
      <c r="AI717" s="502"/>
      <c r="AJ717" s="502"/>
      <c r="AL717" s="434"/>
      <c r="AM717" s="436"/>
      <c r="AN717" s="434"/>
      <c r="AO717" s="434"/>
      <c r="AP717" s="556"/>
      <c r="AQ717" s="556"/>
      <c r="AR717" s="556"/>
      <c r="CF717" s="2"/>
    </row>
    <row r="718" spans="3:84">
      <c r="C718" s="2"/>
      <c r="O718" s="93"/>
      <c r="AD718" s="502"/>
      <c r="AE718" s="911"/>
      <c r="AF718" s="502"/>
      <c r="AH718" s="898"/>
      <c r="AI718" s="502"/>
      <c r="AJ718" s="502"/>
      <c r="AL718" s="434"/>
      <c r="AM718" s="436"/>
      <c r="AN718" s="434"/>
      <c r="AO718" s="434"/>
      <c r="AP718" s="556"/>
      <c r="AQ718" s="556"/>
      <c r="AR718" s="556"/>
      <c r="CF718" s="2"/>
    </row>
    <row r="719" spans="3:84">
      <c r="C719" s="2"/>
      <c r="O719" s="93"/>
      <c r="AD719" s="502"/>
      <c r="AE719" s="911"/>
      <c r="AF719" s="502"/>
      <c r="AH719" s="898"/>
      <c r="AI719" s="502"/>
      <c r="AJ719" s="502"/>
      <c r="AL719" s="434"/>
      <c r="AM719" s="436"/>
      <c r="AN719" s="434"/>
      <c r="AO719" s="434"/>
      <c r="AP719" s="556"/>
      <c r="AQ719" s="556"/>
      <c r="AR719" s="556"/>
      <c r="CF719" s="2"/>
    </row>
    <row r="720" spans="3:84">
      <c r="C720" s="2"/>
      <c r="O720" s="93"/>
      <c r="AD720" s="502"/>
      <c r="AE720" s="911"/>
      <c r="AF720" s="502"/>
      <c r="AH720" s="898"/>
      <c r="AI720" s="502"/>
      <c r="AJ720" s="502"/>
      <c r="AL720" s="434"/>
      <c r="AM720" s="436"/>
      <c r="AN720" s="434"/>
      <c r="AO720" s="434"/>
      <c r="AP720" s="556"/>
      <c r="AQ720" s="556"/>
      <c r="AR720" s="556"/>
      <c r="CF720" s="2"/>
    </row>
    <row r="721" spans="3:84">
      <c r="C721" s="2"/>
      <c r="O721" s="93"/>
      <c r="AD721" s="502"/>
      <c r="AE721" s="911"/>
      <c r="AF721" s="502"/>
      <c r="AH721" s="898"/>
      <c r="AI721" s="502"/>
      <c r="AJ721" s="502"/>
      <c r="AL721" s="434"/>
      <c r="AM721" s="436"/>
      <c r="AN721" s="434"/>
      <c r="AO721" s="434"/>
      <c r="AP721" s="556"/>
      <c r="AQ721" s="556"/>
      <c r="AR721" s="556"/>
      <c r="CF721" s="2"/>
    </row>
    <row r="722" spans="3:84">
      <c r="C722" s="2"/>
      <c r="O722" s="93"/>
      <c r="AD722" s="502"/>
      <c r="AE722" s="911"/>
      <c r="AF722" s="502"/>
      <c r="AH722" s="898"/>
      <c r="AI722" s="502"/>
      <c r="AJ722" s="502"/>
      <c r="AL722" s="434"/>
      <c r="AM722" s="436"/>
      <c r="AN722" s="434"/>
      <c r="AO722" s="434"/>
      <c r="AP722" s="556"/>
      <c r="AQ722" s="556"/>
      <c r="AR722" s="556"/>
      <c r="CF722" s="2"/>
    </row>
    <row r="723" spans="3:84">
      <c r="C723" s="2"/>
      <c r="O723" s="93"/>
      <c r="AD723" s="502"/>
      <c r="AE723" s="911"/>
      <c r="AF723" s="502"/>
      <c r="AH723" s="898"/>
      <c r="AI723" s="502"/>
      <c r="AJ723" s="502"/>
      <c r="AL723" s="434"/>
      <c r="AM723" s="436"/>
      <c r="AN723" s="434"/>
      <c r="AO723" s="434"/>
      <c r="AP723" s="556"/>
      <c r="AQ723" s="556"/>
      <c r="AR723" s="556"/>
      <c r="CF723" s="2"/>
    </row>
    <row r="724" spans="3:84">
      <c r="C724" s="2"/>
      <c r="O724" s="93"/>
      <c r="AD724" s="502"/>
      <c r="AE724" s="911"/>
      <c r="AF724" s="502"/>
      <c r="AH724" s="898"/>
      <c r="AI724" s="502"/>
      <c r="AJ724" s="502"/>
      <c r="AL724" s="434"/>
      <c r="AM724" s="436"/>
      <c r="AN724" s="434"/>
      <c r="AO724" s="434"/>
      <c r="AP724" s="556"/>
      <c r="AQ724" s="556"/>
      <c r="AR724" s="556"/>
      <c r="CF724" s="2"/>
    </row>
    <row r="725" spans="3:84">
      <c r="C725" s="2"/>
      <c r="O725" s="93"/>
      <c r="AD725" s="502"/>
      <c r="AE725" s="911"/>
      <c r="AF725" s="502"/>
      <c r="AH725" s="898"/>
      <c r="AI725" s="502"/>
      <c r="AJ725" s="502"/>
      <c r="AL725" s="434"/>
      <c r="AM725" s="436"/>
      <c r="AN725" s="434"/>
      <c r="AO725" s="434"/>
      <c r="AP725" s="556"/>
      <c r="AQ725" s="556"/>
      <c r="AR725" s="556"/>
      <c r="CF725" s="2"/>
    </row>
    <row r="726" spans="3:84">
      <c r="C726" s="2"/>
      <c r="O726" s="93"/>
      <c r="AD726" s="502"/>
      <c r="AE726" s="911"/>
      <c r="AF726" s="502"/>
      <c r="AH726" s="898"/>
      <c r="AI726" s="502"/>
      <c r="AJ726" s="502"/>
      <c r="AL726" s="434"/>
      <c r="AM726" s="436"/>
      <c r="AN726" s="434"/>
      <c r="AO726" s="434"/>
      <c r="AP726" s="556"/>
      <c r="AQ726" s="556"/>
      <c r="AR726" s="556"/>
      <c r="CF726" s="2"/>
    </row>
    <row r="727" spans="3:84">
      <c r="C727" s="2"/>
      <c r="O727" s="93"/>
      <c r="AD727" s="502"/>
      <c r="AE727" s="911"/>
      <c r="AF727" s="502"/>
      <c r="AH727" s="898"/>
      <c r="AI727" s="502"/>
      <c r="AJ727" s="502"/>
      <c r="AL727" s="434"/>
      <c r="AM727" s="436"/>
      <c r="AN727" s="434"/>
      <c r="AO727" s="434"/>
      <c r="AP727" s="556"/>
      <c r="AQ727" s="556"/>
      <c r="AR727" s="556"/>
      <c r="CF727" s="2"/>
    </row>
    <row r="728" spans="3:84">
      <c r="C728" s="2"/>
      <c r="O728" s="93"/>
      <c r="AD728" s="502"/>
      <c r="AE728" s="911"/>
      <c r="AF728" s="502"/>
      <c r="AH728" s="898"/>
      <c r="AI728" s="502"/>
      <c r="AJ728" s="502"/>
      <c r="AL728" s="434"/>
      <c r="AM728" s="436"/>
      <c r="AN728" s="434"/>
      <c r="AO728" s="434"/>
      <c r="AP728" s="556"/>
      <c r="AQ728" s="556"/>
      <c r="AR728" s="556"/>
      <c r="CF728" s="2"/>
    </row>
    <row r="729" spans="3:84">
      <c r="C729" s="2"/>
      <c r="O729" s="93"/>
      <c r="AD729" s="502"/>
      <c r="AE729" s="911"/>
      <c r="AF729" s="502"/>
      <c r="AH729" s="898"/>
      <c r="AI729" s="502"/>
      <c r="AJ729" s="502"/>
      <c r="AL729" s="434"/>
      <c r="AM729" s="436"/>
      <c r="AN729" s="434"/>
      <c r="AO729" s="434"/>
      <c r="AP729" s="556"/>
      <c r="AQ729" s="556"/>
      <c r="AR729" s="556"/>
      <c r="CF729" s="2"/>
    </row>
    <row r="730" spans="3:84">
      <c r="C730" s="2"/>
      <c r="O730" s="93"/>
      <c r="AD730" s="502"/>
      <c r="AE730" s="911"/>
      <c r="AF730" s="502"/>
      <c r="AH730" s="898"/>
      <c r="AI730" s="502"/>
      <c r="AJ730" s="502"/>
      <c r="AL730" s="434"/>
      <c r="AM730" s="436"/>
      <c r="AN730" s="434"/>
      <c r="AO730" s="434"/>
      <c r="AP730" s="556"/>
      <c r="AQ730" s="556"/>
      <c r="AR730" s="556"/>
      <c r="CF730" s="2"/>
    </row>
    <row r="731" spans="3:84">
      <c r="C731" s="2"/>
      <c r="O731" s="93"/>
      <c r="AD731" s="502"/>
      <c r="AE731" s="911"/>
      <c r="AF731" s="502"/>
      <c r="AH731" s="898"/>
      <c r="AI731" s="502"/>
      <c r="AJ731" s="502"/>
      <c r="AL731" s="434"/>
      <c r="AM731" s="436"/>
      <c r="AN731" s="434"/>
      <c r="AO731" s="434"/>
      <c r="AP731" s="556"/>
      <c r="AQ731" s="556"/>
      <c r="AR731" s="556"/>
      <c r="CF731" s="2"/>
    </row>
    <row r="732" spans="3:84">
      <c r="C732" s="2"/>
      <c r="O732" s="93"/>
      <c r="AD732" s="502"/>
      <c r="AE732" s="911"/>
      <c r="AF732" s="502"/>
      <c r="AH732" s="898"/>
      <c r="AI732" s="502"/>
      <c r="AJ732" s="502"/>
      <c r="AL732" s="434"/>
      <c r="AM732" s="436"/>
      <c r="AN732" s="434"/>
      <c r="AO732" s="434"/>
      <c r="AP732" s="556"/>
      <c r="AQ732" s="556"/>
      <c r="AR732" s="556"/>
      <c r="CF732" s="2"/>
    </row>
    <row r="733" spans="3:84">
      <c r="C733" s="2"/>
      <c r="O733" s="93"/>
      <c r="AD733" s="502"/>
      <c r="AE733" s="911"/>
      <c r="AF733" s="502"/>
      <c r="AH733" s="898"/>
      <c r="AI733" s="502"/>
      <c r="AJ733" s="502"/>
      <c r="AL733" s="434"/>
      <c r="AM733" s="436"/>
      <c r="AN733" s="434"/>
      <c r="AO733" s="434"/>
      <c r="AP733" s="556"/>
      <c r="AQ733" s="556"/>
      <c r="AR733" s="556"/>
      <c r="CF733" s="2"/>
    </row>
    <row r="734" spans="3:84">
      <c r="C734" s="2"/>
      <c r="O734" s="93"/>
      <c r="AD734" s="502"/>
      <c r="AE734" s="911"/>
      <c r="AF734" s="502"/>
      <c r="AH734" s="898"/>
      <c r="AI734" s="502"/>
      <c r="AJ734" s="502"/>
      <c r="AL734" s="434"/>
      <c r="AM734" s="436"/>
      <c r="AN734" s="434"/>
      <c r="AO734" s="434"/>
      <c r="AP734" s="556"/>
      <c r="AQ734" s="556"/>
      <c r="AR734" s="556"/>
      <c r="CF734" s="2"/>
    </row>
    <row r="735" spans="3:84">
      <c r="C735" s="2"/>
      <c r="O735" s="93"/>
      <c r="AD735" s="502"/>
      <c r="AE735" s="911"/>
      <c r="AF735" s="502"/>
      <c r="AH735" s="898"/>
      <c r="AI735" s="502"/>
      <c r="AJ735" s="502"/>
      <c r="AL735" s="434"/>
      <c r="AM735" s="436"/>
      <c r="AN735" s="434"/>
      <c r="AO735" s="434"/>
      <c r="AP735" s="556"/>
      <c r="AQ735" s="556"/>
      <c r="AR735" s="556"/>
      <c r="CF735" s="2"/>
    </row>
    <row r="736" spans="3:84">
      <c r="C736" s="2"/>
      <c r="O736" s="93"/>
      <c r="AD736" s="502"/>
      <c r="AE736" s="911"/>
      <c r="AF736" s="502"/>
      <c r="AH736" s="898"/>
      <c r="AI736" s="502"/>
      <c r="AJ736" s="502"/>
      <c r="AL736" s="434"/>
      <c r="AM736" s="436"/>
      <c r="AN736" s="434"/>
      <c r="AO736" s="434"/>
      <c r="AP736" s="556"/>
      <c r="AQ736" s="556"/>
      <c r="AR736" s="556"/>
      <c r="CF736" s="2"/>
    </row>
    <row r="737" spans="3:84">
      <c r="C737" s="2"/>
      <c r="O737" s="93"/>
      <c r="AD737" s="502"/>
      <c r="AE737" s="911"/>
      <c r="AF737" s="502"/>
      <c r="AH737" s="898"/>
      <c r="AI737" s="502"/>
      <c r="AJ737" s="502"/>
      <c r="AL737" s="434"/>
      <c r="AM737" s="436"/>
      <c r="AN737" s="434"/>
      <c r="AO737" s="434"/>
      <c r="AP737" s="556"/>
      <c r="AQ737" s="556"/>
      <c r="AR737" s="556"/>
      <c r="CF737" s="2"/>
    </row>
    <row r="738" spans="3:84">
      <c r="C738" s="2"/>
      <c r="O738" s="93"/>
      <c r="AD738" s="502"/>
      <c r="AE738" s="911"/>
      <c r="AF738" s="502"/>
      <c r="AH738" s="898"/>
      <c r="AI738" s="502"/>
      <c r="AJ738" s="502"/>
      <c r="AL738" s="434"/>
      <c r="AM738" s="436"/>
      <c r="AN738" s="434"/>
      <c r="AO738" s="434"/>
      <c r="AP738" s="556"/>
      <c r="AQ738" s="556"/>
      <c r="AR738" s="556"/>
      <c r="CF738" s="2"/>
    </row>
    <row r="739" spans="3:84">
      <c r="C739" s="2"/>
      <c r="O739" s="93"/>
      <c r="AD739" s="502"/>
      <c r="AE739" s="911"/>
      <c r="AF739" s="502"/>
      <c r="AH739" s="898"/>
      <c r="AI739" s="502"/>
      <c r="AJ739" s="502"/>
      <c r="AL739" s="434"/>
      <c r="AM739" s="436"/>
      <c r="AN739" s="434"/>
      <c r="AO739" s="434"/>
      <c r="AP739" s="556"/>
      <c r="AQ739" s="556"/>
      <c r="AR739" s="556"/>
      <c r="CF739" s="2"/>
    </row>
    <row r="740" spans="3:84">
      <c r="C740" s="2"/>
      <c r="O740" s="93"/>
      <c r="AD740" s="502"/>
      <c r="AE740" s="911"/>
      <c r="AF740" s="502"/>
      <c r="AH740" s="898"/>
      <c r="AI740" s="502"/>
      <c r="AJ740" s="502"/>
      <c r="AL740" s="434"/>
      <c r="AM740" s="436"/>
      <c r="AN740" s="434"/>
      <c r="AO740" s="434"/>
      <c r="AP740" s="556"/>
      <c r="AQ740" s="556"/>
      <c r="AR740" s="556"/>
      <c r="CF740" s="2"/>
    </row>
    <row r="741" spans="3:84">
      <c r="C741" s="2"/>
      <c r="O741" s="93"/>
      <c r="AD741" s="502"/>
      <c r="AE741" s="911"/>
      <c r="AF741" s="502"/>
      <c r="AH741" s="898"/>
      <c r="AI741" s="502"/>
      <c r="AJ741" s="502"/>
      <c r="AL741" s="434"/>
      <c r="AM741" s="436"/>
      <c r="AN741" s="434"/>
      <c r="AO741" s="434"/>
      <c r="AP741" s="556"/>
      <c r="AQ741" s="556"/>
      <c r="AR741" s="556"/>
      <c r="CF741" s="2"/>
    </row>
    <row r="742" spans="3:84">
      <c r="C742" s="2"/>
      <c r="O742" s="93"/>
      <c r="AD742" s="502"/>
      <c r="AE742" s="911"/>
      <c r="AF742" s="502"/>
      <c r="AH742" s="898"/>
      <c r="AI742" s="502"/>
      <c r="AJ742" s="502"/>
      <c r="AL742" s="434"/>
      <c r="AM742" s="436"/>
      <c r="AN742" s="434"/>
      <c r="AO742" s="434"/>
      <c r="AP742" s="556"/>
      <c r="AQ742" s="556"/>
      <c r="AR742" s="556"/>
      <c r="CF742" s="2"/>
    </row>
    <row r="743" spans="3:84">
      <c r="C743" s="2"/>
      <c r="O743" s="93"/>
      <c r="AD743" s="502"/>
      <c r="AE743" s="911"/>
      <c r="AF743" s="502"/>
      <c r="AH743" s="898"/>
      <c r="AI743" s="502"/>
      <c r="AJ743" s="502"/>
      <c r="AL743" s="434"/>
      <c r="AM743" s="436"/>
      <c r="AN743" s="434"/>
      <c r="AO743" s="434"/>
      <c r="AP743" s="556"/>
      <c r="AQ743" s="556"/>
      <c r="AR743" s="556"/>
      <c r="CF743" s="2"/>
    </row>
    <row r="744" spans="3:84">
      <c r="C744" s="2"/>
      <c r="O744" s="93"/>
      <c r="AD744" s="502"/>
      <c r="AE744" s="911"/>
      <c r="AF744" s="502"/>
      <c r="AH744" s="898"/>
      <c r="AI744" s="502"/>
      <c r="AJ744" s="502"/>
      <c r="AL744" s="434"/>
      <c r="AM744" s="436"/>
      <c r="AN744" s="434"/>
      <c r="AO744" s="434"/>
      <c r="AP744" s="556"/>
      <c r="AQ744" s="556"/>
      <c r="AR744" s="556"/>
      <c r="CF744" s="2"/>
    </row>
    <row r="745" spans="3:84">
      <c r="C745" s="2"/>
      <c r="O745" s="93"/>
      <c r="AD745" s="502"/>
      <c r="AE745" s="911"/>
      <c r="AF745" s="502"/>
      <c r="AH745" s="898"/>
      <c r="AI745" s="502"/>
      <c r="AJ745" s="502"/>
      <c r="AL745" s="434"/>
      <c r="AM745" s="436"/>
      <c r="AN745" s="434"/>
      <c r="AO745" s="434"/>
      <c r="AP745" s="556"/>
      <c r="AQ745" s="556"/>
      <c r="AR745" s="556"/>
      <c r="CF745" s="2"/>
    </row>
    <row r="746" spans="3:84">
      <c r="C746" s="2"/>
      <c r="O746" s="93"/>
      <c r="AD746" s="502"/>
      <c r="AE746" s="911"/>
      <c r="AF746" s="502"/>
      <c r="AH746" s="898"/>
      <c r="AI746" s="502"/>
      <c r="AJ746" s="502"/>
      <c r="AL746" s="434"/>
      <c r="AM746" s="436"/>
      <c r="AN746" s="434"/>
      <c r="AO746" s="434"/>
      <c r="AP746" s="556"/>
      <c r="AQ746" s="556"/>
      <c r="AR746" s="556"/>
      <c r="CF746" s="2"/>
    </row>
    <row r="747" spans="3:84">
      <c r="C747" s="2"/>
      <c r="O747" s="93"/>
      <c r="AD747" s="502"/>
      <c r="AE747" s="911"/>
      <c r="AF747" s="502"/>
      <c r="AH747" s="898"/>
      <c r="AI747" s="502"/>
      <c r="AJ747" s="502"/>
      <c r="AL747" s="434"/>
      <c r="AM747" s="436"/>
      <c r="AN747" s="434"/>
      <c r="AO747" s="434"/>
      <c r="AP747" s="556"/>
      <c r="AQ747" s="556"/>
      <c r="AR747" s="556"/>
      <c r="CF747" s="2"/>
    </row>
    <row r="748" spans="3:84">
      <c r="C748" s="2"/>
      <c r="O748" s="93"/>
      <c r="AD748" s="502"/>
      <c r="AE748" s="911"/>
      <c r="AF748" s="502"/>
      <c r="AH748" s="898"/>
      <c r="AI748" s="502"/>
      <c r="AJ748" s="502"/>
      <c r="AL748" s="434"/>
      <c r="AM748" s="436"/>
      <c r="AN748" s="434"/>
      <c r="AO748" s="434"/>
      <c r="AP748" s="556"/>
      <c r="AQ748" s="556"/>
      <c r="AR748" s="556"/>
      <c r="CF748" s="2"/>
    </row>
    <row r="749" spans="3:84">
      <c r="C749" s="2"/>
      <c r="O749" s="93"/>
      <c r="AD749" s="502"/>
      <c r="AE749" s="911"/>
      <c r="AF749" s="502"/>
      <c r="AH749" s="898"/>
      <c r="AI749" s="502"/>
      <c r="AJ749" s="502"/>
      <c r="AL749" s="434"/>
      <c r="AM749" s="436"/>
      <c r="AN749" s="434"/>
      <c r="AO749" s="434"/>
      <c r="AP749" s="556"/>
      <c r="AQ749" s="556"/>
      <c r="AR749" s="556"/>
      <c r="CF749" s="2"/>
    </row>
    <row r="750" spans="3:84">
      <c r="C750" s="2"/>
      <c r="O750" s="93"/>
      <c r="AD750" s="502"/>
      <c r="AE750" s="911"/>
      <c r="AF750" s="502"/>
      <c r="AH750" s="898"/>
      <c r="AI750" s="502"/>
      <c r="AJ750" s="502"/>
      <c r="AL750" s="434"/>
      <c r="AM750" s="436"/>
      <c r="AN750" s="434"/>
      <c r="AO750" s="434"/>
      <c r="AP750" s="556"/>
      <c r="AQ750" s="556"/>
      <c r="AR750" s="556"/>
      <c r="CF750" s="2"/>
    </row>
    <row r="751" spans="3:84">
      <c r="C751" s="2"/>
      <c r="O751" s="93"/>
      <c r="AD751" s="502"/>
      <c r="AE751" s="911"/>
      <c r="AF751" s="502"/>
      <c r="AH751" s="898"/>
      <c r="AI751" s="502"/>
      <c r="AJ751" s="502"/>
      <c r="AL751" s="434"/>
      <c r="AM751" s="436"/>
      <c r="AN751" s="434"/>
      <c r="AO751" s="434"/>
      <c r="AP751" s="556"/>
      <c r="AQ751" s="556"/>
      <c r="AR751" s="556"/>
      <c r="CF751" s="2"/>
    </row>
    <row r="752" spans="3:84">
      <c r="C752" s="2"/>
      <c r="O752" s="93"/>
      <c r="AD752" s="502"/>
      <c r="AE752" s="911"/>
      <c r="AF752" s="502"/>
      <c r="AH752" s="898"/>
      <c r="AI752" s="502"/>
      <c r="AJ752" s="502"/>
      <c r="AL752" s="434"/>
      <c r="AM752" s="436"/>
      <c r="AN752" s="434"/>
      <c r="AO752" s="434"/>
      <c r="AP752" s="556"/>
      <c r="AQ752" s="556"/>
      <c r="AR752" s="556"/>
      <c r="CF752" s="2"/>
    </row>
    <row r="753" spans="3:84">
      <c r="C753" s="2"/>
      <c r="O753" s="93"/>
      <c r="AD753" s="502"/>
      <c r="AE753" s="911"/>
      <c r="AF753" s="502"/>
      <c r="AH753" s="898"/>
      <c r="AI753" s="502"/>
      <c r="AJ753" s="502"/>
      <c r="AL753" s="434"/>
      <c r="AM753" s="436"/>
      <c r="AN753" s="434"/>
      <c r="AO753" s="434"/>
      <c r="AP753" s="556"/>
      <c r="AQ753" s="556"/>
      <c r="AR753" s="556"/>
      <c r="CF753" s="2"/>
    </row>
    <row r="754" spans="3:84">
      <c r="C754" s="2"/>
      <c r="O754" s="93"/>
      <c r="AD754" s="502"/>
      <c r="AE754" s="911"/>
      <c r="AF754" s="502"/>
      <c r="AH754" s="898"/>
      <c r="AI754" s="502"/>
      <c r="AJ754" s="502"/>
      <c r="AL754" s="434"/>
      <c r="AM754" s="436"/>
      <c r="AN754" s="434"/>
      <c r="AO754" s="434"/>
      <c r="AP754" s="556"/>
      <c r="AQ754" s="556"/>
      <c r="AR754" s="556"/>
      <c r="CF754" s="2"/>
    </row>
    <row r="755" spans="3:84">
      <c r="C755" s="2"/>
      <c r="O755" s="93"/>
      <c r="AD755" s="502"/>
      <c r="AE755" s="911"/>
      <c r="AF755" s="502"/>
      <c r="AH755" s="898"/>
      <c r="AI755" s="502"/>
      <c r="AJ755" s="502"/>
      <c r="AL755" s="434"/>
      <c r="AM755" s="436"/>
      <c r="AN755" s="434"/>
      <c r="AO755" s="434"/>
      <c r="AP755" s="556"/>
      <c r="AQ755" s="556"/>
      <c r="AR755" s="556"/>
      <c r="CF755" s="2"/>
    </row>
    <row r="756" spans="3:84">
      <c r="C756" s="2"/>
      <c r="O756" s="93"/>
      <c r="AD756" s="502"/>
      <c r="AE756" s="911"/>
      <c r="AF756" s="502"/>
      <c r="AH756" s="898"/>
      <c r="AI756" s="502"/>
      <c r="AJ756" s="502"/>
      <c r="AL756" s="434"/>
      <c r="AM756" s="436"/>
      <c r="AN756" s="434"/>
      <c r="AO756" s="434"/>
      <c r="AP756" s="556"/>
      <c r="AQ756" s="556"/>
      <c r="AR756" s="556"/>
      <c r="CF756" s="2"/>
    </row>
    <row r="757" spans="3:84">
      <c r="C757" s="2"/>
      <c r="O757" s="93"/>
      <c r="AD757" s="502"/>
      <c r="AE757" s="911"/>
      <c r="AF757" s="502"/>
      <c r="AH757" s="898"/>
      <c r="AI757" s="502"/>
      <c r="AJ757" s="502"/>
      <c r="AL757" s="434"/>
      <c r="AM757" s="436"/>
      <c r="AN757" s="434"/>
      <c r="AO757" s="434"/>
      <c r="AP757" s="556"/>
      <c r="AQ757" s="556"/>
      <c r="AR757" s="556"/>
      <c r="CF757" s="2"/>
    </row>
    <row r="758" spans="3:84">
      <c r="C758" s="2"/>
      <c r="O758" s="93"/>
      <c r="AD758" s="502"/>
      <c r="AE758" s="911"/>
      <c r="AF758" s="502"/>
      <c r="AH758" s="898"/>
      <c r="AI758" s="502"/>
      <c r="AJ758" s="502"/>
      <c r="AL758" s="434"/>
      <c r="AM758" s="436"/>
      <c r="AN758" s="434"/>
      <c r="AO758" s="434"/>
      <c r="AP758" s="556"/>
      <c r="AQ758" s="556"/>
      <c r="AR758" s="556"/>
      <c r="CF758" s="2"/>
    </row>
    <row r="759" spans="3:84">
      <c r="C759" s="2"/>
      <c r="O759" s="93"/>
      <c r="AD759" s="502"/>
      <c r="AE759" s="911"/>
      <c r="AF759" s="502"/>
      <c r="AH759" s="898"/>
      <c r="AI759" s="502"/>
      <c r="AJ759" s="502"/>
      <c r="AL759" s="434"/>
      <c r="AM759" s="436"/>
      <c r="AN759" s="434"/>
      <c r="AO759" s="434"/>
      <c r="AP759" s="556"/>
      <c r="AQ759" s="556"/>
      <c r="AR759" s="556"/>
      <c r="CF759" s="2"/>
    </row>
    <row r="760" spans="3:84">
      <c r="C760" s="2"/>
      <c r="O760" s="93"/>
      <c r="AD760" s="502"/>
      <c r="AE760" s="911"/>
      <c r="AF760" s="502"/>
      <c r="AH760" s="898"/>
      <c r="AI760" s="502"/>
      <c r="AJ760" s="502"/>
      <c r="AL760" s="434"/>
      <c r="AM760" s="436"/>
      <c r="AN760" s="434"/>
      <c r="AO760" s="434"/>
      <c r="AP760" s="556"/>
      <c r="AQ760" s="556"/>
      <c r="AR760" s="556"/>
      <c r="CF760" s="2"/>
    </row>
    <row r="761" spans="3:84">
      <c r="C761" s="2"/>
      <c r="O761" s="93"/>
      <c r="AD761" s="502"/>
      <c r="AE761" s="911"/>
      <c r="AF761" s="502"/>
      <c r="AH761" s="898"/>
      <c r="AI761" s="502"/>
      <c r="AJ761" s="502"/>
      <c r="AL761" s="434"/>
      <c r="AM761" s="436"/>
      <c r="AN761" s="434"/>
      <c r="AO761" s="434"/>
      <c r="AP761" s="556"/>
      <c r="AQ761" s="556"/>
      <c r="AR761" s="556"/>
      <c r="CF761" s="2"/>
    </row>
    <row r="762" spans="3:84">
      <c r="C762" s="2"/>
      <c r="O762" s="93"/>
      <c r="AD762" s="502"/>
      <c r="AE762" s="911"/>
      <c r="AF762" s="502"/>
      <c r="AH762" s="898"/>
      <c r="AI762" s="502"/>
      <c r="AJ762" s="502"/>
      <c r="AL762" s="434"/>
      <c r="AM762" s="436"/>
      <c r="AN762" s="434"/>
      <c r="AO762" s="434"/>
      <c r="AP762" s="556"/>
      <c r="AQ762" s="556"/>
      <c r="AR762" s="556"/>
      <c r="CF762" s="2"/>
    </row>
    <row r="763" spans="3:84">
      <c r="C763" s="2"/>
      <c r="O763" s="93"/>
      <c r="AD763" s="502"/>
      <c r="AE763" s="911"/>
      <c r="AF763" s="502"/>
      <c r="AH763" s="898"/>
      <c r="AI763" s="502"/>
      <c r="AJ763" s="502"/>
      <c r="AL763" s="434"/>
      <c r="AM763" s="436"/>
      <c r="AN763" s="434"/>
      <c r="AO763" s="434"/>
      <c r="AP763" s="556"/>
      <c r="AQ763" s="556"/>
      <c r="AR763" s="556"/>
      <c r="CF763" s="2"/>
    </row>
    <row r="764" spans="3:84">
      <c r="C764" s="2"/>
      <c r="O764" s="93"/>
      <c r="AD764" s="502"/>
      <c r="AE764" s="911"/>
      <c r="AF764" s="502"/>
      <c r="AH764" s="898"/>
      <c r="AI764" s="502"/>
      <c r="AJ764" s="502"/>
      <c r="AL764" s="434"/>
      <c r="AM764" s="436"/>
      <c r="AN764" s="434"/>
      <c r="AO764" s="434"/>
      <c r="AP764" s="556"/>
      <c r="AQ764" s="556"/>
      <c r="AR764" s="556"/>
      <c r="CF764" s="2"/>
    </row>
    <row r="765" spans="3:84">
      <c r="C765" s="2"/>
      <c r="O765" s="93"/>
      <c r="AD765" s="502"/>
      <c r="AE765" s="911"/>
      <c r="AF765" s="502"/>
      <c r="AH765" s="898"/>
      <c r="AI765" s="502"/>
      <c r="AJ765" s="502"/>
      <c r="AL765" s="434"/>
      <c r="AM765" s="436"/>
      <c r="AN765" s="434"/>
      <c r="AO765" s="434"/>
      <c r="AP765" s="556"/>
      <c r="AQ765" s="556"/>
      <c r="AR765" s="556"/>
      <c r="CF765" s="2"/>
    </row>
    <row r="766" spans="3:84">
      <c r="C766" s="2"/>
      <c r="O766" s="93"/>
      <c r="AD766" s="502"/>
      <c r="AE766" s="911"/>
      <c r="AF766" s="502"/>
      <c r="AH766" s="898"/>
      <c r="AI766" s="502"/>
      <c r="AJ766" s="502"/>
      <c r="AL766" s="434"/>
      <c r="AM766" s="436"/>
      <c r="AN766" s="434"/>
      <c r="AO766" s="434"/>
      <c r="AP766" s="556"/>
      <c r="AQ766" s="556"/>
      <c r="AR766" s="556"/>
      <c r="CF766" s="2"/>
    </row>
    <row r="767" spans="3:84">
      <c r="C767" s="2"/>
      <c r="O767" s="93"/>
      <c r="AD767" s="502"/>
      <c r="AE767" s="911"/>
      <c r="AF767" s="502"/>
      <c r="AH767" s="898"/>
      <c r="AI767" s="502"/>
      <c r="AJ767" s="502"/>
      <c r="AL767" s="434"/>
      <c r="AM767" s="436"/>
      <c r="AN767" s="434"/>
      <c r="AO767" s="434"/>
      <c r="AP767" s="556"/>
      <c r="AQ767" s="556"/>
      <c r="AR767" s="556"/>
      <c r="CF767" s="2"/>
    </row>
    <row r="768" spans="3:84">
      <c r="C768" s="2"/>
      <c r="O768" s="93"/>
      <c r="AD768" s="502"/>
      <c r="AE768" s="911"/>
      <c r="AF768" s="502"/>
      <c r="AH768" s="898"/>
      <c r="AI768" s="502"/>
      <c r="AJ768" s="502"/>
      <c r="AL768" s="434"/>
      <c r="AM768" s="436"/>
      <c r="AN768" s="434"/>
      <c r="AO768" s="434"/>
      <c r="AP768" s="556"/>
      <c r="AQ768" s="556"/>
      <c r="AR768" s="556"/>
      <c r="CF768" s="2"/>
    </row>
    <row r="769" spans="3:84">
      <c r="C769" s="2"/>
      <c r="O769" s="93"/>
      <c r="AD769" s="502"/>
      <c r="AE769" s="911"/>
      <c r="AF769" s="502"/>
      <c r="AH769" s="898"/>
      <c r="AI769" s="502"/>
      <c r="AJ769" s="502"/>
      <c r="AL769" s="434"/>
      <c r="AM769" s="436"/>
      <c r="AN769" s="434"/>
      <c r="AO769" s="434"/>
      <c r="AP769" s="556"/>
      <c r="AQ769" s="556"/>
      <c r="AR769" s="556"/>
      <c r="CF769" s="2"/>
    </row>
    <row r="770" spans="3:84">
      <c r="C770" s="2"/>
      <c r="O770" s="93"/>
      <c r="AD770" s="502"/>
      <c r="AE770" s="911"/>
      <c r="AF770" s="502"/>
      <c r="AH770" s="898"/>
      <c r="AI770" s="502"/>
      <c r="AJ770" s="502"/>
      <c r="AL770" s="434"/>
      <c r="AM770" s="436"/>
      <c r="AN770" s="434"/>
      <c r="AO770" s="434"/>
      <c r="AP770" s="556"/>
      <c r="AQ770" s="556"/>
      <c r="AR770" s="556"/>
      <c r="CF770" s="2"/>
    </row>
    <row r="771" spans="3:84">
      <c r="C771" s="2"/>
      <c r="O771" s="93"/>
      <c r="AD771" s="502"/>
      <c r="AE771" s="911"/>
      <c r="AF771" s="502"/>
      <c r="AH771" s="898"/>
      <c r="AI771" s="502"/>
      <c r="AJ771" s="502"/>
      <c r="AL771" s="434"/>
      <c r="AM771" s="436"/>
      <c r="AN771" s="434"/>
      <c r="AO771" s="434"/>
      <c r="AP771" s="556"/>
      <c r="AQ771" s="556"/>
      <c r="AR771" s="556"/>
      <c r="CF771" s="2"/>
    </row>
    <row r="772" spans="3:84">
      <c r="C772" s="2"/>
      <c r="O772" s="93"/>
      <c r="AD772" s="502"/>
      <c r="AE772" s="911"/>
      <c r="AF772" s="502"/>
      <c r="AH772" s="898"/>
      <c r="AI772" s="502"/>
      <c r="AJ772" s="502"/>
      <c r="AL772" s="434"/>
      <c r="AM772" s="436"/>
      <c r="AN772" s="434"/>
      <c r="AO772" s="434"/>
      <c r="AP772" s="556"/>
      <c r="AQ772" s="556"/>
      <c r="AR772" s="556"/>
      <c r="CF772" s="2"/>
    </row>
    <row r="773" spans="3:84">
      <c r="C773" s="2"/>
      <c r="O773" s="93"/>
      <c r="AD773" s="502"/>
      <c r="AE773" s="911"/>
      <c r="AF773" s="502"/>
      <c r="AH773" s="898"/>
      <c r="AI773" s="502"/>
      <c r="AJ773" s="502"/>
      <c r="AL773" s="434"/>
      <c r="AM773" s="436"/>
      <c r="AN773" s="434"/>
      <c r="AO773" s="434"/>
      <c r="AP773" s="556"/>
      <c r="AQ773" s="556"/>
      <c r="AR773" s="556"/>
      <c r="CF773" s="2"/>
    </row>
    <row r="774" spans="3:84">
      <c r="C774" s="2"/>
      <c r="O774" s="93"/>
      <c r="AD774" s="502"/>
      <c r="AE774" s="911"/>
      <c r="AF774" s="502"/>
      <c r="AH774" s="898"/>
      <c r="AI774" s="502"/>
      <c r="AJ774" s="502"/>
      <c r="AL774" s="434"/>
      <c r="AM774" s="436"/>
      <c r="AN774" s="434"/>
      <c r="AO774" s="434"/>
      <c r="AP774" s="556"/>
      <c r="AQ774" s="556"/>
      <c r="AR774" s="556"/>
      <c r="CF774" s="2"/>
    </row>
    <row r="775" spans="3:84">
      <c r="C775" s="2"/>
      <c r="O775" s="93"/>
      <c r="AD775" s="502"/>
      <c r="AE775" s="911"/>
      <c r="AF775" s="502"/>
      <c r="AH775" s="898"/>
      <c r="AI775" s="502"/>
      <c r="AJ775" s="502"/>
      <c r="AL775" s="434"/>
      <c r="AM775" s="436"/>
      <c r="AN775" s="434"/>
      <c r="AO775" s="434"/>
      <c r="AP775" s="556"/>
      <c r="AQ775" s="556"/>
      <c r="AR775" s="556"/>
      <c r="CF775" s="2"/>
    </row>
    <row r="776" spans="3:84">
      <c r="C776" s="2"/>
      <c r="O776" s="93"/>
      <c r="AD776" s="502"/>
      <c r="AE776" s="911"/>
      <c r="AF776" s="502"/>
      <c r="AH776" s="898"/>
      <c r="AI776" s="502"/>
      <c r="AJ776" s="502"/>
      <c r="AL776" s="434"/>
      <c r="AM776" s="436"/>
      <c r="AN776" s="434"/>
      <c r="AO776" s="434"/>
      <c r="AP776" s="556"/>
      <c r="AQ776" s="556"/>
      <c r="AR776" s="556"/>
      <c r="CF776" s="2"/>
    </row>
    <row r="777" spans="3:84">
      <c r="C777" s="2"/>
      <c r="O777" s="93"/>
      <c r="AD777" s="502"/>
      <c r="AE777" s="911"/>
      <c r="AF777" s="502"/>
      <c r="AH777" s="898"/>
      <c r="AI777" s="502"/>
      <c r="AJ777" s="502"/>
      <c r="AL777" s="434"/>
      <c r="AM777" s="436"/>
      <c r="AN777" s="434"/>
      <c r="AO777" s="434"/>
      <c r="AP777" s="556"/>
      <c r="AQ777" s="556"/>
      <c r="AR777" s="556"/>
      <c r="CF777" s="2"/>
    </row>
    <row r="778" spans="3:84">
      <c r="C778" s="2"/>
      <c r="O778" s="93"/>
      <c r="AD778" s="502"/>
      <c r="AE778" s="911"/>
      <c r="AF778" s="502"/>
      <c r="AH778" s="898"/>
      <c r="AI778" s="502"/>
      <c r="AJ778" s="502"/>
      <c r="AL778" s="434"/>
      <c r="AM778" s="436"/>
      <c r="AN778" s="434"/>
      <c r="AO778" s="434"/>
      <c r="AP778" s="556"/>
      <c r="AQ778" s="556"/>
      <c r="AR778" s="556"/>
      <c r="CF778" s="2"/>
    </row>
    <row r="779" spans="3:84">
      <c r="C779" s="2"/>
      <c r="O779" s="93"/>
      <c r="AD779" s="502"/>
      <c r="AE779" s="911"/>
      <c r="AF779" s="502"/>
      <c r="AH779" s="898"/>
      <c r="AI779" s="502"/>
      <c r="AJ779" s="502"/>
      <c r="AL779" s="434"/>
      <c r="AM779" s="436"/>
      <c r="AN779" s="434"/>
      <c r="AO779" s="434"/>
      <c r="AP779" s="556"/>
      <c r="AQ779" s="556"/>
      <c r="AR779" s="556"/>
      <c r="CF779" s="2"/>
    </row>
    <row r="780" spans="3:84">
      <c r="C780" s="2"/>
      <c r="O780" s="93"/>
      <c r="AD780" s="502"/>
      <c r="AE780" s="911"/>
      <c r="AF780" s="502"/>
      <c r="AH780" s="898"/>
      <c r="AI780" s="502"/>
      <c r="AJ780" s="502"/>
      <c r="AL780" s="434"/>
      <c r="AM780" s="436"/>
      <c r="AN780" s="434"/>
      <c r="AO780" s="434"/>
      <c r="AP780" s="556"/>
      <c r="AQ780" s="556"/>
      <c r="AR780" s="556"/>
      <c r="CF780" s="2"/>
    </row>
    <row r="781" spans="3:84">
      <c r="C781" s="2"/>
      <c r="O781" s="93"/>
      <c r="AD781" s="502"/>
      <c r="AE781" s="911"/>
      <c r="AF781" s="502"/>
      <c r="AH781" s="898"/>
      <c r="AI781" s="502"/>
      <c r="AJ781" s="502"/>
      <c r="AL781" s="434"/>
      <c r="AM781" s="436"/>
      <c r="AN781" s="434"/>
      <c r="AO781" s="434"/>
      <c r="AP781" s="556"/>
      <c r="AQ781" s="556"/>
      <c r="AR781" s="556"/>
      <c r="CF781" s="2"/>
    </row>
    <row r="782" spans="3:84">
      <c r="C782" s="2"/>
      <c r="O782" s="93"/>
      <c r="AD782" s="502"/>
      <c r="AE782" s="911"/>
      <c r="AF782" s="502"/>
      <c r="AH782" s="898"/>
      <c r="AI782" s="502"/>
      <c r="AJ782" s="502"/>
      <c r="AL782" s="434"/>
      <c r="AM782" s="436"/>
      <c r="AN782" s="434"/>
      <c r="AO782" s="434"/>
      <c r="AP782" s="556"/>
      <c r="AQ782" s="556"/>
      <c r="AR782" s="556"/>
      <c r="CF782" s="2"/>
    </row>
    <row r="783" spans="3:84">
      <c r="C783" s="2"/>
      <c r="O783" s="93"/>
      <c r="AD783" s="502"/>
      <c r="AE783" s="911"/>
      <c r="AF783" s="502"/>
      <c r="AH783" s="898"/>
      <c r="AI783" s="502"/>
      <c r="AJ783" s="502"/>
      <c r="AL783" s="434"/>
      <c r="AM783" s="436"/>
      <c r="AN783" s="434"/>
      <c r="AO783" s="434"/>
      <c r="AP783" s="556"/>
      <c r="AQ783" s="556"/>
      <c r="AR783" s="556"/>
      <c r="CF783" s="2"/>
    </row>
    <row r="784" spans="3:84">
      <c r="C784" s="2"/>
      <c r="O784" s="93"/>
      <c r="AD784" s="502"/>
      <c r="AE784" s="911"/>
      <c r="AF784" s="502"/>
      <c r="AH784" s="898"/>
      <c r="AI784" s="502"/>
      <c r="AJ784" s="502"/>
      <c r="AL784" s="434"/>
      <c r="AM784" s="436"/>
      <c r="AN784" s="434"/>
      <c r="AO784" s="434"/>
      <c r="AP784" s="556"/>
      <c r="AQ784" s="556"/>
      <c r="AR784" s="556"/>
      <c r="CF784" s="2"/>
    </row>
    <row r="785" spans="3:84">
      <c r="C785" s="2"/>
      <c r="O785" s="93"/>
      <c r="AD785" s="502"/>
      <c r="AE785" s="911"/>
      <c r="AF785" s="502"/>
      <c r="AH785" s="898"/>
      <c r="AI785" s="502"/>
      <c r="AJ785" s="502"/>
      <c r="AL785" s="434"/>
      <c r="AM785" s="436"/>
      <c r="AN785" s="434"/>
      <c r="AO785" s="434"/>
      <c r="AP785" s="556"/>
      <c r="AQ785" s="556"/>
      <c r="AR785" s="556"/>
      <c r="CF785" s="2"/>
    </row>
    <row r="786" spans="3:84">
      <c r="C786" s="2"/>
      <c r="O786" s="93"/>
      <c r="AD786" s="502"/>
      <c r="AE786" s="911"/>
      <c r="AF786" s="502"/>
      <c r="AH786" s="898"/>
      <c r="AI786" s="502"/>
      <c r="AJ786" s="502"/>
      <c r="AL786" s="434"/>
      <c r="AM786" s="436"/>
      <c r="AN786" s="434"/>
      <c r="AO786" s="434"/>
      <c r="AP786" s="556"/>
      <c r="AQ786" s="556"/>
      <c r="AR786" s="556"/>
      <c r="CF786" s="2"/>
    </row>
    <row r="787" spans="3:84">
      <c r="C787" s="2"/>
      <c r="O787" s="93"/>
      <c r="AD787" s="502"/>
      <c r="AE787" s="911"/>
      <c r="AF787" s="502"/>
      <c r="AH787" s="898"/>
      <c r="AI787" s="502"/>
      <c r="AJ787" s="502"/>
      <c r="AL787" s="434"/>
      <c r="AM787" s="436"/>
      <c r="AN787" s="434"/>
      <c r="AO787" s="434"/>
      <c r="AP787" s="556"/>
      <c r="AQ787" s="556"/>
      <c r="AR787" s="556"/>
      <c r="CF787" s="2"/>
    </row>
    <row r="788" spans="3:84">
      <c r="C788" s="2"/>
      <c r="O788" s="93"/>
      <c r="AD788" s="502"/>
      <c r="AE788" s="911"/>
      <c r="AF788" s="502"/>
      <c r="AH788" s="898"/>
      <c r="AI788" s="502"/>
      <c r="AJ788" s="502"/>
      <c r="AL788" s="434"/>
      <c r="AM788" s="436"/>
      <c r="AN788" s="434"/>
      <c r="AO788" s="434"/>
      <c r="AP788" s="556"/>
      <c r="AQ788" s="556"/>
      <c r="AR788" s="556"/>
      <c r="CF788" s="2"/>
    </row>
    <row r="789" spans="3:84">
      <c r="C789" s="2"/>
      <c r="O789" s="93"/>
      <c r="AD789" s="502"/>
      <c r="AE789" s="911"/>
      <c r="AF789" s="502"/>
      <c r="AH789" s="898"/>
      <c r="AI789" s="502"/>
      <c r="AJ789" s="502"/>
      <c r="AL789" s="434"/>
      <c r="AM789" s="436"/>
      <c r="AN789" s="434"/>
      <c r="AO789" s="434"/>
      <c r="AP789" s="556"/>
      <c r="AQ789" s="556"/>
      <c r="AR789" s="556"/>
      <c r="CF789" s="2"/>
    </row>
    <row r="790" spans="3:84">
      <c r="C790" s="2"/>
      <c r="O790" s="93"/>
      <c r="AD790" s="502"/>
      <c r="AE790" s="911"/>
      <c r="AF790" s="502"/>
      <c r="AH790" s="898"/>
      <c r="AI790" s="502"/>
      <c r="AJ790" s="502"/>
      <c r="AL790" s="434"/>
      <c r="AM790" s="436"/>
      <c r="AN790" s="434"/>
      <c r="AO790" s="434"/>
      <c r="AP790" s="556"/>
      <c r="AQ790" s="556"/>
      <c r="AR790" s="556"/>
      <c r="CF790" s="2"/>
    </row>
    <row r="791" spans="3:84">
      <c r="C791" s="2"/>
      <c r="O791" s="93"/>
      <c r="AD791" s="502"/>
      <c r="AE791" s="911"/>
      <c r="AF791" s="502"/>
      <c r="AH791" s="898"/>
      <c r="AI791" s="502"/>
      <c r="AJ791" s="502"/>
      <c r="AL791" s="434"/>
      <c r="AM791" s="436"/>
      <c r="AN791" s="434"/>
      <c r="AO791" s="434"/>
      <c r="AP791" s="556"/>
      <c r="AQ791" s="556"/>
      <c r="AR791" s="556"/>
      <c r="CF791" s="2"/>
    </row>
    <row r="792" spans="3:84">
      <c r="C792" s="2"/>
      <c r="O792" s="93"/>
      <c r="AD792" s="502"/>
      <c r="AE792" s="911"/>
      <c r="AF792" s="502"/>
      <c r="AH792" s="898"/>
      <c r="AI792" s="502"/>
      <c r="AJ792" s="502"/>
      <c r="AL792" s="434"/>
      <c r="AM792" s="436"/>
      <c r="AN792" s="434"/>
      <c r="AO792" s="434"/>
      <c r="AP792" s="556"/>
      <c r="AQ792" s="556"/>
      <c r="AR792" s="556"/>
      <c r="CF792" s="2"/>
    </row>
    <row r="793" spans="3:84">
      <c r="C793" s="2"/>
      <c r="O793" s="93"/>
      <c r="AD793" s="502"/>
      <c r="AE793" s="911"/>
      <c r="AF793" s="502"/>
      <c r="AH793" s="898"/>
      <c r="AI793" s="502"/>
      <c r="AJ793" s="502"/>
      <c r="AL793" s="434"/>
      <c r="AM793" s="436"/>
      <c r="AN793" s="434"/>
      <c r="AO793" s="434"/>
      <c r="AP793" s="556"/>
      <c r="AQ793" s="556"/>
      <c r="AR793" s="556"/>
      <c r="CF793" s="2"/>
    </row>
    <row r="794" spans="3:84">
      <c r="C794" s="2"/>
      <c r="O794" s="93"/>
      <c r="AD794" s="502"/>
      <c r="AE794" s="911"/>
      <c r="AF794" s="502"/>
      <c r="AH794" s="898"/>
      <c r="AI794" s="502"/>
      <c r="AJ794" s="502"/>
      <c r="AL794" s="434"/>
      <c r="AM794" s="436"/>
      <c r="AN794" s="434"/>
      <c r="AO794" s="434"/>
      <c r="AP794" s="556"/>
      <c r="AQ794" s="556"/>
      <c r="AR794" s="556"/>
      <c r="CF794" s="2"/>
    </row>
    <row r="795" spans="3:84">
      <c r="C795" s="2"/>
      <c r="O795" s="93"/>
      <c r="AD795" s="502"/>
      <c r="AE795" s="911"/>
      <c r="AF795" s="502"/>
      <c r="AH795" s="898"/>
      <c r="AI795" s="502"/>
      <c r="AJ795" s="502"/>
      <c r="AL795" s="434"/>
      <c r="AM795" s="436"/>
      <c r="AN795" s="434"/>
      <c r="AO795" s="434"/>
      <c r="AP795" s="556"/>
      <c r="AQ795" s="556"/>
      <c r="AR795" s="556"/>
      <c r="CF795" s="2"/>
    </row>
    <row r="796" spans="3:84">
      <c r="C796" s="2"/>
      <c r="O796" s="93"/>
      <c r="AD796" s="502"/>
      <c r="AE796" s="911"/>
      <c r="AF796" s="502"/>
      <c r="AH796" s="898"/>
      <c r="AI796" s="502"/>
      <c r="AJ796" s="502"/>
      <c r="AL796" s="434"/>
      <c r="AM796" s="436"/>
      <c r="AN796" s="434"/>
      <c r="AO796" s="434"/>
      <c r="AP796" s="556"/>
      <c r="AQ796" s="556"/>
      <c r="AR796" s="556"/>
      <c r="CF796" s="2"/>
    </row>
    <row r="797" spans="3:84">
      <c r="C797" s="2"/>
      <c r="O797" s="93"/>
      <c r="AD797" s="502"/>
      <c r="AE797" s="911"/>
      <c r="AF797" s="502"/>
      <c r="AH797" s="898"/>
      <c r="AI797" s="502"/>
      <c r="AJ797" s="502"/>
      <c r="AL797" s="434"/>
      <c r="AM797" s="436"/>
      <c r="AN797" s="434"/>
      <c r="AO797" s="434"/>
      <c r="AP797" s="556"/>
      <c r="AQ797" s="556"/>
      <c r="AR797" s="556"/>
      <c r="CF797" s="2"/>
    </row>
    <row r="798" spans="3:84">
      <c r="C798" s="2"/>
      <c r="O798" s="93"/>
      <c r="AD798" s="502"/>
      <c r="AE798" s="911"/>
      <c r="AF798" s="502"/>
      <c r="AH798" s="898"/>
      <c r="AI798" s="502"/>
      <c r="AJ798" s="502"/>
      <c r="AL798" s="434"/>
      <c r="AM798" s="436"/>
      <c r="AN798" s="434"/>
      <c r="AO798" s="434"/>
      <c r="AP798" s="556"/>
      <c r="AQ798" s="556"/>
      <c r="AR798" s="556"/>
      <c r="CF798" s="2"/>
    </row>
    <row r="799" spans="3:84">
      <c r="C799" s="2"/>
      <c r="O799" s="93"/>
      <c r="AD799" s="502"/>
      <c r="AE799" s="911"/>
      <c r="AF799" s="502"/>
      <c r="AH799" s="898"/>
      <c r="AI799" s="502"/>
      <c r="AJ799" s="502"/>
      <c r="AL799" s="434"/>
      <c r="AM799" s="436"/>
      <c r="AN799" s="434"/>
      <c r="AO799" s="434"/>
      <c r="AP799" s="556"/>
      <c r="AQ799" s="556"/>
      <c r="AR799" s="556"/>
      <c r="CF799" s="2"/>
    </row>
    <row r="800" spans="3:84">
      <c r="C800" s="2"/>
      <c r="O800" s="93"/>
      <c r="AD800" s="502"/>
      <c r="AE800" s="911"/>
      <c r="AF800" s="502"/>
      <c r="AH800" s="898"/>
      <c r="AI800" s="502"/>
      <c r="AJ800" s="502"/>
      <c r="AL800" s="434"/>
      <c r="AM800" s="436"/>
      <c r="AN800" s="434"/>
      <c r="AO800" s="434"/>
      <c r="AP800" s="556"/>
      <c r="AQ800" s="556"/>
      <c r="AR800" s="556"/>
      <c r="CF800" s="2"/>
    </row>
    <row r="801" spans="3:84">
      <c r="C801" s="2"/>
      <c r="O801" s="93"/>
      <c r="AD801" s="502"/>
      <c r="AE801" s="911"/>
      <c r="AF801" s="502"/>
      <c r="AH801" s="898"/>
      <c r="AI801" s="502"/>
      <c r="AJ801" s="502"/>
      <c r="AL801" s="434"/>
      <c r="AM801" s="436"/>
      <c r="AN801" s="434"/>
      <c r="AO801" s="434"/>
      <c r="AP801" s="556"/>
      <c r="AQ801" s="556"/>
      <c r="AR801" s="556"/>
      <c r="CF801" s="2"/>
    </row>
    <row r="802" spans="3:84">
      <c r="C802" s="2"/>
      <c r="O802" s="93"/>
      <c r="AD802" s="502"/>
      <c r="AE802" s="911"/>
      <c r="AF802" s="502"/>
      <c r="AH802" s="898"/>
      <c r="AI802" s="502"/>
      <c r="AJ802" s="502"/>
      <c r="AL802" s="434"/>
      <c r="AM802" s="436"/>
      <c r="AN802" s="434"/>
      <c r="AO802" s="434"/>
      <c r="AP802" s="556"/>
      <c r="AQ802" s="556"/>
      <c r="AR802" s="556"/>
      <c r="CF802" s="2"/>
    </row>
    <row r="803" spans="3:84">
      <c r="C803" s="2"/>
      <c r="O803" s="93"/>
      <c r="AD803" s="502"/>
      <c r="AE803" s="911"/>
      <c r="AF803" s="502"/>
      <c r="AH803" s="898"/>
      <c r="AI803" s="502"/>
      <c r="AJ803" s="502"/>
      <c r="AL803" s="434"/>
      <c r="AM803" s="436"/>
      <c r="AN803" s="434"/>
      <c r="AO803" s="434"/>
      <c r="AP803" s="556"/>
      <c r="AQ803" s="556"/>
      <c r="AR803" s="556"/>
      <c r="CF803" s="2"/>
    </row>
    <row r="804" spans="3:84">
      <c r="C804" s="2"/>
      <c r="O804" s="93"/>
      <c r="AD804" s="502"/>
      <c r="AE804" s="911"/>
      <c r="AF804" s="502"/>
      <c r="AH804" s="898"/>
      <c r="AI804" s="502"/>
      <c r="AJ804" s="502"/>
      <c r="AL804" s="434"/>
      <c r="AM804" s="436"/>
      <c r="AN804" s="434"/>
      <c r="AO804" s="434"/>
      <c r="AP804" s="556"/>
      <c r="AQ804" s="556"/>
      <c r="AR804" s="556"/>
      <c r="CF804" s="2"/>
    </row>
    <row r="805" spans="3:84">
      <c r="C805" s="2"/>
      <c r="O805" s="93"/>
      <c r="AD805" s="502"/>
      <c r="AE805" s="911"/>
      <c r="AF805" s="502"/>
      <c r="AH805" s="898"/>
      <c r="AI805" s="502"/>
      <c r="AJ805" s="502"/>
      <c r="AL805" s="434"/>
      <c r="AM805" s="436"/>
      <c r="AN805" s="434"/>
      <c r="AO805" s="434"/>
      <c r="AP805" s="556"/>
      <c r="AQ805" s="556"/>
      <c r="AR805" s="556"/>
      <c r="CF805" s="2"/>
    </row>
    <row r="806" spans="3:84">
      <c r="C806" s="2"/>
      <c r="O806" s="93"/>
      <c r="AD806" s="502"/>
      <c r="AE806" s="911"/>
      <c r="AF806" s="502"/>
      <c r="AH806" s="898"/>
      <c r="AI806" s="502"/>
      <c r="AJ806" s="502"/>
      <c r="AL806" s="434"/>
      <c r="AM806" s="436"/>
      <c r="AN806" s="434"/>
      <c r="AO806" s="434"/>
      <c r="AP806" s="556"/>
      <c r="AQ806" s="556"/>
      <c r="AR806" s="556"/>
      <c r="CF806" s="2"/>
    </row>
    <row r="807" spans="3:84">
      <c r="C807" s="2"/>
      <c r="O807" s="93"/>
      <c r="AD807" s="502"/>
      <c r="AE807" s="911"/>
      <c r="AF807" s="502"/>
      <c r="AH807" s="898"/>
      <c r="AI807" s="502"/>
      <c r="AJ807" s="502"/>
      <c r="AL807" s="434"/>
      <c r="AM807" s="436"/>
      <c r="AN807" s="434"/>
      <c r="AO807" s="434"/>
      <c r="AP807" s="556"/>
      <c r="AQ807" s="556"/>
      <c r="AR807" s="556"/>
      <c r="CF807" s="2"/>
    </row>
    <row r="808" spans="3:84">
      <c r="C808" s="2"/>
      <c r="O808" s="93"/>
      <c r="AD808" s="502"/>
      <c r="AE808" s="911"/>
      <c r="AF808" s="502"/>
      <c r="AH808" s="898"/>
      <c r="AI808" s="502"/>
      <c r="AJ808" s="502"/>
      <c r="AL808" s="434"/>
      <c r="AM808" s="436"/>
      <c r="AN808" s="434"/>
      <c r="AO808" s="434"/>
      <c r="AP808" s="556"/>
      <c r="AQ808" s="556"/>
      <c r="AR808" s="556"/>
      <c r="CF808" s="2"/>
    </row>
    <row r="809" spans="3:84">
      <c r="C809" s="2"/>
      <c r="O809" s="93"/>
      <c r="AD809" s="502"/>
      <c r="AE809" s="911"/>
      <c r="AF809" s="502"/>
      <c r="AH809" s="898"/>
      <c r="AI809" s="502"/>
      <c r="AJ809" s="502"/>
      <c r="AL809" s="434"/>
      <c r="AM809" s="436"/>
      <c r="AN809" s="434"/>
      <c r="AO809" s="434"/>
      <c r="AP809" s="556"/>
      <c r="AQ809" s="556"/>
      <c r="AR809" s="556"/>
      <c r="CF809" s="2"/>
    </row>
    <row r="810" spans="3:84">
      <c r="C810" s="2"/>
      <c r="O810" s="93"/>
      <c r="AD810" s="502"/>
      <c r="AE810" s="911"/>
      <c r="AF810" s="502"/>
      <c r="AH810" s="898"/>
      <c r="AI810" s="502"/>
      <c r="AJ810" s="502"/>
      <c r="AL810" s="434"/>
      <c r="AM810" s="436"/>
      <c r="AN810" s="434"/>
      <c r="AO810" s="434"/>
      <c r="AP810" s="556"/>
      <c r="AQ810" s="556"/>
      <c r="AR810" s="556"/>
      <c r="CF810" s="2"/>
    </row>
    <row r="811" spans="3:84">
      <c r="C811" s="2"/>
      <c r="O811" s="93"/>
      <c r="AD811" s="502"/>
      <c r="AE811" s="911"/>
      <c r="AF811" s="502"/>
      <c r="AH811" s="898"/>
      <c r="AI811" s="502"/>
      <c r="AJ811" s="502"/>
      <c r="AL811" s="434"/>
      <c r="AM811" s="436"/>
      <c r="AN811" s="434"/>
      <c r="AO811" s="434"/>
      <c r="AP811" s="556"/>
      <c r="AQ811" s="556"/>
      <c r="AR811" s="556"/>
      <c r="CF811" s="2"/>
    </row>
    <row r="812" spans="3:84">
      <c r="C812" s="2"/>
      <c r="O812" s="93"/>
      <c r="AD812" s="502"/>
      <c r="AE812" s="911"/>
      <c r="AF812" s="502"/>
      <c r="AH812" s="898"/>
      <c r="AI812" s="502"/>
      <c r="AJ812" s="502"/>
      <c r="AL812" s="434"/>
      <c r="AM812" s="436"/>
      <c r="AN812" s="434"/>
      <c r="AO812" s="434"/>
      <c r="AP812" s="556"/>
      <c r="AQ812" s="556"/>
      <c r="AR812" s="556"/>
      <c r="CF812" s="2"/>
    </row>
    <row r="813" spans="3:84">
      <c r="C813" s="2"/>
      <c r="O813" s="93"/>
      <c r="AD813" s="502"/>
      <c r="AE813" s="911"/>
      <c r="AF813" s="502"/>
      <c r="AH813" s="898"/>
      <c r="AI813" s="502"/>
      <c r="AJ813" s="502"/>
      <c r="AL813" s="434"/>
      <c r="AM813" s="436"/>
      <c r="AN813" s="434"/>
      <c r="AO813" s="434"/>
      <c r="AP813" s="556"/>
      <c r="AQ813" s="556"/>
      <c r="AR813" s="556"/>
      <c r="CF813" s="2"/>
    </row>
    <row r="814" spans="3:84">
      <c r="C814" s="2"/>
      <c r="O814" s="93"/>
      <c r="AD814" s="502"/>
      <c r="AE814" s="911"/>
      <c r="AF814" s="502"/>
      <c r="AH814" s="898"/>
      <c r="AI814" s="502"/>
      <c r="AJ814" s="502"/>
      <c r="AL814" s="434"/>
      <c r="AM814" s="436"/>
      <c r="AN814" s="434"/>
      <c r="AO814" s="434"/>
      <c r="AP814" s="556"/>
      <c r="AQ814" s="556"/>
      <c r="AR814" s="556"/>
      <c r="CF814" s="2"/>
    </row>
    <row r="815" spans="3:84">
      <c r="C815" s="2"/>
      <c r="O815" s="93"/>
      <c r="AD815" s="502"/>
      <c r="AE815" s="911"/>
      <c r="AF815" s="502"/>
      <c r="AH815" s="898"/>
      <c r="AI815" s="502"/>
      <c r="AJ815" s="502"/>
      <c r="AL815" s="434"/>
      <c r="AM815" s="436"/>
      <c r="AN815" s="434"/>
      <c r="AO815" s="434"/>
      <c r="AP815" s="556"/>
      <c r="AQ815" s="556"/>
      <c r="AR815" s="556"/>
      <c r="CF815" s="2"/>
    </row>
    <row r="816" spans="3:84">
      <c r="C816" s="2"/>
      <c r="O816" s="93"/>
      <c r="AD816" s="502"/>
      <c r="AE816" s="911"/>
      <c r="AF816" s="502"/>
      <c r="AH816" s="898"/>
      <c r="AI816" s="502"/>
      <c r="AJ816" s="502"/>
      <c r="AL816" s="434"/>
      <c r="AM816" s="436"/>
      <c r="AN816" s="434"/>
      <c r="AO816" s="434"/>
      <c r="AP816" s="556"/>
      <c r="AQ816" s="556"/>
      <c r="AR816" s="556"/>
      <c r="CF816" s="2"/>
    </row>
    <row r="817" spans="3:84">
      <c r="C817" s="2"/>
      <c r="O817" s="93"/>
      <c r="AD817" s="502"/>
      <c r="AE817" s="911"/>
      <c r="AF817" s="502"/>
      <c r="AH817" s="898"/>
      <c r="AI817" s="502"/>
      <c r="AJ817" s="502"/>
      <c r="AL817" s="434"/>
      <c r="AM817" s="436"/>
      <c r="AN817" s="434"/>
      <c r="AO817" s="434"/>
      <c r="AP817" s="556"/>
      <c r="AQ817" s="556"/>
      <c r="AR817" s="556"/>
      <c r="CF817" s="2"/>
    </row>
    <row r="818" spans="3:84">
      <c r="C818" s="2"/>
      <c r="O818" s="93"/>
      <c r="AD818" s="502"/>
      <c r="AE818" s="911"/>
      <c r="AF818" s="502"/>
      <c r="AH818" s="898"/>
      <c r="AI818" s="502"/>
      <c r="AJ818" s="502"/>
      <c r="AL818" s="434"/>
      <c r="AM818" s="436"/>
      <c r="AN818" s="434"/>
      <c r="AO818" s="434"/>
      <c r="AP818" s="556"/>
      <c r="AQ818" s="556"/>
      <c r="AR818" s="556"/>
      <c r="CF818" s="2"/>
    </row>
    <row r="819" spans="3:84">
      <c r="C819" s="2"/>
      <c r="O819" s="93"/>
      <c r="AD819" s="502"/>
      <c r="AE819" s="911"/>
      <c r="AF819" s="502"/>
      <c r="AH819" s="898"/>
      <c r="AI819" s="502"/>
      <c r="AJ819" s="502"/>
      <c r="AL819" s="434"/>
      <c r="AM819" s="436"/>
      <c r="AN819" s="434"/>
      <c r="AO819" s="434"/>
      <c r="AP819" s="556"/>
      <c r="AQ819" s="556"/>
      <c r="AR819" s="556"/>
      <c r="CF819" s="2"/>
    </row>
    <row r="820" spans="3:84">
      <c r="C820" s="2"/>
      <c r="O820" s="93"/>
      <c r="AD820" s="502"/>
      <c r="AE820" s="911"/>
      <c r="AF820" s="502"/>
      <c r="AH820" s="898"/>
      <c r="AI820" s="502"/>
      <c r="AJ820" s="502"/>
      <c r="AL820" s="434"/>
      <c r="AM820" s="436"/>
      <c r="AN820" s="434"/>
      <c r="AO820" s="434"/>
      <c r="AP820" s="556"/>
      <c r="AQ820" s="556"/>
      <c r="AR820" s="556"/>
      <c r="CF820" s="2"/>
    </row>
    <row r="821" spans="3:84">
      <c r="C821" s="2"/>
      <c r="O821" s="93"/>
      <c r="AD821" s="502"/>
      <c r="AE821" s="911"/>
      <c r="AF821" s="502"/>
      <c r="AH821" s="898"/>
      <c r="AI821" s="502"/>
      <c r="AJ821" s="502"/>
      <c r="AL821" s="434"/>
      <c r="AM821" s="436"/>
      <c r="AN821" s="434"/>
      <c r="AO821" s="434"/>
      <c r="AP821" s="556"/>
      <c r="AQ821" s="556"/>
      <c r="AR821" s="556"/>
      <c r="CF821" s="2"/>
    </row>
    <row r="822" spans="3:84">
      <c r="C822" s="2"/>
      <c r="O822" s="93"/>
      <c r="AD822" s="502"/>
      <c r="AE822" s="911"/>
      <c r="AF822" s="502"/>
      <c r="AH822" s="898"/>
      <c r="AI822" s="502"/>
      <c r="AJ822" s="502"/>
      <c r="AL822" s="434"/>
      <c r="AM822" s="436"/>
      <c r="AN822" s="434"/>
      <c r="AO822" s="434"/>
      <c r="AP822" s="556"/>
      <c r="AQ822" s="556"/>
      <c r="AR822" s="556"/>
      <c r="CF822" s="2"/>
    </row>
    <row r="823" spans="3:84">
      <c r="C823" s="2"/>
      <c r="O823" s="93"/>
      <c r="AD823" s="502"/>
      <c r="AE823" s="911"/>
      <c r="AF823" s="502"/>
      <c r="AH823" s="898"/>
      <c r="AI823" s="502"/>
      <c r="AJ823" s="502"/>
      <c r="AL823" s="434"/>
      <c r="AM823" s="436"/>
      <c r="AN823" s="434"/>
      <c r="AO823" s="434"/>
      <c r="AP823" s="556"/>
      <c r="AQ823" s="556"/>
      <c r="AR823" s="556"/>
      <c r="CF823" s="2"/>
    </row>
    <row r="824" spans="3:84">
      <c r="C824" s="2"/>
      <c r="O824" s="93"/>
      <c r="AD824" s="502"/>
      <c r="AE824" s="911"/>
      <c r="AF824" s="502"/>
      <c r="AH824" s="898"/>
      <c r="AI824" s="502"/>
      <c r="AJ824" s="502"/>
      <c r="AL824" s="434"/>
      <c r="AM824" s="436"/>
      <c r="AN824" s="434"/>
      <c r="AO824" s="434"/>
      <c r="AP824" s="556"/>
      <c r="AQ824" s="556"/>
      <c r="AR824" s="556"/>
      <c r="CF824" s="2"/>
    </row>
    <row r="825" spans="3:84">
      <c r="C825" s="2"/>
      <c r="O825" s="93"/>
      <c r="AD825" s="502"/>
      <c r="AE825" s="911"/>
      <c r="AF825" s="502"/>
      <c r="AH825" s="898"/>
      <c r="AI825" s="502"/>
      <c r="AJ825" s="502"/>
      <c r="AL825" s="434"/>
      <c r="AM825" s="436"/>
      <c r="AN825" s="434"/>
      <c r="AO825" s="434"/>
      <c r="AP825" s="556"/>
      <c r="AQ825" s="556"/>
      <c r="AR825" s="556"/>
      <c r="CF825" s="2"/>
    </row>
    <row r="826" spans="3:84">
      <c r="C826" s="2"/>
      <c r="O826" s="93"/>
      <c r="AD826" s="502"/>
      <c r="AE826" s="911"/>
      <c r="AF826" s="502"/>
      <c r="AH826" s="898"/>
      <c r="AI826" s="502"/>
      <c r="AJ826" s="502"/>
      <c r="AL826" s="434"/>
      <c r="AM826" s="436"/>
      <c r="AN826" s="434"/>
      <c r="AO826" s="434"/>
      <c r="AP826" s="556"/>
      <c r="AQ826" s="556"/>
      <c r="AR826" s="556"/>
      <c r="CF826" s="2"/>
    </row>
    <row r="827" spans="3:84">
      <c r="C827" s="2"/>
      <c r="O827" s="93"/>
      <c r="AD827" s="502"/>
      <c r="AE827" s="911"/>
      <c r="AF827" s="502"/>
      <c r="AH827" s="898"/>
      <c r="AI827" s="502"/>
      <c r="AJ827" s="502"/>
      <c r="AL827" s="434"/>
      <c r="AM827" s="436"/>
      <c r="AN827" s="434"/>
      <c r="AO827" s="434"/>
      <c r="AP827" s="556"/>
      <c r="AQ827" s="556"/>
      <c r="AR827" s="556"/>
      <c r="CF827" s="2"/>
    </row>
    <row r="828" spans="3:84">
      <c r="C828" s="2"/>
      <c r="O828" s="93"/>
      <c r="AD828" s="502"/>
      <c r="AE828" s="911"/>
      <c r="AF828" s="502"/>
      <c r="AH828" s="898"/>
      <c r="AI828" s="502"/>
      <c r="AJ828" s="502"/>
      <c r="AL828" s="434"/>
      <c r="AM828" s="436"/>
      <c r="AN828" s="434"/>
      <c r="AO828" s="434"/>
      <c r="AP828" s="556"/>
      <c r="AQ828" s="556"/>
      <c r="AR828" s="556"/>
      <c r="CF828" s="2"/>
    </row>
    <row r="829" spans="3:84">
      <c r="C829" s="2"/>
      <c r="O829" s="93"/>
      <c r="AD829" s="502"/>
      <c r="AE829" s="911"/>
      <c r="AF829" s="502"/>
      <c r="AH829" s="898"/>
      <c r="AI829" s="502"/>
      <c r="AJ829" s="502"/>
      <c r="AL829" s="434"/>
      <c r="AM829" s="436"/>
      <c r="AN829" s="434"/>
      <c r="AO829" s="434"/>
      <c r="AP829" s="556"/>
      <c r="AQ829" s="556"/>
      <c r="AR829" s="556"/>
      <c r="CF829" s="2"/>
    </row>
    <row r="830" spans="3:84">
      <c r="C830" s="2"/>
      <c r="O830" s="93"/>
      <c r="AD830" s="502"/>
      <c r="AE830" s="911"/>
      <c r="AF830" s="502"/>
      <c r="AH830" s="898"/>
      <c r="AI830" s="502"/>
      <c r="AJ830" s="502"/>
      <c r="AL830" s="434"/>
      <c r="AM830" s="436"/>
      <c r="AN830" s="434"/>
      <c r="AO830" s="434"/>
      <c r="AP830" s="556"/>
      <c r="AQ830" s="556"/>
      <c r="AR830" s="556"/>
      <c r="CF830" s="2"/>
    </row>
    <row r="831" spans="3:84">
      <c r="C831" s="2"/>
      <c r="O831" s="93"/>
      <c r="AD831" s="502"/>
      <c r="AE831" s="911"/>
      <c r="AF831" s="502"/>
      <c r="AH831" s="898"/>
      <c r="AI831" s="502"/>
      <c r="AJ831" s="502"/>
      <c r="AL831" s="434"/>
      <c r="AM831" s="436"/>
      <c r="AN831" s="434"/>
      <c r="AO831" s="434"/>
      <c r="AP831" s="556"/>
      <c r="AQ831" s="556"/>
      <c r="AR831" s="556"/>
      <c r="CF831" s="2"/>
    </row>
    <row r="832" spans="3:84">
      <c r="C832" s="2"/>
      <c r="O832" s="93"/>
      <c r="AD832" s="502"/>
      <c r="AE832" s="911"/>
      <c r="AF832" s="502"/>
      <c r="AH832" s="898"/>
      <c r="AI832" s="502"/>
      <c r="AJ832" s="502"/>
      <c r="AL832" s="434"/>
      <c r="AM832" s="436"/>
      <c r="AN832" s="434"/>
      <c r="AO832" s="434"/>
      <c r="AP832" s="556"/>
      <c r="AQ832" s="556"/>
      <c r="AR832" s="556"/>
      <c r="CF832" s="2"/>
    </row>
    <row r="833" spans="3:84">
      <c r="C833" s="2"/>
      <c r="O833" s="93"/>
      <c r="AD833" s="502"/>
      <c r="AE833" s="911"/>
      <c r="AF833" s="502"/>
      <c r="AH833" s="898"/>
      <c r="AI833" s="502"/>
      <c r="AJ833" s="502"/>
      <c r="AL833" s="434"/>
      <c r="AM833" s="436"/>
      <c r="AN833" s="434"/>
      <c r="AO833" s="434"/>
      <c r="AP833" s="556"/>
      <c r="AQ833" s="556"/>
      <c r="AR833" s="556"/>
      <c r="CF833" s="2"/>
    </row>
    <row r="834" spans="3:84">
      <c r="C834" s="2"/>
      <c r="O834" s="93"/>
      <c r="AD834" s="502"/>
      <c r="AE834" s="911"/>
      <c r="AF834" s="502"/>
      <c r="AH834" s="898"/>
      <c r="AI834" s="502"/>
      <c r="AJ834" s="502"/>
      <c r="AL834" s="434"/>
      <c r="AM834" s="436"/>
      <c r="AN834" s="434"/>
      <c r="AO834" s="434"/>
      <c r="AP834" s="556"/>
      <c r="AQ834" s="556"/>
      <c r="AR834" s="556"/>
      <c r="CF834" s="2"/>
    </row>
    <row r="835" spans="3:84">
      <c r="C835" s="2"/>
      <c r="O835" s="93"/>
      <c r="AD835" s="502"/>
      <c r="AE835" s="911"/>
      <c r="AF835" s="502"/>
      <c r="AH835" s="898"/>
      <c r="AI835" s="502"/>
      <c r="AJ835" s="502"/>
      <c r="AL835" s="434"/>
      <c r="AM835" s="436"/>
      <c r="AN835" s="434"/>
      <c r="AO835" s="434"/>
      <c r="AP835" s="556"/>
      <c r="AQ835" s="556"/>
      <c r="AR835" s="556"/>
      <c r="CF835" s="2"/>
    </row>
    <row r="836" spans="3:84">
      <c r="C836" s="2"/>
      <c r="O836" s="93"/>
      <c r="AD836" s="502"/>
      <c r="AE836" s="911"/>
      <c r="AF836" s="502"/>
      <c r="AH836" s="898"/>
      <c r="AI836" s="502"/>
      <c r="AJ836" s="502"/>
      <c r="AL836" s="434"/>
      <c r="AM836" s="436"/>
      <c r="AN836" s="434"/>
      <c r="AO836" s="434"/>
      <c r="AP836" s="556"/>
      <c r="AQ836" s="556"/>
      <c r="AR836" s="556"/>
      <c r="CF836" s="2"/>
    </row>
    <row r="837" spans="3:84">
      <c r="C837" s="2"/>
      <c r="O837" s="93"/>
      <c r="AD837" s="502"/>
      <c r="AE837" s="911"/>
      <c r="AF837" s="502"/>
      <c r="AH837" s="898"/>
      <c r="AI837" s="502"/>
      <c r="AJ837" s="502"/>
      <c r="AL837" s="434"/>
      <c r="AM837" s="436"/>
      <c r="AN837" s="434"/>
      <c r="AO837" s="434"/>
      <c r="AP837" s="556"/>
      <c r="AQ837" s="556"/>
      <c r="AR837" s="556"/>
      <c r="CF837" s="2"/>
    </row>
    <row r="838" spans="3:84">
      <c r="C838" s="2"/>
      <c r="O838" s="93"/>
      <c r="AD838" s="502"/>
      <c r="AE838" s="911"/>
      <c r="AF838" s="502"/>
      <c r="AH838" s="898"/>
      <c r="AI838" s="502"/>
      <c r="AJ838" s="502"/>
      <c r="AL838" s="434"/>
      <c r="AM838" s="436"/>
      <c r="AN838" s="434"/>
      <c r="AO838" s="434"/>
      <c r="AP838" s="556"/>
      <c r="AQ838" s="556"/>
      <c r="AR838" s="556"/>
      <c r="CF838" s="2"/>
    </row>
    <row r="839" spans="3:84">
      <c r="C839" s="2"/>
      <c r="O839" s="93"/>
      <c r="AD839" s="502"/>
      <c r="AE839" s="911"/>
      <c r="AF839" s="502"/>
      <c r="AH839" s="898"/>
      <c r="AI839" s="502"/>
      <c r="AJ839" s="502"/>
      <c r="AL839" s="434"/>
      <c r="AM839" s="436"/>
      <c r="AN839" s="434"/>
      <c r="AO839" s="434"/>
      <c r="AP839" s="556"/>
      <c r="AQ839" s="556"/>
      <c r="AR839" s="556"/>
      <c r="CF839" s="2"/>
    </row>
    <row r="840" spans="3:84">
      <c r="C840" s="2"/>
      <c r="O840" s="93"/>
      <c r="AD840" s="502"/>
      <c r="AE840" s="911"/>
      <c r="AF840" s="502"/>
      <c r="AH840" s="898"/>
      <c r="AI840" s="502"/>
      <c r="AJ840" s="502"/>
      <c r="AL840" s="434"/>
      <c r="AM840" s="436"/>
      <c r="AN840" s="434"/>
      <c r="AO840" s="434"/>
      <c r="AP840" s="556"/>
      <c r="AQ840" s="556"/>
      <c r="AR840" s="556"/>
      <c r="CF840" s="2"/>
    </row>
    <row r="841" spans="3:84">
      <c r="C841" s="2"/>
      <c r="O841" s="93"/>
      <c r="AD841" s="502"/>
      <c r="AE841" s="911"/>
      <c r="AF841" s="502"/>
      <c r="AH841" s="898"/>
      <c r="AI841" s="502"/>
      <c r="AJ841" s="502"/>
      <c r="AL841" s="434"/>
      <c r="AM841" s="436"/>
      <c r="AN841" s="434"/>
      <c r="AO841" s="434"/>
      <c r="AP841" s="556"/>
      <c r="AQ841" s="556"/>
      <c r="AR841" s="556"/>
      <c r="CF841" s="2"/>
    </row>
    <row r="842" spans="3:84">
      <c r="C842" s="2"/>
      <c r="O842" s="93"/>
      <c r="AD842" s="502"/>
      <c r="AE842" s="911"/>
      <c r="AF842" s="502"/>
      <c r="AH842" s="898"/>
      <c r="AI842" s="502"/>
      <c r="AJ842" s="502"/>
      <c r="AL842" s="434"/>
      <c r="AM842" s="436"/>
      <c r="AN842" s="434"/>
      <c r="AO842" s="434"/>
      <c r="AP842" s="556"/>
      <c r="AQ842" s="556"/>
      <c r="AR842" s="556"/>
      <c r="CF842" s="2"/>
    </row>
    <row r="843" spans="3:84">
      <c r="C843" s="2"/>
      <c r="O843" s="93"/>
      <c r="AD843" s="502"/>
      <c r="AE843" s="911"/>
      <c r="AF843" s="502"/>
      <c r="AH843" s="898"/>
      <c r="AI843" s="502"/>
      <c r="AJ843" s="502"/>
      <c r="AL843" s="434"/>
      <c r="AM843" s="436"/>
      <c r="AN843" s="434"/>
      <c r="AO843" s="434"/>
      <c r="AP843" s="556"/>
      <c r="AQ843" s="556"/>
      <c r="AR843" s="556"/>
      <c r="CF843" s="2"/>
    </row>
    <row r="844" spans="3:84">
      <c r="C844" s="2"/>
      <c r="O844" s="93"/>
      <c r="AD844" s="502"/>
      <c r="AE844" s="911"/>
      <c r="AF844" s="502"/>
      <c r="AH844" s="898"/>
      <c r="AI844" s="502"/>
      <c r="AJ844" s="502"/>
      <c r="AL844" s="434"/>
      <c r="AM844" s="436"/>
      <c r="AN844" s="434"/>
      <c r="AO844" s="434"/>
      <c r="AP844" s="556"/>
      <c r="AQ844" s="556"/>
      <c r="AR844" s="556"/>
      <c r="CF844" s="2"/>
    </row>
    <row r="845" spans="3:84">
      <c r="C845" s="2"/>
      <c r="O845" s="93"/>
      <c r="AD845" s="502"/>
      <c r="AE845" s="911"/>
      <c r="AF845" s="502"/>
      <c r="AH845" s="898"/>
      <c r="AI845" s="502"/>
      <c r="AJ845" s="502"/>
      <c r="AL845" s="434"/>
      <c r="AM845" s="436"/>
      <c r="AN845" s="434"/>
      <c r="AO845" s="434"/>
      <c r="AP845" s="556"/>
      <c r="AQ845" s="556"/>
      <c r="AR845" s="556"/>
      <c r="CF845" s="2"/>
    </row>
    <row r="846" spans="3:84">
      <c r="C846" s="2"/>
      <c r="O846" s="93"/>
      <c r="AD846" s="502"/>
      <c r="AE846" s="911"/>
      <c r="AF846" s="502"/>
      <c r="AH846" s="898"/>
      <c r="AI846" s="502"/>
      <c r="AJ846" s="502"/>
      <c r="AL846" s="434"/>
      <c r="AM846" s="436"/>
      <c r="AN846" s="434"/>
      <c r="AO846" s="434"/>
      <c r="AP846" s="556"/>
      <c r="AQ846" s="556"/>
      <c r="AR846" s="556"/>
      <c r="CF846" s="2"/>
    </row>
    <row r="847" spans="3:84">
      <c r="C847" s="2"/>
      <c r="O847" s="93"/>
      <c r="AD847" s="502"/>
      <c r="AE847" s="911"/>
      <c r="AF847" s="502"/>
      <c r="AH847" s="898"/>
      <c r="AI847" s="502"/>
      <c r="AJ847" s="502"/>
      <c r="AL847" s="434"/>
      <c r="AM847" s="436"/>
      <c r="AN847" s="434"/>
      <c r="AO847" s="434"/>
      <c r="AP847" s="556"/>
      <c r="AQ847" s="556"/>
      <c r="AR847" s="556"/>
      <c r="CF847" s="2"/>
    </row>
    <row r="848" spans="3:84">
      <c r="C848" s="2"/>
      <c r="O848" s="93"/>
      <c r="AD848" s="502"/>
      <c r="AE848" s="911"/>
      <c r="AF848" s="502"/>
      <c r="AH848" s="898"/>
      <c r="AI848" s="502"/>
      <c r="AJ848" s="502"/>
      <c r="AL848" s="434"/>
      <c r="AM848" s="436"/>
      <c r="AN848" s="434"/>
      <c r="AO848" s="434"/>
      <c r="AP848" s="556"/>
      <c r="AQ848" s="556"/>
      <c r="AR848" s="556"/>
      <c r="CF848" s="2"/>
    </row>
    <row r="849" spans="3:84">
      <c r="C849" s="2"/>
      <c r="O849" s="93"/>
      <c r="AD849" s="502"/>
      <c r="AE849" s="911"/>
      <c r="AF849" s="502"/>
      <c r="AH849" s="898"/>
      <c r="AI849" s="502"/>
      <c r="AJ849" s="502"/>
      <c r="AL849" s="434"/>
      <c r="AM849" s="436"/>
      <c r="AN849" s="434"/>
      <c r="AO849" s="434"/>
      <c r="AP849" s="556"/>
      <c r="AQ849" s="556"/>
      <c r="AR849" s="556"/>
      <c r="CF849" s="2"/>
    </row>
    <row r="850" spans="3:84">
      <c r="C850" s="2"/>
      <c r="O850" s="93"/>
      <c r="AD850" s="502"/>
      <c r="AE850" s="911"/>
      <c r="AF850" s="502"/>
      <c r="AH850" s="898"/>
      <c r="AI850" s="502"/>
      <c r="AJ850" s="502"/>
      <c r="AL850" s="434"/>
      <c r="AM850" s="436"/>
      <c r="AN850" s="434"/>
      <c r="AO850" s="434"/>
      <c r="AP850" s="556"/>
      <c r="AQ850" s="556"/>
      <c r="AR850" s="556"/>
      <c r="CF850" s="2"/>
    </row>
    <row r="851" spans="3:84">
      <c r="C851" s="2"/>
      <c r="O851" s="93"/>
      <c r="AD851" s="502"/>
      <c r="AE851" s="911"/>
      <c r="AF851" s="502"/>
      <c r="AH851" s="898"/>
      <c r="AI851" s="502"/>
      <c r="AJ851" s="502"/>
      <c r="AL851" s="434"/>
      <c r="AM851" s="436"/>
      <c r="AN851" s="434"/>
      <c r="AO851" s="434"/>
      <c r="AP851" s="556"/>
      <c r="AQ851" s="556"/>
      <c r="AR851" s="556"/>
      <c r="CF851" s="2"/>
    </row>
    <row r="852" spans="3:84">
      <c r="C852" s="2"/>
      <c r="O852" s="93"/>
      <c r="AD852" s="502"/>
      <c r="AE852" s="911"/>
      <c r="AF852" s="502"/>
      <c r="AH852" s="898"/>
      <c r="AI852" s="502"/>
      <c r="AJ852" s="502"/>
      <c r="AL852" s="434"/>
      <c r="AM852" s="436"/>
      <c r="AN852" s="434"/>
      <c r="AO852" s="434"/>
      <c r="AP852" s="556"/>
      <c r="AQ852" s="556"/>
      <c r="AR852" s="556"/>
      <c r="CF852" s="2"/>
    </row>
    <row r="853" spans="3:84">
      <c r="C853" s="2"/>
      <c r="O853" s="93"/>
      <c r="AD853" s="502"/>
      <c r="AE853" s="911"/>
      <c r="AF853" s="502"/>
      <c r="AH853" s="898"/>
      <c r="AI853" s="502"/>
      <c r="AJ853" s="502"/>
      <c r="AL853" s="434"/>
      <c r="AM853" s="436"/>
      <c r="AN853" s="434"/>
      <c r="AO853" s="434"/>
      <c r="AP853" s="556"/>
      <c r="AQ853" s="556"/>
      <c r="AR853" s="556"/>
      <c r="CF853" s="2"/>
    </row>
    <row r="854" spans="3:84">
      <c r="C854" s="2"/>
      <c r="O854" s="93"/>
      <c r="AD854" s="502"/>
      <c r="AE854" s="911"/>
      <c r="AF854" s="502"/>
      <c r="AH854" s="898"/>
      <c r="AI854" s="502"/>
      <c r="AJ854" s="502"/>
      <c r="AL854" s="434"/>
      <c r="AM854" s="436"/>
      <c r="AN854" s="434"/>
      <c r="AO854" s="434"/>
      <c r="AP854" s="556"/>
      <c r="AQ854" s="556"/>
      <c r="AR854" s="556"/>
      <c r="CF854" s="2"/>
    </row>
    <row r="855" spans="3:84">
      <c r="C855" s="2"/>
      <c r="O855" s="93"/>
      <c r="AD855" s="502"/>
      <c r="AE855" s="911"/>
      <c r="AF855" s="502"/>
      <c r="AH855" s="898"/>
      <c r="AI855" s="502"/>
      <c r="AJ855" s="502"/>
      <c r="AL855" s="434"/>
      <c r="AM855" s="436"/>
      <c r="AN855" s="434"/>
      <c r="AO855" s="434"/>
      <c r="AP855" s="556"/>
      <c r="AQ855" s="556"/>
      <c r="AR855" s="556"/>
      <c r="CF855" s="2"/>
    </row>
    <row r="856" spans="3:84">
      <c r="C856" s="2"/>
      <c r="O856" s="93"/>
      <c r="AD856" s="502"/>
      <c r="AE856" s="911"/>
      <c r="AF856" s="502"/>
      <c r="AH856" s="898"/>
      <c r="AI856" s="502"/>
      <c r="AJ856" s="502"/>
      <c r="AL856" s="434"/>
      <c r="AM856" s="436"/>
      <c r="AN856" s="434"/>
      <c r="AO856" s="434"/>
      <c r="AP856" s="556"/>
      <c r="AQ856" s="556"/>
      <c r="AR856" s="556"/>
      <c r="CF856" s="2"/>
    </row>
    <row r="857" spans="3:84">
      <c r="C857" s="2"/>
      <c r="O857" s="93"/>
      <c r="AD857" s="502"/>
      <c r="AE857" s="911"/>
      <c r="AF857" s="502"/>
      <c r="AH857" s="898"/>
      <c r="AI857" s="502"/>
      <c r="AJ857" s="502"/>
      <c r="AL857" s="434"/>
      <c r="AM857" s="436"/>
      <c r="AN857" s="434"/>
      <c r="AO857" s="434"/>
      <c r="AP857" s="556"/>
      <c r="AQ857" s="556"/>
      <c r="AR857" s="556"/>
      <c r="CF857" s="2"/>
    </row>
    <row r="858" spans="3:84">
      <c r="C858" s="2"/>
      <c r="O858" s="93"/>
      <c r="AD858" s="502"/>
      <c r="AE858" s="911"/>
      <c r="AF858" s="502"/>
      <c r="AH858" s="898"/>
      <c r="AI858" s="502"/>
      <c r="AJ858" s="502"/>
      <c r="AL858" s="434"/>
      <c r="AM858" s="436"/>
      <c r="AN858" s="434"/>
      <c r="AO858" s="434"/>
      <c r="AP858" s="556"/>
      <c r="AQ858" s="556"/>
      <c r="AR858" s="556"/>
      <c r="CF858" s="2"/>
    </row>
    <row r="859" spans="3:84">
      <c r="C859" s="2"/>
      <c r="O859" s="93"/>
      <c r="AD859" s="502"/>
      <c r="AE859" s="911"/>
      <c r="AF859" s="502"/>
      <c r="AH859" s="898"/>
      <c r="AI859" s="502"/>
      <c r="AJ859" s="502"/>
      <c r="AL859" s="434"/>
      <c r="AM859" s="436"/>
      <c r="AN859" s="434"/>
      <c r="AO859" s="434"/>
      <c r="AP859" s="556"/>
      <c r="AQ859" s="556"/>
      <c r="AR859" s="556"/>
      <c r="CF859" s="2"/>
    </row>
    <row r="860" spans="3:84">
      <c r="C860" s="2"/>
      <c r="O860" s="93"/>
      <c r="AD860" s="502"/>
      <c r="AE860" s="911"/>
      <c r="AF860" s="502"/>
      <c r="AH860" s="898"/>
      <c r="AI860" s="502"/>
      <c r="AJ860" s="502"/>
      <c r="AL860" s="434"/>
      <c r="AM860" s="436"/>
      <c r="AN860" s="434"/>
      <c r="AO860" s="434"/>
      <c r="AP860" s="556"/>
      <c r="AQ860" s="556"/>
      <c r="AR860" s="556"/>
      <c r="CF860" s="2"/>
    </row>
    <row r="861" spans="3:84">
      <c r="C861" s="2"/>
      <c r="O861" s="93"/>
      <c r="AD861" s="502"/>
      <c r="AE861" s="911"/>
      <c r="AF861" s="502"/>
      <c r="AH861" s="898"/>
      <c r="AI861" s="502"/>
      <c r="AJ861" s="502"/>
      <c r="AL861" s="434"/>
      <c r="AM861" s="436"/>
      <c r="AN861" s="434"/>
      <c r="AO861" s="434"/>
      <c r="AP861" s="556"/>
      <c r="AQ861" s="556"/>
      <c r="AR861" s="556"/>
      <c r="CF861" s="2"/>
    </row>
    <row r="862" spans="3:84">
      <c r="C862" s="2"/>
      <c r="O862" s="93"/>
      <c r="AD862" s="502"/>
      <c r="AE862" s="911"/>
      <c r="AF862" s="502"/>
      <c r="AH862" s="898"/>
      <c r="AI862" s="502"/>
      <c r="AJ862" s="502"/>
      <c r="AL862" s="434"/>
      <c r="AM862" s="436"/>
      <c r="AN862" s="434"/>
      <c r="AO862" s="434"/>
      <c r="AP862" s="556"/>
      <c r="AQ862" s="556"/>
      <c r="AR862" s="556"/>
      <c r="CF862" s="2"/>
    </row>
    <row r="863" spans="3:84">
      <c r="C863" s="2"/>
      <c r="O863" s="93"/>
      <c r="AD863" s="502"/>
      <c r="AE863" s="911"/>
      <c r="AF863" s="502"/>
      <c r="AH863" s="898"/>
      <c r="AI863" s="502"/>
      <c r="AJ863" s="502"/>
      <c r="AL863" s="434"/>
      <c r="AM863" s="436"/>
      <c r="AN863" s="434"/>
      <c r="AO863" s="434"/>
      <c r="AP863" s="556"/>
      <c r="AQ863" s="556"/>
      <c r="AR863" s="556"/>
      <c r="CF863" s="2"/>
    </row>
    <row r="864" spans="3:84">
      <c r="C864" s="2"/>
      <c r="O864" s="93"/>
      <c r="AD864" s="502"/>
      <c r="AE864" s="911"/>
      <c r="AF864" s="502"/>
      <c r="AH864" s="898"/>
      <c r="AI864" s="502"/>
      <c r="AJ864" s="502"/>
      <c r="AL864" s="434"/>
      <c r="AM864" s="436"/>
      <c r="AN864" s="434"/>
      <c r="AO864" s="434"/>
      <c r="AP864" s="556"/>
      <c r="AQ864" s="556"/>
      <c r="AR864" s="556"/>
      <c r="CF864" s="2"/>
    </row>
    <row r="865" spans="3:84">
      <c r="C865" s="2"/>
      <c r="O865" s="93"/>
      <c r="AD865" s="502"/>
      <c r="AE865" s="911"/>
      <c r="AF865" s="502"/>
      <c r="AH865" s="898"/>
      <c r="AI865" s="502"/>
      <c r="AJ865" s="502"/>
      <c r="AL865" s="434"/>
      <c r="AM865" s="436"/>
      <c r="AN865" s="434"/>
      <c r="AO865" s="434"/>
      <c r="AP865" s="556"/>
      <c r="AQ865" s="556"/>
      <c r="AR865" s="556"/>
      <c r="CF865" s="2"/>
    </row>
    <row r="866" spans="3:84">
      <c r="C866" s="2"/>
      <c r="O866" s="93"/>
      <c r="AD866" s="502"/>
      <c r="AE866" s="911"/>
      <c r="AF866" s="502"/>
      <c r="AH866" s="898"/>
      <c r="AI866" s="502"/>
      <c r="AJ866" s="502"/>
      <c r="AL866" s="434"/>
      <c r="AM866" s="436"/>
      <c r="AN866" s="434"/>
      <c r="AO866" s="434"/>
      <c r="AP866" s="556"/>
      <c r="AQ866" s="556"/>
      <c r="AR866" s="556"/>
      <c r="CF866" s="2"/>
    </row>
    <row r="867" spans="3:84">
      <c r="C867" s="2"/>
      <c r="O867" s="93"/>
      <c r="AD867" s="502"/>
      <c r="AE867" s="911"/>
      <c r="AF867" s="502"/>
      <c r="AH867" s="898"/>
      <c r="AI867" s="502"/>
      <c r="AJ867" s="502"/>
      <c r="AL867" s="434"/>
      <c r="AM867" s="436"/>
      <c r="AN867" s="434"/>
      <c r="AO867" s="434"/>
      <c r="AP867" s="556"/>
      <c r="AQ867" s="556"/>
      <c r="AR867" s="556"/>
      <c r="CF867" s="2"/>
    </row>
    <row r="868" spans="3:84">
      <c r="C868" s="2"/>
      <c r="O868" s="93"/>
      <c r="AD868" s="502"/>
      <c r="AE868" s="911"/>
      <c r="AF868" s="502"/>
      <c r="AH868" s="898"/>
      <c r="AI868" s="502"/>
      <c r="AJ868" s="502"/>
      <c r="AL868" s="434"/>
      <c r="AM868" s="436"/>
      <c r="AN868" s="434"/>
      <c r="AO868" s="434"/>
      <c r="AP868" s="556"/>
      <c r="AQ868" s="556"/>
      <c r="AR868" s="556"/>
      <c r="CF868" s="2"/>
    </row>
    <row r="869" spans="3:84">
      <c r="C869" s="2"/>
      <c r="O869" s="93"/>
      <c r="AD869" s="502"/>
      <c r="AE869" s="911"/>
      <c r="AF869" s="502"/>
      <c r="AH869" s="898"/>
      <c r="AI869" s="502"/>
      <c r="AJ869" s="502"/>
      <c r="AL869" s="434"/>
      <c r="AM869" s="436"/>
      <c r="AN869" s="434"/>
      <c r="AO869" s="434"/>
      <c r="AP869" s="556"/>
      <c r="AQ869" s="556"/>
      <c r="AR869" s="556"/>
      <c r="CF869" s="2"/>
    </row>
    <row r="870" spans="3:84">
      <c r="C870" s="2"/>
      <c r="O870" s="93"/>
      <c r="AD870" s="502"/>
      <c r="AE870" s="911"/>
      <c r="AF870" s="502"/>
      <c r="AH870" s="898"/>
      <c r="AI870" s="502"/>
      <c r="AJ870" s="502"/>
      <c r="AL870" s="434"/>
      <c r="AM870" s="436"/>
      <c r="AN870" s="434"/>
      <c r="AO870" s="434"/>
      <c r="AP870" s="556"/>
      <c r="AQ870" s="556"/>
      <c r="AR870" s="556"/>
      <c r="CF870" s="2"/>
    </row>
    <row r="871" spans="3:84">
      <c r="C871" s="2"/>
      <c r="O871" s="93"/>
      <c r="AD871" s="502"/>
      <c r="AE871" s="911"/>
      <c r="AF871" s="502"/>
      <c r="AH871" s="898"/>
      <c r="AI871" s="502"/>
      <c r="AJ871" s="502"/>
      <c r="AL871" s="434"/>
      <c r="AM871" s="436"/>
      <c r="AN871" s="434"/>
      <c r="AO871" s="434"/>
      <c r="AP871" s="556"/>
      <c r="AQ871" s="556"/>
      <c r="AR871" s="556"/>
      <c r="CF871" s="2"/>
    </row>
    <row r="872" spans="3:84">
      <c r="C872" s="2"/>
      <c r="O872" s="93"/>
      <c r="AD872" s="502"/>
      <c r="AE872" s="911"/>
      <c r="AF872" s="502"/>
      <c r="AH872" s="898"/>
      <c r="AI872" s="502"/>
      <c r="AJ872" s="502"/>
      <c r="AL872" s="434"/>
      <c r="AM872" s="436"/>
      <c r="AN872" s="434"/>
      <c r="AO872" s="434"/>
      <c r="AP872" s="556"/>
      <c r="AQ872" s="556"/>
      <c r="AR872" s="556"/>
      <c r="CF872" s="2"/>
    </row>
    <row r="873" spans="3:84">
      <c r="C873" s="2"/>
      <c r="O873" s="93"/>
      <c r="AD873" s="502"/>
      <c r="AE873" s="911"/>
      <c r="AF873" s="502"/>
      <c r="AH873" s="898"/>
      <c r="AI873" s="502"/>
      <c r="AJ873" s="502"/>
      <c r="AL873" s="434"/>
      <c r="AM873" s="436"/>
      <c r="AN873" s="434"/>
      <c r="AO873" s="434"/>
      <c r="AP873" s="556"/>
      <c r="AQ873" s="556"/>
      <c r="AR873" s="556"/>
      <c r="CF873" s="2"/>
    </row>
    <row r="874" spans="3:84">
      <c r="C874" s="2"/>
      <c r="O874" s="93"/>
      <c r="AD874" s="502"/>
      <c r="AE874" s="911"/>
      <c r="AF874" s="502"/>
      <c r="AH874" s="898"/>
      <c r="AI874" s="502"/>
      <c r="AJ874" s="502"/>
      <c r="AL874" s="434"/>
      <c r="AM874" s="436"/>
      <c r="AN874" s="434"/>
      <c r="AO874" s="434"/>
      <c r="AP874" s="556"/>
      <c r="AQ874" s="556"/>
      <c r="AR874" s="556"/>
      <c r="CF874" s="2"/>
    </row>
    <row r="875" spans="3:84">
      <c r="C875" s="2"/>
      <c r="O875" s="93"/>
      <c r="AD875" s="502"/>
      <c r="AE875" s="911"/>
      <c r="AF875" s="502"/>
      <c r="AH875" s="898"/>
      <c r="AI875" s="502"/>
      <c r="AJ875" s="502"/>
      <c r="AL875" s="434"/>
      <c r="AM875" s="436"/>
      <c r="AN875" s="434"/>
      <c r="AO875" s="434"/>
      <c r="AP875" s="556"/>
      <c r="AQ875" s="556"/>
      <c r="AR875" s="556"/>
      <c r="CF875" s="2"/>
    </row>
    <row r="876" spans="3:84">
      <c r="C876" s="2"/>
      <c r="O876" s="93"/>
      <c r="AD876" s="502"/>
      <c r="AE876" s="911"/>
      <c r="AF876" s="502"/>
      <c r="AH876" s="898"/>
      <c r="AI876" s="502"/>
      <c r="AJ876" s="502"/>
      <c r="AL876" s="434"/>
      <c r="AM876" s="436"/>
      <c r="AN876" s="434"/>
      <c r="AO876" s="434"/>
      <c r="AP876" s="556"/>
      <c r="AQ876" s="556"/>
      <c r="AR876" s="556"/>
      <c r="CF876" s="2"/>
    </row>
    <row r="877" spans="3:84">
      <c r="C877" s="2"/>
      <c r="O877" s="93"/>
      <c r="AD877" s="502"/>
      <c r="AE877" s="911"/>
      <c r="AF877" s="502"/>
      <c r="AH877" s="898"/>
      <c r="AI877" s="502"/>
      <c r="AJ877" s="502"/>
      <c r="AL877" s="434"/>
      <c r="AM877" s="436"/>
      <c r="AN877" s="434"/>
      <c r="AO877" s="434"/>
      <c r="AP877" s="556"/>
      <c r="AQ877" s="556"/>
      <c r="AR877" s="556"/>
      <c r="CF877" s="2"/>
    </row>
    <row r="878" spans="3:84">
      <c r="C878" s="2"/>
      <c r="O878" s="93"/>
      <c r="AD878" s="502"/>
      <c r="AE878" s="911"/>
      <c r="AF878" s="502"/>
      <c r="AH878" s="898"/>
      <c r="AI878" s="502"/>
      <c r="AJ878" s="502"/>
      <c r="AL878" s="434"/>
      <c r="AM878" s="436"/>
      <c r="AN878" s="434"/>
      <c r="AO878" s="434"/>
      <c r="AP878" s="556"/>
      <c r="AQ878" s="556"/>
      <c r="AR878" s="556"/>
      <c r="CF878" s="2"/>
    </row>
    <row r="879" spans="3:84">
      <c r="C879" s="2"/>
      <c r="O879" s="93"/>
      <c r="AD879" s="502"/>
      <c r="AE879" s="911"/>
      <c r="AF879" s="502"/>
      <c r="AH879" s="898"/>
      <c r="AI879" s="502"/>
      <c r="AJ879" s="502"/>
      <c r="AL879" s="434"/>
      <c r="AM879" s="436"/>
      <c r="AN879" s="434"/>
      <c r="AO879" s="434"/>
      <c r="AP879" s="556"/>
      <c r="AQ879" s="556"/>
      <c r="AR879" s="556"/>
      <c r="CF879" s="2"/>
    </row>
    <row r="880" spans="3:84">
      <c r="C880" s="2"/>
      <c r="O880" s="93"/>
      <c r="AD880" s="502"/>
      <c r="AE880" s="911"/>
      <c r="AF880" s="502"/>
      <c r="AH880" s="898"/>
      <c r="AI880" s="502"/>
      <c r="AJ880" s="502"/>
      <c r="AL880" s="434"/>
      <c r="AM880" s="436"/>
      <c r="AN880" s="434"/>
      <c r="AO880" s="434"/>
      <c r="AP880" s="556"/>
      <c r="AQ880" s="556"/>
      <c r="AR880" s="556"/>
      <c r="CF880" s="2"/>
    </row>
    <row r="881" spans="3:84">
      <c r="C881" s="2"/>
      <c r="O881" s="93"/>
      <c r="AD881" s="502"/>
      <c r="AE881" s="911"/>
      <c r="AF881" s="502"/>
      <c r="AH881" s="898"/>
      <c r="AI881" s="502"/>
      <c r="AJ881" s="502"/>
      <c r="AL881" s="434"/>
      <c r="AM881" s="436"/>
      <c r="AN881" s="434"/>
      <c r="AO881" s="434"/>
      <c r="AP881" s="556"/>
      <c r="AQ881" s="556"/>
      <c r="AR881" s="556"/>
      <c r="CF881" s="2"/>
    </row>
    <row r="882" spans="3:84">
      <c r="C882" s="2"/>
      <c r="O882" s="93"/>
      <c r="AD882" s="502"/>
      <c r="AE882" s="911"/>
      <c r="AF882" s="502"/>
      <c r="AH882" s="898"/>
      <c r="AI882" s="502"/>
      <c r="AJ882" s="502"/>
      <c r="AL882" s="434"/>
      <c r="AM882" s="436"/>
      <c r="AN882" s="434"/>
      <c r="AO882" s="434"/>
      <c r="AP882" s="556"/>
      <c r="AQ882" s="556"/>
      <c r="AR882" s="556"/>
      <c r="CF882" s="2"/>
    </row>
    <row r="883" spans="3:84">
      <c r="C883" s="2"/>
      <c r="O883" s="93"/>
      <c r="AD883" s="502"/>
      <c r="AE883" s="911"/>
      <c r="AF883" s="502"/>
      <c r="AH883" s="898"/>
      <c r="AI883" s="502"/>
      <c r="AJ883" s="502"/>
      <c r="AL883" s="434"/>
      <c r="AM883" s="436"/>
      <c r="AN883" s="434"/>
      <c r="AO883" s="434"/>
      <c r="AP883" s="556"/>
      <c r="AQ883" s="556"/>
      <c r="AR883" s="556"/>
      <c r="CF883" s="2"/>
    </row>
    <row r="884" spans="3:84">
      <c r="C884" s="2"/>
      <c r="O884" s="93"/>
      <c r="AD884" s="502"/>
      <c r="AE884" s="911"/>
      <c r="AF884" s="502"/>
      <c r="AH884" s="898"/>
      <c r="AI884" s="502"/>
      <c r="AJ884" s="502"/>
      <c r="AL884" s="434"/>
      <c r="AM884" s="436"/>
      <c r="AN884" s="434"/>
      <c r="AO884" s="434"/>
      <c r="AP884" s="556"/>
      <c r="AQ884" s="556"/>
      <c r="AR884" s="556"/>
      <c r="CF884" s="2"/>
    </row>
    <row r="885" spans="3:84">
      <c r="C885" s="2"/>
      <c r="O885" s="93"/>
      <c r="AD885" s="502"/>
      <c r="AE885" s="911"/>
      <c r="AF885" s="502"/>
      <c r="AH885" s="898"/>
      <c r="AI885" s="502"/>
      <c r="AJ885" s="502"/>
      <c r="AL885" s="434"/>
      <c r="AM885" s="436"/>
      <c r="AN885" s="434"/>
      <c r="AO885" s="434"/>
      <c r="AP885" s="556"/>
      <c r="AQ885" s="556"/>
      <c r="AR885" s="556"/>
      <c r="CF885" s="2"/>
    </row>
    <row r="886" spans="3:84">
      <c r="C886" s="2"/>
      <c r="O886" s="93"/>
      <c r="AD886" s="502"/>
      <c r="AE886" s="911"/>
      <c r="AF886" s="502"/>
      <c r="AH886" s="898"/>
      <c r="AI886" s="502"/>
      <c r="AJ886" s="502"/>
      <c r="AL886" s="434"/>
      <c r="AM886" s="436"/>
      <c r="AN886" s="434"/>
      <c r="AO886" s="434"/>
      <c r="AP886" s="556"/>
      <c r="AQ886" s="556"/>
      <c r="AR886" s="556"/>
      <c r="CF886" s="2"/>
    </row>
    <row r="887" spans="3:84">
      <c r="C887" s="2"/>
      <c r="O887" s="93"/>
      <c r="AD887" s="502"/>
      <c r="AE887" s="911"/>
      <c r="AF887" s="502"/>
      <c r="AH887" s="898"/>
      <c r="AI887" s="502"/>
      <c r="AJ887" s="502"/>
      <c r="AL887" s="434"/>
      <c r="AM887" s="436"/>
      <c r="AN887" s="434"/>
      <c r="AO887" s="434"/>
      <c r="AP887" s="556"/>
      <c r="AQ887" s="556"/>
      <c r="AR887" s="556"/>
      <c r="CF887" s="2"/>
    </row>
    <row r="888" spans="3:84">
      <c r="C888" s="2"/>
      <c r="O888" s="93"/>
      <c r="AD888" s="502"/>
      <c r="AE888" s="911"/>
      <c r="AF888" s="502"/>
      <c r="AH888" s="898"/>
      <c r="AI888" s="502"/>
      <c r="AJ888" s="502"/>
      <c r="AL888" s="434"/>
      <c r="AM888" s="436"/>
      <c r="AN888" s="434"/>
      <c r="AO888" s="434"/>
      <c r="AP888" s="556"/>
      <c r="AQ888" s="556"/>
      <c r="AR888" s="556"/>
      <c r="CF888" s="2"/>
    </row>
    <row r="889" spans="3:84">
      <c r="C889" s="2"/>
      <c r="O889" s="93"/>
      <c r="AD889" s="502"/>
      <c r="AE889" s="911"/>
      <c r="AF889" s="502"/>
      <c r="AH889" s="898"/>
      <c r="AI889" s="502"/>
      <c r="AJ889" s="502"/>
      <c r="AL889" s="434"/>
      <c r="AM889" s="436"/>
      <c r="AN889" s="434"/>
      <c r="AO889" s="434"/>
      <c r="AP889" s="556"/>
      <c r="AQ889" s="556"/>
      <c r="AR889" s="556"/>
      <c r="CF889" s="2"/>
    </row>
    <row r="890" spans="3:84">
      <c r="C890" s="2"/>
      <c r="O890" s="93"/>
      <c r="AD890" s="502"/>
      <c r="AE890" s="911"/>
      <c r="AF890" s="502"/>
      <c r="AH890" s="898"/>
      <c r="AI890" s="502"/>
      <c r="AJ890" s="502"/>
      <c r="AL890" s="434"/>
      <c r="AM890" s="436"/>
      <c r="AN890" s="434"/>
      <c r="AO890" s="434"/>
      <c r="AP890" s="556"/>
      <c r="AQ890" s="556"/>
      <c r="AR890" s="556"/>
      <c r="CF890" s="2"/>
    </row>
    <row r="891" spans="3:84">
      <c r="C891" s="2"/>
      <c r="O891" s="93"/>
      <c r="AD891" s="502"/>
      <c r="AE891" s="911"/>
      <c r="AF891" s="502"/>
      <c r="AH891" s="898"/>
      <c r="AI891" s="502"/>
      <c r="AJ891" s="502"/>
      <c r="AL891" s="434"/>
      <c r="AM891" s="436"/>
      <c r="AN891" s="434"/>
      <c r="AO891" s="434"/>
      <c r="AP891" s="556"/>
      <c r="AQ891" s="556"/>
      <c r="AR891" s="556"/>
      <c r="CF891" s="2"/>
    </row>
    <row r="892" spans="3:84">
      <c r="C892" s="2"/>
      <c r="O892" s="93"/>
      <c r="AD892" s="502"/>
      <c r="AE892" s="911"/>
      <c r="AF892" s="502"/>
      <c r="AH892" s="898"/>
      <c r="AI892" s="502"/>
      <c r="AJ892" s="502"/>
      <c r="AL892" s="434"/>
      <c r="AM892" s="436"/>
      <c r="AN892" s="434"/>
      <c r="AO892" s="434"/>
      <c r="AP892" s="556"/>
      <c r="AQ892" s="556"/>
      <c r="AR892" s="556"/>
      <c r="CF892" s="2"/>
    </row>
    <row r="893" spans="3:84">
      <c r="C893" s="2"/>
      <c r="O893" s="93"/>
      <c r="AD893" s="502"/>
      <c r="AE893" s="911"/>
      <c r="AF893" s="502"/>
      <c r="AH893" s="898"/>
      <c r="AI893" s="502"/>
      <c r="AJ893" s="502"/>
      <c r="AL893" s="434"/>
      <c r="AM893" s="436"/>
      <c r="AN893" s="434"/>
      <c r="AO893" s="434"/>
      <c r="AP893" s="556"/>
      <c r="AQ893" s="556"/>
      <c r="AR893" s="556"/>
      <c r="CF893" s="2"/>
    </row>
    <row r="894" spans="3:84">
      <c r="C894" s="2"/>
      <c r="O894" s="93"/>
      <c r="AD894" s="502"/>
      <c r="AE894" s="911"/>
      <c r="AF894" s="502"/>
      <c r="AH894" s="898"/>
      <c r="AI894" s="502"/>
      <c r="AJ894" s="502"/>
      <c r="AL894" s="434"/>
      <c r="AM894" s="436"/>
      <c r="AN894" s="434"/>
      <c r="AO894" s="434"/>
      <c r="AP894" s="556"/>
      <c r="AQ894" s="556"/>
      <c r="AR894" s="556"/>
      <c r="CF894" s="2"/>
    </row>
    <row r="895" spans="3:84">
      <c r="C895" s="2"/>
      <c r="O895" s="93"/>
      <c r="AD895" s="502"/>
      <c r="AE895" s="911"/>
      <c r="AF895" s="502"/>
      <c r="AH895" s="898"/>
      <c r="AI895" s="502"/>
      <c r="AJ895" s="502"/>
      <c r="AL895" s="434"/>
      <c r="AM895" s="436"/>
      <c r="AN895" s="434"/>
      <c r="AO895" s="434"/>
      <c r="AP895" s="556"/>
      <c r="AQ895" s="556"/>
      <c r="AR895" s="556"/>
      <c r="CF895" s="2"/>
    </row>
    <row r="896" spans="3:84">
      <c r="C896" s="2"/>
      <c r="O896" s="93"/>
      <c r="AD896" s="502"/>
      <c r="AE896" s="911"/>
      <c r="AF896" s="502"/>
      <c r="AH896" s="898"/>
      <c r="AI896" s="502"/>
      <c r="AJ896" s="502"/>
      <c r="AL896" s="434"/>
      <c r="AM896" s="436"/>
      <c r="AN896" s="434"/>
      <c r="AO896" s="434"/>
      <c r="AP896" s="556"/>
      <c r="AQ896" s="556"/>
      <c r="AR896" s="556"/>
      <c r="CF896" s="2"/>
    </row>
    <row r="897" spans="3:84">
      <c r="C897" s="2"/>
      <c r="O897" s="93"/>
      <c r="AD897" s="502"/>
      <c r="AE897" s="911"/>
      <c r="AF897" s="502"/>
      <c r="AH897" s="898"/>
      <c r="AI897" s="502"/>
      <c r="AJ897" s="502"/>
      <c r="AL897" s="434"/>
      <c r="AM897" s="436"/>
      <c r="AN897" s="434"/>
      <c r="AO897" s="434"/>
      <c r="AP897" s="556"/>
      <c r="AQ897" s="556"/>
      <c r="AR897" s="556"/>
      <c r="CF897" s="2"/>
    </row>
    <row r="898" spans="3:84">
      <c r="C898" s="2"/>
      <c r="O898" s="93"/>
      <c r="AD898" s="502"/>
      <c r="AE898" s="911"/>
      <c r="AF898" s="502"/>
      <c r="AH898" s="898"/>
      <c r="AI898" s="502"/>
      <c r="AJ898" s="502"/>
      <c r="AL898" s="434"/>
      <c r="AM898" s="436"/>
      <c r="AN898" s="434"/>
      <c r="AO898" s="434"/>
      <c r="AP898" s="556"/>
      <c r="AQ898" s="556"/>
      <c r="AR898" s="556"/>
      <c r="CF898" s="2"/>
    </row>
    <row r="899" spans="3:84">
      <c r="C899" s="2"/>
      <c r="O899" s="93"/>
      <c r="AD899" s="502"/>
      <c r="AE899" s="911"/>
      <c r="AF899" s="502"/>
      <c r="AH899" s="898"/>
      <c r="AI899" s="502"/>
      <c r="AJ899" s="502"/>
      <c r="AL899" s="434"/>
      <c r="AM899" s="436"/>
      <c r="AN899" s="434"/>
      <c r="AO899" s="434"/>
      <c r="AP899" s="556"/>
      <c r="AQ899" s="556"/>
      <c r="AR899" s="556"/>
      <c r="CF899" s="2"/>
    </row>
    <row r="900" spans="3:84">
      <c r="C900" s="2"/>
      <c r="O900" s="93"/>
      <c r="AD900" s="502"/>
      <c r="AE900" s="911"/>
      <c r="AF900" s="502"/>
      <c r="AH900" s="898"/>
      <c r="AI900" s="502"/>
      <c r="AJ900" s="502"/>
      <c r="AL900" s="434"/>
      <c r="AM900" s="436"/>
      <c r="AN900" s="434"/>
      <c r="AO900" s="434"/>
      <c r="AP900" s="556"/>
      <c r="AQ900" s="556"/>
      <c r="AR900" s="556"/>
      <c r="CF900" s="2"/>
    </row>
    <row r="901" spans="3:84">
      <c r="C901" s="2"/>
      <c r="O901" s="93"/>
      <c r="AD901" s="502"/>
      <c r="AE901" s="911"/>
      <c r="AF901" s="502"/>
      <c r="AH901" s="898"/>
      <c r="AI901" s="502"/>
      <c r="AJ901" s="502"/>
      <c r="AL901" s="434"/>
      <c r="AM901" s="436"/>
      <c r="AN901" s="434"/>
      <c r="AO901" s="434"/>
      <c r="AP901" s="556"/>
      <c r="AQ901" s="556"/>
      <c r="AR901" s="556"/>
      <c r="CF901" s="2"/>
    </row>
    <row r="902" spans="3:84">
      <c r="C902" s="2"/>
      <c r="O902" s="93"/>
      <c r="AD902" s="502"/>
      <c r="AE902" s="911"/>
      <c r="AF902" s="502"/>
      <c r="AH902" s="898"/>
      <c r="AI902" s="502"/>
      <c r="AJ902" s="502"/>
      <c r="AL902" s="434"/>
      <c r="AM902" s="436"/>
      <c r="AN902" s="434"/>
      <c r="AO902" s="434"/>
      <c r="AP902" s="556"/>
      <c r="AQ902" s="556"/>
      <c r="AR902" s="556"/>
      <c r="CF902" s="2"/>
    </row>
    <row r="903" spans="3:84">
      <c r="C903" s="2"/>
      <c r="O903" s="93"/>
      <c r="AD903" s="502"/>
      <c r="AE903" s="911"/>
      <c r="AF903" s="502"/>
      <c r="AH903" s="898"/>
      <c r="AI903" s="502"/>
      <c r="AJ903" s="502"/>
      <c r="AL903" s="434"/>
      <c r="AM903" s="436"/>
      <c r="AN903" s="434"/>
      <c r="AO903" s="434"/>
      <c r="AP903" s="556"/>
      <c r="AQ903" s="556"/>
      <c r="AR903" s="556"/>
      <c r="CF903" s="2"/>
    </row>
    <row r="904" spans="3:84">
      <c r="C904" s="2"/>
      <c r="O904" s="93"/>
      <c r="AD904" s="502"/>
      <c r="AE904" s="911"/>
      <c r="AF904" s="502"/>
      <c r="AH904" s="898"/>
      <c r="AI904" s="502"/>
      <c r="AJ904" s="502"/>
      <c r="AL904" s="434"/>
      <c r="AM904" s="436"/>
      <c r="AN904" s="434"/>
      <c r="AO904" s="434"/>
      <c r="AP904" s="556"/>
      <c r="AQ904" s="556"/>
      <c r="AR904" s="556"/>
      <c r="CF904" s="2"/>
    </row>
    <row r="905" spans="3:84">
      <c r="C905" s="2"/>
      <c r="O905" s="93"/>
      <c r="AD905" s="502"/>
      <c r="AE905" s="911"/>
      <c r="AF905" s="502"/>
      <c r="AH905" s="898"/>
      <c r="AI905" s="502"/>
      <c r="AJ905" s="502"/>
      <c r="AL905" s="434"/>
      <c r="AM905" s="436"/>
      <c r="AN905" s="434"/>
      <c r="AO905" s="434"/>
      <c r="AP905" s="556"/>
      <c r="AQ905" s="556"/>
      <c r="AR905" s="556"/>
      <c r="CF905" s="2"/>
    </row>
    <row r="906" spans="3:84">
      <c r="C906" s="2"/>
      <c r="O906" s="93"/>
      <c r="AD906" s="502"/>
      <c r="AE906" s="911"/>
      <c r="AF906" s="502"/>
      <c r="AH906" s="898"/>
      <c r="AI906" s="502"/>
      <c r="AJ906" s="502"/>
      <c r="AL906" s="434"/>
      <c r="AM906" s="436"/>
      <c r="AN906" s="434"/>
      <c r="AO906" s="434"/>
      <c r="AP906" s="556"/>
      <c r="AQ906" s="556"/>
      <c r="AR906" s="556"/>
      <c r="CF906" s="2"/>
    </row>
    <row r="907" spans="3:84">
      <c r="C907" s="2"/>
      <c r="O907" s="93"/>
      <c r="AD907" s="502"/>
      <c r="AE907" s="911"/>
      <c r="AF907" s="502"/>
      <c r="AH907" s="898"/>
      <c r="AI907" s="502"/>
      <c r="AJ907" s="502"/>
      <c r="AL907" s="434"/>
      <c r="AM907" s="436"/>
      <c r="AN907" s="434"/>
      <c r="AO907" s="434"/>
      <c r="AP907" s="556"/>
      <c r="AQ907" s="556"/>
      <c r="AR907" s="556"/>
      <c r="CF907" s="2"/>
    </row>
    <row r="908" spans="3:84">
      <c r="C908" s="2"/>
      <c r="O908" s="93"/>
      <c r="AD908" s="502"/>
      <c r="AE908" s="911"/>
      <c r="AF908" s="502"/>
      <c r="AH908" s="898"/>
      <c r="AI908" s="502"/>
      <c r="AJ908" s="502"/>
      <c r="AL908" s="434"/>
      <c r="AM908" s="436"/>
      <c r="AN908" s="434"/>
      <c r="AO908" s="434"/>
      <c r="AP908" s="556"/>
      <c r="AQ908" s="556"/>
      <c r="AR908" s="556"/>
      <c r="CF908" s="2"/>
    </row>
    <row r="909" spans="3:84">
      <c r="C909" s="2"/>
      <c r="O909" s="93"/>
      <c r="AD909" s="502"/>
      <c r="AE909" s="911"/>
      <c r="AF909" s="502"/>
      <c r="AH909" s="898"/>
      <c r="AI909" s="502"/>
      <c r="AJ909" s="502"/>
      <c r="AL909" s="434"/>
      <c r="AM909" s="436"/>
      <c r="AN909" s="434"/>
      <c r="AO909" s="434"/>
      <c r="AP909" s="556"/>
      <c r="AQ909" s="556"/>
      <c r="AR909" s="556"/>
      <c r="CF909" s="2"/>
    </row>
    <row r="910" spans="3:84">
      <c r="C910" s="2"/>
      <c r="O910" s="93"/>
      <c r="AD910" s="502"/>
      <c r="AE910" s="911"/>
      <c r="AF910" s="502"/>
      <c r="AH910" s="898"/>
      <c r="AI910" s="502"/>
      <c r="AJ910" s="502"/>
      <c r="AL910" s="434"/>
      <c r="AM910" s="436"/>
      <c r="AN910" s="434"/>
      <c r="AO910" s="434"/>
      <c r="AP910" s="556"/>
      <c r="AQ910" s="556"/>
      <c r="AR910" s="556"/>
      <c r="CF910" s="2"/>
    </row>
    <row r="911" spans="3:84">
      <c r="C911" s="2"/>
      <c r="O911" s="93"/>
      <c r="AD911" s="502"/>
      <c r="AE911" s="911"/>
      <c r="AF911" s="502"/>
      <c r="AH911" s="898"/>
      <c r="AI911" s="502"/>
      <c r="AJ911" s="502"/>
      <c r="AL911" s="434"/>
      <c r="AM911" s="436"/>
      <c r="AN911" s="434"/>
      <c r="AO911" s="434"/>
      <c r="AP911" s="556"/>
      <c r="AQ911" s="556"/>
      <c r="AR911" s="556"/>
      <c r="CF911" s="2"/>
    </row>
    <row r="912" spans="3:84">
      <c r="C912" s="2"/>
      <c r="O912" s="93"/>
      <c r="AD912" s="502"/>
      <c r="AE912" s="911"/>
      <c r="AF912" s="502"/>
      <c r="AH912" s="898"/>
      <c r="AI912" s="502"/>
      <c r="AJ912" s="502"/>
      <c r="AL912" s="434"/>
      <c r="AM912" s="436"/>
      <c r="AN912" s="434"/>
      <c r="AO912" s="434"/>
      <c r="AP912" s="556"/>
      <c r="AQ912" s="556"/>
      <c r="AR912" s="556"/>
      <c r="CF912" s="2"/>
    </row>
    <row r="913" spans="3:84">
      <c r="C913" s="2"/>
      <c r="O913" s="93"/>
      <c r="AD913" s="502"/>
      <c r="AE913" s="911"/>
      <c r="AF913" s="502"/>
      <c r="AH913" s="898"/>
      <c r="AI913" s="502"/>
      <c r="AJ913" s="502"/>
      <c r="AL913" s="434"/>
      <c r="AM913" s="436"/>
      <c r="AN913" s="434"/>
      <c r="AO913" s="434"/>
      <c r="AP913" s="556"/>
      <c r="AQ913" s="556"/>
      <c r="AR913" s="556"/>
      <c r="CF913" s="2"/>
    </row>
    <row r="914" spans="3:84">
      <c r="C914" s="2"/>
      <c r="O914" s="93"/>
      <c r="AD914" s="502"/>
      <c r="AE914" s="911"/>
      <c r="AF914" s="502"/>
      <c r="AH914" s="898"/>
      <c r="AI914" s="502"/>
      <c r="AJ914" s="502"/>
      <c r="AL914" s="434"/>
      <c r="AM914" s="436"/>
      <c r="AN914" s="434"/>
      <c r="AO914" s="434"/>
      <c r="AP914" s="556"/>
      <c r="AQ914" s="556"/>
      <c r="AR914" s="556"/>
      <c r="CF914" s="2"/>
    </row>
    <row r="915" spans="3:84">
      <c r="C915" s="2"/>
      <c r="O915" s="93"/>
      <c r="AD915" s="502"/>
      <c r="AE915" s="911"/>
      <c r="AF915" s="502"/>
      <c r="AH915" s="898"/>
      <c r="AI915" s="502"/>
      <c r="AJ915" s="502"/>
      <c r="AL915" s="434"/>
      <c r="AM915" s="436"/>
      <c r="AN915" s="434"/>
      <c r="AO915" s="434"/>
      <c r="AP915" s="556"/>
      <c r="AQ915" s="556"/>
      <c r="AR915" s="556"/>
      <c r="CF915" s="2"/>
    </row>
    <row r="916" spans="3:84">
      <c r="C916" s="2"/>
      <c r="O916" s="93"/>
      <c r="AD916" s="502"/>
      <c r="AE916" s="911"/>
      <c r="AF916" s="502"/>
      <c r="AH916" s="898"/>
      <c r="AI916" s="502"/>
      <c r="AJ916" s="502"/>
      <c r="AL916" s="434"/>
      <c r="AM916" s="436"/>
      <c r="AN916" s="434"/>
      <c r="AO916" s="434"/>
      <c r="AP916" s="556"/>
      <c r="AQ916" s="556"/>
      <c r="AR916" s="556"/>
      <c r="CF916" s="2"/>
    </row>
    <row r="917" spans="3:84">
      <c r="C917" s="2"/>
      <c r="O917" s="93"/>
      <c r="AD917" s="502"/>
      <c r="AE917" s="911"/>
      <c r="AF917" s="502"/>
      <c r="AH917" s="898"/>
      <c r="AI917" s="502"/>
      <c r="AJ917" s="502"/>
      <c r="AL917" s="434"/>
      <c r="AM917" s="436"/>
      <c r="AN917" s="434"/>
      <c r="AO917" s="434"/>
      <c r="AP917" s="556"/>
      <c r="AQ917" s="556"/>
      <c r="AR917" s="556"/>
      <c r="CF917" s="2"/>
    </row>
    <row r="918" spans="3:84">
      <c r="C918" s="2"/>
      <c r="O918" s="93"/>
      <c r="AD918" s="502"/>
      <c r="AE918" s="911"/>
      <c r="AF918" s="502"/>
      <c r="AH918" s="898"/>
      <c r="AI918" s="502"/>
      <c r="AJ918" s="502"/>
      <c r="AL918" s="434"/>
      <c r="AM918" s="436"/>
      <c r="AN918" s="434"/>
      <c r="AO918" s="434"/>
      <c r="AP918" s="556"/>
      <c r="AQ918" s="556"/>
      <c r="AR918" s="556"/>
      <c r="CF918" s="2"/>
    </row>
    <row r="919" spans="3:84">
      <c r="C919" s="2"/>
      <c r="O919" s="93"/>
      <c r="AD919" s="502"/>
      <c r="AE919" s="911"/>
      <c r="AF919" s="502"/>
      <c r="AH919" s="898"/>
      <c r="AI919" s="502"/>
      <c r="AJ919" s="502"/>
      <c r="AL919" s="434"/>
      <c r="AM919" s="436"/>
      <c r="AN919" s="434"/>
      <c r="AO919" s="434"/>
      <c r="AP919" s="556"/>
      <c r="AQ919" s="556"/>
      <c r="AR919" s="556"/>
      <c r="CF919" s="2"/>
    </row>
    <row r="920" spans="3:84">
      <c r="C920" s="2"/>
      <c r="O920" s="93"/>
      <c r="AD920" s="502"/>
      <c r="AE920" s="911"/>
      <c r="AF920" s="502"/>
      <c r="AH920" s="898"/>
      <c r="AI920" s="502"/>
      <c r="AJ920" s="502"/>
      <c r="AL920" s="434"/>
      <c r="AM920" s="436"/>
      <c r="AN920" s="434"/>
      <c r="AO920" s="434"/>
      <c r="AP920" s="556"/>
      <c r="AQ920" s="556"/>
      <c r="AR920" s="556"/>
      <c r="CF920" s="2"/>
    </row>
    <row r="921" spans="3:84">
      <c r="C921" s="2"/>
      <c r="O921" s="93"/>
      <c r="AD921" s="502"/>
      <c r="AE921" s="911"/>
      <c r="AF921" s="502"/>
      <c r="AH921" s="898"/>
      <c r="AI921" s="502"/>
      <c r="AJ921" s="502"/>
      <c r="AL921" s="434"/>
      <c r="AM921" s="436"/>
      <c r="AN921" s="434"/>
      <c r="AO921" s="434"/>
      <c r="AP921" s="556"/>
      <c r="AQ921" s="556"/>
      <c r="AR921" s="556"/>
      <c r="CF921" s="2"/>
    </row>
    <row r="922" spans="3:84">
      <c r="C922" s="2"/>
      <c r="O922" s="93"/>
      <c r="AD922" s="502"/>
      <c r="AE922" s="911"/>
      <c r="AF922" s="502"/>
      <c r="AH922" s="898"/>
      <c r="AI922" s="502"/>
      <c r="AJ922" s="502"/>
      <c r="AL922" s="434"/>
      <c r="AM922" s="436"/>
      <c r="AN922" s="434"/>
      <c r="AO922" s="434"/>
      <c r="AP922" s="556"/>
      <c r="AQ922" s="556"/>
      <c r="AR922" s="556"/>
      <c r="CF922" s="2"/>
    </row>
    <row r="923" spans="3:84">
      <c r="C923" s="2"/>
      <c r="O923" s="93"/>
      <c r="AD923" s="502"/>
      <c r="AE923" s="911"/>
      <c r="AF923" s="502"/>
      <c r="AH923" s="898"/>
      <c r="AI923" s="502"/>
      <c r="AJ923" s="502"/>
      <c r="AL923" s="434"/>
      <c r="AM923" s="436"/>
      <c r="AN923" s="434"/>
      <c r="AO923" s="434"/>
      <c r="AP923" s="556"/>
      <c r="AQ923" s="556"/>
      <c r="AR923" s="556"/>
      <c r="CF923" s="2"/>
    </row>
    <row r="924" spans="3:84">
      <c r="C924" s="2"/>
      <c r="O924" s="93"/>
      <c r="AD924" s="502"/>
      <c r="AE924" s="911"/>
      <c r="AF924" s="502"/>
      <c r="AH924" s="898"/>
      <c r="AI924" s="502"/>
      <c r="AJ924" s="502"/>
      <c r="AL924" s="434"/>
      <c r="AM924" s="436"/>
      <c r="AN924" s="434"/>
      <c r="AO924" s="434"/>
      <c r="AP924" s="556"/>
      <c r="AQ924" s="556"/>
      <c r="AR924" s="556"/>
      <c r="CF924" s="2"/>
    </row>
    <row r="925" spans="3:84">
      <c r="C925" s="2"/>
      <c r="O925" s="93"/>
      <c r="AD925" s="502"/>
      <c r="AE925" s="911"/>
      <c r="AF925" s="502"/>
      <c r="AH925" s="898"/>
      <c r="AI925" s="502"/>
      <c r="AJ925" s="502"/>
      <c r="AL925" s="434"/>
      <c r="AM925" s="436"/>
      <c r="AN925" s="434"/>
      <c r="AO925" s="434"/>
      <c r="AP925" s="556"/>
      <c r="AQ925" s="556"/>
      <c r="AR925" s="556"/>
      <c r="CF925" s="2"/>
    </row>
    <row r="926" spans="3:84">
      <c r="C926" s="2"/>
      <c r="O926" s="93"/>
      <c r="AD926" s="502"/>
      <c r="AE926" s="911"/>
      <c r="AF926" s="502"/>
      <c r="AH926" s="898"/>
      <c r="AI926" s="502"/>
      <c r="AJ926" s="502"/>
      <c r="AL926" s="434"/>
      <c r="AM926" s="436"/>
      <c r="AN926" s="434"/>
      <c r="AO926" s="434"/>
      <c r="AP926" s="556"/>
      <c r="AQ926" s="556"/>
      <c r="AR926" s="556"/>
      <c r="CF926" s="2"/>
    </row>
    <row r="927" spans="3:84">
      <c r="C927" s="2"/>
      <c r="O927" s="93"/>
      <c r="AD927" s="502"/>
      <c r="AE927" s="911"/>
      <c r="AF927" s="502"/>
      <c r="AH927" s="898"/>
      <c r="AI927" s="502"/>
      <c r="AJ927" s="502"/>
      <c r="AL927" s="434"/>
      <c r="AM927" s="436"/>
      <c r="AN927" s="434"/>
      <c r="AO927" s="434"/>
      <c r="AP927" s="556"/>
      <c r="AQ927" s="556"/>
      <c r="AR927" s="556"/>
      <c r="CF927" s="2"/>
    </row>
    <row r="928" spans="3:84">
      <c r="C928" s="2"/>
      <c r="O928" s="93"/>
      <c r="AD928" s="502"/>
      <c r="AE928" s="911"/>
      <c r="AF928" s="502"/>
      <c r="AH928" s="898"/>
      <c r="AI928" s="502"/>
      <c r="AJ928" s="502"/>
      <c r="AL928" s="434"/>
      <c r="AM928" s="436"/>
      <c r="AN928" s="434"/>
      <c r="AO928" s="434"/>
      <c r="AP928" s="556"/>
      <c r="AQ928" s="556"/>
      <c r="AR928" s="556"/>
      <c r="CF928" s="2"/>
    </row>
    <row r="929" spans="3:84">
      <c r="C929" s="2"/>
      <c r="O929" s="93"/>
      <c r="AD929" s="502"/>
      <c r="AE929" s="911"/>
      <c r="AF929" s="502"/>
      <c r="AH929" s="898"/>
      <c r="AI929" s="502"/>
      <c r="AJ929" s="502"/>
      <c r="AL929" s="434"/>
      <c r="AM929" s="436"/>
      <c r="AN929" s="434"/>
      <c r="AO929" s="434"/>
      <c r="AP929" s="556"/>
      <c r="AQ929" s="556"/>
      <c r="AR929" s="556"/>
      <c r="CF929" s="2"/>
    </row>
    <row r="930" spans="3:84">
      <c r="C930" s="2"/>
      <c r="O930" s="93"/>
      <c r="AD930" s="502"/>
      <c r="AE930" s="911"/>
      <c r="AF930" s="502"/>
      <c r="AH930" s="898"/>
      <c r="AI930" s="502"/>
      <c r="AJ930" s="502"/>
      <c r="AL930" s="434"/>
      <c r="AM930" s="436"/>
      <c r="AN930" s="434"/>
      <c r="AO930" s="434"/>
      <c r="AP930" s="556"/>
      <c r="AQ930" s="556"/>
      <c r="AR930" s="556"/>
      <c r="CF930" s="2"/>
    </row>
    <row r="931" spans="3:84">
      <c r="C931" s="2"/>
      <c r="O931" s="93"/>
      <c r="AD931" s="502"/>
      <c r="AE931" s="911"/>
      <c r="AF931" s="502"/>
      <c r="AH931" s="898"/>
      <c r="AI931" s="502"/>
      <c r="AJ931" s="502"/>
      <c r="AL931" s="434"/>
      <c r="AM931" s="436"/>
      <c r="AN931" s="434"/>
      <c r="AO931" s="434"/>
      <c r="AP931" s="556"/>
      <c r="AQ931" s="556"/>
      <c r="AR931" s="556"/>
      <c r="CF931" s="2"/>
    </row>
    <row r="932" spans="3:84">
      <c r="C932" s="2"/>
      <c r="O932" s="93"/>
      <c r="AD932" s="502"/>
      <c r="AE932" s="911"/>
      <c r="AF932" s="502"/>
      <c r="AH932" s="898"/>
      <c r="AI932" s="502"/>
      <c r="AJ932" s="502"/>
      <c r="AL932" s="434"/>
      <c r="AM932" s="436"/>
      <c r="AN932" s="434"/>
      <c r="AO932" s="434"/>
      <c r="AP932" s="556"/>
      <c r="AQ932" s="556"/>
      <c r="AR932" s="556"/>
      <c r="CF932" s="2"/>
    </row>
    <row r="933" spans="3:84">
      <c r="C933" s="2"/>
      <c r="O933" s="93"/>
      <c r="AD933" s="502"/>
      <c r="AE933" s="911"/>
      <c r="AF933" s="502"/>
      <c r="AH933" s="898"/>
      <c r="AI933" s="502"/>
      <c r="AJ933" s="502"/>
      <c r="AL933" s="434"/>
      <c r="AM933" s="436"/>
      <c r="AN933" s="434"/>
      <c r="AO933" s="434"/>
      <c r="AP933" s="556"/>
      <c r="AQ933" s="556"/>
      <c r="AR933" s="556"/>
      <c r="CF933" s="2"/>
    </row>
    <row r="934" spans="3:84">
      <c r="C934" s="2"/>
      <c r="O934" s="93"/>
      <c r="AD934" s="502"/>
      <c r="AE934" s="911"/>
      <c r="AF934" s="502"/>
      <c r="AH934" s="898"/>
      <c r="AI934" s="502"/>
      <c r="AJ934" s="502"/>
      <c r="AL934" s="434"/>
      <c r="AM934" s="436"/>
      <c r="AN934" s="434"/>
      <c r="AO934" s="434"/>
      <c r="AP934" s="556"/>
      <c r="AQ934" s="556"/>
      <c r="AR934" s="556"/>
      <c r="CF934" s="2"/>
    </row>
    <row r="935" spans="3:84">
      <c r="C935" s="2"/>
      <c r="O935" s="93"/>
      <c r="AD935" s="502"/>
      <c r="AE935" s="911"/>
      <c r="AF935" s="502"/>
      <c r="AH935" s="898"/>
      <c r="AI935" s="502"/>
      <c r="AJ935" s="502"/>
      <c r="AL935" s="434"/>
      <c r="AM935" s="436"/>
      <c r="AN935" s="434"/>
      <c r="AO935" s="434"/>
      <c r="AP935" s="556"/>
      <c r="AQ935" s="556"/>
      <c r="AR935" s="556"/>
      <c r="CF935" s="2"/>
    </row>
    <row r="936" spans="3:84">
      <c r="C936" s="2"/>
      <c r="O936" s="93"/>
      <c r="AD936" s="502"/>
      <c r="AE936" s="911"/>
      <c r="AF936" s="502"/>
      <c r="AH936" s="898"/>
      <c r="AI936" s="502"/>
      <c r="AJ936" s="502"/>
      <c r="AL936" s="434"/>
      <c r="AM936" s="436"/>
      <c r="AN936" s="434"/>
      <c r="AO936" s="434"/>
      <c r="AP936" s="556"/>
      <c r="AQ936" s="556"/>
      <c r="AR936" s="556"/>
      <c r="CF936" s="2"/>
    </row>
    <row r="937" spans="3:84">
      <c r="C937" s="2"/>
      <c r="O937" s="93"/>
      <c r="AD937" s="502"/>
      <c r="AE937" s="911"/>
      <c r="AF937" s="502"/>
      <c r="AH937" s="898"/>
      <c r="AI937" s="502"/>
      <c r="AJ937" s="502"/>
      <c r="AL937" s="434"/>
      <c r="AM937" s="436"/>
      <c r="AN937" s="434"/>
      <c r="AO937" s="434"/>
      <c r="AP937" s="556"/>
      <c r="AQ937" s="556"/>
      <c r="AR937" s="556"/>
      <c r="CF937" s="2"/>
    </row>
    <row r="938" spans="3:84">
      <c r="C938" s="2"/>
      <c r="O938" s="93"/>
      <c r="AD938" s="502"/>
      <c r="AE938" s="911"/>
      <c r="AF938" s="502"/>
      <c r="AH938" s="898"/>
      <c r="AI938" s="502"/>
      <c r="AJ938" s="502"/>
      <c r="AL938" s="434"/>
      <c r="AM938" s="436"/>
      <c r="AN938" s="434"/>
      <c r="AO938" s="434"/>
      <c r="AP938" s="556"/>
      <c r="AQ938" s="556"/>
      <c r="AR938" s="556"/>
      <c r="CF938" s="2"/>
    </row>
    <row r="939" spans="3:84">
      <c r="C939" s="2"/>
      <c r="O939" s="93"/>
      <c r="AD939" s="502"/>
      <c r="AE939" s="911"/>
      <c r="AF939" s="502"/>
      <c r="AH939" s="898"/>
      <c r="AI939" s="502"/>
      <c r="AJ939" s="502"/>
      <c r="AL939" s="434"/>
      <c r="AM939" s="436"/>
      <c r="AN939" s="434"/>
      <c r="AO939" s="434"/>
      <c r="AP939" s="556"/>
      <c r="AQ939" s="556"/>
      <c r="AR939" s="556"/>
      <c r="CF939" s="2"/>
    </row>
    <row r="940" spans="3:84">
      <c r="C940" s="2"/>
      <c r="O940" s="93"/>
      <c r="AD940" s="502"/>
      <c r="AE940" s="911"/>
      <c r="AF940" s="502"/>
      <c r="AH940" s="898"/>
      <c r="AI940" s="502"/>
      <c r="AJ940" s="502"/>
      <c r="AL940" s="434"/>
      <c r="AM940" s="436"/>
      <c r="AN940" s="434"/>
      <c r="AO940" s="434"/>
      <c r="AP940" s="556"/>
      <c r="AQ940" s="556"/>
      <c r="AR940" s="556"/>
      <c r="CF940" s="2"/>
    </row>
    <row r="941" spans="3:84">
      <c r="C941" s="2"/>
      <c r="O941" s="93"/>
      <c r="AD941" s="502"/>
      <c r="AE941" s="911"/>
      <c r="AF941" s="502"/>
      <c r="AH941" s="898"/>
      <c r="AI941" s="502"/>
      <c r="AJ941" s="502"/>
      <c r="AL941" s="434"/>
      <c r="AM941" s="436"/>
      <c r="AN941" s="434"/>
      <c r="AO941" s="434"/>
      <c r="AP941" s="556"/>
      <c r="AQ941" s="556"/>
      <c r="AR941" s="556"/>
      <c r="CF941" s="2"/>
    </row>
    <row r="942" spans="3:84">
      <c r="C942" s="2"/>
      <c r="O942" s="93"/>
      <c r="AD942" s="502"/>
      <c r="AE942" s="911"/>
      <c r="AF942" s="502"/>
      <c r="AH942" s="898"/>
      <c r="AI942" s="502"/>
      <c r="AJ942" s="502"/>
      <c r="AL942" s="434"/>
      <c r="AM942" s="436"/>
      <c r="AN942" s="434"/>
      <c r="AO942" s="434"/>
      <c r="AP942" s="556"/>
      <c r="AQ942" s="556"/>
      <c r="AR942" s="556"/>
      <c r="CF942" s="2"/>
    </row>
    <row r="943" spans="3:84">
      <c r="C943" s="2"/>
      <c r="O943" s="93"/>
      <c r="AD943" s="502"/>
      <c r="AE943" s="911"/>
      <c r="AF943" s="502"/>
      <c r="AH943" s="898"/>
      <c r="AI943" s="502"/>
      <c r="AJ943" s="502"/>
      <c r="AL943" s="434"/>
      <c r="AM943" s="436"/>
      <c r="AN943" s="434"/>
      <c r="AO943" s="434"/>
      <c r="AP943" s="556"/>
      <c r="AQ943" s="556"/>
      <c r="AR943" s="556"/>
      <c r="CF943" s="2"/>
    </row>
    <row r="944" spans="3:84">
      <c r="C944" s="2"/>
      <c r="O944" s="93"/>
      <c r="AD944" s="502"/>
      <c r="AE944" s="911"/>
      <c r="AF944" s="502"/>
      <c r="AH944" s="898"/>
      <c r="AI944" s="502"/>
      <c r="AJ944" s="502"/>
      <c r="AL944" s="434"/>
      <c r="AM944" s="436"/>
      <c r="AN944" s="434"/>
      <c r="AO944" s="434"/>
      <c r="AP944" s="556"/>
      <c r="AQ944" s="556"/>
      <c r="AR944" s="556"/>
      <c r="CF944" s="2"/>
    </row>
    <row r="945" spans="3:84">
      <c r="C945" s="2"/>
      <c r="O945" s="93"/>
      <c r="AD945" s="502"/>
      <c r="AE945" s="911"/>
      <c r="AF945" s="502"/>
      <c r="AH945" s="898"/>
      <c r="AI945" s="502"/>
      <c r="AJ945" s="502"/>
      <c r="AL945" s="434"/>
      <c r="AM945" s="436"/>
      <c r="AN945" s="434"/>
      <c r="AO945" s="434"/>
      <c r="AP945" s="556"/>
      <c r="AQ945" s="556"/>
      <c r="AR945" s="556"/>
      <c r="CF945" s="2"/>
    </row>
    <row r="946" spans="3:84">
      <c r="C946" s="2"/>
      <c r="O946" s="93"/>
      <c r="AD946" s="502"/>
      <c r="AE946" s="911"/>
      <c r="AF946" s="502"/>
      <c r="AH946" s="898"/>
      <c r="AI946" s="502"/>
      <c r="AJ946" s="502"/>
      <c r="AL946" s="434"/>
      <c r="AM946" s="436"/>
      <c r="AN946" s="434"/>
      <c r="AO946" s="434"/>
      <c r="AP946" s="556"/>
      <c r="AQ946" s="556"/>
      <c r="AR946" s="556"/>
      <c r="CF946" s="2"/>
    </row>
    <row r="947" spans="3:84">
      <c r="C947" s="2"/>
      <c r="O947" s="93"/>
      <c r="AD947" s="502"/>
      <c r="AE947" s="911"/>
      <c r="AF947" s="502"/>
      <c r="AH947" s="898"/>
      <c r="AI947" s="502"/>
      <c r="AJ947" s="502"/>
      <c r="AL947" s="434"/>
      <c r="AM947" s="436"/>
      <c r="AN947" s="434"/>
      <c r="AO947" s="434"/>
      <c r="AP947" s="556"/>
      <c r="AQ947" s="556"/>
      <c r="AR947" s="556"/>
      <c r="CF947" s="2"/>
    </row>
    <row r="948" spans="3:84">
      <c r="C948" s="2"/>
      <c r="O948" s="93"/>
      <c r="AD948" s="502"/>
      <c r="AE948" s="911"/>
      <c r="AF948" s="502"/>
      <c r="AH948" s="898"/>
      <c r="AI948" s="502"/>
      <c r="AJ948" s="502"/>
      <c r="AL948" s="434"/>
      <c r="AM948" s="436"/>
      <c r="AN948" s="434"/>
      <c r="AO948" s="434"/>
      <c r="AP948" s="556"/>
      <c r="AQ948" s="556"/>
      <c r="AR948" s="556"/>
      <c r="CF948" s="2"/>
    </row>
    <row r="949" spans="3:84">
      <c r="C949" s="2"/>
      <c r="O949" s="93"/>
      <c r="AD949" s="502"/>
      <c r="AE949" s="911"/>
      <c r="AF949" s="502"/>
      <c r="AH949" s="898"/>
      <c r="AI949" s="502"/>
      <c r="AJ949" s="502"/>
      <c r="AL949" s="434"/>
      <c r="AM949" s="436"/>
      <c r="AN949" s="434"/>
      <c r="AO949" s="434"/>
      <c r="AP949" s="556"/>
      <c r="AQ949" s="556"/>
      <c r="AR949" s="556"/>
      <c r="CF949" s="2"/>
    </row>
    <row r="950" spans="3:84">
      <c r="C950" s="2"/>
      <c r="O950" s="93"/>
      <c r="AD950" s="502"/>
      <c r="AE950" s="911"/>
      <c r="AF950" s="502"/>
      <c r="AH950" s="898"/>
      <c r="AI950" s="502"/>
      <c r="AJ950" s="502"/>
      <c r="AL950" s="434"/>
      <c r="AM950" s="436"/>
      <c r="AN950" s="434"/>
      <c r="AO950" s="434"/>
      <c r="AP950" s="556"/>
      <c r="AQ950" s="556"/>
      <c r="AR950" s="556"/>
      <c r="CF950" s="2"/>
    </row>
    <row r="951" spans="3:84">
      <c r="C951" s="2"/>
      <c r="O951" s="93"/>
      <c r="AD951" s="502"/>
      <c r="AE951" s="911"/>
      <c r="AF951" s="502"/>
      <c r="AH951" s="898"/>
      <c r="AI951" s="502"/>
      <c r="AJ951" s="502"/>
      <c r="AL951" s="434"/>
      <c r="AM951" s="436"/>
      <c r="AN951" s="434"/>
      <c r="AO951" s="434"/>
      <c r="AP951" s="556"/>
      <c r="AQ951" s="556"/>
      <c r="AR951" s="556"/>
      <c r="CF951" s="2"/>
    </row>
    <row r="952" spans="3:84">
      <c r="C952" s="2"/>
      <c r="O952" s="93"/>
      <c r="AD952" s="502"/>
      <c r="AE952" s="911"/>
      <c r="AF952" s="502"/>
      <c r="AH952" s="898"/>
      <c r="AI952" s="502"/>
      <c r="AJ952" s="502"/>
      <c r="AL952" s="434"/>
      <c r="AM952" s="436"/>
      <c r="AN952" s="434"/>
      <c r="AO952" s="434"/>
      <c r="AP952" s="556"/>
      <c r="AQ952" s="556"/>
      <c r="AR952" s="556"/>
      <c r="CF952" s="2"/>
    </row>
    <row r="953" spans="3:84">
      <c r="C953" s="2"/>
      <c r="O953" s="93"/>
      <c r="AD953" s="502"/>
      <c r="AE953" s="911"/>
      <c r="AF953" s="502"/>
      <c r="AH953" s="898"/>
      <c r="AI953" s="502"/>
      <c r="AJ953" s="502"/>
      <c r="AL953" s="434"/>
      <c r="AM953" s="436"/>
      <c r="AN953" s="434"/>
      <c r="AO953" s="434"/>
      <c r="AP953" s="556"/>
      <c r="AQ953" s="556"/>
      <c r="AR953" s="556"/>
      <c r="CF953" s="2"/>
    </row>
    <row r="954" spans="3:84">
      <c r="C954" s="2"/>
      <c r="O954" s="93"/>
      <c r="AD954" s="502"/>
      <c r="AE954" s="911"/>
      <c r="AF954" s="502"/>
      <c r="AH954" s="898"/>
      <c r="AI954" s="502"/>
      <c r="AJ954" s="502"/>
      <c r="AL954" s="434"/>
      <c r="AM954" s="436"/>
      <c r="AN954" s="434"/>
      <c r="AO954" s="434"/>
      <c r="AP954" s="556"/>
      <c r="AQ954" s="556"/>
      <c r="AR954" s="556"/>
      <c r="CF954" s="2"/>
    </row>
    <row r="955" spans="3:84">
      <c r="C955" s="2"/>
      <c r="O955" s="93"/>
      <c r="AD955" s="502"/>
      <c r="AE955" s="911"/>
      <c r="AF955" s="502"/>
      <c r="AH955" s="898"/>
      <c r="AI955" s="502"/>
      <c r="AJ955" s="502"/>
      <c r="AL955" s="434"/>
      <c r="AM955" s="436"/>
      <c r="AN955" s="434"/>
      <c r="AO955" s="434"/>
      <c r="AP955" s="556"/>
      <c r="AQ955" s="556"/>
      <c r="AR955" s="556"/>
      <c r="CF955" s="2"/>
    </row>
    <row r="956" spans="3:84">
      <c r="C956" s="2"/>
      <c r="O956" s="93"/>
      <c r="AD956" s="502"/>
      <c r="AE956" s="911"/>
      <c r="AF956" s="502"/>
      <c r="AH956" s="898"/>
      <c r="AI956" s="502"/>
      <c r="AJ956" s="502"/>
      <c r="AL956" s="434"/>
      <c r="AM956" s="436"/>
      <c r="AN956" s="434"/>
      <c r="AO956" s="434"/>
      <c r="AP956" s="556"/>
      <c r="AQ956" s="556"/>
      <c r="AR956" s="556"/>
      <c r="CF956" s="2"/>
    </row>
    <row r="957" spans="3:84">
      <c r="C957" s="2"/>
      <c r="O957" s="93"/>
      <c r="AD957" s="502"/>
      <c r="AE957" s="911"/>
      <c r="AF957" s="502"/>
      <c r="AH957" s="898"/>
      <c r="AI957" s="502"/>
      <c r="AJ957" s="502"/>
      <c r="AL957" s="434"/>
      <c r="AM957" s="436"/>
      <c r="AN957" s="434"/>
      <c r="AO957" s="434"/>
      <c r="AP957" s="556"/>
      <c r="AQ957" s="556"/>
      <c r="AR957" s="556"/>
      <c r="CF957" s="2"/>
    </row>
    <row r="958" spans="3:84">
      <c r="C958" s="2"/>
      <c r="O958" s="93"/>
      <c r="AD958" s="502"/>
      <c r="AE958" s="911"/>
      <c r="AF958" s="502"/>
      <c r="AH958" s="898"/>
      <c r="AI958" s="502"/>
      <c r="AJ958" s="502"/>
      <c r="AL958" s="434"/>
      <c r="AM958" s="436"/>
      <c r="AN958" s="434"/>
      <c r="AO958" s="434"/>
      <c r="AP958" s="556"/>
      <c r="AQ958" s="556"/>
      <c r="AR958" s="556"/>
      <c r="CF958" s="2"/>
    </row>
    <row r="959" spans="3:84">
      <c r="C959" s="2"/>
      <c r="O959" s="93"/>
      <c r="AD959" s="502"/>
      <c r="AE959" s="911"/>
      <c r="AF959" s="502"/>
      <c r="AH959" s="898"/>
      <c r="AI959" s="502"/>
      <c r="AJ959" s="502"/>
      <c r="AL959" s="434"/>
      <c r="AM959" s="436"/>
      <c r="AN959" s="434"/>
      <c r="AO959" s="434"/>
      <c r="AP959" s="556"/>
      <c r="AQ959" s="556"/>
      <c r="AR959" s="556"/>
      <c r="CF959" s="2"/>
    </row>
    <row r="960" spans="3:84">
      <c r="C960" s="2"/>
      <c r="O960" s="93"/>
      <c r="AD960" s="502"/>
      <c r="AE960" s="911"/>
      <c r="AF960" s="502"/>
      <c r="AH960" s="898"/>
      <c r="AI960" s="502"/>
      <c r="AJ960" s="502"/>
      <c r="AL960" s="434"/>
      <c r="AM960" s="436"/>
      <c r="AN960" s="434"/>
      <c r="AO960" s="434"/>
      <c r="AP960" s="556"/>
      <c r="AQ960" s="556"/>
      <c r="AR960" s="556"/>
      <c r="CF960" s="2"/>
    </row>
    <row r="961" spans="3:84">
      <c r="C961" s="2"/>
      <c r="O961" s="93"/>
      <c r="AD961" s="502"/>
      <c r="AE961" s="911"/>
      <c r="AF961" s="502"/>
      <c r="AH961" s="898"/>
      <c r="AI961" s="502"/>
      <c r="AJ961" s="502"/>
      <c r="AL961" s="434"/>
      <c r="AM961" s="436"/>
      <c r="AN961" s="434"/>
      <c r="AO961" s="434"/>
      <c r="AP961" s="556"/>
      <c r="AQ961" s="556"/>
      <c r="AR961" s="556"/>
      <c r="CF961" s="2"/>
    </row>
    <row r="962" spans="3:84">
      <c r="C962" s="2"/>
      <c r="O962" s="93"/>
      <c r="AD962" s="502"/>
      <c r="AE962" s="911"/>
      <c r="AF962" s="502"/>
      <c r="AH962" s="898"/>
      <c r="AI962" s="502"/>
      <c r="AJ962" s="502"/>
      <c r="AL962" s="434"/>
      <c r="AM962" s="436"/>
      <c r="AN962" s="434"/>
      <c r="AO962" s="434"/>
      <c r="AP962" s="556"/>
      <c r="AQ962" s="556"/>
      <c r="AR962" s="556"/>
      <c r="CF962" s="2"/>
    </row>
    <row r="963" spans="3:84">
      <c r="C963" s="2"/>
      <c r="O963" s="93"/>
      <c r="AD963" s="502"/>
      <c r="AE963" s="911"/>
      <c r="AF963" s="502"/>
      <c r="AH963" s="898"/>
      <c r="AI963" s="502"/>
      <c r="AJ963" s="502"/>
      <c r="AL963" s="434"/>
      <c r="AM963" s="436"/>
      <c r="AN963" s="434"/>
      <c r="AO963" s="434"/>
      <c r="AP963" s="556"/>
      <c r="AQ963" s="556"/>
      <c r="AR963" s="556"/>
      <c r="CF963" s="2"/>
    </row>
    <row r="964" spans="3:84">
      <c r="C964" s="2"/>
      <c r="O964" s="93"/>
      <c r="AD964" s="502"/>
      <c r="AE964" s="911"/>
      <c r="AF964" s="502"/>
      <c r="AH964" s="898"/>
      <c r="AI964" s="502"/>
      <c r="AJ964" s="502"/>
      <c r="AL964" s="434"/>
      <c r="AM964" s="436"/>
      <c r="AN964" s="434"/>
      <c r="AO964" s="434"/>
      <c r="AP964" s="556"/>
      <c r="AQ964" s="556"/>
      <c r="AR964" s="556"/>
      <c r="CF964" s="2"/>
    </row>
    <row r="965" spans="3:84">
      <c r="C965" s="2"/>
      <c r="O965" s="93"/>
      <c r="AD965" s="502"/>
      <c r="AE965" s="911"/>
      <c r="AF965" s="502"/>
      <c r="AH965" s="898"/>
      <c r="AI965" s="502"/>
      <c r="AJ965" s="502"/>
      <c r="AL965" s="434"/>
      <c r="AM965" s="436"/>
      <c r="AN965" s="434"/>
      <c r="AO965" s="434"/>
      <c r="AP965" s="556"/>
      <c r="AQ965" s="556"/>
      <c r="AR965" s="556"/>
      <c r="CF965" s="2"/>
    </row>
    <row r="966" spans="3:84">
      <c r="C966" s="2"/>
      <c r="O966" s="93"/>
      <c r="AD966" s="502"/>
      <c r="AE966" s="911"/>
      <c r="AF966" s="502"/>
      <c r="AH966" s="898"/>
      <c r="AI966" s="502"/>
      <c r="AJ966" s="502"/>
      <c r="AL966" s="434"/>
      <c r="AM966" s="436"/>
      <c r="AN966" s="434"/>
      <c r="AO966" s="434"/>
      <c r="AP966" s="556"/>
      <c r="AQ966" s="556"/>
      <c r="AR966" s="556"/>
      <c r="CF966" s="2"/>
    </row>
    <row r="967" spans="3:84">
      <c r="C967" s="2"/>
      <c r="O967" s="93"/>
      <c r="AD967" s="502"/>
      <c r="AE967" s="911"/>
      <c r="AF967" s="502"/>
      <c r="AH967" s="898"/>
      <c r="AI967" s="502"/>
      <c r="AJ967" s="502"/>
      <c r="AL967" s="434"/>
      <c r="AM967" s="436"/>
      <c r="AN967" s="434"/>
      <c r="AO967" s="434"/>
      <c r="AP967" s="556"/>
      <c r="AQ967" s="556"/>
      <c r="AR967" s="556"/>
      <c r="CF967" s="2"/>
    </row>
    <row r="968" spans="3:84">
      <c r="C968" s="2"/>
      <c r="O968" s="93"/>
      <c r="AD968" s="502"/>
      <c r="AE968" s="911"/>
      <c r="AF968" s="502"/>
      <c r="AH968" s="898"/>
      <c r="AI968" s="502"/>
      <c r="AJ968" s="502"/>
      <c r="AL968" s="434"/>
      <c r="AM968" s="436"/>
      <c r="AN968" s="434"/>
      <c r="AO968" s="434"/>
      <c r="AP968" s="556"/>
      <c r="AQ968" s="556"/>
      <c r="AR968" s="556"/>
      <c r="CF968" s="2"/>
    </row>
    <row r="969" spans="3:84">
      <c r="C969" s="2"/>
      <c r="O969" s="93"/>
      <c r="AD969" s="502"/>
      <c r="AE969" s="911"/>
      <c r="AF969" s="502"/>
      <c r="AH969" s="898"/>
      <c r="AI969" s="502"/>
      <c r="AJ969" s="502"/>
      <c r="AL969" s="434"/>
      <c r="AM969" s="436"/>
      <c r="AN969" s="434"/>
      <c r="AO969" s="434"/>
      <c r="AP969" s="556"/>
      <c r="AQ969" s="556"/>
      <c r="AR969" s="556"/>
      <c r="CF969" s="2"/>
    </row>
    <row r="970" spans="3:84">
      <c r="C970" s="2"/>
      <c r="O970" s="93"/>
      <c r="AD970" s="502"/>
      <c r="AE970" s="911"/>
      <c r="AF970" s="502"/>
      <c r="AH970" s="898"/>
      <c r="AI970" s="502"/>
      <c r="AJ970" s="502"/>
      <c r="AL970" s="434"/>
      <c r="AM970" s="436"/>
      <c r="AN970" s="434"/>
      <c r="AO970" s="434"/>
      <c r="AP970" s="556"/>
      <c r="AQ970" s="556"/>
      <c r="AR970" s="556"/>
      <c r="CF970" s="2"/>
    </row>
    <row r="971" spans="3:84">
      <c r="C971" s="2"/>
      <c r="O971" s="93"/>
      <c r="AD971" s="502"/>
      <c r="AE971" s="911"/>
      <c r="AF971" s="502"/>
      <c r="AH971" s="898"/>
      <c r="AI971" s="502"/>
      <c r="AJ971" s="502"/>
      <c r="AL971" s="434"/>
      <c r="AM971" s="436"/>
      <c r="AN971" s="434"/>
      <c r="AO971" s="434"/>
      <c r="AP971" s="556"/>
      <c r="AQ971" s="556"/>
      <c r="AR971" s="556"/>
      <c r="CF971" s="2"/>
    </row>
    <row r="972" spans="3:84">
      <c r="C972" s="2"/>
      <c r="O972" s="93"/>
      <c r="AD972" s="502"/>
      <c r="AE972" s="911"/>
      <c r="AF972" s="502"/>
      <c r="AH972" s="898"/>
      <c r="AI972" s="502"/>
      <c r="AJ972" s="502"/>
      <c r="AL972" s="434"/>
      <c r="AM972" s="436"/>
      <c r="AN972" s="434"/>
      <c r="AO972" s="434"/>
      <c r="AP972" s="556"/>
      <c r="AQ972" s="556"/>
      <c r="AR972" s="556"/>
      <c r="CF972" s="2"/>
    </row>
    <row r="973" spans="3:84">
      <c r="C973" s="2"/>
      <c r="O973" s="93"/>
      <c r="AD973" s="502"/>
      <c r="AE973" s="911"/>
      <c r="AF973" s="502"/>
      <c r="AH973" s="898"/>
      <c r="AI973" s="502"/>
      <c r="AJ973" s="502"/>
      <c r="AL973" s="434"/>
      <c r="AM973" s="436"/>
      <c r="AN973" s="434"/>
      <c r="AO973" s="434"/>
      <c r="AP973" s="556"/>
      <c r="AQ973" s="556"/>
      <c r="AR973" s="556"/>
      <c r="CF973" s="2"/>
    </row>
    <row r="974" spans="3:84">
      <c r="C974" s="2"/>
      <c r="O974" s="93"/>
      <c r="AD974" s="502"/>
      <c r="AE974" s="911"/>
      <c r="AF974" s="502"/>
      <c r="AH974" s="898"/>
      <c r="AI974" s="502"/>
      <c r="AJ974" s="502"/>
      <c r="AL974" s="434"/>
      <c r="AM974" s="436"/>
      <c r="AN974" s="434"/>
      <c r="AO974" s="434"/>
      <c r="AP974" s="556"/>
      <c r="AQ974" s="556"/>
      <c r="AR974" s="556"/>
      <c r="CF974" s="2"/>
    </row>
    <row r="975" spans="3:84">
      <c r="C975" s="2"/>
      <c r="O975" s="93"/>
      <c r="AD975" s="502"/>
      <c r="AE975" s="911"/>
      <c r="AF975" s="502"/>
      <c r="AH975" s="898"/>
      <c r="AI975" s="502"/>
      <c r="AJ975" s="502"/>
      <c r="AL975" s="434"/>
      <c r="AM975" s="436"/>
      <c r="AN975" s="434"/>
      <c r="AO975" s="434"/>
      <c r="AP975" s="556"/>
      <c r="AQ975" s="556"/>
      <c r="AR975" s="556"/>
      <c r="CF975" s="2"/>
    </row>
    <row r="976" spans="3:84">
      <c r="C976" s="2"/>
      <c r="O976" s="93"/>
      <c r="AD976" s="502"/>
      <c r="AE976" s="911"/>
      <c r="AF976" s="502"/>
      <c r="AH976" s="898"/>
      <c r="AI976" s="502"/>
      <c r="AJ976" s="502"/>
      <c r="AL976" s="434"/>
      <c r="AM976" s="436"/>
      <c r="AN976" s="434"/>
      <c r="AO976" s="434"/>
      <c r="AP976" s="556"/>
      <c r="AQ976" s="556"/>
      <c r="AR976" s="556"/>
      <c r="CF976" s="2"/>
    </row>
    <row r="977" spans="3:84">
      <c r="C977" s="2"/>
      <c r="O977" s="93"/>
      <c r="AD977" s="502"/>
      <c r="AE977" s="911"/>
      <c r="AF977" s="502"/>
      <c r="AH977" s="898"/>
      <c r="AI977" s="502"/>
      <c r="AJ977" s="502"/>
      <c r="AL977" s="434"/>
      <c r="AM977" s="436"/>
      <c r="AN977" s="434"/>
      <c r="AO977" s="434"/>
      <c r="AP977" s="556"/>
      <c r="AQ977" s="556"/>
      <c r="AR977" s="556"/>
      <c r="CF977" s="2"/>
    </row>
    <row r="978" spans="3:84">
      <c r="C978" s="2"/>
      <c r="O978" s="93"/>
      <c r="AD978" s="502"/>
      <c r="AE978" s="911"/>
      <c r="AF978" s="502"/>
      <c r="AH978" s="898"/>
      <c r="AI978" s="502"/>
      <c r="AJ978" s="502"/>
      <c r="AL978" s="434"/>
      <c r="AM978" s="436"/>
      <c r="AN978" s="434"/>
      <c r="AO978" s="434"/>
      <c r="AP978" s="556"/>
      <c r="AQ978" s="556"/>
      <c r="AR978" s="556"/>
      <c r="CF978" s="2"/>
    </row>
    <row r="979" spans="3:84">
      <c r="C979" s="2"/>
      <c r="O979" s="93"/>
      <c r="AD979" s="502"/>
      <c r="AE979" s="911"/>
      <c r="AF979" s="502"/>
      <c r="AH979" s="898"/>
      <c r="AI979" s="502"/>
      <c r="AJ979" s="502"/>
      <c r="AL979" s="434"/>
      <c r="AM979" s="436"/>
      <c r="AN979" s="434"/>
      <c r="AO979" s="434"/>
      <c r="AP979" s="556"/>
      <c r="AQ979" s="556"/>
      <c r="AR979" s="556"/>
      <c r="CF979" s="2"/>
    </row>
    <row r="980" spans="3:84">
      <c r="C980" s="2"/>
      <c r="O980" s="93"/>
      <c r="AD980" s="502"/>
      <c r="AE980" s="911"/>
      <c r="AF980" s="502"/>
      <c r="AH980" s="898"/>
      <c r="AI980" s="502"/>
      <c r="AJ980" s="502"/>
      <c r="AL980" s="434"/>
      <c r="AM980" s="436"/>
      <c r="AN980" s="434"/>
      <c r="AO980" s="434"/>
      <c r="AP980" s="556"/>
      <c r="AQ980" s="556"/>
      <c r="AR980" s="556"/>
      <c r="CF980" s="2"/>
    </row>
    <row r="981" spans="3:84">
      <c r="C981" s="2"/>
      <c r="O981" s="93"/>
      <c r="AD981" s="502"/>
      <c r="AE981" s="911"/>
      <c r="AF981" s="502"/>
      <c r="AH981" s="898"/>
      <c r="AI981" s="502"/>
      <c r="AJ981" s="502"/>
      <c r="AL981" s="434"/>
      <c r="AM981" s="436"/>
      <c r="AN981" s="434"/>
      <c r="AO981" s="434"/>
      <c r="AP981" s="556"/>
      <c r="AQ981" s="556"/>
      <c r="AR981" s="556"/>
      <c r="CF981" s="2"/>
    </row>
    <row r="982" spans="3:84">
      <c r="C982" s="2"/>
      <c r="O982" s="93"/>
      <c r="AD982" s="502"/>
      <c r="AE982" s="911"/>
      <c r="AF982" s="502"/>
      <c r="AH982" s="898"/>
      <c r="AI982" s="502"/>
      <c r="AJ982" s="502"/>
      <c r="AL982" s="434"/>
      <c r="AM982" s="436"/>
      <c r="AN982" s="434"/>
      <c r="AO982" s="434"/>
      <c r="AP982" s="556"/>
      <c r="AQ982" s="556"/>
      <c r="AR982" s="556"/>
      <c r="CF982" s="2"/>
    </row>
    <row r="983" spans="3:84">
      <c r="C983" s="2"/>
      <c r="O983" s="93"/>
      <c r="AD983" s="502"/>
      <c r="AE983" s="911"/>
      <c r="AF983" s="502"/>
      <c r="AH983" s="898"/>
      <c r="AI983" s="502"/>
      <c r="AJ983" s="502"/>
      <c r="AL983" s="434"/>
      <c r="AM983" s="436"/>
      <c r="AN983" s="434"/>
      <c r="AO983" s="434"/>
      <c r="AP983" s="556"/>
      <c r="AQ983" s="556"/>
      <c r="AR983" s="556"/>
      <c r="CF983" s="2"/>
    </row>
    <row r="984" spans="3:84">
      <c r="C984" s="2"/>
      <c r="O984" s="93"/>
      <c r="AD984" s="502"/>
      <c r="AE984" s="911"/>
      <c r="AF984" s="502"/>
      <c r="AH984" s="898"/>
      <c r="AI984" s="502"/>
      <c r="AJ984" s="502"/>
      <c r="AL984" s="434"/>
      <c r="AM984" s="436"/>
      <c r="AN984" s="434"/>
      <c r="AO984" s="434"/>
      <c r="AP984" s="556"/>
      <c r="AQ984" s="556"/>
      <c r="AR984" s="556"/>
      <c r="CF984" s="2"/>
    </row>
    <row r="985" spans="3:84">
      <c r="C985" s="2"/>
      <c r="O985" s="93"/>
      <c r="AD985" s="502"/>
      <c r="AE985" s="911"/>
      <c r="AF985" s="502"/>
      <c r="AH985" s="898"/>
      <c r="AI985" s="502"/>
      <c r="AJ985" s="502"/>
      <c r="AL985" s="434"/>
      <c r="AM985" s="436"/>
      <c r="AN985" s="434"/>
      <c r="AO985" s="434"/>
      <c r="AP985" s="556"/>
      <c r="AQ985" s="556"/>
      <c r="AR985" s="556"/>
      <c r="CF985" s="2"/>
    </row>
    <row r="986" spans="3:84">
      <c r="C986" s="2"/>
      <c r="O986" s="93"/>
      <c r="AD986" s="502"/>
      <c r="AE986" s="911"/>
      <c r="AF986" s="502"/>
      <c r="AH986" s="898"/>
      <c r="AI986" s="502"/>
      <c r="AJ986" s="502"/>
      <c r="AL986" s="434"/>
      <c r="AM986" s="436"/>
      <c r="AN986" s="434"/>
      <c r="AO986" s="434"/>
      <c r="AP986" s="556"/>
      <c r="AQ986" s="556"/>
      <c r="AR986" s="556"/>
      <c r="CF986" s="2"/>
    </row>
    <row r="987" spans="3:84">
      <c r="C987" s="2"/>
      <c r="O987" s="93"/>
      <c r="AD987" s="502"/>
      <c r="AE987" s="911"/>
      <c r="AF987" s="502"/>
      <c r="AH987" s="898"/>
      <c r="AI987" s="502"/>
      <c r="AJ987" s="502"/>
      <c r="AL987" s="434"/>
      <c r="AM987" s="436"/>
      <c r="AN987" s="434"/>
      <c r="AO987" s="434"/>
      <c r="AP987" s="556"/>
      <c r="AQ987" s="556"/>
      <c r="AR987" s="556"/>
      <c r="CF987" s="2"/>
    </row>
    <row r="988" spans="3:84">
      <c r="C988" s="2"/>
      <c r="O988" s="93"/>
      <c r="AD988" s="502"/>
      <c r="AE988" s="911"/>
      <c r="AF988" s="502"/>
      <c r="AH988" s="898"/>
      <c r="AI988" s="502"/>
      <c r="AJ988" s="502"/>
      <c r="AL988" s="434"/>
      <c r="AM988" s="436"/>
      <c r="AN988" s="434"/>
      <c r="AO988" s="434"/>
      <c r="AP988" s="556"/>
      <c r="AQ988" s="556"/>
      <c r="AR988" s="556"/>
      <c r="CF988" s="2"/>
    </row>
    <row r="989" spans="3:84">
      <c r="C989" s="2"/>
      <c r="O989" s="93"/>
      <c r="AD989" s="502"/>
      <c r="AE989" s="911"/>
      <c r="AF989" s="502"/>
      <c r="AH989" s="898"/>
      <c r="AI989" s="502"/>
      <c r="AJ989" s="502"/>
      <c r="AL989" s="434"/>
      <c r="AM989" s="436"/>
      <c r="AN989" s="434"/>
      <c r="AO989" s="434"/>
      <c r="AP989" s="556"/>
      <c r="AQ989" s="556"/>
      <c r="AR989" s="556"/>
      <c r="CF989" s="2"/>
    </row>
    <row r="990" spans="3:84">
      <c r="C990" s="2"/>
      <c r="O990" s="93"/>
      <c r="AD990" s="502"/>
      <c r="AE990" s="911"/>
      <c r="AF990" s="502"/>
      <c r="AH990" s="898"/>
      <c r="AI990" s="502"/>
      <c r="AJ990" s="502"/>
      <c r="AL990" s="434"/>
      <c r="AM990" s="436"/>
      <c r="AN990" s="434"/>
      <c r="AO990" s="434"/>
      <c r="AP990" s="556"/>
      <c r="AQ990" s="556"/>
      <c r="AR990" s="556"/>
      <c r="CF990" s="2"/>
    </row>
    <row r="991" spans="3:84">
      <c r="C991" s="2"/>
      <c r="O991" s="93"/>
      <c r="AD991" s="502"/>
      <c r="AE991" s="911"/>
      <c r="AF991" s="502"/>
      <c r="AH991" s="898"/>
      <c r="AI991" s="502"/>
      <c r="AJ991" s="502"/>
      <c r="AL991" s="434"/>
      <c r="AM991" s="436"/>
      <c r="AN991" s="434"/>
      <c r="AO991" s="434"/>
      <c r="AP991" s="556"/>
      <c r="AQ991" s="556"/>
      <c r="AR991" s="556"/>
      <c r="CF991" s="2"/>
    </row>
    <row r="992" spans="3:84">
      <c r="C992" s="2"/>
      <c r="O992" s="93"/>
      <c r="AD992" s="502"/>
      <c r="AE992" s="911"/>
      <c r="AF992" s="502"/>
      <c r="AH992" s="898"/>
      <c r="AI992" s="502"/>
      <c r="AJ992" s="502"/>
      <c r="AL992" s="434"/>
      <c r="AM992" s="436"/>
      <c r="AN992" s="434"/>
      <c r="AO992" s="434"/>
      <c r="AP992" s="556"/>
      <c r="AQ992" s="556"/>
      <c r="AR992" s="556"/>
      <c r="CF992" s="2"/>
    </row>
    <row r="993" spans="3:84">
      <c r="C993" s="2"/>
      <c r="O993" s="93"/>
      <c r="AD993" s="502"/>
      <c r="AE993" s="911"/>
      <c r="AF993" s="502"/>
      <c r="AH993" s="898"/>
      <c r="AI993" s="502"/>
      <c r="AJ993" s="502"/>
      <c r="AL993" s="434"/>
      <c r="AM993" s="436"/>
      <c r="AN993" s="434"/>
      <c r="AO993" s="434"/>
      <c r="AP993" s="556"/>
      <c r="AQ993" s="556"/>
      <c r="AR993" s="556"/>
      <c r="CF993" s="2"/>
    </row>
    <row r="994" spans="3:84">
      <c r="C994" s="2"/>
      <c r="O994" s="93"/>
      <c r="AD994" s="502"/>
      <c r="AE994" s="911"/>
      <c r="AF994" s="502"/>
      <c r="AH994" s="898"/>
      <c r="AI994" s="502"/>
      <c r="AJ994" s="502"/>
      <c r="AL994" s="434"/>
      <c r="AM994" s="436"/>
      <c r="AN994" s="434"/>
      <c r="AO994" s="434"/>
      <c r="AP994" s="556"/>
      <c r="AQ994" s="556"/>
      <c r="AR994" s="556"/>
      <c r="CF994" s="2"/>
    </row>
    <row r="995" spans="3:84">
      <c r="C995" s="2"/>
      <c r="O995" s="93"/>
      <c r="AD995" s="502"/>
      <c r="AE995" s="911"/>
      <c r="AF995" s="502"/>
      <c r="AH995" s="898"/>
      <c r="AI995" s="502"/>
      <c r="AJ995" s="502"/>
      <c r="AL995" s="434"/>
      <c r="AM995" s="436"/>
      <c r="AN995" s="434"/>
      <c r="AO995" s="434"/>
      <c r="AP995" s="556"/>
      <c r="AQ995" s="556"/>
      <c r="AR995" s="556"/>
      <c r="CF995" s="2"/>
    </row>
    <row r="996" spans="3:84">
      <c r="C996" s="2"/>
      <c r="O996" s="93"/>
      <c r="AD996" s="502"/>
      <c r="AE996" s="911"/>
      <c r="AF996" s="502"/>
      <c r="AH996" s="898"/>
      <c r="AI996" s="502"/>
      <c r="AJ996" s="502"/>
      <c r="AL996" s="434"/>
      <c r="AM996" s="436"/>
      <c r="AN996" s="434"/>
      <c r="AO996" s="434"/>
      <c r="AP996" s="556"/>
      <c r="AQ996" s="556"/>
      <c r="AR996" s="556"/>
      <c r="CF996" s="2"/>
    </row>
    <row r="997" spans="3:84">
      <c r="C997" s="2"/>
      <c r="O997" s="93"/>
      <c r="AD997" s="502"/>
      <c r="AE997" s="911"/>
      <c r="AF997" s="502"/>
      <c r="AH997" s="898"/>
      <c r="AI997" s="502"/>
      <c r="AJ997" s="502"/>
      <c r="AL997" s="434"/>
      <c r="AM997" s="436"/>
      <c r="AN997" s="434"/>
      <c r="AO997" s="434"/>
      <c r="AP997" s="556"/>
      <c r="AQ997" s="556"/>
      <c r="AR997" s="556"/>
      <c r="CF997" s="2"/>
    </row>
    <row r="998" spans="3:84">
      <c r="C998" s="2"/>
      <c r="O998" s="93"/>
      <c r="AD998" s="502"/>
      <c r="AE998" s="911"/>
      <c r="AF998" s="502"/>
      <c r="AH998" s="898"/>
      <c r="AI998" s="502"/>
      <c r="AJ998" s="502"/>
      <c r="AL998" s="434"/>
      <c r="AM998" s="436"/>
      <c r="AN998" s="434"/>
      <c r="AO998" s="434"/>
      <c r="AP998" s="556"/>
      <c r="AQ998" s="556"/>
      <c r="AR998" s="556"/>
      <c r="CF998" s="2"/>
    </row>
    <row r="999" spans="3:84">
      <c r="C999" s="2"/>
      <c r="O999" s="93"/>
      <c r="AD999" s="502"/>
      <c r="AE999" s="911"/>
      <c r="AF999" s="502"/>
      <c r="AH999" s="898"/>
      <c r="AI999" s="502"/>
      <c r="AJ999" s="502"/>
      <c r="AL999" s="434"/>
      <c r="AM999" s="436"/>
      <c r="AN999" s="434"/>
      <c r="AO999" s="434"/>
      <c r="AP999" s="556"/>
      <c r="AQ999" s="556"/>
      <c r="AR999" s="556"/>
      <c r="CF999" s="2"/>
    </row>
    <row r="1000" spans="3:84">
      <c r="C1000" s="2"/>
      <c r="O1000" s="93"/>
      <c r="AD1000" s="502"/>
      <c r="AE1000" s="911"/>
      <c r="AF1000" s="502"/>
      <c r="AH1000" s="898"/>
      <c r="AI1000" s="502"/>
      <c r="AJ1000" s="502"/>
      <c r="AL1000" s="434"/>
      <c r="AM1000" s="436"/>
      <c r="AN1000" s="434"/>
      <c r="AO1000" s="434"/>
      <c r="AP1000" s="556"/>
      <c r="AQ1000" s="556"/>
      <c r="AR1000" s="556"/>
      <c r="CF1000" s="2"/>
    </row>
    <row r="1001" spans="3:84">
      <c r="C1001" s="2"/>
      <c r="O1001" s="93"/>
      <c r="AD1001" s="502"/>
      <c r="AE1001" s="911"/>
      <c r="AF1001" s="502"/>
      <c r="AH1001" s="898"/>
      <c r="AI1001" s="502"/>
      <c r="AJ1001" s="502"/>
      <c r="AL1001" s="434"/>
      <c r="AM1001" s="436"/>
      <c r="AN1001" s="434"/>
      <c r="AO1001" s="434"/>
      <c r="AP1001" s="556"/>
      <c r="AQ1001" s="556"/>
      <c r="AR1001" s="556"/>
      <c r="CF1001" s="2"/>
    </row>
    <row r="1002" spans="3:84">
      <c r="C1002" s="2"/>
      <c r="O1002" s="93"/>
      <c r="AD1002" s="502"/>
      <c r="AE1002" s="911"/>
      <c r="AF1002" s="502"/>
      <c r="AH1002" s="898"/>
      <c r="AI1002" s="502"/>
      <c r="AJ1002" s="502"/>
      <c r="AL1002" s="434"/>
      <c r="AM1002" s="436"/>
      <c r="AN1002" s="434"/>
      <c r="AO1002" s="434"/>
      <c r="AP1002" s="556"/>
      <c r="AQ1002" s="556"/>
      <c r="AR1002" s="556"/>
      <c r="CF1002" s="2"/>
    </row>
    <row r="1003" spans="3:84">
      <c r="C1003" s="2"/>
      <c r="O1003" s="93"/>
      <c r="AD1003" s="502"/>
      <c r="AE1003" s="911"/>
      <c r="AF1003" s="502"/>
      <c r="AH1003" s="898"/>
      <c r="AI1003" s="502"/>
      <c r="AJ1003" s="502"/>
      <c r="AL1003" s="434"/>
      <c r="AM1003" s="436"/>
      <c r="AN1003" s="434"/>
      <c r="AO1003" s="434"/>
      <c r="AP1003" s="556"/>
      <c r="AQ1003" s="556"/>
      <c r="AR1003" s="556"/>
      <c r="CF1003" s="2"/>
    </row>
    <row r="1004" spans="3:84">
      <c r="C1004" s="2"/>
      <c r="O1004" s="93"/>
      <c r="AD1004" s="502"/>
      <c r="AE1004" s="911"/>
      <c r="AF1004" s="502"/>
      <c r="AH1004" s="898"/>
      <c r="AI1004" s="502"/>
      <c r="AJ1004" s="502"/>
      <c r="AL1004" s="434"/>
      <c r="AM1004" s="436"/>
      <c r="AN1004" s="434"/>
      <c r="AO1004" s="434"/>
      <c r="AP1004" s="556"/>
      <c r="AQ1004" s="556"/>
      <c r="AR1004" s="556"/>
      <c r="CF1004" s="2"/>
    </row>
    <row r="1005" spans="3:84">
      <c r="C1005" s="2"/>
      <c r="O1005" s="93"/>
      <c r="AD1005" s="502"/>
      <c r="AE1005" s="911"/>
      <c r="AF1005" s="502"/>
      <c r="AH1005" s="898"/>
      <c r="AI1005" s="502"/>
      <c r="AJ1005" s="502"/>
      <c r="AL1005" s="434"/>
      <c r="AM1005" s="436"/>
      <c r="AN1005" s="434"/>
      <c r="AO1005" s="434"/>
      <c r="AP1005" s="556"/>
      <c r="AQ1005" s="556"/>
      <c r="AR1005" s="556"/>
      <c r="CF1005" s="2"/>
    </row>
    <row r="1006" spans="3:84">
      <c r="C1006" s="2"/>
      <c r="O1006" s="93"/>
      <c r="AD1006" s="502"/>
      <c r="AE1006" s="911"/>
      <c r="AF1006" s="502"/>
      <c r="AH1006" s="898"/>
      <c r="AI1006" s="502"/>
      <c r="AJ1006" s="502"/>
      <c r="AL1006" s="434"/>
      <c r="AM1006" s="436"/>
      <c r="AN1006" s="434"/>
      <c r="AO1006" s="434"/>
      <c r="AP1006" s="556"/>
      <c r="AQ1006" s="556"/>
      <c r="AR1006" s="556"/>
      <c r="CF1006" s="2"/>
    </row>
    <row r="1007" spans="3:84">
      <c r="C1007" s="2"/>
      <c r="O1007" s="93"/>
      <c r="AD1007" s="502"/>
      <c r="AE1007" s="911"/>
      <c r="AF1007" s="502"/>
      <c r="AH1007" s="898"/>
      <c r="AI1007" s="502"/>
      <c r="AJ1007" s="502"/>
      <c r="AL1007" s="434"/>
      <c r="AM1007" s="436"/>
      <c r="AN1007" s="434"/>
      <c r="AO1007" s="434"/>
      <c r="AP1007" s="556"/>
      <c r="AQ1007" s="556"/>
      <c r="AR1007" s="556"/>
      <c r="CF1007" s="2"/>
    </row>
    <row r="1008" spans="3:84">
      <c r="C1008" s="2"/>
      <c r="O1008" s="93"/>
      <c r="AD1008" s="502"/>
      <c r="AE1008" s="911"/>
      <c r="AF1008" s="502"/>
      <c r="AH1008" s="898"/>
      <c r="AI1008" s="502"/>
      <c r="AJ1008" s="502"/>
      <c r="AL1008" s="434"/>
      <c r="AM1008" s="436"/>
      <c r="AN1008" s="434"/>
      <c r="AO1008" s="434"/>
      <c r="AP1008" s="556"/>
      <c r="AQ1008" s="556"/>
      <c r="AR1008" s="556"/>
      <c r="CF1008" s="2"/>
    </row>
    <row r="1009" spans="3:84">
      <c r="C1009" s="2"/>
      <c r="O1009" s="93"/>
      <c r="AD1009" s="502"/>
      <c r="AE1009" s="911"/>
      <c r="AF1009" s="502"/>
      <c r="AH1009" s="898"/>
      <c r="AI1009" s="502"/>
      <c r="AJ1009" s="502"/>
      <c r="AL1009" s="434"/>
      <c r="AM1009" s="436"/>
      <c r="AN1009" s="434"/>
      <c r="AO1009" s="434"/>
      <c r="AP1009" s="556"/>
      <c r="AQ1009" s="556"/>
      <c r="AR1009" s="556"/>
      <c r="CF1009" s="2"/>
    </row>
    <row r="1010" spans="3:84">
      <c r="C1010" s="2"/>
      <c r="O1010" s="93"/>
      <c r="AD1010" s="502"/>
      <c r="AE1010" s="911"/>
      <c r="AF1010" s="502"/>
      <c r="AH1010" s="898"/>
      <c r="AI1010" s="502"/>
      <c r="AJ1010" s="502"/>
      <c r="AL1010" s="434"/>
      <c r="AM1010" s="436"/>
      <c r="AN1010" s="434"/>
      <c r="AO1010" s="434"/>
      <c r="AP1010" s="556"/>
      <c r="AQ1010" s="556"/>
      <c r="AR1010" s="556"/>
      <c r="CF1010" s="2"/>
    </row>
    <row r="1011" spans="3:84">
      <c r="C1011" s="2"/>
      <c r="O1011" s="93"/>
      <c r="AD1011" s="502"/>
      <c r="AE1011" s="911"/>
      <c r="AF1011" s="502"/>
      <c r="AH1011" s="898"/>
      <c r="AI1011" s="502"/>
      <c r="AJ1011" s="502"/>
      <c r="AL1011" s="434"/>
      <c r="AM1011" s="436"/>
      <c r="AN1011" s="434"/>
      <c r="AO1011" s="434"/>
      <c r="AP1011" s="556"/>
      <c r="AQ1011" s="556"/>
      <c r="AR1011" s="556"/>
      <c r="CF1011" s="2"/>
    </row>
    <row r="1012" spans="3:84">
      <c r="C1012" s="2"/>
      <c r="O1012" s="93"/>
      <c r="AD1012" s="502"/>
      <c r="AE1012" s="911"/>
      <c r="AF1012" s="502"/>
      <c r="AH1012" s="898"/>
      <c r="AI1012" s="502"/>
      <c r="AJ1012" s="502"/>
      <c r="AL1012" s="434"/>
      <c r="AM1012" s="436"/>
      <c r="AN1012" s="434"/>
      <c r="AO1012" s="434"/>
      <c r="AP1012" s="556"/>
      <c r="AQ1012" s="556"/>
      <c r="AR1012" s="556"/>
      <c r="CF1012" s="2"/>
    </row>
    <row r="1013" spans="3:84">
      <c r="C1013" s="2"/>
      <c r="O1013" s="93"/>
      <c r="AD1013" s="502"/>
      <c r="AE1013" s="911"/>
      <c r="AF1013" s="502"/>
      <c r="AH1013" s="898"/>
      <c r="AI1013" s="502"/>
      <c r="AJ1013" s="502"/>
      <c r="AL1013" s="434"/>
      <c r="AM1013" s="436"/>
      <c r="AN1013" s="434"/>
      <c r="AO1013" s="434"/>
      <c r="AP1013" s="556"/>
      <c r="AQ1013" s="556"/>
      <c r="AR1013" s="556"/>
      <c r="CF1013" s="2"/>
    </row>
    <row r="1014" spans="3:84">
      <c r="C1014" s="2"/>
      <c r="O1014" s="93"/>
      <c r="AD1014" s="502"/>
      <c r="AE1014" s="911"/>
      <c r="AF1014" s="502"/>
      <c r="AH1014" s="898"/>
      <c r="AI1014" s="502"/>
      <c r="AJ1014" s="502"/>
      <c r="AL1014" s="434"/>
      <c r="AM1014" s="436"/>
      <c r="AN1014" s="434"/>
      <c r="AO1014" s="434"/>
      <c r="AP1014" s="556"/>
      <c r="AQ1014" s="556"/>
      <c r="AR1014" s="556"/>
      <c r="CF1014" s="2"/>
    </row>
    <row r="1015" spans="3:84">
      <c r="C1015" s="2"/>
      <c r="O1015" s="93"/>
      <c r="AD1015" s="502"/>
      <c r="AE1015" s="911"/>
      <c r="AF1015" s="502"/>
      <c r="AH1015" s="898"/>
      <c r="AI1015" s="502"/>
      <c r="AJ1015" s="502"/>
      <c r="AL1015" s="434"/>
      <c r="AM1015" s="436"/>
      <c r="AN1015" s="434"/>
      <c r="AO1015" s="434"/>
      <c r="AP1015" s="556"/>
      <c r="AQ1015" s="556"/>
      <c r="AR1015" s="556"/>
      <c r="CF1015" s="2"/>
    </row>
    <row r="1016" spans="3:84">
      <c r="C1016" s="2"/>
      <c r="O1016" s="93"/>
      <c r="AD1016" s="502"/>
      <c r="AE1016" s="911"/>
      <c r="AF1016" s="502"/>
      <c r="AH1016" s="898"/>
      <c r="AI1016" s="502"/>
      <c r="AJ1016" s="502"/>
      <c r="AL1016" s="434"/>
      <c r="AM1016" s="436"/>
      <c r="AN1016" s="434"/>
      <c r="AO1016" s="434"/>
      <c r="AP1016" s="556"/>
      <c r="AQ1016" s="556"/>
      <c r="AR1016" s="556"/>
      <c r="CF1016" s="2"/>
    </row>
    <row r="1017" spans="3:84">
      <c r="C1017" s="2"/>
      <c r="O1017" s="93"/>
      <c r="AD1017" s="502"/>
      <c r="AE1017" s="911"/>
      <c r="AF1017" s="502"/>
      <c r="AH1017" s="898"/>
      <c r="AI1017" s="502"/>
      <c r="AJ1017" s="502"/>
      <c r="AL1017" s="434"/>
      <c r="AM1017" s="436"/>
      <c r="AN1017" s="434"/>
      <c r="AO1017" s="434"/>
      <c r="AP1017" s="556"/>
      <c r="AQ1017" s="556"/>
      <c r="AR1017" s="556"/>
      <c r="CF1017" s="2"/>
    </row>
    <row r="1018" spans="3:84">
      <c r="C1018" s="2"/>
      <c r="O1018" s="93"/>
      <c r="AD1018" s="502"/>
      <c r="AE1018" s="911"/>
      <c r="AF1018" s="502"/>
      <c r="AH1018" s="898"/>
      <c r="AI1018" s="502"/>
      <c r="AJ1018" s="502"/>
      <c r="AL1018" s="434"/>
      <c r="AM1018" s="436"/>
      <c r="AN1018" s="434"/>
      <c r="AO1018" s="434"/>
      <c r="AP1018" s="556"/>
      <c r="AQ1018" s="556"/>
      <c r="AR1018" s="556"/>
      <c r="CF1018" s="2"/>
    </row>
    <row r="1019" spans="3:84">
      <c r="C1019" s="2"/>
      <c r="O1019" s="93"/>
      <c r="AD1019" s="502"/>
      <c r="AE1019" s="911"/>
      <c r="AF1019" s="502"/>
      <c r="AH1019" s="898"/>
      <c r="AI1019" s="502"/>
      <c r="AJ1019" s="502"/>
      <c r="AL1019" s="434"/>
      <c r="AM1019" s="436"/>
      <c r="AN1019" s="434"/>
      <c r="AO1019" s="434"/>
      <c r="AP1019" s="556"/>
      <c r="AQ1019" s="556"/>
      <c r="AR1019" s="556"/>
      <c r="CF1019" s="2"/>
    </row>
    <row r="1020" spans="3:84">
      <c r="C1020" s="2"/>
      <c r="O1020" s="93"/>
      <c r="AD1020" s="502"/>
      <c r="AE1020" s="911"/>
      <c r="AF1020" s="502"/>
      <c r="AH1020" s="898"/>
      <c r="AI1020" s="502"/>
      <c r="AJ1020" s="502"/>
      <c r="AL1020" s="434"/>
      <c r="AM1020" s="436"/>
      <c r="AN1020" s="434"/>
      <c r="AO1020" s="434"/>
      <c r="AP1020" s="556"/>
      <c r="AQ1020" s="556"/>
      <c r="AR1020" s="556"/>
      <c r="CF1020" s="2"/>
    </row>
    <row r="1021" spans="3:84">
      <c r="C1021" s="2"/>
      <c r="O1021" s="93"/>
      <c r="AD1021" s="502"/>
      <c r="AE1021" s="911"/>
      <c r="AF1021" s="502"/>
      <c r="AH1021" s="898"/>
      <c r="AI1021" s="502"/>
      <c r="AJ1021" s="502"/>
      <c r="AL1021" s="434"/>
      <c r="AM1021" s="436"/>
      <c r="AN1021" s="434"/>
      <c r="AO1021" s="434"/>
      <c r="AP1021" s="556"/>
      <c r="AQ1021" s="556"/>
      <c r="AR1021" s="556"/>
      <c r="CF1021" s="2"/>
    </row>
    <row r="1022" spans="3:84">
      <c r="C1022" s="2"/>
      <c r="O1022" s="93"/>
      <c r="AD1022" s="502"/>
      <c r="AE1022" s="911"/>
      <c r="AF1022" s="502"/>
      <c r="AH1022" s="898"/>
      <c r="AI1022" s="502"/>
      <c r="AJ1022" s="502"/>
      <c r="AL1022" s="434"/>
      <c r="AM1022" s="436"/>
      <c r="AN1022" s="434"/>
      <c r="AO1022" s="434"/>
      <c r="AP1022" s="556"/>
      <c r="AQ1022" s="556"/>
      <c r="AR1022" s="556"/>
      <c r="CF1022" s="2"/>
    </row>
    <row r="1023" spans="3:84">
      <c r="C1023" s="2"/>
      <c r="O1023" s="93"/>
      <c r="AD1023" s="502"/>
      <c r="AE1023" s="911"/>
      <c r="AF1023" s="502"/>
      <c r="AH1023" s="898"/>
      <c r="AI1023" s="502"/>
      <c r="AJ1023" s="502"/>
      <c r="AL1023" s="434"/>
      <c r="AM1023" s="436"/>
      <c r="AN1023" s="434"/>
      <c r="AO1023" s="434"/>
      <c r="AP1023" s="556"/>
      <c r="AQ1023" s="556"/>
      <c r="AR1023" s="556"/>
      <c r="CF1023" s="2"/>
    </row>
    <row r="1024" spans="3:84">
      <c r="C1024" s="2"/>
      <c r="O1024" s="93"/>
      <c r="AD1024" s="502"/>
      <c r="AE1024" s="911"/>
      <c r="AF1024" s="502"/>
      <c r="AH1024" s="898"/>
      <c r="AI1024" s="502"/>
      <c r="AJ1024" s="502"/>
      <c r="AL1024" s="434"/>
      <c r="AM1024" s="436"/>
      <c r="AN1024" s="434"/>
      <c r="AO1024" s="434"/>
      <c r="AP1024" s="556"/>
      <c r="AQ1024" s="556"/>
      <c r="AR1024" s="556"/>
      <c r="CF1024" s="2"/>
    </row>
    <row r="1025" spans="3:84">
      <c r="C1025" s="2"/>
      <c r="O1025" s="93"/>
      <c r="AD1025" s="502"/>
      <c r="AE1025" s="911"/>
      <c r="AF1025" s="502"/>
      <c r="AH1025" s="898"/>
      <c r="AI1025" s="502"/>
      <c r="AJ1025" s="502"/>
      <c r="AL1025" s="434"/>
      <c r="AM1025" s="436"/>
      <c r="AN1025" s="434"/>
      <c r="AO1025" s="434"/>
      <c r="AP1025" s="556"/>
      <c r="AQ1025" s="556"/>
      <c r="AR1025" s="556"/>
      <c r="CF1025" s="2"/>
    </row>
    <row r="1026" spans="3:84">
      <c r="C1026" s="2"/>
      <c r="O1026" s="93"/>
      <c r="AD1026" s="502"/>
      <c r="AE1026" s="911"/>
      <c r="AF1026" s="502"/>
      <c r="AH1026" s="898"/>
      <c r="AI1026" s="502"/>
      <c r="AJ1026" s="502"/>
      <c r="AL1026" s="434"/>
      <c r="AM1026" s="436"/>
      <c r="AN1026" s="434"/>
      <c r="AO1026" s="434"/>
      <c r="AP1026" s="556"/>
      <c r="AQ1026" s="556"/>
      <c r="AR1026" s="556"/>
      <c r="CF1026" s="2"/>
    </row>
    <row r="1027" spans="3:84">
      <c r="C1027" s="2"/>
      <c r="O1027" s="93"/>
      <c r="AD1027" s="502"/>
      <c r="AE1027" s="911"/>
      <c r="AF1027" s="502"/>
      <c r="AH1027" s="898"/>
      <c r="AI1027" s="502"/>
      <c r="AJ1027" s="502"/>
      <c r="AL1027" s="434"/>
      <c r="AM1027" s="436"/>
      <c r="AN1027" s="434"/>
      <c r="AO1027" s="434"/>
      <c r="AP1027" s="556"/>
      <c r="AQ1027" s="556"/>
      <c r="AR1027" s="556"/>
      <c r="CF1027" s="2"/>
    </row>
    <row r="1028" spans="3:84">
      <c r="C1028" s="2"/>
      <c r="O1028" s="93"/>
      <c r="AD1028" s="502"/>
      <c r="AE1028" s="911"/>
      <c r="AF1028" s="502"/>
      <c r="AH1028" s="898"/>
      <c r="AI1028" s="502"/>
      <c r="AJ1028" s="502"/>
      <c r="AL1028" s="434"/>
      <c r="AM1028" s="436"/>
      <c r="AN1028" s="434"/>
      <c r="AO1028" s="434"/>
      <c r="AP1028" s="556"/>
      <c r="AQ1028" s="556"/>
      <c r="AR1028" s="556"/>
      <c r="CF1028" s="2"/>
    </row>
    <row r="1029" spans="3:84">
      <c r="C1029" s="2"/>
      <c r="O1029" s="93"/>
      <c r="AD1029" s="502"/>
      <c r="AE1029" s="911"/>
      <c r="AF1029" s="502"/>
      <c r="AH1029" s="898"/>
      <c r="AI1029" s="502"/>
      <c r="AJ1029" s="502"/>
      <c r="AL1029" s="434"/>
      <c r="AM1029" s="436"/>
      <c r="AN1029" s="434"/>
      <c r="AO1029" s="434"/>
      <c r="AP1029" s="556"/>
      <c r="AQ1029" s="556"/>
      <c r="AR1029" s="556"/>
      <c r="CF1029" s="2"/>
    </row>
    <row r="1030" spans="3:84">
      <c r="C1030" s="2"/>
      <c r="O1030" s="93"/>
      <c r="AD1030" s="502"/>
      <c r="AE1030" s="911"/>
      <c r="AF1030" s="502"/>
      <c r="AH1030" s="898"/>
      <c r="AI1030" s="502"/>
      <c r="AJ1030" s="502"/>
      <c r="AL1030" s="434"/>
      <c r="AM1030" s="436"/>
      <c r="AN1030" s="434"/>
      <c r="AO1030" s="434"/>
      <c r="AP1030" s="556"/>
      <c r="AQ1030" s="556"/>
      <c r="AR1030" s="556"/>
      <c r="CF1030" s="2"/>
    </row>
    <row r="1031" spans="3:84">
      <c r="C1031" s="2"/>
      <c r="O1031" s="93"/>
      <c r="AD1031" s="502"/>
      <c r="AE1031" s="911"/>
      <c r="AF1031" s="502"/>
      <c r="AH1031" s="898"/>
      <c r="AI1031" s="502"/>
      <c r="AJ1031" s="502"/>
      <c r="AL1031" s="434"/>
      <c r="AM1031" s="436"/>
      <c r="AN1031" s="434"/>
      <c r="AO1031" s="434"/>
      <c r="AP1031" s="556"/>
      <c r="AQ1031" s="556"/>
      <c r="AR1031" s="556"/>
      <c r="CF1031" s="2"/>
    </row>
    <row r="1032" spans="3:84">
      <c r="C1032" s="2"/>
      <c r="O1032" s="93"/>
      <c r="AD1032" s="502"/>
      <c r="AE1032" s="911"/>
      <c r="AF1032" s="502"/>
      <c r="AH1032" s="898"/>
      <c r="AI1032" s="502"/>
      <c r="AJ1032" s="502"/>
      <c r="AL1032" s="434"/>
      <c r="AM1032" s="436"/>
      <c r="AN1032" s="434"/>
      <c r="AO1032" s="434"/>
      <c r="AP1032" s="556"/>
      <c r="AQ1032" s="556"/>
      <c r="AR1032" s="556"/>
      <c r="CF1032" s="2"/>
    </row>
    <row r="1033" spans="3:84">
      <c r="C1033" s="2"/>
      <c r="O1033" s="93"/>
      <c r="AD1033" s="502"/>
      <c r="AE1033" s="911"/>
      <c r="AF1033" s="502"/>
      <c r="AH1033" s="898"/>
      <c r="AI1033" s="502"/>
      <c r="AJ1033" s="502"/>
      <c r="AL1033" s="434"/>
      <c r="AM1033" s="436"/>
      <c r="AN1033" s="434"/>
      <c r="AO1033" s="434"/>
      <c r="AP1033" s="556"/>
      <c r="AQ1033" s="556"/>
      <c r="AR1033" s="556"/>
      <c r="CF1033" s="2"/>
    </row>
    <row r="1034" spans="3:84">
      <c r="C1034" s="2"/>
      <c r="O1034" s="93"/>
      <c r="AD1034" s="502"/>
      <c r="AE1034" s="911"/>
      <c r="AF1034" s="502"/>
      <c r="AH1034" s="898"/>
      <c r="AI1034" s="502"/>
      <c r="AJ1034" s="502"/>
      <c r="AL1034" s="434"/>
      <c r="AM1034" s="436"/>
      <c r="AN1034" s="434"/>
      <c r="AO1034" s="434"/>
      <c r="AP1034" s="556"/>
      <c r="AQ1034" s="556"/>
      <c r="AR1034" s="556"/>
      <c r="CF1034" s="2"/>
    </row>
    <row r="1035" spans="3:84">
      <c r="C1035" s="2"/>
      <c r="O1035" s="93"/>
      <c r="AD1035" s="502"/>
      <c r="AE1035" s="911"/>
      <c r="AF1035" s="502"/>
      <c r="AH1035" s="898"/>
      <c r="AI1035" s="502"/>
      <c r="AJ1035" s="502"/>
      <c r="AL1035" s="434"/>
      <c r="AM1035" s="436"/>
      <c r="AN1035" s="434"/>
      <c r="AO1035" s="434"/>
      <c r="AP1035" s="556"/>
      <c r="AQ1035" s="556"/>
      <c r="AR1035" s="556"/>
      <c r="CF1035" s="2"/>
    </row>
    <row r="1036" spans="3:84">
      <c r="C1036" s="2"/>
      <c r="O1036" s="93"/>
      <c r="AD1036" s="502"/>
      <c r="AE1036" s="911"/>
      <c r="AF1036" s="502"/>
      <c r="AH1036" s="898"/>
      <c r="AI1036" s="502"/>
      <c r="AJ1036" s="502"/>
      <c r="AL1036" s="434"/>
      <c r="AM1036" s="436"/>
      <c r="AN1036" s="434"/>
      <c r="AO1036" s="434"/>
      <c r="AP1036" s="556"/>
      <c r="AQ1036" s="556"/>
      <c r="AR1036" s="556"/>
      <c r="CF1036" s="2"/>
    </row>
    <row r="1037" spans="3:84">
      <c r="C1037" s="2"/>
      <c r="O1037" s="93"/>
      <c r="AD1037" s="502"/>
      <c r="AE1037" s="911"/>
      <c r="AF1037" s="502"/>
      <c r="AH1037" s="898"/>
      <c r="AI1037" s="502"/>
      <c r="AJ1037" s="502"/>
      <c r="AL1037" s="434"/>
      <c r="AM1037" s="436"/>
      <c r="AN1037" s="434"/>
      <c r="AO1037" s="434"/>
      <c r="AP1037" s="556"/>
      <c r="AQ1037" s="556"/>
      <c r="AR1037" s="556"/>
      <c r="CF1037" s="2"/>
    </row>
    <row r="1038" spans="3:84">
      <c r="C1038" s="2"/>
      <c r="O1038" s="93"/>
      <c r="AD1038" s="502"/>
      <c r="AE1038" s="911"/>
      <c r="AF1038" s="502"/>
      <c r="AH1038" s="898"/>
      <c r="AI1038" s="502"/>
      <c r="AJ1038" s="502"/>
      <c r="AL1038" s="434"/>
      <c r="AM1038" s="436"/>
      <c r="AN1038" s="434"/>
      <c r="AO1038" s="434"/>
      <c r="AP1038" s="556"/>
      <c r="AQ1038" s="556"/>
      <c r="AR1038" s="556"/>
      <c r="CF1038" s="2"/>
    </row>
    <row r="1039" spans="3:84">
      <c r="C1039" s="2"/>
      <c r="O1039" s="93"/>
      <c r="AD1039" s="502"/>
      <c r="AE1039" s="911"/>
      <c r="AF1039" s="502"/>
      <c r="AH1039" s="898"/>
      <c r="AI1039" s="502"/>
      <c r="AJ1039" s="502"/>
      <c r="AL1039" s="434"/>
      <c r="AM1039" s="436"/>
      <c r="AN1039" s="434"/>
      <c r="AO1039" s="434"/>
      <c r="AP1039" s="556"/>
      <c r="AQ1039" s="556"/>
      <c r="AR1039" s="556"/>
      <c r="CF1039" s="2"/>
    </row>
    <row r="1040" spans="3:84">
      <c r="C1040" s="2"/>
      <c r="O1040" s="93"/>
      <c r="AD1040" s="502"/>
      <c r="AE1040" s="911"/>
      <c r="AF1040" s="502"/>
      <c r="AH1040" s="898"/>
      <c r="AI1040" s="502"/>
      <c r="AJ1040" s="502"/>
      <c r="AL1040" s="434"/>
      <c r="AM1040" s="436"/>
      <c r="AN1040" s="434"/>
      <c r="AO1040" s="434"/>
      <c r="AP1040" s="556"/>
      <c r="AQ1040" s="556"/>
      <c r="AR1040" s="556"/>
      <c r="CF1040" s="2"/>
    </row>
    <row r="1041" spans="3:84">
      <c r="C1041" s="2"/>
      <c r="O1041" s="93"/>
      <c r="AD1041" s="502"/>
      <c r="AE1041" s="911"/>
      <c r="AF1041" s="502"/>
      <c r="AH1041" s="898"/>
      <c r="AI1041" s="502"/>
      <c r="AJ1041" s="502"/>
      <c r="AL1041" s="434"/>
      <c r="AM1041" s="436"/>
      <c r="AN1041" s="434"/>
      <c r="AO1041" s="434"/>
      <c r="AP1041" s="556"/>
      <c r="AQ1041" s="556"/>
      <c r="AR1041" s="556"/>
      <c r="CF1041" s="2"/>
    </row>
    <row r="1042" spans="3:84">
      <c r="C1042" s="2"/>
      <c r="O1042" s="93"/>
      <c r="AD1042" s="502"/>
      <c r="AE1042" s="911"/>
      <c r="AF1042" s="502"/>
      <c r="AH1042" s="898"/>
      <c r="AI1042" s="502"/>
      <c r="AJ1042" s="502"/>
      <c r="AL1042" s="434"/>
      <c r="AM1042" s="436"/>
      <c r="AN1042" s="434"/>
      <c r="AO1042" s="434"/>
      <c r="AP1042" s="556"/>
      <c r="AQ1042" s="556"/>
      <c r="AR1042" s="556"/>
      <c r="CF1042" s="2"/>
    </row>
    <row r="1043" spans="3:84">
      <c r="C1043" s="2"/>
      <c r="O1043" s="93"/>
      <c r="AD1043" s="502"/>
      <c r="AE1043" s="911"/>
      <c r="AF1043" s="502"/>
      <c r="AH1043" s="898"/>
      <c r="AI1043" s="502"/>
      <c r="AJ1043" s="502"/>
      <c r="AL1043" s="434"/>
      <c r="AM1043" s="436"/>
      <c r="AN1043" s="434"/>
      <c r="AO1043" s="434"/>
      <c r="AP1043" s="556"/>
      <c r="AQ1043" s="556"/>
      <c r="AR1043" s="556"/>
      <c r="CF1043" s="2"/>
    </row>
    <row r="1044" spans="3:84">
      <c r="C1044" s="2"/>
      <c r="O1044" s="93"/>
      <c r="AD1044" s="502"/>
      <c r="AE1044" s="911"/>
      <c r="AF1044" s="502"/>
      <c r="AH1044" s="898"/>
      <c r="AI1044" s="502"/>
      <c r="AJ1044" s="502"/>
      <c r="AL1044" s="434"/>
      <c r="AM1044" s="436"/>
      <c r="AN1044" s="434"/>
      <c r="AO1044" s="434"/>
      <c r="AP1044" s="556"/>
      <c r="AQ1044" s="556"/>
      <c r="AR1044" s="556"/>
      <c r="CF1044" s="2"/>
    </row>
    <row r="1045" spans="3:84">
      <c r="C1045" s="2"/>
      <c r="O1045" s="93"/>
      <c r="AD1045" s="502"/>
      <c r="AE1045" s="911"/>
      <c r="AF1045" s="502"/>
      <c r="AH1045" s="898"/>
      <c r="AI1045" s="502"/>
      <c r="AJ1045" s="502"/>
      <c r="AL1045" s="434"/>
      <c r="AM1045" s="436"/>
      <c r="AN1045" s="434"/>
      <c r="AO1045" s="434"/>
      <c r="AP1045" s="556"/>
      <c r="AQ1045" s="556"/>
      <c r="AR1045" s="556"/>
      <c r="CF1045" s="2"/>
    </row>
    <row r="1046" spans="3:84">
      <c r="C1046" s="2"/>
      <c r="O1046" s="93"/>
      <c r="AD1046" s="502"/>
      <c r="AE1046" s="911"/>
      <c r="AF1046" s="502"/>
      <c r="AH1046" s="898"/>
      <c r="AI1046" s="502"/>
      <c r="AJ1046" s="502"/>
      <c r="AL1046" s="434"/>
      <c r="AM1046" s="436"/>
      <c r="AN1046" s="434"/>
      <c r="AO1046" s="434"/>
      <c r="AP1046" s="556"/>
      <c r="AQ1046" s="556"/>
      <c r="AR1046" s="556"/>
      <c r="CF1046" s="2"/>
    </row>
    <row r="1047" spans="3:84">
      <c r="C1047" s="2"/>
      <c r="O1047" s="93"/>
      <c r="AD1047" s="502"/>
      <c r="AE1047" s="911"/>
      <c r="AF1047" s="502"/>
      <c r="AH1047" s="898"/>
      <c r="AI1047" s="502"/>
      <c r="AJ1047" s="502"/>
      <c r="AL1047" s="434"/>
      <c r="AM1047" s="436"/>
      <c r="AN1047" s="434"/>
      <c r="AO1047" s="434"/>
      <c r="AP1047" s="556"/>
      <c r="AQ1047" s="556"/>
      <c r="AR1047" s="556"/>
      <c r="CF1047" s="2"/>
    </row>
    <row r="1048" spans="3:84">
      <c r="C1048" s="2"/>
      <c r="O1048" s="93"/>
      <c r="AD1048" s="502"/>
      <c r="AE1048" s="911"/>
      <c r="AF1048" s="502"/>
      <c r="AH1048" s="898"/>
      <c r="AI1048" s="502"/>
      <c r="AJ1048" s="502"/>
      <c r="AL1048" s="434"/>
      <c r="AM1048" s="436"/>
      <c r="AN1048" s="434"/>
      <c r="AO1048" s="434"/>
      <c r="AP1048" s="556"/>
      <c r="AQ1048" s="556"/>
      <c r="AR1048" s="556"/>
      <c r="CF1048" s="2"/>
    </row>
    <row r="1049" spans="3:84">
      <c r="C1049" s="2"/>
      <c r="O1049" s="93"/>
      <c r="AD1049" s="502"/>
      <c r="AE1049" s="911"/>
      <c r="AF1049" s="502"/>
      <c r="AH1049" s="898"/>
      <c r="AI1049" s="502"/>
      <c r="AJ1049" s="502"/>
      <c r="AL1049" s="434"/>
      <c r="AM1049" s="436"/>
      <c r="AN1049" s="434"/>
      <c r="AO1049" s="434"/>
      <c r="AP1049" s="556"/>
      <c r="AQ1049" s="556"/>
      <c r="AR1049" s="556"/>
      <c r="CF1049" s="2"/>
    </row>
    <row r="1050" spans="3:84">
      <c r="C1050" s="2"/>
      <c r="O1050" s="93"/>
      <c r="AD1050" s="502"/>
      <c r="AE1050" s="911"/>
      <c r="AF1050" s="502"/>
      <c r="AH1050" s="898"/>
      <c r="AI1050" s="502"/>
      <c r="AJ1050" s="502"/>
      <c r="AL1050" s="434"/>
      <c r="AM1050" s="436"/>
      <c r="AN1050" s="434"/>
      <c r="AO1050" s="434"/>
      <c r="AP1050" s="556"/>
      <c r="AQ1050" s="556"/>
      <c r="AR1050" s="556"/>
      <c r="CF1050" s="2"/>
    </row>
    <row r="1051" spans="3:84">
      <c r="C1051" s="2"/>
      <c r="O1051" s="93"/>
      <c r="AD1051" s="502"/>
      <c r="AE1051" s="911"/>
      <c r="AF1051" s="502"/>
      <c r="AH1051" s="898"/>
      <c r="AI1051" s="502"/>
      <c r="AJ1051" s="502"/>
      <c r="AL1051" s="434"/>
      <c r="AM1051" s="436"/>
      <c r="AN1051" s="434"/>
      <c r="AO1051" s="434"/>
      <c r="AP1051" s="556"/>
      <c r="AQ1051" s="556"/>
      <c r="AR1051" s="556"/>
      <c r="CF1051" s="2"/>
    </row>
    <row r="1052" spans="3:84">
      <c r="C1052" s="2"/>
      <c r="O1052" s="93"/>
      <c r="AD1052" s="502"/>
      <c r="AE1052" s="911"/>
      <c r="AF1052" s="502"/>
      <c r="AH1052" s="898"/>
      <c r="AI1052" s="502"/>
      <c r="AJ1052" s="502"/>
      <c r="AL1052" s="434"/>
      <c r="AM1052" s="436"/>
      <c r="AN1052" s="434"/>
      <c r="AO1052" s="434"/>
      <c r="AP1052" s="556"/>
      <c r="AQ1052" s="556"/>
      <c r="AR1052" s="556"/>
      <c r="CF1052" s="2"/>
    </row>
    <row r="1053" spans="3:84">
      <c r="C1053" s="2"/>
      <c r="O1053" s="93"/>
      <c r="AD1053" s="502"/>
      <c r="AE1053" s="911"/>
      <c r="AF1053" s="502"/>
      <c r="AH1053" s="898"/>
      <c r="AI1053" s="502"/>
      <c r="AJ1053" s="502"/>
      <c r="AL1053" s="434"/>
      <c r="AM1053" s="436"/>
      <c r="AN1053" s="434"/>
      <c r="AO1053" s="434"/>
      <c r="AP1053" s="556"/>
      <c r="AQ1053" s="556"/>
      <c r="AR1053" s="556"/>
      <c r="CF1053" s="2"/>
    </row>
    <row r="1054" spans="3:84">
      <c r="C1054" s="2"/>
      <c r="O1054" s="93"/>
      <c r="AD1054" s="502"/>
      <c r="AE1054" s="911"/>
      <c r="AF1054" s="502"/>
      <c r="AH1054" s="898"/>
      <c r="AI1054" s="502"/>
      <c r="AJ1054" s="502"/>
      <c r="AL1054" s="434"/>
      <c r="AM1054" s="436"/>
      <c r="AN1054" s="434"/>
      <c r="AO1054" s="434"/>
      <c r="AP1054" s="556"/>
      <c r="AQ1054" s="556"/>
      <c r="AR1054" s="556"/>
      <c r="CF1054" s="2"/>
    </row>
    <row r="1055" spans="3:84">
      <c r="C1055" s="2"/>
      <c r="O1055" s="93"/>
      <c r="AD1055" s="502"/>
      <c r="AE1055" s="911"/>
      <c r="AF1055" s="502"/>
      <c r="AH1055" s="898"/>
      <c r="AI1055" s="502"/>
      <c r="AJ1055" s="502"/>
      <c r="AL1055" s="434"/>
      <c r="AM1055" s="436"/>
      <c r="AN1055" s="434"/>
      <c r="AO1055" s="434"/>
      <c r="AP1055" s="556"/>
      <c r="AQ1055" s="556"/>
      <c r="AR1055" s="556"/>
      <c r="CF1055" s="2"/>
    </row>
    <row r="1056" spans="3:84">
      <c r="C1056" s="2"/>
      <c r="O1056" s="93"/>
      <c r="AD1056" s="502"/>
      <c r="AE1056" s="911"/>
      <c r="AF1056" s="502"/>
      <c r="AH1056" s="898"/>
      <c r="AI1056" s="502"/>
      <c r="AJ1056" s="502"/>
      <c r="AL1056" s="434"/>
      <c r="AM1056" s="436"/>
      <c r="AN1056" s="434"/>
      <c r="AO1056" s="434"/>
      <c r="AP1056" s="556"/>
      <c r="AQ1056" s="556"/>
      <c r="AR1056" s="556"/>
      <c r="CF1056" s="2"/>
    </row>
    <row r="1057" spans="3:84">
      <c r="C1057" s="2"/>
      <c r="O1057" s="93"/>
      <c r="AD1057" s="502"/>
      <c r="AE1057" s="911"/>
      <c r="AF1057" s="502"/>
      <c r="AH1057" s="898"/>
      <c r="AI1057" s="502"/>
      <c r="AJ1057" s="502"/>
      <c r="AL1057" s="434"/>
      <c r="AM1057" s="436"/>
      <c r="AN1057" s="434"/>
      <c r="AO1057" s="434"/>
      <c r="AP1057" s="556"/>
      <c r="AQ1057" s="556"/>
      <c r="AR1057" s="556"/>
      <c r="CF1057" s="2"/>
    </row>
    <row r="1058" spans="3:84">
      <c r="C1058" s="2"/>
      <c r="O1058" s="93"/>
      <c r="AD1058" s="502"/>
      <c r="AE1058" s="911"/>
      <c r="AF1058" s="502"/>
      <c r="AH1058" s="898"/>
      <c r="AI1058" s="502"/>
      <c r="AJ1058" s="502"/>
      <c r="AL1058" s="434"/>
      <c r="AM1058" s="436"/>
      <c r="AN1058" s="434"/>
      <c r="AO1058" s="434"/>
      <c r="AP1058" s="556"/>
      <c r="AQ1058" s="556"/>
      <c r="AR1058" s="556"/>
      <c r="CF1058" s="2"/>
    </row>
    <row r="1059" spans="3:84">
      <c r="C1059" s="2"/>
      <c r="O1059" s="93"/>
      <c r="AD1059" s="502"/>
      <c r="AE1059" s="911"/>
      <c r="AF1059" s="502"/>
      <c r="AH1059" s="898"/>
      <c r="AI1059" s="502"/>
      <c r="AJ1059" s="502"/>
      <c r="AL1059" s="434"/>
      <c r="AM1059" s="436"/>
      <c r="AN1059" s="434"/>
      <c r="AO1059" s="434"/>
      <c r="AP1059" s="556"/>
      <c r="AQ1059" s="556"/>
      <c r="AR1059" s="556"/>
      <c r="CF1059" s="2"/>
    </row>
    <row r="1060" spans="3:84">
      <c r="C1060" s="2"/>
      <c r="O1060" s="93"/>
      <c r="AD1060" s="502"/>
      <c r="AE1060" s="911"/>
      <c r="AF1060" s="502"/>
      <c r="AH1060" s="898"/>
      <c r="AI1060" s="502"/>
      <c r="AJ1060" s="502"/>
      <c r="AL1060" s="434"/>
      <c r="AM1060" s="436"/>
      <c r="AN1060" s="434"/>
      <c r="AO1060" s="434"/>
      <c r="AP1060" s="556"/>
      <c r="AQ1060" s="556"/>
      <c r="AR1060" s="556"/>
      <c r="CF1060" s="2"/>
    </row>
    <row r="1061" spans="3:84">
      <c r="C1061" s="2"/>
      <c r="O1061" s="93"/>
      <c r="AD1061" s="502"/>
      <c r="AE1061" s="911"/>
      <c r="AF1061" s="502"/>
      <c r="AH1061" s="898"/>
      <c r="AI1061" s="502"/>
      <c r="AJ1061" s="502"/>
      <c r="AL1061" s="434"/>
      <c r="AM1061" s="436"/>
      <c r="AN1061" s="434"/>
      <c r="AO1061" s="434"/>
      <c r="AP1061" s="556"/>
      <c r="AQ1061" s="556"/>
      <c r="AR1061" s="556"/>
      <c r="CF1061" s="2"/>
    </row>
    <row r="1062" spans="3:84">
      <c r="C1062" s="2"/>
      <c r="O1062" s="93"/>
      <c r="AD1062" s="502"/>
      <c r="AE1062" s="911"/>
      <c r="AF1062" s="502"/>
      <c r="AH1062" s="898"/>
      <c r="AI1062" s="502"/>
      <c r="AJ1062" s="502"/>
      <c r="AL1062" s="434"/>
      <c r="AM1062" s="436"/>
      <c r="AN1062" s="434"/>
      <c r="AO1062" s="434"/>
      <c r="AP1062" s="556"/>
      <c r="AQ1062" s="556"/>
      <c r="AR1062" s="556"/>
      <c r="CF1062" s="2"/>
    </row>
    <row r="1063" spans="3:84">
      <c r="C1063" s="2"/>
      <c r="O1063" s="93"/>
      <c r="AD1063" s="502"/>
      <c r="AE1063" s="911"/>
      <c r="AF1063" s="502"/>
      <c r="AH1063" s="898"/>
      <c r="AI1063" s="502"/>
      <c r="AJ1063" s="502"/>
      <c r="AL1063" s="434"/>
      <c r="AM1063" s="436"/>
      <c r="AN1063" s="434"/>
      <c r="AO1063" s="434"/>
      <c r="AP1063" s="556"/>
      <c r="AQ1063" s="556"/>
      <c r="AR1063" s="556"/>
      <c r="CF1063" s="2"/>
    </row>
    <row r="1064" spans="3:84">
      <c r="C1064" s="2"/>
      <c r="O1064" s="93"/>
      <c r="AD1064" s="502"/>
      <c r="AE1064" s="911"/>
      <c r="AF1064" s="502"/>
      <c r="AH1064" s="898"/>
      <c r="AI1064" s="502"/>
      <c r="AJ1064" s="502"/>
      <c r="AL1064" s="434"/>
      <c r="AM1064" s="436"/>
      <c r="AN1064" s="434"/>
      <c r="AO1064" s="434"/>
      <c r="AP1064" s="556"/>
      <c r="AQ1064" s="556"/>
      <c r="AR1064" s="556"/>
      <c r="CF1064" s="2"/>
    </row>
    <row r="1065" spans="3:84">
      <c r="C1065" s="2"/>
      <c r="O1065" s="93"/>
      <c r="AD1065" s="502"/>
      <c r="AE1065" s="911"/>
      <c r="AF1065" s="502"/>
      <c r="AH1065" s="898"/>
      <c r="AI1065" s="502"/>
      <c r="AJ1065" s="502"/>
      <c r="AL1065" s="434"/>
      <c r="AM1065" s="436"/>
      <c r="AN1065" s="434"/>
      <c r="AO1065" s="434"/>
      <c r="AP1065" s="556"/>
      <c r="AQ1065" s="556"/>
      <c r="AR1065" s="556"/>
      <c r="CF1065" s="2"/>
    </row>
    <row r="1066" spans="3:84">
      <c r="C1066" s="2"/>
      <c r="O1066" s="93"/>
      <c r="AD1066" s="502"/>
      <c r="AE1066" s="911"/>
      <c r="AF1066" s="502"/>
      <c r="AH1066" s="898"/>
      <c r="AI1066" s="502"/>
      <c r="AJ1066" s="502"/>
      <c r="AL1066" s="434"/>
      <c r="AM1066" s="436"/>
      <c r="AN1066" s="434"/>
      <c r="AO1066" s="434"/>
      <c r="AP1066" s="556"/>
      <c r="AQ1066" s="556"/>
      <c r="AR1066" s="556"/>
      <c r="CF1066" s="2"/>
    </row>
    <row r="1067" spans="3:84">
      <c r="C1067" s="2"/>
      <c r="O1067" s="93"/>
      <c r="AD1067" s="502"/>
      <c r="AE1067" s="911"/>
      <c r="AF1067" s="502"/>
      <c r="AH1067" s="898"/>
      <c r="AI1067" s="502"/>
      <c r="AJ1067" s="502"/>
      <c r="AL1067" s="434"/>
      <c r="AM1067" s="436"/>
      <c r="AN1067" s="434"/>
      <c r="AO1067" s="434"/>
      <c r="AP1067" s="556"/>
      <c r="AQ1067" s="556"/>
      <c r="AR1067" s="556"/>
      <c r="CF1067" s="2"/>
    </row>
    <row r="1068" spans="3:84">
      <c r="C1068" s="2"/>
      <c r="O1068" s="93"/>
      <c r="AD1068" s="502"/>
      <c r="AE1068" s="911"/>
      <c r="AF1068" s="502"/>
      <c r="AH1068" s="898"/>
      <c r="AI1068" s="502"/>
      <c r="AJ1068" s="502"/>
      <c r="AL1068" s="434"/>
      <c r="AM1068" s="436"/>
      <c r="AN1068" s="434"/>
      <c r="AO1068" s="434"/>
      <c r="AP1068" s="556"/>
      <c r="AQ1068" s="556"/>
      <c r="AR1068" s="556"/>
      <c r="CF1068" s="2"/>
    </row>
    <row r="1069" spans="3:84">
      <c r="C1069" s="2"/>
      <c r="O1069" s="93"/>
      <c r="AD1069" s="502"/>
      <c r="AE1069" s="911"/>
      <c r="AF1069" s="502"/>
      <c r="AH1069" s="898"/>
      <c r="AI1069" s="502"/>
      <c r="AJ1069" s="502"/>
      <c r="AL1069" s="434"/>
      <c r="AM1069" s="436"/>
      <c r="AN1069" s="434"/>
      <c r="AO1069" s="434"/>
      <c r="AP1069" s="556"/>
      <c r="AQ1069" s="556"/>
      <c r="AR1069" s="556"/>
      <c r="CF1069" s="2"/>
    </row>
    <row r="1070" spans="3:84">
      <c r="C1070" s="2"/>
      <c r="O1070" s="93"/>
      <c r="AD1070" s="502"/>
      <c r="AE1070" s="911"/>
      <c r="AF1070" s="502"/>
      <c r="AH1070" s="898"/>
      <c r="AI1070" s="502"/>
      <c r="AJ1070" s="502"/>
      <c r="AL1070" s="434"/>
      <c r="AM1070" s="436"/>
      <c r="AN1070" s="434"/>
      <c r="AO1070" s="434"/>
      <c r="AP1070" s="556"/>
      <c r="AQ1070" s="556"/>
      <c r="AR1070" s="556"/>
      <c r="CF1070" s="2"/>
    </row>
    <row r="1071" spans="3:84">
      <c r="C1071" s="2"/>
      <c r="O1071" s="93"/>
      <c r="AD1071" s="502"/>
      <c r="AE1071" s="911"/>
      <c r="AF1071" s="502"/>
      <c r="AH1071" s="898"/>
      <c r="AI1071" s="502"/>
      <c r="AJ1071" s="502"/>
      <c r="AL1071" s="434"/>
      <c r="AM1071" s="436"/>
      <c r="AN1071" s="434"/>
      <c r="AO1071" s="434"/>
      <c r="AP1071" s="556"/>
      <c r="AQ1071" s="556"/>
      <c r="AR1071" s="556"/>
      <c r="CF1071" s="2"/>
    </row>
    <row r="1072" spans="3:84">
      <c r="C1072" s="2"/>
      <c r="O1072" s="93"/>
      <c r="AD1072" s="502"/>
      <c r="AE1072" s="911"/>
      <c r="AF1072" s="502"/>
      <c r="AH1072" s="898"/>
      <c r="AI1072" s="502"/>
      <c r="AJ1072" s="502"/>
      <c r="AL1072" s="434"/>
      <c r="AM1072" s="436"/>
      <c r="AN1072" s="434"/>
      <c r="AO1072" s="434"/>
      <c r="AP1072" s="556"/>
      <c r="AQ1072" s="556"/>
      <c r="AR1072" s="556"/>
      <c r="CF1072" s="2"/>
    </row>
    <row r="1073" spans="3:44">
      <c r="C1073" s="2"/>
      <c r="O1073" s="93"/>
      <c r="AD1073" s="502"/>
      <c r="AE1073" s="911"/>
      <c r="AF1073" s="502"/>
      <c r="AH1073" s="898"/>
      <c r="AI1073" s="502"/>
      <c r="AJ1073" s="502"/>
      <c r="AL1073" s="434"/>
      <c r="AM1073" s="436"/>
      <c r="AN1073" s="434"/>
      <c r="AO1073" s="434"/>
      <c r="AP1073" s="556"/>
      <c r="AQ1073" s="556"/>
      <c r="AR1073" s="556"/>
    </row>
    <row r="1074" spans="3:44">
      <c r="C1074" s="2"/>
      <c r="O1074" s="93"/>
      <c r="AD1074" s="502"/>
      <c r="AE1074" s="911"/>
      <c r="AF1074" s="502"/>
      <c r="AH1074" s="898"/>
      <c r="AI1074" s="502"/>
      <c r="AJ1074" s="502"/>
      <c r="AL1074" s="434"/>
      <c r="AM1074" s="436"/>
      <c r="AN1074" s="434"/>
      <c r="AO1074" s="434"/>
      <c r="AP1074" s="556"/>
      <c r="AQ1074" s="556"/>
      <c r="AR1074" s="556"/>
    </row>
    <row r="1075" spans="3:44">
      <c r="C1075" s="2"/>
      <c r="O1075" s="93"/>
      <c r="AD1075" s="502"/>
      <c r="AE1075" s="911"/>
      <c r="AF1075" s="502"/>
      <c r="AH1075" s="898"/>
      <c r="AI1075" s="502"/>
      <c r="AJ1075" s="502"/>
      <c r="AL1075" s="434"/>
      <c r="AM1075" s="436"/>
      <c r="AN1075" s="434"/>
      <c r="AO1075" s="434"/>
      <c r="AP1075" s="556"/>
      <c r="AQ1075" s="556"/>
      <c r="AR1075" s="556"/>
    </row>
    <row r="1076" spans="3:44">
      <c r="C1076" s="2"/>
      <c r="O1076" s="93"/>
      <c r="AD1076" s="502"/>
      <c r="AE1076" s="911"/>
      <c r="AF1076" s="502"/>
      <c r="AH1076" s="898"/>
      <c r="AI1076" s="502"/>
      <c r="AJ1076" s="502"/>
      <c r="AL1076" s="434"/>
      <c r="AM1076" s="436"/>
      <c r="AN1076" s="434"/>
      <c r="AO1076" s="434"/>
      <c r="AP1076" s="556"/>
      <c r="AQ1076" s="556"/>
      <c r="AR1076" s="556"/>
    </row>
    <row r="1077" spans="3:44">
      <c r="AD1077" s="502"/>
      <c r="AE1077" s="911"/>
      <c r="AF1077" s="502"/>
      <c r="AH1077" s="898"/>
      <c r="AI1077" s="502"/>
      <c r="AJ1077" s="502"/>
      <c r="AL1077" s="434"/>
      <c r="AM1077" s="436"/>
      <c r="AN1077" s="434"/>
      <c r="AO1077" s="434"/>
      <c r="AP1077" s="556"/>
      <c r="AQ1077" s="556"/>
      <c r="AR1077" s="556"/>
    </row>
    <row r="1078" spans="3:44">
      <c r="AD1078" s="502"/>
      <c r="AE1078" s="911"/>
      <c r="AF1078" s="502"/>
      <c r="AH1078" s="898"/>
      <c r="AI1078" s="502"/>
      <c r="AJ1078" s="502"/>
      <c r="AL1078" s="434"/>
      <c r="AM1078" s="436"/>
      <c r="AN1078" s="434"/>
      <c r="AO1078" s="434"/>
      <c r="AP1078" s="556"/>
      <c r="AQ1078" s="556"/>
      <c r="AR1078" s="556"/>
    </row>
    <row r="1079" spans="3:44">
      <c r="AD1079" s="502"/>
      <c r="AE1079" s="911"/>
      <c r="AF1079" s="502"/>
      <c r="AH1079" s="898"/>
      <c r="AI1079" s="502"/>
      <c r="AJ1079" s="502"/>
      <c r="AL1079" s="434"/>
      <c r="AM1079" s="436"/>
      <c r="AN1079" s="434"/>
      <c r="AO1079" s="434"/>
      <c r="AP1079" s="556"/>
      <c r="AQ1079" s="556"/>
      <c r="AR1079" s="556"/>
    </row>
    <row r="1080" spans="3:44">
      <c r="AD1080" s="502"/>
      <c r="AE1080" s="911"/>
      <c r="AF1080" s="502"/>
      <c r="AH1080" s="898"/>
      <c r="AI1080" s="502"/>
      <c r="AJ1080" s="502"/>
      <c r="AL1080" s="434"/>
      <c r="AM1080" s="436"/>
      <c r="AN1080" s="434"/>
      <c r="AO1080" s="434"/>
      <c r="AP1080" s="556"/>
      <c r="AQ1080" s="556"/>
      <c r="AR1080" s="556"/>
    </row>
    <row r="1081" spans="3:44">
      <c r="AD1081" s="502"/>
      <c r="AE1081" s="911"/>
      <c r="AF1081" s="502"/>
      <c r="AH1081" s="898"/>
      <c r="AI1081" s="502"/>
      <c r="AJ1081" s="502"/>
      <c r="AL1081" s="434"/>
      <c r="AM1081" s="436"/>
      <c r="AN1081" s="434"/>
      <c r="AO1081" s="434"/>
      <c r="AP1081" s="556"/>
      <c r="AQ1081" s="556"/>
      <c r="AR1081" s="556"/>
    </row>
    <row r="1082" spans="3:44">
      <c r="AD1082" s="502"/>
      <c r="AE1082" s="911"/>
      <c r="AF1082" s="502"/>
      <c r="AH1082" s="898"/>
      <c r="AI1082" s="502"/>
      <c r="AJ1082" s="502"/>
      <c r="AL1082" s="434"/>
      <c r="AM1082" s="436"/>
      <c r="AN1082" s="434"/>
      <c r="AO1082" s="434"/>
      <c r="AP1082" s="556"/>
      <c r="AQ1082" s="556"/>
      <c r="AR1082" s="556"/>
    </row>
    <row r="1083" spans="3:44">
      <c r="AD1083" s="502"/>
      <c r="AE1083" s="911"/>
      <c r="AF1083" s="502"/>
      <c r="AH1083" s="898"/>
      <c r="AI1083" s="502"/>
      <c r="AJ1083" s="502"/>
      <c r="AL1083" s="434"/>
      <c r="AM1083" s="436"/>
      <c r="AN1083" s="434"/>
      <c r="AO1083" s="434"/>
      <c r="AP1083" s="556"/>
      <c r="AQ1083" s="556"/>
      <c r="AR1083" s="556"/>
    </row>
    <row r="1084" spans="3:44">
      <c r="AD1084" s="502"/>
      <c r="AE1084" s="911"/>
      <c r="AF1084" s="502"/>
      <c r="AH1084" s="898"/>
      <c r="AI1084" s="502"/>
      <c r="AJ1084" s="502"/>
      <c r="AL1084" s="434"/>
      <c r="AM1084" s="436"/>
      <c r="AN1084" s="434"/>
      <c r="AO1084" s="434"/>
      <c r="AP1084" s="556"/>
      <c r="AQ1084" s="556"/>
      <c r="AR1084" s="556"/>
    </row>
    <row r="1085" spans="3:44">
      <c r="AD1085" s="502"/>
      <c r="AE1085" s="911"/>
      <c r="AF1085" s="502"/>
      <c r="AH1085" s="898"/>
      <c r="AI1085" s="502"/>
      <c r="AJ1085" s="502"/>
      <c r="AL1085" s="434"/>
      <c r="AM1085" s="436"/>
      <c r="AN1085" s="434"/>
      <c r="AO1085" s="434"/>
      <c r="AP1085" s="556"/>
      <c r="AQ1085" s="556"/>
      <c r="AR1085" s="556"/>
    </row>
    <row r="1086" spans="3:44">
      <c r="AD1086" s="502"/>
      <c r="AE1086" s="911"/>
      <c r="AF1086" s="502"/>
      <c r="AH1086" s="898"/>
      <c r="AI1086" s="502"/>
      <c r="AJ1086" s="502"/>
      <c r="AL1086" s="434"/>
      <c r="AM1086" s="436"/>
      <c r="AN1086" s="434"/>
      <c r="AO1086" s="434"/>
      <c r="AP1086" s="556"/>
      <c r="AQ1086" s="556"/>
      <c r="AR1086" s="556"/>
    </row>
    <row r="1087" spans="3:44">
      <c r="AD1087" s="502"/>
      <c r="AE1087" s="911"/>
      <c r="AF1087" s="502"/>
      <c r="AH1087" s="898"/>
      <c r="AI1087" s="502"/>
      <c r="AJ1087" s="502"/>
      <c r="AL1087" s="434"/>
      <c r="AM1087" s="436"/>
      <c r="AN1087" s="434"/>
      <c r="AO1087" s="434"/>
      <c r="AP1087" s="556"/>
      <c r="AQ1087" s="556"/>
      <c r="AR1087" s="556"/>
    </row>
    <row r="1088" spans="3:44">
      <c r="AD1088" s="502"/>
      <c r="AE1088" s="911"/>
      <c r="AF1088" s="502"/>
      <c r="AH1088" s="898"/>
      <c r="AI1088" s="502"/>
      <c r="AJ1088" s="502"/>
      <c r="AL1088" s="434"/>
      <c r="AM1088" s="436"/>
      <c r="AN1088" s="434"/>
      <c r="AO1088" s="434"/>
      <c r="AP1088" s="556"/>
      <c r="AQ1088" s="556"/>
      <c r="AR1088" s="556"/>
    </row>
    <row r="1089" spans="3:84">
      <c r="C1089" s="2"/>
      <c r="AD1089" s="502"/>
      <c r="AE1089" s="911"/>
      <c r="AF1089" s="502"/>
      <c r="AH1089" s="898"/>
      <c r="AI1089" s="502"/>
      <c r="AJ1089" s="502"/>
      <c r="AL1089" s="434"/>
      <c r="AM1089" s="436"/>
      <c r="AN1089" s="434"/>
      <c r="AO1089" s="434"/>
      <c r="AP1089" s="556"/>
      <c r="AQ1089" s="556"/>
      <c r="AR1089" s="556"/>
      <c r="CF1089" s="2"/>
    </row>
    <row r="1090" spans="3:84">
      <c r="C1090" s="2"/>
      <c r="AD1090" s="502"/>
      <c r="AE1090" s="911"/>
      <c r="AF1090" s="502"/>
      <c r="AH1090" s="898"/>
      <c r="AI1090" s="502"/>
      <c r="AJ1090" s="502"/>
      <c r="AL1090" s="434"/>
      <c r="AM1090" s="436"/>
      <c r="AN1090" s="434"/>
      <c r="AO1090" s="434"/>
      <c r="AP1090" s="556"/>
      <c r="AQ1090" s="556"/>
      <c r="AR1090" s="556"/>
      <c r="CF1090" s="2"/>
    </row>
    <row r="1091" spans="3:84">
      <c r="C1091" s="2"/>
      <c r="AD1091" s="502"/>
      <c r="AE1091" s="911"/>
      <c r="AF1091" s="502"/>
      <c r="AH1091" s="898"/>
      <c r="AI1091" s="502"/>
      <c r="AJ1091" s="502"/>
      <c r="AL1091" s="434"/>
      <c r="AM1091" s="436"/>
      <c r="AN1091" s="434"/>
      <c r="AO1091" s="434"/>
      <c r="AP1091" s="556"/>
      <c r="AQ1091" s="556"/>
      <c r="AR1091" s="556"/>
      <c r="CF1091" s="2"/>
    </row>
    <row r="1092" spans="3:84">
      <c r="C1092" s="2"/>
      <c r="AD1092" s="502"/>
      <c r="AE1092" s="911"/>
      <c r="AF1092" s="502"/>
      <c r="AH1092" s="898"/>
      <c r="AI1092" s="502"/>
      <c r="AJ1092" s="502"/>
      <c r="AL1092" s="434"/>
      <c r="AM1092" s="436"/>
      <c r="AN1092" s="434"/>
      <c r="AO1092" s="434"/>
      <c r="AP1092" s="556"/>
      <c r="AQ1092" s="556"/>
      <c r="AR1092" s="556"/>
      <c r="CF1092" s="2"/>
    </row>
    <row r="1093" spans="3:84">
      <c r="C1093" s="2"/>
      <c r="AD1093" s="502"/>
      <c r="AE1093" s="911"/>
      <c r="AF1093" s="502"/>
      <c r="AH1093" s="898"/>
      <c r="AI1093" s="502"/>
      <c r="AJ1093" s="502"/>
      <c r="AL1093" s="434"/>
      <c r="AM1093" s="436"/>
      <c r="AN1093" s="434"/>
      <c r="AO1093" s="434"/>
      <c r="AP1093" s="556"/>
      <c r="AQ1093" s="556"/>
      <c r="AR1093" s="556"/>
      <c r="CF1093" s="2"/>
    </row>
    <row r="1094" spans="3:84">
      <c r="C1094" s="2"/>
      <c r="AD1094" s="502"/>
      <c r="AE1094" s="911"/>
      <c r="AF1094" s="502"/>
      <c r="AH1094" s="898"/>
      <c r="AI1094" s="502"/>
      <c r="AJ1094" s="502"/>
      <c r="AL1094" s="434"/>
      <c r="AM1094" s="436"/>
      <c r="AN1094" s="434"/>
      <c r="AO1094" s="434"/>
      <c r="AP1094" s="556"/>
      <c r="AQ1094" s="556"/>
      <c r="AR1094" s="556"/>
      <c r="CF1094" s="2"/>
    </row>
    <row r="1095" spans="3:84">
      <c r="C1095" s="2"/>
      <c r="AD1095" s="502"/>
      <c r="AE1095" s="911"/>
      <c r="AF1095" s="502"/>
      <c r="AH1095" s="898"/>
      <c r="AI1095" s="502"/>
      <c r="AJ1095" s="502"/>
      <c r="AL1095" s="434"/>
      <c r="AM1095" s="436"/>
      <c r="AN1095" s="434"/>
      <c r="AO1095" s="434"/>
      <c r="AP1095" s="556"/>
      <c r="AQ1095" s="556"/>
      <c r="AR1095" s="556"/>
      <c r="CF1095" s="2"/>
    </row>
    <row r="1096" spans="3:84">
      <c r="C1096" s="2"/>
      <c r="AD1096" s="502"/>
      <c r="AE1096" s="911"/>
      <c r="AF1096" s="502"/>
      <c r="AH1096" s="898"/>
      <c r="AI1096" s="502"/>
      <c r="AJ1096" s="502"/>
      <c r="AL1096" s="434"/>
      <c r="AM1096" s="436"/>
      <c r="AN1096" s="434"/>
      <c r="AO1096" s="434"/>
      <c r="AP1096" s="556"/>
      <c r="AQ1096" s="556"/>
      <c r="AR1096" s="556"/>
      <c r="CF1096" s="2"/>
    </row>
    <row r="1097" spans="3:84">
      <c r="C1097" s="2"/>
      <c r="AD1097" s="502"/>
      <c r="AE1097" s="911"/>
      <c r="AF1097" s="502"/>
      <c r="AH1097" s="898"/>
      <c r="AI1097" s="502"/>
      <c r="AJ1097" s="502"/>
      <c r="AL1097" s="434"/>
      <c r="AM1097" s="436"/>
      <c r="AN1097" s="434"/>
      <c r="AO1097" s="434"/>
      <c r="AP1097" s="556"/>
      <c r="AQ1097" s="556"/>
      <c r="AR1097" s="556"/>
      <c r="CF1097" s="2"/>
    </row>
    <row r="1098" spans="3:84">
      <c r="C1098" s="2"/>
      <c r="AD1098" s="502"/>
      <c r="AE1098" s="911"/>
      <c r="AF1098" s="502"/>
      <c r="AH1098" s="898"/>
      <c r="AI1098" s="502"/>
      <c r="AJ1098" s="502"/>
      <c r="AL1098" s="434"/>
      <c r="AM1098" s="436"/>
      <c r="AN1098" s="434"/>
      <c r="AO1098" s="434"/>
      <c r="AP1098" s="556"/>
      <c r="AQ1098" s="556"/>
      <c r="AR1098" s="556"/>
      <c r="CF1098" s="2"/>
    </row>
    <row r="1099" spans="3:84">
      <c r="C1099" s="2"/>
      <c r="AD1099" s="502"/>
      <c r="AE1099" s="911"/>
      <c r="AF1099" s="502"/>
      <c r="AH1099" s="898"/>
      <c r="AI1099" s="502"/>
      <c r="AJ1099" s="502"/>
      <c r="AL1099" s="434"/>
      <c r="AM1099" s="436"/>
      <c r="AN1099" s="434"/>
      <c r="AO1099" s="434"/>
      <c r="AP1099" s="556"/>
      <c r="AQ1099" s="556"/>
      <c r="AR1099" s="556"/>
      <c r="CF1099" s="2"/>
    </row>
    <row r="1100" spans="3:84">
      <c r="C1100" s="2"/>
      <c r="AD1100" s="502"/>
      <c r="AE1100" s="911"/>
      <c r="AF1100" s="502"/>
      <c r="AH1100" s="898"/>
      <c r="AI1100" s="502"/>
      <c r="AJ1100" s="502"/>
      <c r="AL1100" s="434"/>
      <c r="AM1100" s="436"/>
      <c r="AN1100" s="434"/>
      <c r="AO1100" s="434"/>
      <c r="AP1100" s="556"/>
      <c r="AQ1100" s="556"/>
      <c r="AR1100" s="556"/>
      <c r="CF1100" s="2"/>
    </row>
    <row r="1101" spans="3:84">
      <c r="C1101" s="2"/>
      <c r="AD1101" s="502"/>
      <c r="AE1101" s="911"/>
      <c r="AF1101" s="502"/>
      <c r="AH1101" s="898"/>
      <c r="AI1101" s="502"/>
      <c r="AJ1101" s="502"/>
      <c r="AL1101" s="434"/>
      <c r="AM1101" s="436"/>
      <c r="AN1101" s="434"/>
      <c r="AO1101" s="434"/>
      <c r="AP1101" s="556"/>
      <c r="AQ1101" s="556"/>
      <c r="AR1101" s="556"/>
      <c r="CF1101" s="2"/>
    </row>
    <row r="1102" spans="3:84">
      <c r="C1102" s="2"/>
      <c r="AD1102" s="502"/>
      <c r="AE1102" s="911"/>
      <c r="AF1102" s="502"/>
      <c r="AH1102" s="898"/>
      <c r="AI1102" s="502"/>
      <c r="AJ1102" s="502"/>
      <c r="AL1102" s="434"/>
      <c r="AM1102" s="436"/>
      <c r="AN1102" s="434"/>
      <c r="AO1102" s="434"/>
      <c r="AP1102" s="556"/>
      <c r="AQ1102" s="556"/>
      <c r="AR1102" s="556"/>
      <c r="CF1102" s="2"/>
    </row>
    <row r="1103" spans="3:84">
      <c r="C1103" s="2"/>
      <c r="AD1103" s="502"/>
      <c r="AE1103" s="911"/>
      <c r="AF1103" s="502"/>
      <c r="AH1103" s="898"/>
      <c r="AI1103" s="502"/>
      <c r="AJ1103" s="502"/>
      <c r="AL1103" s="434"/>
      <c r="AM1103" s="436"/>
      <c r="AN1103" s="434"/>
      <c r="AO1103" s="434"/>
      <c r="AP1103" s="556"/>
      <c r="AQ1103" s="556"/>
      <c r="AR1103" s="556"/>
      <c r="CF1103" s="2"/>
    </row>
    <row r="1104" spans="3:84">
      <c r="C1104" s="2"/>
      <c r="AD1104" s="502"/>
      <c r="AE1104" s="911"/>
      <c r="AF1104" s="502"/>
      <c r="AH1104" s="898"/>
      <c r="AI1104" s="502"/>
      <c r="AJ1104" s="502"/>
      <c r="AL1104" s="434"/>
      <c r="AM1104" s="436"/>
      <c r="AN1104" s="434"/>
      <c r="AO1104" s="434"/>
      <c r="AP1104" s="556"/>
      <c r="AQ1104" s="556"/>
      <c r="AR1104" s="556"/>
      <c r="CF1104" s="2"/>
    </row>
    <row r="1105" spans="3:84">
      <c r="C1105" s="2"/>
      <c r="AD1105" s="502"/>
      <c r="AE1105" s="911"/>
      <c r="AF1105" s="502"/>
      <c r="AH1105" s="898"/>
      <c r="AI1105" s="502"/>
      <c r="AJ1105" s="502"/>
      <c r="AL1105" s="434"/>
      <c r="AM1105" s="436"/>
      <c r="AN1105" s="434"/>
      <c r="AO1105" s="434"/>
      <c r="AP1105" s="556"/>
      <c r="AQ1105" s="556"/>
      <c r="AR1105" s="556"/>
      <c r="CF1105" s="2"/>
    </row>
    <row r="1106" spans="3:84">
      <c r="C1106" s="2"/>
      <c r="AD1106" s="502"/>
      <c r="AE1106" s="911"/>
      <c r="AF1106" s="502"/>
      <c r="AH1106" s="898"/>
      <c r="AI1106" s="502"/>
      <c r="AJ1106" s="502"/>
      <c r="AL1106" s="434"/>
      <c r="AM1106" s="436"/>
      <c r="AN1106" s="434"/>
      <c r="AO1106" s="434"/>
      <c r="AP1106" s="556"/>
      <c r="AQ1106" s="556"/>
      <c r="AR1106" s="556"/>
      <c r="CF1106" s="2"/>
    </row>
    <row r="1107" spans="3:84">
      <c r="C1107" s="2"/>
      <c r="AD1107" s="502"/>
      <c r="AE1107" s="911"/>
      <c r="AF1107" s="502"/>
      <c r="AH1107" s="898"/>
      <c r="AI1107" s="502"/>
      <c r="AJ1107" s="502"/>
      <c r="AL1107" s="434"/>
      <c r="AM1107" s="436"/>
      <c r="AN1107" s="434"/>
      <c r="AO1107" s="434"/>
      <c r="AP1107" s="556"/>
      <c r="AQ1107" s="556"/>
      <c r="AR1107" s="556"/>
      <c r="CF1107" s="2"/>
    </row>
    <row r="1108" spans="3:84">
      <c r="C1108" s="2"/>
      <c r="AD1108" s="502"/>
      <c r="AE1108" s="911"/>
      <c r="AF1108" s="502"/>
      <c r="AH1108" s="898"/>
      <c r="AI1108" s="502"/>
      <c r="AJ1108" s="502"/>
      <c r="AL1108" s="434"/>
      <c r="AM1108" s="436"/>
      <c r="AN1108" s="434"/>
      <c r="AO1108" s="434"/>
      <c r="AP1108" s="556"/>
      <c r="AQ1108" s="556"/>
      <c r="AR1108" s="556"/>
      <c r="CF1108" s="2"/>
    </row>
    <row r="1109" spans="3:84">
      <c r="C1109" s="2"/>
      <c r="AD1109" s="502"/>
      <c r="AE1109" s="911"/>
      <c r="AF1109" s="502"/>
      <c r="AH1109" s="898"/>
      <c r="AI1109" s="502"/>
      <c r="AJ1109" s="502"/>
      <c r="AL1109" s="434"/>
      <c r="AM1109" s="436"/>
      <c r="AN1109" s="434"/>
      <c r="AO1109" s="434"/>
      <c r="AP1109" s="556"/>
      <c r="AQ1109" s="556"/>
      <c r="AR1109" s="556"/>
      <c r="CF1109" s="2"/>
    </row>
    <row r="1110" spans="3:84">
      <c r="C1110" s="2"/>
      <c r="AD1110" s="502"/>
      <c r="AE1110" s="911"/>
      <c r="AF1110" s="502"/>
      <c r="AH1110" s="898"/>
      <c r="AI1110" s="502"/>
      <c r="AJ1110" s="502"/>
      <c r="AL1110" s="434"/>
      <c r="AM1110" s="436"/>
      <c r="AN1110" s="434"/>
      <c r="AO1110" s="434"/>
      <c r="AP1110" s="556"/>
      <c r="AQ1110" s="556"/>
      <c r="AR1110" s="556"/>
      <c r="CF1110" s="2"/>
    </row>
    <row r="1111" spans="3:84">
      <c r="C1111" s="2"/>
      <c r="AD1111" s="502"/>
      <c r="AE1111" s="911"/>
      <c r="AF1111" s="502"/>
      <c r="AH1111" s="898"/>
      <c r="AI1111" s="502"/>
      <c r="AJ1111" s="502"/>
      <c r="AL1111" s="434"/>
      <c r="AM1111" s="436"/>
      <c r="AN1111" s="434"/>
      <c r="AO1111" s="434"/>
      <c r="AP1111" s="556"/>
      <c r="AQ1111" s="556"/>
      <c r="AR1111" s="556"/>
      <c r="CF1111" s="2"/>
    </row>
    <row r="1112" spans="3:84">
      <c r="C1112" s="2"/>
      <c r="AD1112" s="502"/>
      <c r="AE1112" s="911"/>
      <c r="AF1112" s="502"/>
      <c r="AH1112" s="898"/>
      <c r="AI1112" s="502"/>
      <c r="AJ1112" s="502"/>
      <c r="AL1112" s="434"/>
      <c r="AM1112" s="436"/>
      <c r="AN1112" s="434"/>
      <c r="AO1112" s="434"/>
      <c r="AP1112" s="556"/>
      <c r="AQ1112" s="556"/>
      <c r="AR1112" s="556"/>
      <c r="CF1112" s="2"/>
    </row>
    <row r="1113" spans="3:84">
      <c r="C1113" s="2"/>
      <c r="AD1113" s="502"/>
      <c r="AE1113" s="911"/>
      <c r="AF1113" s="502"/>
      <c r="AH1113" s="898"/>
      <c r="AI1113" s="502"/>
      <c r="AJ1113" s="502"/>
      <c r="AL1113" s="434"/>
      <c r="AM1113" s="436"/>
      <c r="AN1113" s="434"/>
      <c r="AO1113" s="434"/>
      <c r="AP1113" s="556"/>
      <c r="AQ1113" s="556"/>
      <c r="AR1113" s="556"/>
      <c r="CF1113" s="2"/>
    </row>
    <row r="1114" spans="3:84">
      <c r="C1114" s="2"/>
      <c r="AD1114" s="502"/>
      <c r="AE1114" s="911"/>
      <c r="AF1114" s="502"/>
      <c r="AH1114" s="898"/>
      <c r="AI1114" s="502"/>
      <c r="AJ1114" s="502"/>
      <c r="AL1114" s="434"/>
      <c r="AM1114" s="436"/>
      <c r="AN1114" s="434"/>
      <c r="AO1114" s="434"/>
      <c r="AP1114" s="556"/>
      <c r="AQ1114" s="556"/>
      <c r="AR1114" s="556"/>
      <c r="CF1114" s="2"/>
    </row>
    <row r="1115" spans="3:84">
      <c r="C1115" s="2"/>
      <c r="AD1115" s="502"/>
      <c r="AE1115" s="911"/>
      <c r="AF1115" s="502"/>
      <c r="AH1115" s="898"/>
      <c r="AI1115" s="502"/>
      <c r="AJ1115" s="502"/>
      <c r="AL1115" s="434"/>
      <c r="AM1115" s="436"/>
      <c r="AN1115" s="434"/>
      <c r="AO1115" s="434"/>
      <c r="AP1115" s="556"/>
      <c r="AQ1115" s="556"/>
      <c r="AR1115" s="556"/>
      <c r="CF1115" s="2"/>
    </row>
    <row r="1116" spans="3:84">
      <c r="C1116" s="2"/>
      <c r="AD1116" s="502"/>
      <c r="AE1116" s="911"/>
      <c r="AF1116" s="502"/>
      <c r="AH1116" s="898"/>
      <c r="AI1116" s="502"/>
      <c r="AJ1116" s="502"/>
      <c r="AL1116" s="434"/>
      <c r="AM1116" s="436"/>
      <c r="AN1116" s="434"/>
      <c r="AO1116" s="434"/>
      <c r="AP1116" s="556"/>
      <c r="AQ1116" s="556"/>
      <c r="AR1116" s="556"/>
      <c r="CF1116" s="2"/>
    </row>
    <row r="1117" spans="3:84">
      <c r="C1117" s="2"/>
      <c r="AD1117" s="502"/>
      <c r="AE1117" s="911"/>
      <c r="AF1117" s="502"/>
      <c r="AH1117" s="898"/>
      <c r="AI1117" s="502"/>
      <c r="AJ1117" s="502"/>
      <c r="AL1117" s="434"/>
      <c r="AM1117" s="436"/>
      <c r="AN1117" s="434"/>
      <c r="AO1117" s="434"/>
      <c r="AP1117" s="556"/>
      <c r="AQ1117" s="556"/>
      <c r="AR1117" s="556"/>
      <c r="CF1117" s="2"/>
    </row>
    <row r="1118" spans="3:84">
      <c r="C1118" s="2"/>
      <c r="AD1118" s="502"/>
      <c r="AE1118" s="911"/>
      <c r="AF1118" s="502"/>
      <c r="AH1118" s="898"/>
      <c r="AI1118" s="502"/>
      <c r="AJ1118" s="502"/>
      <c r="AL1118" s="434"/>
      <c r="AM1118" s="436"/>
      <c r="AN1118" s="434"/>
      <c r="AO1118" s="434"/>
      <c r="AP1118" s="556"/>
      <c r="AQ1118" s="556"/>
      <c r="AR1118" s="556"/>
      <c r="CF1118" s="2"/>
    </row>
    <row r="1119" spans="3:84">
      <c r="C1119" s="2"/>
      <c r="AD1119" s="502"/>
      <c r="AE1119" s="911"/>
      <c r="AF1119" s="502"/>
      <c r="AH1119" s="898"/>
      <c r="AI1119" s="502"/>
      <c r="AJ1119" s="502"/>
      <c r="AL1119" s="434"/>
      <c r="AM1119" s="436"/>
      <c r="AN1119" s="434"/>
      <c r="AO1119" s="434"/>
      <c r="AP1119" s="556"/>
      <c r="AQ1119" s="556"/>
      <c r="AR1119" s="556"/>
      <c r="CF1119" s="2"/>
    </row>
    <row r="1120" spans="3:84">
      <c r="C1120" s="2"/>
      <c r="AD1120" s="502"/>
      <c r="AE1120" s="911"/>
      <c r="AF1120" s="502"/>
      <c r="AH1120" s="898"/>
      <c r="AI1120" s="502"/>
      <c r="AJ1120" s="502"/>
      <c r="AL1120" s="434"/>
      <c r="AM1120" s="436"/>
      <c r="AN1120" s="434"/>
      <c r="AO1120" s="434"/>
      <c r="AP1120" s="556"/>
      <c r="AQ1120" s="556"/>
      <c r="AR1120" s="556"/>
      <c r="CF1120" s="2"/>
    </row>
    <row r="1121" spans="3:84">
      <c r="C1121" s="2"/>
      <c r="AD1121" s="502"/>
      <c r="AE1121" s="911"/>
      <c r="AF1121" s="502"/>
      <c r="AH1121" s="898"/>
      <c r="AI1121" s="502"/>
      <c r="AJ1121" s="502"/>
      <c r="AL1121" s="434"/>
      <c r="AM1121" s="436"/>
      <c r="AN1121" s="434"/>
      <c r="AO1121" s="434"/>
      <c r="AP1121" s="556"/>
      <c r="AQ1121" s="556"/>
      <c r="AR1121" s="556"/>
      <c r="CF1121" s="2"/>
    </row>
    <row r="1122" spans="3:84">
      <c r="C1122" s="2"/>
      <c r="AD1122" s="502"/>
      <c r="AE1122" s="911"/>
      <c r="AF1122" s="502"/>
      <c r="AH1122" s="898"/>
      <c r="AI1122" s="502"/>
      <c r="AJ1122" s="502"/>
      <c r="AL1122" s="434"/>
      <c r="AM1122" s="436"/>
      <c r="AN1122" s="434"/>
      <c r="AO1122" s="434"/>
      <c r="AP1122" s="556"/>
      <c r="AQ1122" s="556"/>
      <c r="AR1122" s="556"/>
      <c r="CF1122" s="2"/>
    </row>
    <row r="1123" spans="3:84">
      <c r="C1123" s="2"/>
      <c r="AD1123" s="502"/>
      <c r="AE1123" s="911"/>
      <c r="AF1123" s="502"/>
      <c r="AH1123" s="898"/>
      <c r="AI1123" s="502"/>
      <c r="AJ1123" s="502"/>
      <c r="AL1123" s="434"/>
      <c r="AM1123" s="436"/>
      <c r="AN1123" s="434"/>
      <c r="AO1123" s="434"/>
      <c r="AP1123" s="556"/>
      <c r="AQ1123" s="556"/>
      <c r="AR1123" s="556"/>
      <c r="CF1123" s="2"/>
    </row>
    <row r="1124" spans="3:84">
      <c r="C1124" s="2"/>
      <c r="AD1124" s="502"/>
      <c r="AE1124" s="911"/>
      <c r="AF1124" s="502"/>
      <c r="AH1124" s="898"/>
      <c r="AI1124" s="502"/>
      <c r="AJ1124" s="502"/>
      <c r="AL1124" s="434"/>
      <c r="AM1124" s="436"/>
      <c r="AN1124" s="434"/>
      <c r="AO1124" s="434"/>
      <c r="AP1124" s="556"/>
      <c r="AQ1124" s="556"/>
      <c r="AR1124" s="556"/>
      <c r="CF1124" s="2"/>
    </row>
    <row r="1125" spans="3:84">
      <c r="C1125" s="2"/>
      <c r="AD1125" s="502"/>
      <c r="AE1125" s="911"/>
      <c r="AF1125" s="502"/>
      <c r="AH1125" s="898"/>
      <c r="AI1125" s="502"/>
      <c r="AJ1125" s="502"/>
      <c r="AL1125" s="434"/>
      <c r="AM1125" s="436"/>
      <c r="AN1125" s="434"/>
      <c r="AO1125" s="434"/>
      <c r="AP1125" s="556"/>
      <c r="AQ1125" s="556"/>
      <c r="AR1125" s="556"/>
      <c r="CF1125" s="2"/>
    </row>
    <row r="1126" spans="3:84">
      <c r="C1126" s="2"/>
      <c r="AD1126" s="502"/>
      <c r="AE1126" s="911"/>
      <c r="AF1126" s="502"/>
      <c r="AH1126" s="898"/>
      <c r="AI1126" s="502"/>
      <c r="AJ1126" s="502"/>
      <c r="AL1126" s="434"/>
      <c r="AM1126" s="436"/>
      <c r="AN1126" s="434"/>
      <c r="AO1126" s="434"/>
      <c r="AP1126" s="556"/>
      <c r="AQ1126" s="556"/>
      <c r="AR1126" s="556"/>
      <c r="CF1126" s="2"/>
    </row>
    <row r="1127" spans="3:84">
      <c r="C1127" s="2"/>
      <c r="AD1127" s="502"/>
      <c r="AE1127" s="911"/>
      <c r="AF1127" s="502"/>
      <c r="AH1127" s="898"/>
      <c r="AI1127" s="502"/>
      <c r="AJ1127" s="502"/>
      <c r="AL1127" s="434"/>
      <c r="AM1127" s="436"/>
      <c r="AN1127" s="434"/>
      <c r="AO1127" s="434"/>
      <c r="AP1127" s="556"/>
      <c r="AQ1127" s="556"/>
      <c r="AR1127" s="556"/>
      <c r="CF1127" s="2"/>
    </row>
    <row r="1128" spans="3:84">
      <c r="C1128" s="2"/>
      <c r="AD1128" s="502"/>
      <c r="AE1128" s="911"/>
      <c r="AF1128" s="502"/>
      <c r="AH1128" s="898"/>
      <c r="AI1128" s="502"/>
      <c r="AJ1128" s="502"/>
      <c r="AL1128" s="434"/>
      <c r="AM1128" s="436"/>
      <c r="AN1128" s="434"/>
      <c r="AO1128" s="434"/>
      <c r="AP1128" s="556"/>
      <c r="AQ1128" s="556"/>
      <c r="AR1128" s="556"/>
      <c r="CF1128" s="2"/>
    </row>
    <row r="1129" spans="3:84">
      <c r="C1129" s="2"/>
      <c r="AD1129" s="502"/>
      <c r="AE1129" s="911"/>
      <c r="AF1129" s="502"/>
      <c r="AH1129" s="898"/>
      <c r="AI1129" s="502"/>
      <c r="AJ1129" s="502"/>
      <c r="AL1129" s="434"/>
      <c r="AM1129" s="436"/>
      <c r="AN1129" s="434"/>
      <c r="AO1129" s="434"/>
      <c r="AP1129" s="556"/>
      <c r="AQ1129" s="556"/>
      <c r="AR1129" s="556"/>
      <c r="CF1129" s="2"/>
    </row>
    <row r="1130" spans="3:84">
      <c r="C1130" s="2"/>
      <c r="AD1130" s="502"/>
      <c r="AE1130" s="911"/>
      <c r="AF1130" s="502"/>
      <c r="AH1130" s="898"/>
      <c r="AI1130" s="502"/>
      <c r="AJ1130" s="502"/>
      <c r="AL1130" s="434"/>
      <c r="AM1130" s="436"/>
      <c r="AN1130" s="434"/>
      <c r="AO1130" s="434"/>
      <c r="AP1130" s="556"/>
      <c r="AQ1130" s="556"/>
      <c r="AR1130" s="556"/>
      <c r="CF1130" s="2"/>
    </row>
    <row r="1131" spans="3:84">
      <c r="C1131" s="2"/>
      <c r="AD1131" s="502"/>
      <c r="AE1131" s="911"/>
      <c r="AF1131" s="502"/>
      <c r="AH1131" s="898"/>
      <c r="AI1131" s="502"/>
      <c r="AJ1131" s="502"/>
      <c r="AL1131" s="434"/>
      <c r="AM1131" s="436"/>
      <c r="AN1131" s="434"/>
      <c r="AO1131" s="434"/>
      <c r="AP1131" s="556"/>
      <c r="AQ1131" s="556"/>
      <c r="AR1131" s="556"/>
      <c r="CF1131" s="2"/>
    </row>
    <row r="1132" spans="3:84">
      <c r="C1132" s="2"/>
      <c r="AD1132" s="502"/>
      <c r="AE1132" s="911"/>
      <c r="AF1132" s="502"/>
      <c r="AH1132" s="898"/>
      <c r="AI1132" s="502"/>
      <c r="AJ1132" s="502"/>
      <c r="AL1132" s="434"/>
      <c r="AM1132" s="436"/>
      <c r="AN1132" s="434"/>
      <c r="AO1132" s="434"/>
      <c r="AP1132" s="556"/>
      <c r="AQ1132" s="556"/>
      <c r="AR1132" s="556"/>
      <c r="CF1132" s="2"/>
    </row>
    <row r="1133" spans="3:84">
      <c r="C1133" s="2"/>
      <c r="AD1133" s="502"/>
      <c r="AE1133" s="911"/>
      <c r="AF1133" s="502"/>
      <c r="AH1133" s="898"/>
      <c r="AI1133" s="502"/>
      <c r="AJ1133" s="502"/>
      <c r="AL1133" s="434"/>
      <c r="AM1133" s="436"/>
      <c r="AN1133" s="434"/>
      <c r="AO1133" s="434"/>
      <c r="AP1133" s="556"/>
      <c r="AQ1133" s="556"/>
      <c r="AR1133" s="556"/>
      <c r="CF1133" s="2"/>
    </row>
    <row r="1134" spans="3:84">
      <c r="C1134" s="2"/>
      <c r="AD1134" s="502"/>
      <c r="AE1134" s="911"/>
      <c r="AF1134" s="502"/>
      <c r="AH1134" s="898"/>
      <c r="AI1134" s="502"/>
      <c r="AJ1134" s="502"/>
      <c r="AL1134" s="434"/>
      <c r="AM1134" s="436"/>
      <c r="AN1134" s="434"/>
      <c r="AO1134" s="434"/>
      <c r="AP1134" s="556"/>
      <c r="AQ1134" s="556"/>
      <c r="AR1134" s="556"/>
      <c r="CF1134" s="2"/>
    </row>
    <row r="1135" spans="3:84">
      <c r="C1135" s="2"/>
      <c r="AD1135" s="502"/>
      <c r="AE1135" s="911"/>
      <c r="AF1135" s="502"/>
      <c r="AH1135" s="898"/>
      <c r="AI1135" s="502"/>
      <c r="AJ1135" s="502"/>
      <c r="AL1135" s="434"/>
      <c r="AM1135" s="436"/>
      <c r="AN1135" s="434"/>
      <c r="AO1135" s="434"/>
      <c r="AP1135" s="556"/>
      <c r="AQ1135" s="556"/>
      <c r="AR1135" s="556"/>
      <c r="CF1135" s="2"/>
    </row>
    <row r="1136" spans="3:84">
      <c r="C1136" s="2"/>
      <c r="AD1136" s="502"/>
      <c r="AE1136" s="911"/>
      <c r="AF1136" s="502"/>
      <c r="AH1136" s="898"/>
      <c r="AI1136" s="502"/>
      <c r="AJ1136" s="502"/>
      <c r="AL1136" s="434"/>
      <c r="AM1136" s="436"/>
      <c r="AN1136" s="434"/>
      <c r="AO1136" s="434"/>
      <c r="AP1136" s="556"/>
      <c r="AQ1136" s="556"/>
      <c r="AR1136" s="556"/>
      <c r="CF1136" s="2"/>
    </row>
    <row r="1137" spans="3:84">
      <c r="C1137" s="2"/>
      <c r="AD1137" s="502"/>
      <c r="AE1137" s="911"/>
      <c r="AF1137" s="502"/>
      <c r="AH1137" s="898"/>
      <c r="AI1137" s="502"/>
      <c r="AJ1137" s="502"/>
      <c r="AL1137" s="434"/>
      <c r="AM1137" s="436"/>
      <c r="AN1137" s="434"/>
      <c r="AO1137" s="434"/>
      <c r="AP1137" s="556"/>
      <c r="AQ1137" s="556"/>
      <c r="AR1137" s="556"/>
      <c r="CF1137" s="2"/>
    </row>
    <row r="1138" spans="3:84">
      <c r="C1138" s="2"/>
      <c r="AD1138" s="502"/>
      <c r="AE1138" s="911"/>
      <c r="AF1138" s="502"/>
      <c r="AH1138" s="898"/>
      <c r="AI1138" s="502"/>
      <c r="AJ1138" s="502"/>
      <c r="AL1138" s="434"/>
      <c r="AM1138" s="436"/>
      <c r="AN1138" s="434"/>
      <c r="AO1138" s="434"/>
      <c r="AP1138" s="556"/>
      <c r="AQ1138" s="556"/>
      <c r="AR1138" s="556"/>
      <c r="CF1138" s="2"/>
    </row>
    <row r="1139" spans="3:84">
      <c r="C1139" s="2"/>
      <c r="AD1139" s="502"/>
      <c r="AE1139" s="911"/>
      <c r="AF1139" s="502"/>
      <c r="AH1139" s="898"/>
      <c r="AI1139" s="502"/>
      <c r="AJ1139" s="502"/>
      <c r="AL1139" s="434"/>
      <c r="AM1139" s="436"/>
      <c r="AN1139" s="434"/>
      <c r="AO1139" s="434"/>
      <c r="AP1139" s="556"/>
      <c r="AQ1139" s="556"/>
      <c r="AR1139" s="556"/>
      <c r="CF1139" s="2"/>
    </row>
    <row r="1140" spans="3:84">
      <c r="C1140" s="2"/>
      <c r="AD1140" s="502"/>
      <c r="AE1140" s="911"/>
      <c r="AF1140" s="502"/>
      <c r="AH1140" s="898"/>
      <c r="AI1140" s="502"/>
      <c r="AJ1140" s="502"/>
      <c r="AL1140" s="434"/>
      <c r="AM1140" s="436"/>
      <c r="AN1140" s="434"/>
      <c r="AO1140" s="434"/>
      <c r="AP1140" s="556"/>
      <c r="AQ1140" s="556"/>
      <c r="AR1140" s="556"/>
      <c r="CF1140" s="2"/>
    </row>
    <row r="1141" spans="3:84">
      <c r="C1141" s="2"/>
      <c r="AD1141" s="502"/>
      <c r="AE1141" s="911"/>
      <c r="AF1141" s="502"/>
      <c r="AH1141" s="898"/>
      <c r="AI1141" s="502"/>
      <c r="AJ1141" s="502"/>
      <c r="AL1141" s="434"/>
      <c r="AM1141" s="436"/>
      <c r="AN1141" s="434"/>
      <c r="AO1141" s="434"/>
      <c r="AP1141" s="556"/>
      <c r="AQ1141" s="556"/>
      <c r="AR1141" s="556"/>
      <c r="CF1141" s="2"/>
    </row>
    <row r="1142" spans="3:84">
      <c r="C1142" s="2"/>
      <c r="AD1142" s="502"/>
      <c r="AE1142" s="911"/>
      <c r="AF1142" s="502"/>
      <c r="AH1142" s="898"/>
      <c r="AI1142" s="502"/>
      <c r="AJ1142" s="502"/>
      <c r="AL1142" s="434"/>
      <c r="AM1142" s="436"/>
      <c r="AN1142" s="434"/>
      <c r="AO1142" s="434"/>
      <c r="AP1142" s="556"/>
      <c r="AQ1142" s="556"/>
      <c r="AR1142" s="556"/>
      <c r="CF1142" s="2"/>
    </row>
    <row r="1143" spans="3:84">
      <c r="C1143" s="2"/>
      <c r="AD1143" s="502"/>
      <c r="AE1143" s="911"/>
      <c r="AF1143" s="502"/>
      <c r="AH1143" s="898"/>
      <c r="AI1143" s="502"/>
      <c r="AJ1143" s="502"/>
      <c r="AL1143" s="434"/>
      <c r="AM1143" s="436"/>
      <c r="AN1143" s="434"/>
      <c r="AO1143" s="434"/>
      <c r="AP1143" s="556"/>
      <c r="AQ1143" s="556"/>
      <c r="AR1143" s="556"/>
      <c r="CF1143" s="2"/>
    </row>
    <row r="1144" spans="3:84">
      <c r="C1144" s="2"/>
      <c r="AD1144" s="502"/>
      <c r="AE1144" s="911"/>
      <c r="AF1144" s="502"/>
      <c r="AH1144" s="898"/>
      <c r="AI1144" s="502"/>
      <c r="AJ1144" s="502"/>
      <c r="AL1144" s="434"/>
      <c r="AM1144" s="436"/>
      <c r="AN1144" s="434"/>
      <c r="AO1144" s="434"/>
      <c r="AP1144" s="556"/>
      <c r="AQ1144" s="556"/>
      <c r="AR1144" s="556"/>
      <c r="CF1144" s="2"/>
    </row>
    <row r="1145" spans="3:84">
      <c r="C1145" s="2"/>
      <c r="AD1145" s="502"/>
      <c r="AE1145" s="911"/>
      <c r="AF1145" s="502"/>
      <c r="AH1145" s="898"/>
      <c r="AI1145" s="502"/>
      <c r="AJ1145" s="502"/>
      <c r="AL1145" s="434"/>
      <c r="AM1145" s="436"/>
      <c r="AN1145" s="434"/>
      <c r="AO1145" s="434"/>
      <c r="AP1145" s="556"/>
      <c r="AQ1145" s="556"/>
      <c r="AR1145" s="556"/>
      <c r="CF1145" s="2"/>
    </row>
    <row r="1146" spans="3:84">
      <c r="C1146" s="2"/>
      <c r="AD1146" s="502"/>
      <c r="AE1146" s="911"/>
      <c r="AF1146" s="502"/>
      <c r="AH1146" s="898"/>
      <c r="AI1146" s="502"/>
      <c r="AJ1146" s="502"/>
      <c r="AL1146" s="434"/>
      <c r="AM1146" s="436"/>
      <c r="AN1146" s="434"/>
      <c r="AO1146" s="434"/>
      <c r="AP1146" s="556"/>
      <c r="AQ1146" s="556"/>
      <c r="AR1146" s="556"/>
      <c r="CF1146" s="2"/>
    </row>
    <row r="1147" spans="3:84">
      <c r="C1147" s="2"/>
      <c r="AD1147" s="502"/>
      <c r="AE1147" s="911"/>
      <c r="AF1147" s="502"/>
      <c r="AH1147" s="898"/>
      <c r="AI1147" s="502"/>
      <c r="AJ1147" s="502"/>
      <c r="AL1147" s="434"/>
      <c r="AM1147" s="436"/>
      <c r="AN1147" s="434"/>
      <c r="AO1147" s="434"/>
      <c r="AP1147" s="556"/>
      <c r="AQ1147" s="556"/>
      <c r="AR1147" s="556"/>
      <c r="CF1147" s="2"/>
    </row>
    <row r="1148" spans="3:84">
      <c r="C1148" s="2"/>
      <c r="AD1148" s="502"/>
      <c r="AE1148" s="911"/>
      <c r="AF1148" s="502"/>
      <c r="AH1148" s="898"/>
      <c r="AI1148" s="502"/>
      <c r="AJ1148" s="502"/>
      <c r="AL1148" s="434"/>
      <c r="AM1148" s="436"/>
      <c r="AN1148" s="434"/>
      <c r="AO1148" s="434"/>
      <c r="AP1148" s="556"/>
      <c r="AQ1148" s="556"/>
      <c r="AR1148" s="556"/>
      <c r="CF1148" s="2"/>
    </row>
    <row r="1149" spans="3:84">
      <c r="C1149" s="2"/>
      <c r="AD1149" s="502"/>
      <c r="AE1149" s="911"/>
      <c r="AF1149" s="502"/>
      <c r="AH1149" s="898"/>
      <c r="AI1149" s="502"/>
      <c r="AJ1149" s="502"/>
      <c r="AL1149" s="434"/>
      <c r="AM1149" s="436"/>
      <c r="AN1149" s="434"/>
      <c r="AO1149" s="434"/>
      <c r="AP1149" s="556"/>
      <c r="AQ1149" s="556"/>
      <c r="AR1149" s="556"/>
      <c r="CF1149" s="2"/>
    </row>
    <row r="1150" spans="3:84">
      <c r="C1150" s="2"/>
      <c r="AD1150" s="502"/>
      <c r="AE1150" s="911"/>
      <c r="AF1150" s="502"/>
      <c r="AH1150" s="898"/>
      <c r="AI1150" s="502"/>
      <c r="AJ1150" s="502"/>
      <c r="AL1150" s="434"/>
      <c r="AM1150" s="436"/>
      <c r="AN1150" s="434"/>
      <c r="AO1150" s="434"/>
      <c r="AP1150" s="556"/>
      <c r="AQ1150" s="556"/>
      <c r="AR1150" s="556"/>
      <c r="CF1150" s="2"/>
    </row>
    <row r="1151" spans="3:84">
      <c r="C1151" s="2"/>
      <c r="AD1151" s="502"/>
      <c r="AE1151" s="911"/>
      <c r="AF1151" s="502"/>
      <c r="AH1151" s="898"/>
      <c r="AI1151" s="502"/>
      <c r="AJ1151" s="502"/>
      <c r="AL1151" s="434"/>
      <c r="AM1151" s="436"/>
      <c r="AN1151" s="434"/>
      <c r="AO1151" s="434"/>
      <c r="AP1151" s="556"/>
      <c r="AQ1151" s="556"/>
      <c r="AR1151" s="556"/>
      <c r="CF1151" s="2"/>
    </row>
    <row r="1152" spans="3:84">
      <c r="C1152" s="2"/>
      <c r="AD1152" s="502"/>
      <c r="AE1152" s="911"/>
      <c r="AF1152" s="502"/>
      <c r="AH1152" s="898"/>
      <c r="AI1152" s="502"/>
      <c r="AJ1152" s="502"/>
      <c r="AL1152" s="434"/>
      <c r="AM1152" s="436"/>
      <c r="AN1152" s="434"/>
      <c r="AO1152" s="434"/>
      <c r="AP1152" s="556"/>
      <c r="AQ1152" s="556"/>
      <c r="AR1152" s="556"/>
      <c r="CF1152" s="2"/>
    </row>
    <row r="1153" spans="3:84">
      <c r="C1153" s="2"/>
      <c r="AD1153" s="502"/>
      <c r="AE1153" s="911"/>
      <c r="AF1153" s="502"/>
      <c r="AH1153" s="898"/>
      <c r="AI1153" s="502"/>
      <c r="AJ1153" s="502"/>
      <c r="AL1153" s="434"/>
      <c r="AM1153" s="436"/>
      <c r="AN1153" s="434"/>
      <c r="AO1153" s="434"/>
      <c r="AP1153" s="556"/>
      <c r="AQ1153" s="556"/>
      <c r="AR1153" s="556"/>
      <c r="CF1153" s="2"/>
    </row>
    <row r="1154" spans="3:84">
      <c r="C1154" s="2"/>
      <c r="AD1154" s="502"/>
      <c r="AE1154" s="911"/>
      <c r="AF1154" s="502"/>
      <c r="AH1154" s="898"/>
      <c r="AI1154" s="502"/>
      <c r="AJ1154" s="502"/>
      <c r="AL1154" s="434"/>
      <c r="AM1154" s="436"/>
      <c r="AN1154" s="434"/>
      <c r="AO1154" s="434"/>
      <c r="AP1154" s="556"/>
      <c r="AQ1154" s="556"/>
      <c r="AR1154" s="556"/>
      <c r="CF1154" s="2"/>
    </row>
    <row r="1155" spans="3:84">
      <c r="C1155" s="2"/>
      <c r="AD1155" s="502"/>
      <c r="AE1155" s="911"/>
      <c r="AF1155" s="502"/>
      <c r="AH1155" s="898"/>
      <c r="AI1155" s="502"/>
      <c r="AJ1155" s="502"/>
      <c r="AL1155" s="434"/>
      <c r="AM1155" s="436"/>
      <c r="AN1155" s="434"/>
      <c r="AO1155" s="434"/>
      <c r="AP1155" s="556"/>
      <c r="AQ1155" s="556"/>
      <c r="AR1155" s="556"/>
      <c r="CF1155" s="2"/>
    </row>
    <row r="1156" spans="3:84">
      <c r="C1156" s="2"/>
      <c r="AD1156" s="502"/>
      <c r="AE1156" s="911"/>
      <c r="AF1156" s="502"/>
      <c r="AH1156" s="898"/>
      <c r="AI1156" s="502"/>
      <c r="AJ1156" s="502"/>
      <c r="AL1156" s="434"/>
      <c r="AM1156" s="436"/>
      <c r="AN1156" s="434"/>
      <c r="AO1156" s="434"/>
      <c r="AP1156" s="556"/>
      <c r="AQ1156" s="556"/>
      <c r="AR1156" s="556"/>
      <c r="CF1156" s="2"/>
    </row>
    <row r="1157" spans="3:84">
      <c r="C1157" s="2"/>
      <c r="AD1157" s="502"/>
      <c r="AE1157" s="911"/>
      <c r="AF1157" s="502"/>
      <c r="AH1157" s="898"/>
      <c r="AI1157" s="502"/>
      <c r="AJ1157" s="502"/>
      <c r="AL1157" s="434"/>
      <c r="AM1157" s="436"/>
      <c r="AN1157" s="434"/>
      <c r="AO1157" s="434"/>
      <c r="AP1157" s="556"/>
      <c r="AQ1157" s="556"/>
      <c r="AR1157" s="556"/>
      <c r="CF1157" s="2"/>
    </row>
    <row r="1158" spans="3:84">
      <c r="C1158" s="2"/>
      <c r="AD1158" s="502"/>
      <c r="AE1158" s="911"/>
      <c r="AF1158" s="502"/>
      <c r="AH1158" s="898"/>
      <c r="AI1158" s="502"/>
      <c r="AJ1158" s="502"/>
      <c r="AL1158" s="434"/>
      <c r="AM1158" s="436"/>
      <c r="AN1158" s="434"/>
      <c r="AO1158" s="434"/>
      <c r="AP1158" s="556"/>
      <c r="AQ1158" s="556"/>
      <c r="AR1158" s="556"/>
      <c r="CF1158" s="2"/>
    </row>
    <row r="1159" spans="3:84">
      <c r="C1159" s="2"/>
      <c r="AD1159" s="502"/>
      <c r="AE1159" s="911"/>
      <c r="AF1159" s="502"/>
      <c r="AH1159" s="898"/>
      <c r="AI1159" s="502"/>
      <c r="AJ1159" s="502"/>
      <c r="AL1159" s="434"/>
      <c r="AM1159" s="436"/>
      <c r="AN1159" s="434"/>
      <c r="AO1159" s="434"/>
      <c r="AP1159" s="556"/>
      <c r="AQ1159" s="556"/>
      <c r="AR1159" s="556"/>
      <c r="CF1159" s="2"/>
    </row>
    <row r="1160" spans="3:84">
      <c r="C1160" s="2"/>
      <c r="AD1160" s="502"/>
      <c r="AE1160" s="911"/>
      <c r="AF1160" s="502"/>
      <c r="AH1160" s="898"/>
      <c r="AI1160" s="502"/>
      <c r="AJ1160" s="502"/>
      <c r="AL1160" s="434"/>
      <c r="AM1160" s="436"/>
      <c r="AN1160" s="434"/>
      <c r="AO1160" s="434"/>
      <c r="AP1160" s="556"/>
      <c r="AQ1160" s="556"/>
      <c r="AR1160" s="556"/>
      <c r="CF1160" s="2"/>
    </row>
    <row r="1161" spans="3:84">
      <c r="C1161" s="2"/>
      <c r="AD1161" s="502"/>
      <c r="AE1161" s="911"/>
      <c r="AF1161" s="502"/>
      <c r="AH1161" s="898"/>
      <c r="AI1161" s="502"/>
      <c r="AJ1161" s="502"/>
      <c r="AL1161" s="434"/>
      <c r="AM1161" s="436"/>
      <c r="AN1161" s="434"/>
      <c r="AO1161" s="434"/>
      <c r="AP1161" s="556"/>
      <c r="AQ1161" s="556"/>
      <c r="AR1161" s="556"/>
      <c r="CF1161" s="2"/>
    </row>
    <row r="1162" spans="3:84">
      <c r="C1162" s="2"/>
      <c r="AD1162" s="502"/>
      <c r="AE1162" s="911"/>
      <c r="AF1162" s="502"/>
      <c r="AH1162" s="898"/>
      <c r="AI1162" s="502"/>
      <c r="AJ1162" s="502"/>
      <c r="AL1162" s="434"/>
      <c r="AM1162" s="436"/>
      <c r="AN1162" s="434"/>
      <c r="AO1162" s="434"/>
      <c r="AP1162" s="556"/>
      <c r="AQ1162" s="556"/>
      <c r="AR1162" s="556"/>
      <c r="CF1162" s="2"/>
    </row>
    <row r="1163" spans="3:84">
      <c r="C1163" s="2"/>
      <c r="AD1163" s="502"/>
      <c r="AE1163" s="911"/>
      <c r="AF1163" s="502"/>
      <c r="AH1163" s="898"/>
      <c r="AI1163" s="502"/>
      <c r="AJ1163" s="502"/>
      <c r="AL1163" s="434"/>
      <c r="AM1163" s="436"/>
      <c r="AN1163" s="434"/>
      <c r="AO1163" s="434"/>
      <c r="AP1163" s="556"/>
      <c r="AQ1163" s="556"/>
      <c r="AR1163" s="556"/>
      <c r="CF1163" s="2"/>
    </row>
    <row r="1164" spans="3:84">
      <c r="C1164" s="2"/>
      <c r="AD1164" s="502"/>
      <c r="AE1164" s="911"/>
      <c r="AF1164" s="502"/>
      <c r="AH1164" s="898"/>
      <c r="AI1164" s="502"/>
      <c r="AJ1164" s="502"/>
      <c r="AL1164" s="434"/>
      <c r="AM1164" s="436"/>
      <c r="AN1164" s="434"/>
      <c r="AO1164" s="434"/>
      <c r="AP1164" s="556"/>
      <c r="AQ1164" s="556"/>
      <c r="AR1164" s="556"/>
      <c r="CF1164" s="2"/>
    </row>
    <row r="1165" spans="3:84">
      <c r="C1165" s="2"/>
      <c r="AD1165" s="502"/>
      <c r="AE1165" s="911"/>
      <c r="AF1165" s="502"/>
      <c r="AH1165" s="898"/>
      <c r="AI1165" s="502"/>
      <c r="AJ1165" s="502"/>
      <c r="AL1165" s="434"/>
      <c r="AM1165" s="436"/>
      <c r="AN1165" s="434"/>
      <c r="AO1165" s="434"/>
      <c r="AP1165" s="556"/>
      <c r="AQ1165" s="556"/>
      <c r="AR1165" s="556"/>
      <c r="CF1165" s="2"/>
    </row>
    <row r="1166" spans="3:84">
      <c r="C1166" s="2"/>
      <c r="AD1166" s="502"/>
      <c r="AE1166" s="911"/>
      <c r="AF1166" s="502"/>
      <c r="AH1166" s="898"/>
      <c r="AI1166" s="502"/>
      <c r="AJ1166" s="502"/>
      <c r="AL1166" s="434"/>
      <c r="AM1166" s="436"/>
      <c r="AN1166" s="434"/>
      <c r="AO1166" s="434"/>
      <c r="AP1166" s="556"/>
      <c r="AQ1166" s="556"/>
      <c r="AR1166" s="556"/>
      <c r="CF1166" s="2"/>
    </row>
    <row r="1167" spans="3:84">
      <c r="C1167" s="2"/>
      <c r="AD1167" s="502"/>
      <c r="AE1167" s="911"/>
      <c r="AF1167" s="502"/>
      <c r="AH1167" s="898"/>
      <c r="AI1167" s="502"/>
      <c r="AJ1167" s="502"/>
      <c r="AL1167" s="434"/>
      <c r="AM1167" s="436"/>
      <c r="AN1167" s="434"/>
      <c r="AO1167" s="434"/>
      <c r="AP1167" s="556"/>
      <c r="AQ1167" s="556"/>
      <c r="AR1167" s="556"/>
      <c r="CF1167" s="2"/>
    </row>
    <row r="1168" spans="3:84">
      <c r="C1168" s="2"/>
      <c r="AD1168" s="502"/>
      <c r="AE1168" s="911"/>
      <c r="AF1168" s="502"/>
      <c r="AH1168" s="898"/>
      <c r="AI1168" s="502"/>
      <c r="AJ1168" s="502"/>
      <c r="AL1168" s="434"/>
      <c r="AM1168" s="436"/>
      <c r="AN1168" s="434"/>
      <c r="AO1168" s="434"/>
      <c r="AP1168" s="556"/>
      <c r="AQ1168" s="556"/>
      <c r="AR1168" s="556"/>
      <c r="CF1168" s="2"/>
    </row>
    <row r="1169" spans="3:84">
      <c r="C1169" s="2"/>
      <c r="AD1169" s="502"/>
      <c r="AE1169" s="911"/>
      <c r="AF1169" s="502"/>
      <c r="AH1169" s="898"/>
      <c r="AI1169" s="502"/>
      <c r="AJ1169" s="502"/>
      <c r="AL1169" s="434"/>
      <c r="AM1169" s="436"/>
      <c r="AN1169" s="434"/>
      <c r="AO1169" s="434"/>
      <c r="AP1169" s="556"/>
      <c r="AQ1169" s="556"/>
      <c r="AR1169" s="556"/>
      <c r="CF1169" s="2"/>
    </row>
    <row r="1170" spans="3:84">
      <c r="C1170" s="2"/>
      <c r="AD1170" s="502"/>
      <c r="AE1170" s="911"/>
      <c r="AF1170" s="502"/>
      <c r="AH1170" s="898"/>
      <c r="AI1170" s="502"/>
      <c r="AJ1170" s="502"/>
      <c r="AL1170" s="434"/>
      <c r="AM1170" s="436"/>
      <c r="AN1170" s="434"/>
      <c r="AO1170" s="434"/>
      <c r="AP1170" s="556"/>
      <c r="AQ1170" s="556"/>
      <c r="AR1170" s="556"/>
      <c r="CF1170" s="2"/>
    </row>
    <row r="1171" spans="3:84">
      <c r="C1171" s="2"/>
      <c r="AD1171" s="502"/>
      <c r="AE1171" s="911"/>
      <c r="AF1171" s="502"/>
      <c r="AH1171" s="898"/>
      <c r="AI1171" s="502"/>
      <c r="AJ1171" s="502"/>
      <c r="AL1171" s="434"/>
      <c r="AM1171" s="436"/>
      <c r="AN1171" s="434"/>
      <c r="AO1171" s="434"/>
      <c r="AP1171" s="556"/>
      <c r="AQ1171" s="556"/>
      <c r="AR1171" s="556"/>
      <c r="CF1171" s="2"/>
    </row>
    <row r="1172" spans="3:84">
      <c r="C1172" s="2"/>
      <c r="AD1172" s="502"/>
      <c r="AE1172" s="911"/>
      <c r="AF1172" s="502"/>
      <c r="AH1172" s="898"/>
      <c r="AI1172" s="502"/>
      <c r="AJ1172" s="502"/>
      <c r="AL1172" s="434"/>
      <c r="AM1172" s="436"/>
      <c r="AN1172" s="434"/>
      <c r="AO1172" s="434"/>
      <c r="AP1172" s="556"/>
      <c r="AQ1172" s="556"/>
      <c r="AR1172" s="556"/>
      <c r="CF1172" s="2"/>
    </row>
    <row r="1173" spans="3:84">
      <c r="C1173" s="2"/>
      <c r="AD1173" s="502"/>
      <c r="AE1173" s="911"/>
      <c r="AF1173" s="502"/>
      <c r="AH1173" s="898"/>
      <c r="AI1173" s="502"/>
      <c r="AJ1173" s="502"/>
      <c r="AL1173" s="434"/>
      <c r="AM1173" s="436"/>
      <c r="AN1173" s="434"/>
      <c r="AO1173" s="434"/>
      <c r="AP1173" s="556"/>
      <c r="AQ1173" s="556"/>
      <c r="AR1173" s="556"/>
      <c r="CF1173" s="2"/>
    </row>
    <row r="1174" spans="3:84">
      <c r="C1174" s="2"/>
      <c r="AD1174" s="502"/>
      <c r="AE1174" s="911"/>
      <c r="AF1174" s="502"/>
      <c r="AH1174" s="898"/>
      <c r="AI1174" s="502"/>
      <c r="AJ1174" s="502"/>
      <c r="AL1174" s="434"/>
      <c r="AM1174" s="436"/>
      <c r="AN1174" s="434"/>
      <c r="AO1174" s="434"/>
      <c r="AP1174" s="556"/>
      <c r="AQ1174" s="556"/>
      <c r="AR1174" s="556"/>
      <c r="CF1174" s="2"/>
    </row>
    <row r="1175" spans="3:84">
      <c r="C1175" s="2"/>
      <c r="AD1175" s="502"/>
      <c r="AE1175" s="911"/>
      <c r="AF1175" s="502"/>
      <c r="AH1175" s="898"/>
      <c r="AI1175" s="502"/>
      <c r="AJ1175" s="502"/>
      <c r="AL1175" s="434"/>
      <c r="AM1175" s="436"/>
      <c r="AN1175" s="434"/>
      <c r="AO1175" s="434"/>
      <c r="AP1175" s="556"/>
      <c r="AQ1175" s="556"/>
      <c r="AR1175" s="556"/>
      <c r="CF1175" s="2"/>
    </row>
    <row r="1176" spans="3:84">
      <c r="C1176" s="2"/>
      <c r="AD1176" s="502"/>
      <c r="AE1176" s="911"/>
      <c r="AF1176" s="502"/>
      <c r="AH1176" s="898"/>
      <c r="AI1176" s="502"/>
      <c r="AJ1176" s="502"/>
      <c r="AL1176" s="434"/>
      <c r="AM1176" s="436"/>
      <c r="AN1176" s="434"/>
      <c r="AO1176" s="434"/>
      <c r="AP1176" s="556"/>
      <c r="AQ1176" s="556"/>
      <c r="AR1176" s="556"/>
      <c r="CF1176" s="2"/>
    </row>
    <row r="1177" spans="3:84">
      <c r="C1177" s="2"/>
      <c r="AD1177" s="502"/>
      <c r="AE1177" s="911"/>
      <c r="AF1177" s="502"/>
      <c r="AH1177" s="898"/>
      <c r="AI1177" s="502"/>
      <c r="AJ1177" s="502"/>
      <c r="AL1177" s="434"/>
      <c r="AM1177" s="436"/>
      <c r="AN1177" s="434"/>
      <c r="AO1177" s="434"/>
      <c r="AP1177" s="556"/>
      <c r="AQ1177" s="556"/>
      <c r="AR1177" s="556"/>
      <c r="CF1177" s="2"/>
    </row>
    <row r="1178" spans="3:84">
      <c r="C1178" s="2"/>
      <c r="AD1178" s="502"/>
      <c r="AE1178" s="911"/>
      <c r="AF1178" s="502"/>
      <c r="AH1178" s="898"/>
      <c r="AI1178" s="502"/>
      <c r="AJ1178" s="502"/>
      <c r="AL1178" s="434"/>
      <c r="AM1178" s="436"/>
      <c r="AN1178" s="434"/>
      <c r="AO1178" s="434"/>
      <c r="AP1178" s="556"/>
      <c r="AQ1178" s="556"/>
      <c r="AR1178" s="556"/>
      <c r="CF1178" s="2"/>
    </row>
    <row r="1179" spans="3:84">
      <c r="C1179" s="2"/>
      <c r="AD1179" s="502"/>
      <c r="AE1179" s="911"/>
      <c r="AF1179" s="502"/>
      <c r="AH1179" s="898"/>
      <c r="AI1179" s="502"/>
      <c r="AJ1179" s="502"/>
      <c r="AL1179" s="434"/>
      <c r="AM1179" s="436"/>
      <c r="AN1179" s="434"/>
      <c r="AO1179" s="434"/>
      <c r="AP1179" s="556"/>
      <c r="AQ1179" s="556"/>
      <c r="AR1179" s="556"/>
      <c r="CF1179" s="2"/>
    </row>
    <row r="1180" spans="3:84">
      <c r="C1180" s="2"/>
      <c r="AD1180" s="502"/>
      <c r="AE1180" s="911"/>
      <c r="AF1180" s="502"/>
      <c r="AH1180" s="898"/>
      <c r="AI1180" s="502"/>
      <c r="AJ1180" s="502"/>
      <c r="AL1180" s="434"/>
      <c r="AM1180" s="436"/>
      <c r="AN1180" s="434"/>
      <c r="AO1180" s="434"/>
      <c r="AP1180" s="556"/>
      <c r="AQ1180" s="556"/>
      <c r="AR1180" s="556"/>
      <c r="CF1180" s="2"/>
    </row>
    <row r="1181" spans="3:84">
      <c r="C1181" s="2"/>
      <c r="AD1181" s="502"/>
      <c r="AE1181" s="911"/>
      <c r="AF1181" s="502"/>
      <c r="AH1181" s="898"/>
      <c r="AI1181" s="502"/>
      <c r="AJ1181" s="502"/>
      <c r="AL1181" s="434"/>
      <c r="AM1181" s="436"/>
      <c r="AN1181" s="434"/>
      <c r="AO1181" s="434"/>
      <c r="AP1181" s="556"/>
      <c r="AQ1181" s="556"/>
      <c r="AR1181" s="556"/>
      <c r="CF1181" s="2"/>
    </row>
    <row r="1182" spans="3:84">
      <c r="C1182" s="2"/>
      <c r="AD1182" s="502"/>
      <c r="AE1182" s="911"/>
      <c r="AF1182" s="502"/>
      <c r="AH1182" s="898"/>
      <c r="AI1182" s="502"/>
      <c r="AJ1182" s="502"/>
      <c r="AL1182" s="434"/>
      <c r="AM1182" s="436"/>
      <c r="AN1182" s="434"/>
      <c r="AO1182" s="434"/>
      <c r="AP1182" s="556"/>
      <c r="AQ1182" s="556"/>
      <c r="AR1182" s="556"/>
      <c r="CF1182" s="2"/>
    </row>
    <row r="1183" spans="3:84">
      <c r="C1183" s="2"/>
      <c r="AD1183" s="502"/>
      <c r="AE1183" s="911"/>
      <c r="AF1183" s="502"/>
      <c r="AH1183" s="898"/>
      <c r="AI1183" s="502"/>
      <c r="AJ1183" s="502"/>
      <c r="AL1183" s="434"/>
      <c r="AM1183" s="436"/>
      <c r="AN1183" s="434"/>
      <c r="AO1183" s="434"/>
      <c r="AP1183" s="556"/>
      <c r="AQ1183" s="556"/>
      <c r="AR1183" s="556"/>
      <c r="CF1183" s="2"/>
    </row>
    <row r="1184" spans="3:84">
      <c r="C1184" s="2"/>
      <c r="AD1184" s="502"/>
      <c r="AE1184" s="911"/>
      <c r="AF1184" s="502"/>
      <c r="AH1184" s="898"/>
      <c r="AI1184" s="502"/>
      <c r="AJ1184" s="502"/>
      <c r="AL1184" s="434"/>
      <c r="AM1184" s="436"/>
      <c r="AN1184" s="434"/>
      <c r="AO1184" s="434"/>
      <c r="AP1184" s="556"/>
      <c r="AQ1184" s="556"/>
      <c r="AR1184" s="556"/>
      <c r="CF1184" s="2"/>
    </row>
    <row r="1185" spans="3:84">
      <c r="C1185" s="2"/>
      <c r="AD1185" s="502"/>
      <c r="AE1185" s="911"/>
      <c r="AF1185" s="502"/>
      <c r="AH1185" s="898"/>
      <c r="AI1185" s="502"/>
      <c r="AJ1185" s="502"/>
      <c r="AL1185" s="434"/>
      <c r="AM1185" s="436"/>
      <c r="AN1185" s="434"/>
      <c r="AO1185" s="434"/>
      <c r="AP1185" s="556"/>
      <c r="AQ1185" s="556"/>
      <c r="AR1185" s="556"/>
      <c r="CF1185" s="2"/>
    </row>
    <row r="1186" spans="3:84">
      <c r="C1186" s="2"/>
      <c r="AD1186" s="502"/>
      <c r="AE1186" s="911"/>
      <c r="AF1186" s="502"/>
      <c r="AH1186" s="898"/>
      <c r="AI1186" s="502"/>
      <c r="AJ1186" s="502"/>
      <c r="AL1186" s="434"/>
      <c r="AM1186" s="436"/>
      <c r="AN1186" s="434"/>
      <c r="AO1186" s="434"/>
      <c r="AP1186" s="556"/>
      <c r="AQ1186" s="556"/>
      <c r="AR1186" s="556"/>
      <c r="CF1186" s="2"/>
    </row>
    <row r="1187" spans="3:84">
      <c r="C1187" s="2"/>
      <c r="AD1187" s="502"/>
      <c r="AE1187" s="911"/>
      <c r="AF1187" s="502"/>
      <c r="AH1187" s="898"/>
      <c r="AI1187" s="502"/>
      <c r="AJ1187" s="502"/>
      <c r="AL1187" s="434"/>
      <c r="AM1187" s="436"/>
      <c r="AN1187" s="434"/>
      <c r="AO1187" s="434"/>
      <c r="AP1187" s="556"/>
      <c r="AQ1187" s="556"/>
      <c r="AR1187" s="556"/>
      <c r="CF1187" s="2"/>
    </row>
    <row r="1188" spans="3:84">
      <c r="C1188" s="2"/>
      <c r="AD1188" s="502"/>
      <c r="AE1188" s="911"/>
      <c r="AF1188" s="502"/>
      <c r="AH1188" s="898"/>
      <c r="AI1188" s="502"/>
      <c r="AJ1188" s="502"/>
      <c r="AL1188" s="434"/>
      <c r="AM1188" s="436"/>
      <c r="AN1188" s="434"/>
      <c r="AO1188" s="434"/>
      <c r="AP1188" s="556"/>
      <c r="AQ1188" s="556"/>
      <c r="AR1188" s="556"/>
      <c r="CF1188" s="2"/>
    </row>
    <row r="1189" spans="3:84">
      <c r="C1189" s="2"/>
      <c r="AD1189" s="502"/>
      <c r="AE1189" s="911"/>
      <c r="AF1189" s="502"/>
      <c r="AH1189" s="898"/>
      <c r="AI1189" s="502"/>
      <c r="AJ1189" s="502"/>
      <c r="AL1189" s="434"/>
      <c r="AM1189" s="436"/>
      <c r="AN1189" s="434"/>
      <c r="AO1189" s="434"/>
      <c r="AP1189" s="556"/>
      <c r="AQ1189" s="556"/>
      <c r="AR1189" s="556"/>
      <c r="CF1189" s="2"/>
    </row>
    <row r="1190" spans="3:84">
      <c r="C1190" s="2"/>
      <c r="AD1190" s="502"/>
      <c r="AE1190" s="911"/>
      <c r="AF1190" s="502"/>
      <c r="AH1190" s="898"/>
      <c r="AI1190" s="502"/>
      <c r="AJ1190" s="502"/>
      <c r="AL1190" s="434"/>
      <c r="AM1190" s="436"/>
      <c r="AN1190" s="434"/>
      <c r="AO1190" s="434"/>
      <c r="AP1190" s="556"/>
      <c r="AQ1190" s="556"/>
      <c r="AR1190" s="556"/>
      <c r="CF1190" s="2"/>
    </row>
    <row r="1191" spans="3:84">
      <c r="C1191" s="2"/>
      <c r="AD1191" s="502"/>
      <c r="AE1191" s="911"/>
      <c r="AF1191" s="502"/>
      <c r="AH1191" s="898"/>
      <c r="AI1191" s="502"/>
      <c r="AJ1191" s="502"/>
      <c r="AL1191" s="434"/>
      <c r="AM1191" s="436"/>
      <c r="AN1191" s="434"/>
      <c r="AO1191" s="434"/>
      <c r="AP1191" s="556"/>
      <c r="AQ1191" s="556"/>
      <c r="AR1191" s="556"/>
      <c r="CF1191" s="2"/>
    </row>
    <row r="1192" spans="3:84">
      <c r="C1192" s="2"/>
      <c r="AD1192" s="502"/>
      <c r="AE1192" s="911"/>
      <c r="AF1192" s="502"/>
      <c r="AH1192" s="898"/>
      <c r="AI1192" s="502"/>
      <c r="AJ1192" s="502"/>
      <c r="AL1192" s="434"/>
      <c r="AM1192" s="436"/>
      <c r="AN1192" s="434"/>
      <c r="AO1192" s="434"/>
      <c r="AP1192" s="556"/>
      <c r="AQ1192" s="556"/>
      <c r="AR1192" s="556"/>
      <c r="CF1192" s="2"/>
    </row>
    <row r="1193" spans="3:84">
      <c r="C1193" s="2"/>
      <c r="AD1193" s="502"/>
      <c r="AE1193" s="911"/>
      <c r="AF1193" s="502"/>
      <c r="AH1193" s="898"/>
      <c r="AI1193" s="502"/>
      <c r="AJ1193" s="502"/>
      <c r="AL1193" s="434"/>
      <c r="AM1193" s="436"/>
      <c r="AN1193" s="434"/>
      <c r="AO1193" s="434"/>
      <c r="AP1193" s="556"/>
      <c r="AQ1193" s="556"/>
      <c r="AR1193" s="556"/>
      <c r="CF1193" s="2"/>
    </row>
    <row r="1194" spans="3:84">
      <c r="C1194" s="2"/>
      <c r="AD1194" s="502"/>
      <c r="AE1194" s="911"/>
      <c r="AF1194" s="502"/>
      <c r="AH1194" s="898"/>
      <c r="AI1194" s="502"/>
      <c r="AJ1194" s="502"/>
      <c r="AL1194" s="434"/>
      <c r="AM1194" s="436"/>
      <c r="AN1194" s="434"/>
      <c r="AO1194" s="434"/>
      <c r="AP1194" s="556"/>
      <c r="AQ1194" s="556"/>
      <c r="AR1194" s="556"/>
      <c r="CF1194" s="2"/>
    </row>
    <row r="1195" spans="3:84">
      <c r="C1195" s="2"/>
      <c r="AD1195" s="502"/>
      <c r="AE1195" s="911"/>
      <c r="AF1195" s="502"/>
      <c r="AH1195" s="898"/>
      <c r="AI1195" s="502"/>
      <c r="AJ1195" s="502"/>
      <c r="AL1195" s="434"/>
      <c r="AM1195" s="436"/>
      <c r="AN1195" s="434"/>
      <c r="AO1195" s="434"/>
      <c r="AP1195" s="556"/>
      <c r="AQ1195" s="556"/>
      <c r="AR1195" s="556"/>
      <c r="CF1195" s="2"/>
    </row>
    <row r="1196" spans="3:84">
      <c r="C1196" s="2"/>
      <c r="AD1196" s="502"/>
      <c r="AE1196" s="911"/>
      <c r="AF1196" s="502"/>
      <c r="AH1196" s="898"/>
      <c r="AI1196" s="502"/>
      <c r="AJ1196" s="502"/>
      <c r="AL1196" s="434"/>
      <c r="AM1196" s="436"/>
      <c r="AN1196" s="434"/>
      <c r="AO1196" s="434"/>
      <c r="AP1196" s="556"/>
      <c r="AQ1196" s="556"/>
      <c r="AR1196" s="556"/>
      <c r="CF1196" s="2"/>
    </row>
    <row r="1197" spans="3:84">
      <c r="C1197" s="2"/>
      <c r="AD1197" s="502"/>
      <c r="AE1197" s="911"/>
      <c r="AF1197" s="502"/>
      <c r="AH1197" s="898"/>
      <c r="AI1197" s="502"/>
      <c r="AJ1197" s="502"/>
      <c r="AL1197" s="434"/>
      <c r="AM1197" s="436"/>
      <c r="AN1197" s="434"/>
      <c r="AO1197" s="434"/>
      <c r="AP1197" s="556"/>
      <c r="AQ1197" s="556"/>
      <c r="AR1197" s="556"/>
      <c r="CF1197" s="2"/>
    </row>
    <row r="1198" spans="3:84">
      <c r="C1198" s="2"/>
      <c r="AD1198" s="502"/>
      <c r="AE1198" s="911"/>
      <c r="AF1198" s="502"/>
      <c r="AH1198" s="898"/>
      <c r="AI1198" s="502"/>
      <c r="AJ1198" s="502"/>
      <c r="AL1198" s="434"/>
      <c r="AM1198" s="436"/>
      <c r="AN1198" s="434"/>
      <c r="AO1198" s="434"/>
      <c r="AP1198" s="556"/>
      <c r="AQ1198" s="556"/>
      <c r="AR1198" s="556"/>
      <c r="CF1198" s="2"/>
    </row>
    <row r="1199" spans="3:84">
      <c r="C1199" s="2"/>
      <c r="AD1199" s="502"/>
      <c r="AE1199" s="911"/>
      <c r="AF1199" s="502"/>
      <c r="AH1199" s="898"/>
      <c r="AI1199" s="502"/>
      <c r="AJ1199" s="502"/>
      <c r="AL1199" s="434"/>
      <c r="AM1199" s="436"/>
      <c r="AN1199" s="434"/>
      <c r="AO1199" s="434"/>
      <c r="AP1199" s="556"/>
      <c r="AQ1199" s="556"/>
      <c r="AR1199" s="556"/>
      <c r="CF1199" s="2"/>
    </row>
    <row r="1200" spans="3:84">
      <c r="C1200" s="2"/>
      <c r="AD1200" s="502"/>
      <c r="AE1200" s="911"/>
      <c r="AF1200" s="502"/>
      <c r="AH1200" s="898"/>
      <c r="AI1200" s="502"/>
      <c r="AJ1200" s="502"/>
      <c r="AL1200" s="434"/>
      <c r="AM1200" s="436"/>
      <c r="AN1200" s="434"/>
      <c r="AO1200" s="434"/>
      <c r="AP1200" s="556"/>
      <c r="AQ1200" s="556"/>
      <c r="AR1200" s="556"/>
      <c r="CF1200" s="2"/>
    </row>
    <row r="1201" spans="3:84">
      <c r="C1201" s="2"/>
      <c r="AD1201" s="502"/>
      <c r="AE1201" s="911"/>
      <c r="AF1201" s="502"/>
      <c r="AH1201" s="898"/>
      <c r="AI1201" s="502"/>
      <c r="AJ1201" s="502"/>
      <c r="AL1201" s="434"/>
      <c r="AM1201" s="436"/>
      <c r="AN1201" s="434"/>
      <c r="AO1201" s="434"/>
      <c r="AP1201" s="556"/>
      <c r="AQ1201" s="556"/>
      <c r="AR1201" s="556"/>
      <c r="CF1201" s="2"/>
    </row>
    <row r="1202" spans="3:84">
      <c r="C1202" s="2"/>
      <c r="AD1202" s="502"/>
      <c r="AE1202" s="911"/>
      <c r="AF1202" s="502"/>
      <c r="AH1202" s="898"/>
      <c r="AI1202" s="502"/>
      <c r="AJ1202" s="502"/>
      <c r="AL1202" s="434"/>
      <c r="AM1202" s="436"/>
      <c r="AN1202" s="434"/>
      <c r="AO1202" s="434"/>
      <c r="AP1202" s="556"/>
      <c r="AQ1202" s="556"/>
      <c r="AR1202" s="556"/>
      <c r="CF1202" s="2"/>
    </row>
    <row r="1203" spans="3:84">
      <c r="C1203" s="2"/>
      <c r="AD1203" s="502"/>
      <c r="AE1203" s="911"/>
      <c r="AF1203" s="502"/>
      <c r="AH1203" s="898"/>
      <c r="AI1203" s="502"/>
      <c r="AJ1203" s="502"/>
      <c r="AL1203" s="434"/>
      <c r="AM1203" s="436"/>
      <c r="AN1203" s="434"/>
      <c r="AO1203" s="434"/>
      <c r="AP1203" s="556"/>
      <c r="AQ1203" s="556"/>
      <c r="AR1203" s="556"/>
      <c r="CF1203" s="2"/>
    </row>
    <row r="1204" spans="3:84">
      <c r="C1204" s="2"/>
      <c r="AD1204" s="502"/>
      <c r="AE1204" s="911"/>
      <c r="AF1204" s="502"/>
      <c r="AH1204" s="898"/>
      <c r="AI1204" s="502"/>
      <c r="AJ1204" s="502"/>
      <c r="AL1204" s="434"/>
      <c r="AM1204" s="436"/>
      <c r="AN1204" s="434"/>
      <c r="AO1204" s="434"/>
      <c r="AP1204" s="556"/>
      <c r="AQ1204" s="556"/>
      <c r="AR1204" s="556"/>
      <c r="CF1204" s="2"/>
    </row>
    <row r="1205" spans="3:84">
      <c r="C1205" s="2"/>
      <c r="AD1205" s="502"/>
      <c r="AE1205" s="911"/>
      <c r="AF1205" s="502"/>
      <c r="AH1205" s="898"/>
      <c r="AI1205" s="502"/>
      <c r="AJ1205" s="502"/>
      <c r="AL1205" s="434"/>
      <c r="AM1205" s="436"/>
      <c r="AN1205" s="434"/>
      <c r="AO1205" s="434"/>
      <c r="AP1205" s="556"/>
      <c r="AQ1205" s="556"/>
      <c r="AR1205" s="556"/>
      <c r="CF1205" s="2"/>
    </row>
    <row r="1206" spans="3:84">
      <c r="C1206" s="2"/>
      <c r="AD1206" s="502"/>
      <c r="AE1206" s="911"/>
      <c r="AF1206" s="502"/>
      <c r="AH1206" s="898"/>
      <c r="AI1206" s="502"/>
      <c r="AJ1206" s="502"/>
      <c r="AL1206" s="434"/>
      <c r="AM1206" s="436"/>
      <c r="AN1206" s="434"/>
      <c r="AO1206" s="434"/>
      <c r="AP1206" s="556"/>
      <c r="AQ1206" s="556"/>
      <c r="AR1206" s="556"/>
      <c r="CF1206" s="2"/>
    </row>
    <row r="1207" spans="3:84">
      <c r="C1207" s="2"/>
      <c r="AD1207" s="502"/>
      <c r="AE1207" s="911"/>
      <c r="AF1207" s="502"/>
      <c r="AH1207" s="898"/>
      <c r="AI1207" s="502"/>
      <c r="AJ1207" s="502"/>
      <c r="AL1207" s="434"/>
      <c r="AM1207" s="436"/>
      <c r="AN1207" s="434"/>
      <c r="AO1207" s="434"/>
      <c r="AP1207" s="556"/>
      <c r="AQ1207" s="556"/>
      <c r="AR1207" s="556"/>
      <c r="CF1207" s="2"/>
    </row>
    <row r="1208" spans="3:84">
      <c r="C1208" s="2"/>
      <c r="AD1208" s="502"/>
      <c r="AE1208" s="911"/>
      <c r="AF1208" s="502"/>
      <c r="AH1208" s="898"/>
      <c r="AI1208" s="502"/>
      <c r="AJ1208" s="502"/>
      <c r="AL1208" s="434"/>
      <c r="AM1208" s="436"/>
      <c r="AN1208" s="434"/>
      <c r="AO1208" s="434"/>
      <c r="AP1208" s="556"/>
      <c r="AQ1208" s="556"/>
      <c r="AR1208" s="556"/>
      <c r="CF1208" s="2"/>
    </row>
    <row r="1209" spans="3:84">
      <c r="C1209" s="2"/>
      <c r="AD1209" s="502"/>
      <c r="AE1209" s="911"/>
      <c r="AF1209" s="502"/>
      <c r="AH1209" s="898"/>
      <c r="AI1209" s="502"/>
      <c r="AJ1209" s="502"/>
      <c r="AL1209" s="434"/>
      <c r="AM1209" s="436"/>
      <c r="AN1209" s="434"/>
      <c r="AO1209" s="434"/>
      <c r="AP1209" s="556"/>
      <c r="AQ1209" s="556"/>
      <c r="AR1209" s="556"/>
      <c r="CF1209" s="2"/>
    </row>
    <row r="1210" spans="3:84">
      <c r="C1210" s="2"/>
      <c r="AD1210" s="502"/>
      <c r="AE1210" s="911"/>
      <c r="AF1210" s="502"/>
      <c r="AH1210" s="898"/>
      <c r="AI1210" s="502"/>
      <c r="AJ1210" s="502"/>
      <c r="AL1210" s="434"/>
      <c r="AM1210" s="436"/>
      <c r="AN1210" s="434"/>
      <c r="AO1210" s="434"/>
      <c r="AP1210" s="556"/>
      <c r="AQ1210" s="556"/>
      <c r="AR1210" s="556"/>
      <c r="CF1210" s="2"/>
    </row>
    <row r="1211" spans="3:84">
      <c r="C1211" s="2"/>
      <c r="AD1211" s="502"/>
      <c r="AE1211" s="911"/>
      <c r="AF1211" s="502"/>
      <c r="AH1211" s="898"/>
      <c r="AI1211" s="502"/>
      <c r="AJ1211" s="502"/>
      <c r="AL1211" s="434"/>
      <c r="AM1211" s="436"/>
      <c r="AN1211" s="434"/>
      <c r="AO1211" s="434"/>
      <c r="AP1211" s="556"/>
      <c r="AQ1211" s="556"/>
      <c r="AR1211" s="556"/>
      <c r="CF1211" s="2"/>
    </row>
    <row r="1212" spans="3:84">
      <c r="C1212" s="2"/>
      <c r="AD1212" s="502"/>
      <c r="AE1212" s="911"/>
      <c r="AF1212" s="502"/>
      <c r="AH1212" s="898"/>
      <c r="AI1212" s="502"/>
      <c r="AJ1212" s="502"/>
      <c r="AL1212" s="434"/>
      <c r="AM1212" s="436"/>
      <c r="AN1212" s="434"/>
      <c r="AO1212" s="434"/>
      <c r="AP1212" s="556"/>
      <c r="AQ1212" s="556"/>
      <c r="AR1212" s="556"/>
      <c r="CF1212" s="2"/>
    </row>
    <row r="1213" spans="3:84">
      <c r="C1213" s="2"/>
      <c r="AD1213" s="502"/>
      <c r="AE1213" s="911"/>
      <c r="AF1213" s="502"/>
      <c r="AH1213" s="898"/>
      <c r="AI1213" s="502"/>
      <c r="AJ1213" s="502"/>
      <c r="AL1213" s="434"/>
      <c r="AM1213" s="436"/>
      <c r="AN1213" s="434"/>
      <c r="AO1213" s="434"/>
      <c r="AP1213" s="556"/>
      <c r="AQ1213" s="556"/>
      <c r="AR1213" s="556"/>
      <c r="CF1213" s="2"/>
    </row>
    <row r="1214" spans="3:84">
      <c r="C1214" s="2"/>
      <c r="AD1214" s="502"/>
      <c r="AE1214" s="911"/>
      <c r="AF1214" s="502"/>
      <c r="AH1214" s="898"/>
      <c r="AI1214" s="502"/>
      <c r="AJ1214" s="502"/>
      <c r="AL1214" s="434"/>
      <c r="AM1214" s="436"/>
      <c r="AN1214" s="434"/>
      <c r="AO1214" s="434"/>
      <c r="AP1214" s="556"/>
      <c r="AQ1214" s="556"/>
      <c r="AR1214" s="556"/>
      <c r="CF1214" s="2"/>
    </row>
    <row r="1215" spans="3:84">
      <c r="C1215" s="2"/>
      <c r="AD1215" s="502"/>
      <c r="AE1215" s="911"/>
      <c r="AF1215" s="502"/>
      <c r="AH1215" s="898"/>
      <c r="AI1215" s="502"/>
      <c r="AJ1215" s="502"/>
      <c r="AL1215" s="434"/>
      <c r="AM1215" s="436"/>
      <c r="AN1215" s="434"/>
      <c r="AO1215" s="434"/>
      <c r="AP1215" s="556"/>
      <c r="AQ1215" s="556"/>
      <c r="AR1215" s="556"/>
      <c r="CF1215" s="2"/>
    </row>
    <row r="1216" spans="3:84">
      <c r="C1216" s="2"/>
      <c r="AD1216" s="502"/>
      <c r="AE1216" s="911"/>
      <c r="AF1216" s="502"/>
      <c r="AH1216" s="898"/>
      <c r="AI1216" s="502"/>
      <c r="AJ1216" s="502"/>
      <c r="AL1216" s="434"/>
      <c r="AM1216" s="436"/>
      <c r="AN1216" s="434"/>
      <c r="AO1216" s="434"/>
      <c r="AP1216" s="556"/>
      <c r="AQ1216" s="556"/>
      <c r="AR1216" s="556"/>
      <c r="CF1216" s="2"/>
    </row>
    <row r="1217" spans="3:84">
      <c r="C1217" s="2"/>
      <c r="AD1217" s="502"/>
      <c r="AE1217" s="911"/>
      <c r="AF1217" s="502"/>
      <c r="AH1217" s="898"/>
      <c r="AI1217" s="502"/>
      <c r="AJ1217" s="502"/>
      <c r="AL1217" s="434"/>
      <c r="AM1217" s="436"/>
      <c r="AN1217" s="434"/>
      <c r="AO1217" s="434"/>
      <c r="AP1217" s="556"/>
      <c r="AQ1217" s="556"/>
      <c r="AR1217" s="556"/>
      <c r="CF1217" s="2"/>
    </row>
    <row r="1218" spans="3:84">
      <c r="C1218" s="2"/>
      <c r="AD1218" s="502"/>
      <c r="AE1218" s="911"/>
      <c r="AF1218" s="502"/>
      <c r="AH1218" s="898"/>
      <c r="AI1218" s="502"/>
      <c r="AJ1218" s="502"/>
      <c r="AL1218" s="434"/>
      <c r="AM1218" s="436"/>
      <c r="AN1218" s="434"/>
      <c r="AO1218" s="434"/>
      <c r="AP1218" s="556"/>
      <c r="AQ1218" s="556"/>
      <c r="AR1218" s="556"/>
      <c r="CF1218" s="2"/>
    </row>
    <row r="1219" spans="3:84">
      <c r="C1219" s="2"/>
      <c r="AD1219" s="502"/>
      <c r="AE1219" s="911"/>
      <c r="AF1219" s="502"/>
      <c r="AH1219" s="898"/>
      <c r="AI1219" s="502"/>
      <c r="AJ1219" s="502"/>
      <c r="AL1219" s="434"/>
      <c r="AM1219" s="436"/>
      <c r="AN1219" s="434"/>
      <c r="AO1219" s="434"/>
      <c r="AP1219" s="556"/>
      <c r="AQ1219" s="556"/>
      <c r="AR1219" s="556"/>
      <c r="CF1219" s="2"/>
    </row>
    <row r="1220" spans="3:84">
      <c r="C1220" s="2"/>
      <c r="AD1220" s="502"/>
      <c r="AE1220" s="911"/>
      <c r="AF1220" s="502"/>
      <c r="AH1220" s="898"/>
      <c r="AI1220" s="502"/>
      <c r="AJ1220" s="502"/>
      <c r="AL1220" s="434"/>
      <c r="AM1220" s="436"/>
      <c r="AN1220" s="434"/>
      <c r="AO1220" s="434"/>
      <c r="AP1220" s="556"/>
      <c r="AQ1220" s="556"/>
      <c r="AR1220" s="556"/>
      <c r="CF1220" s="2"/>
    </row>
    <row r="1221" spans="3:84">
      <c r="C1221" s="2"/>
      <c r="AD1221" s="502"/>
      <c r="AE1221" s="911"/>
      <c r="AF1221" s="502"/>
      <c r="AH1221" s="898"/>
      <c r="AI1221" s="502"/>
      <c r="AJ1221" s="502"/>
      <c r="AL1221" s="434"/>
      <c r="AM1221" s="436"/>
      <c r="AN1221" s="434"/>
      <c r="AO1221" s="434"/>
      <c r="AP1221" s="556"/>
      <c r="AQ1221" s="556"/>
      <c r="AR1221" s="556"/>
      <c r="CF1221" s="2"/>
    </row>
    <row r="1222" spans="3:84">
      <c r="C1222" s="2"/>
      <c r="AD1222" s="502"/>
      <c r="AE1222" s="911"/>
      <c r="AF1222" s="502"/>
      <c r="AH1222" s="898"/>
      <c r="AI1222" s="502"/>
      <c r="AJ1222" s="502"/>
      <c r="AL1222" s="434"/>
      <c r="AM1222" s="436"/>
      <c r="AN1222" s="434"/>
      <c r="AO1222" s="434"/>
      <c r="AP1222" s="556"/>
      <c r="AQ1222" s="556"/>
      <c r="AR1222" s="556"/>
      <c r="CF1222" s="2"/>
    </row>
    <row r="1223" spans="3:84">
      <c r="C1223" s="2"/>
      <c r="AD1223" s="502"/>
      <c r="AE1223" s="911"/>
      <c r="AF1223" s="502"/>
      <c r="AH1223" s="898"/>
      <c r="AI1223" s="502"/>
      <c r="AJ1223" s="502"/>
      <c r="AL1223" s="434"/>
      <c r="AM1223" s="436"/>
      <c r="AN1223" s="434"/>
      <c r="AO1223" s="434"/>
      <c r="AP1223" s="556"/>
      <c r="AQ1223" s="556"/>
      <c r="AR1223" s="556"/>
      <c r="CF1223" s="2"/>
    </row>
    <row r="1224" spans="3:84">
      <c r="C1224" s="2"/>
      <c r="AD1224" s="502"/>
      <c r="AE1224" s="911"/>
      <c r="AF1224" s="502"/>
      <c r="AH1224" s="898"/>
      <c r="AI1224" s="502"/>
      <c r="AJ1224" s="502"/>
      <c r="AL1224" s="434"/>
      <c r="AM1224" s="436"/>
      <c r="AN1224" s="434"/>
      <c r="AO1224" s="434"/>
      <c r="AP1224" s="556"/>
      <c r="AQ1224" s="556"/>
      <c r="AR1224" s="556"/>
      <c r="CF1224" s="2"/>
    </row>
    <row r="1225" spans="3:84">
      <c r="C1225" s="2"/>
      <c r="AD1225" s="502"/>
      <c r="AE1225" s="911"/>
      <c r="AF1225" s="502"/>
      <c r="AH1225" s="898"/>
      <c r="AI1225" s="502"/>
      <c r="AJ1225" s="502"/>
      <c r="AL1225" s="434"/>
      <c r="AM1225" s="436"/>
      <c r="AN1225" s="434"/>
      <c r="AO1225" s="434"/>
      <c r="AP1225" s="556"/>
      <c r="AQ1225" s="556"/>
      <c r="AR1225" s="556"/>
      <c r="CF1225" s="2"/>
    </row>
    <row r="1226" spans="3:84">
      <c r="C1226" s="2"/>
      <c r="AD1226" s="502"/>
      <c r="AE1226" s="911"/>
      <c r="AF1226" s="502"/>
      <c r="AH1226" s="898"/>
      <c r="AI1226" s="502"/>
      <c r="AJ1226" s="502"/>
      <c r="AL1226" s="434"/>
      <c r="AM1226" s="436"/>
      <c r="AN1226" s="434"/>
      <c r="AO1226" s="434"/>
      <c r="AP1226" s="556"/>
      <c r="AQ1226" s="556"/>
      <c r="AR1226" s="556"/>
      <c r="CF1226" s="2"/>
    </row>
    <row r="1227" spans="3:84">
      <c r="C1227" s="2"/>
      <c r="AD1227" s="502"/>
      <c r="AE1227" s="911"/>
      <c r="AF1227" s="502"/>
      <c r="AH1227" s="898"/>
      <c r="AI1227" s="502"/>
      <c r="AJ1227" s="502"/>
      <c r="AL1227" s="434"/>
      <c r="AM1227" s="436"/>
      <c r="AN1227" s="434"/>
      <c r="AO1227" s="434"/>
      <c r="AP1227" s="556"/>
      <c r="AQ1227" s="556"/>
      <c r="AR1227" s="556"/>
      <c r="CF1227" s="2"/>
    </row>
    <row r="1228" spans="3:84">
      <c r="C1228" s="2"/>
      <c r="AD1228" s="502"/>
      <c r="AE1228" s="911"/>
      <c r="AF1228" s="502"/>
      <c r="AH1228" s="898"/>
      <c r="AI1228" s="502"/>
      <c r="AJ1228" s="502"/>
      <c r="AL1228" s="434"/>
      <c r="AM1228" s="436"/>
      <c r="AN1228" s="434"/>
      <c r="AO1228" s="434"/>
      <c r="AP1228" s="556"/>
      <c r="AQ1228" s="556"/>
      <c r="AR1228" s="556"/>
      <c r="CF1228" s="2"/>
    </row>
    <row r="1229" spans="3:84">
      <c r="C1229" s="2"/>
      <c r="AD1229" s="502"/>
      <c r="AE1229" s="911"/>
      <c r="AF1229" s="502"/>
      <c r="AH1229" s="898"/>
      <c r="AI1229" s="502"/>
      <c r="AJ1229" s="502"/>
      <c r="AL1229" s="434"/>
      <c r="AM1229" s="436"/>
      <c r="AN1229" s="434"/>
      <c r="AO1229" s="434"/>
      <c r="AP1229" s="556"/>
      <c r="AQ1229" s="556"/>
      <c r="AR1229" s="556"/>
      <c r="CF1229" s="2"/>
    </row>
    <row r="1230" spans="3:84">
      <c r="C1230" s="2"/>
      <c r="AD1230" s="502"/>
      <c r="AE1230" s="911"/>
      <c r="AF1230" s="502"/>
      <c r="AH1230" s="898"/>
      <c r="AI1230" s="502"/>
      <c r="AJ1230" s="502"/>
      <c r="AL1230" s="434"/>
      <c r="AM1230" s="436"/>
      <c r="AN1230" s="434"/>
      <c r="AO1230" s="434"/>
      <c r="AP1230" s="556"/>
      <c r="AQ1230" s="556"/>
      <c r="AR1230" s="556"/>
      <c r="CF1230" s="2"/>
    </row>
    <row r="1231" spans="3:84">
      <c r="C1231" s="2"/>
      <c r="AD1231" s="502"/>
      <c r="AE1231" s="911"/>
      <c r="AF1231" s="502"/>
      <c r="AH1231" s="898"/>
      <c r="AI1231" s="502"/>
      <c r="AJ1231" s="502"/>
      <c r="AL1231" s="434"/>
      <c r="AM1231" s="436"/>
      <c r="AN1231" s="434"/>
      <c r="AO1231" s="434"/>
      <c r="AP1231" s="556"/>
      <c r="AQ1231" s="556"/>
      <c r="AR1231" s="556"/>
      <c r="CF1231" s="2"/>
    </row>
    <row r="1232" spans="3:84">
      <c r="C1232" s="2"/>
      <c r="AD1232" s="502"/>
      <c r="AE1232" s="911"/>
      <c r="AF1232" s="502"/>
      <c r="AH1232" s="898"/>
      <c r="AI1232" s="502"/>
      <c r="AJ1232" s="502"/>
      <c r="AL1232" s="434"/>
      <c r="AM1232" s="436"/>
      <c r="AN1232" s="434"/>
      <c r="AO1232" s="434"/>
      <c r="AP1232" s="556"/>
      <c r="AQ1232" s="556"/>
      <c r="AR1232" s="556"/>
      <c r="CF1232" s="2"/>
    </row>
    <row r="1233" spans="3:84">
      <c r="C1233" s="2"/>
      <c r="AD1233" s="502"/>
      <c r="AE1233" s="911"/>
      <c r="AF1233" s="502"/>
      <c r="AH1233" s="898"/>
      <c r="AI1233" s="502"/>
      <c r="AJ1233" s="502"/>
      <c r="AL1233" s="434"/>
      <c r="AM1233" s="436"/>
      <c r="AN1233" s="434"/>
      <c r="AO1233" s="434"/>
      <c r="AP1233" s="556"/>
      <c r="AQ1233" s="556"/>
      <c r="AR1233" s="556"/>
      <c r="CF1233" s="2"/>
    </row>
    <row r="1234" spans="3:84">
      <c r="C1234" s="2"/>
      <c r="AD1234" s="502"/>
      <c r="AE1234" s="911"/>
      <c r="AF1234" s="502"/>
      <c r="AH1234" s="898"/>
      <c r="AI1234" s="502"/>
      <c r="AJ1234" s="502"/>
      <c r="AL1234" s="434"/>
      <c r="AM1234" s="436"/>
      <c r="AN1234" s="434"/>
      <c r="AO1234" s="434"/>
      <c r="AP1234" s="556"/>
      <c r="AQ1234" s="556"/>
      <c r="AR1234" s="556"/>
      <c r="CF1234" s="2"/>
    </row>
    <row r="1235" spans="3:84">
      <c r="C1235" s="2"/>
      <c r="AD1235" s="502"/>
      <c r="AE1235" s="911"/>
      <c r="AF1235" s="502"/>
      <c r="AH1235" s="898"/>
      <c r="AI1235" s="502"/>
      <c r="AJ1235" s="502"/>
      <c r="AL1235" s="434"/>
      <c r="AM1235" s="436"/>
      <c r="AN1235" s="434"/>
      <c r="AO1235" s="434"/>
      <c r="AP1235" s="556"/>
      <c r="AQ1235" s="556"/>
      <c r="AR1235" s="556"/>
      <c r="CF1235" s="2"/>
    </row>
    <row r="1236" spans="3:84">
      <c r="C1236" s="2"/>
      <c r="AD1236" s="502"/>
      <c r="AE1236" s="911"/>
      <c r="AF1236" s="502"/>
      <c r="AH1236" s="898"/>
      <c r="AI1236" s="502"/>
      <c r="AJ1236" s="502"/>
      <c r="AL1236" s="434"/>
      <c r="AM1236" s="436"/>
      <c r="AN1236" s="434"/>
      <c r="AO1236" s="434"/>
      <c r="AP1236" s="556"/>
      <c r="AQ1236" s="556"/>
      <c r="AR1236" s="556"/>
      <c r="CF1236" s="2"/>
    </row>
    <row r="1237" spans="3:84">
      <c r="C1237" s="2"/>
      <c r="AD1237" s="502"/>
      <c r="AE1237" s="911"/>
      <c r="AF1237" s="502"/>
      <c r="AH1237" s="898"/>
      <c r="AI1237" s="502"/>
      <c r="AJ1237" s="502"/>
      <c r="AL1237" s="434"/>
      <c r="AM1237" s="436"/>
      <c r="AN1237" s="434"/>
      <c r="AO1237" s="434"/>
      <c r="AP1237" s="556"/>
      <c r="AQ1237" s="556"/>
      <c r="AR1237" s="556"/>
      <c r="CF1237" s="2"/>
    </row>
    <row r="1238" spans="3:84">
      <c r="C1238" s="2"/>
      <c r="AD1238" s="502"/>
      <c r="AE1238" s="911"/>
      <c r="AF1238" s="502"/>
      <c r="AH1238" s="898"/>
      <c r="AI1238" s="502"/>
      <c r="AJ1238" s="502"/>
      <c r="AL1238" s="434"/>
      <c r="AM1238" s="436"/>
      <c r="AN1238" s="434"/>
      <c r="AO1238" s="434"/>
      <c r="AP1238" s="556"/>
      <c r="AQ1238" s="556"/>
      <c r="AR1238" s="556"/>
      <c r="CF1238" s="2"/>
    </row>
    <row r="1239" spans="3:84">
      <c r="C1239" s="2"/>
      <c r="AD1239" s="502"/>
      <c r="AE1239" s="911"/>
      <c r="AF1239" s="502"/>
      <c r="AH1239" s="898"/>
      <c r="AI1239" s="502"/>
      <c r="AJ1239" s="502"/>
      <c r="AL1239" s="434"/>
      <c r="AM1239" s="436"/>
      <c r="AN1239" s="434"/>
      <c r="AO1239" s="434"/>
      <c r="AP1239" s="556"/>
      <c r="AQ1239" s="556"/>
      <c r="AR1239" s="556"/>
      <c r="CF1239" s="2"/>
    </row>
    <row r="1240" spans="3:84">
      <c r="C1240" s="2"/>
      <c r="AD1240" s="502"/>
      <c r="AE1240" s="911"/>
      <c r="AF1240" s="502"/>
      <c r="AH1240" s="898"/>
      <c r="AI1240" s="502"/>
      <c r="AJ1240" s="502"/>
      <c r="AL1240" s="434"/>
      <c r="AM1240" s="436"/>
      <c r="AN1240" s="434"/>
      <c r="AO1240" s="434"/>
      <c r="AP1240" s="556"/>
      <c r="AQ1240" s="556"/>
      <c r="AR1240" s="556"/>
      <c r="CF1240" s="2"/>
    </row>
    <row r="1241" spans="3:84">
      <c r="C1241" s="2"/>
      <c r="AD1241" s="502"/>
      <c r="AE1241" s="911"/>
      <c r="AF1241" s="502"/>
      <c r="AH1241" s="898"/>
      <c r="AI1241" s="502"/>
      <c r="AJ1241" s="502"/>
      <c r="AL1241" s="434"/>
      <c r="AM1241" s="436"/>
      <c r="AN1241" s="434"/>
      <c r="AO1241" s="434"/>
      <c r="AP1241" s="556"/>
      <c r="AQ1241" s="556"/>
      <c r="AR1241" s="556"/>
      <c r="CF1241" s="2"/>
    </row>
    <row r="1242" spans="3:84">
      <c r="C1242" s="2"/>
      <c r="AD1242" s="502"/>
      <c r="AE1242" s="911"/>
      <c r="AF1242" s="502"/>
      <c r="AH1242" s="898"/>
      <c r="AI1242" s="502"/>
      <c r="AJ1242" s="502"/>
      <c r="AL1242" s="434"/>
      <c r="AM1242" s="436"/>
      <c r="AN1242" s="434"/>
      <c r="AO1242" s="434"/>
      <c r="AP1242" s="556"/>
      <c r="AQ1242" s="556"/>
      <c r="AR1242" s="556"/>
      <c r="CF1242" s="2"/>
    </row>
    <row r="1243" spans="3:84">
      <c r="C1243" s="2"/>
      <c r="AD1243" s="502"/>
      <c r="AE1243" s="911"/>
      <c r="AF1243" s="502"/>
      <c r="AH1243" s="898"/>
      <c r="AI1243" s="502"/>
      <c r="AJ1243" s="502"/>
      <c r="AL1243" s="434"/>
      <c r="AM1243" s="436"/>
      <c r="AN1243" s="434"/>
      <c r="AO1243" s="434"/>
      <c r="AP1243" s="556"/>
      <c r="AQ1243" s="556"/>
      <c r="AR1243" s="556"/>
      <c r="CF1243" s="2"/>
    </row>
    <row r="1244" spans="3:84">
      <c r="C1244" s="2"/>
      <c r="AD1244" s="502"/>
      <c r="AE1244" s="911"/>
      <c r="AF1244" s="502"/>
      <c r="AH1244" s="898"/>
      <c r="AI1244" s="502"/>
      <c r="AJ1244" s="502"/>
      <c r="AL1244" s="434"/>
      <c r="AM1244" s="436"/>
      <c r="AN1244" s="434"/>
      <c r="AO1244" s="434"/>
      <c r="AP1244" s="556"/>
      <c r="AQ1244" s="556"/>
      <c r="AR1244" s="556"/>
      <c r="CF1244" s="2"/>
    </row>
    <row r="1245" spans="3:84">
      <c r="C1245" s="2"/>
      <c r="AD1245" s="502"/>
      <c r="AE1245" s="911"/>
      <c r="AF1245" s="502"/>
      <c r="AH1245" s="898"/>
      <c r="AI1245" s="502"/>
      <c r="AJ1245" s="502"/>
      <c r="AL1245" s="434"/>
      <c r="AM1245" s="436"/>
      <c r="AN1245" s="434"/>
      <c r="AO1245" s="434"/>
      <c r="AP1245" s="556"/>
      <c r="AQ1245" s="556"/>
      <c r="AR1245" s="556"/>
      <c r="CF1245" s="2"/>
    </row>
    <row r="1246" spans="3:84">
      <c r="C1246" s="2"/>
      <c r="AD1246" s="502"/>
      <c r="AE1246" s="911"/>
      <c r="AF1246" s="502"/>
      <c r="AH1246" s="898"/>
      <c r="AI1246" s="502"/>
      <c r="AJ1246" s="502"/>
      <c r="AL1246" s="434"/>
      <c r="AM1246" s="436"/>
      <c r="AN1246" s="434"/>
      <c r="AO1246" s="434"/>
      <c r="AP1246" s="556"/>
      <c r="AQ1246" s="556"/>
      <c r="AR1246" s="556"/>
      <c r="CF1246" s="2"/>
    </row>
    <row r="1247" spans="3:84">
      <c r="C1247" s="2"/>
      <c r="AD1247" s="502"/>
      <c r="AE1247" s="911"/>
      <c r="AF1247" s="502"/>
      <c r="AH1247" s="898"/>
      <c r="AI1247" s="502"/>
      <c r="AJ1247" s="502"/>
      <c r="AL1247" s="434"/>
      <c r="AM1247" s="436"/>
      <c r="AN1247" s="434"/>
      <c r="AO1247" s="434"/>
      <c r="AP1247" s="556"/>
      <c r="AQ1247" s="556"/>
      <c r="AR1247" s="556"/>
      <c r="CF1247" s="2"/>
    </row>
    <row r="1248" spans="3:84">
      <c r="C1248" s="2"/>
      <c r="AD1248" s="502"/>
      <c r="AE1248" s="911"/>
      <c r="AF1248" s="502"/>
      <c r="AH1248" s="898"/>
      <c r="AI1248" s="502"/>
      <c r="AJ1248" s="502"/>
      <c r="AL1248" s="434"/>
      <c r="AM1248" s="436"/>
      <c r="AN1248" s="434"/>
      <c r="AO1248" s="434"/>
      <c r="AP1248" s="556"/>
      <c r="AQ1248" s="556"/>
      <c r="AR1248" s="556"/>
      <c r="CF1248" s="2"/>
    </row>
    <row r="1249" spans="3:84">
      <c r="C1249" s="2"/>
      <c r="AD1249" s="502"/>
      <c r="AE1249" s="911"/>
      <c r="AF1249" s="502"/>
      <c r="AH1249" s="898"/>
      <c r="AI1249" s="502"/>
      <c r="AJ1249" s="502"/>
      <c r="AL1249" s="434"/>
      <c r="AM1249" s="436"/>
      <c r="AN1249" s="434"/>
      <c r="AO1249" s="434"/>
      <c r="AP1249" s="556"/>
      <c r="AQ1249" s="556"/>
      <c r="AR1249" s="556"/>
      <c r="CF1249" s="2"/>
    </row>
    <row r="1250" spans="3:84">
      <c r="C1250" s="2"/>
      <c r="AD1250" s="502"/>
      <c r="AE1250" s="911"/>
      <c r="AF1250" s="502"/>
      <c r="AH1250" s="898"/>
      <c r="AI1250" s="502"/>
      <c r="AJ1250" s="502"/>
      <c r="AL1250" s="434"/>
      <c r="AM1250" s="436"/>
      <c r="AN1250" s="434"/>
      <c r="AO1250" s="434"/>
      <c r="AP1250" s="556"/>
      <c r="AQ1250" s="556"/>
      <c r="AR1250" s="556"/>
      <c r="CF1250" s="2"/>
    </row>
    <row r="1251" spans="3:84">
      <c r="C1251" s="2"/>
      <c r="AD1251" s="502"/>
      <c r="AE1251" s="911"/>
      <c r="AF1251" s="502"/>
      <c r="AH1251" s="898"/>
      <c r="AI1251" s="502"/>
      <c r="AJ1251" s="502"/>
      <c r="AL1251" s="434"/>
      <c r="AM1251" s="436"/>
      <c r="AN1251" s="434"/>
      <c r="AO1251" s="434"/>
      <c r="AP1251" s="556"/>
      <c r="AQ1251" s="556"/>
      <c r="AR1251" s="556"/>
      <c r="CF1251" s="2"/>
    </row>
    <row r="1252" spans="3:84">
      <c r="C1252" s="2"/>
      <c r="AD1252" s="502"/>
      <c r="AE1252" s="911"/>
      <c r="AF1252" s="502"/>
      <c r="AH1252" s="898"/>
      <c r="AI1252" s="502"/>
      <c r="AJ1252" s="502"/>
      <c r="AL1252" s="434"/>
      <c r="AM1252" s="436"/>
      <c r="AN1252" s="434"/>
      <c r="AO1252" s="434"/>
      <c r="AP1252" s="556"/>
      <c r="AQ1252" s="556"/>
      <c r="AR1252" s="556"/>
      <c r="CF1252" s="2"/>
    </row>
    <row r="1253" spans="3:84">
      <c r="C1253" s="2"/>
      <c r="AD1253" s="502"/>
      <c r="AE1253" s="911"/>
      <c r="AF1253" s="502"/>
      <c r="AH1253" s="898"/>
      <c r="AI1253" s="502"/>
      <c r="AJ1253" s="502"/>
      <c r="AL1253" s="434"/>
      <c r="AM1253" s="436"/>
      <c r="AN1253" s="434"/>
      <c r="AO1253" s="434"/>
      <c r="AP1253" s="556"/>
      <c r="AQ1253" s="556"/>
      <c r="AR1253" s="556"/>
      <c r="CF1253" s="2"/>
    </row>
    <row r="1254" spans="3:84">
      <c r="C1254" s="2"/>
      <c r="AD1254" s="502"/>
      <c r="AE1254" s="911"/>
      <c r="AF1254" s="502"/>
      <c r="AH1254" s="898"/>
      <c r="AI1254" s="502"/>
      <c r="AJ1254" s="502"/>
      <c r="AL1254" s="434"/>
      <c r="AM1254" s="436"/>
      <c r="AN1254" s="434"/>
      <c r="AO1254" s="434"/>
      <c r="AP1254" s="556"/>
      <c r="AQ1254" s="556"/>
      <c r="AR1254" s="556"/>
      <c r="CF1254" s="2"/>
    </row>
    <row r="1255" spans="3:84">
      <c r="C1255" s="2"/>
      <c r="AD1255" s="502"/>
      <c r="AE1255" s="911"/>
      <c r="AF1255" s="502"/>
      <c r="AH1255" s="898"/>
      <c r="AI1255" s="502"/>
      <c r="AJ1255" s="502"/>
      <c r="AL1255" s="434"/>
      <c r="AM1255" s="436"/>
      <c r="AN1255" s="434"/>
      <c r="AO1255" s="434"/>
      <c r="AP1255" s="556"/>
      <c r="AQ1255" s="556"/>
      <c r="AR1255" s="556"/>
      <c r="CF1255" s="2"/>
    </row>
    <row r="1256" spans="3:84">
      <c r="C1256" s="2"/>
      <c r="AD1256" s="502"/>
      <c r="AE1256" s="911"/>
      <c r="AF1256" s="502"/>
      <c r="AH1256" s="898"/>
      <c r="AI1256" s="502"/>
      <c r="AJ1256" s="502"/>
      <c r="AL1256" s="434"/>
      <c r="AM1256" s="436"/>
      <c r="AN1256" s="434"/>
      <c r="AO1256" s="434"/>
      <c r="AP1256" s="556"/>
      <c r="AQ1256" s="556"/>
      <c r="AR1256" s="556"/>
      <c r="CF1256" s="2"/>
    </row>
    <row r="1257" spans="3:84">
      <c r="C1257" s="2"/>
      <c r="AD1257" s="502"/>
      <c r="AE1257" s="911"/>
      <c r="AF1257" s="502"/>
      <c r="AH1257" s="898"/>
      <c r="AI1257" s="502"/>
      <c r="AJ1257" s="502"/>
      <c r="AL1257" s="434"/>
      <c r="AM1257" s="436"/>
      <c r="AN1257" s="434"/>
      <c r="AO1257" s="434"/>
      <c r="AP1257" s="556"/>
      <c r="AQ1257" s="556"/>
      <c r="AR1257" s="556"/>
      <c r="CF1257" s="2"/>
    </row>
    <row r="1258" spans="3:84">
      <c r="C1258" s="2"/>
      <c r="AD1258" s="502"/>
      <c r="AE1258" s="911"/>
      <c r="AF1258" s="502"/>
      <c r="AH1258" s="898"/>
      <c r="AI1258" s="502"/>
      <c r="AJ1258" s="502"/>
      <c r="AL1258" s="434"/>
      <c r="AM1258" s="436"/>
      <c r="AN1258" s="434"/>
      <c r="AO1258" s="434"/>
      <c r="AP1258" s="556"/>
      <c r="AQ1258" s="556"/>
      <c r="AR1258" s="556"/>
      <c r="CF1258" s="2"/>
    </row>
    <row r="1259" spans="3:84">
      <c r="C1259" s="2"/>
      <c r="AD1259" s="502"/>
      <c r="AE1259" s="911"/>
      <c r="AF1259" s="502"/>
      <c r="AH1259" s="898"/>
      <c r="AI1259" s="502"/>
      <c r="AJ1259" s="502"/>
      <c r="AL1259" s="434"/>
      <c r="AM1259" s="436"/>
      <c r="AN1259" s="434"/>
      <c r="AO1259" s="434"/>
      <c r="AP1259" s="556"/>
      <c r="AQ1259" s="556"/>
      <c r="AR1259" s="556"/>
      <c r="CF1259" s="2"/>
    </row>
    <row r="1260" spans="3:84">
      <c r="C1260" s="2"/>
      <c r="AD1260" s="502"/>
      <c r="AE1260" s="911"/>
      <c r="AF1260" s="502"/>
      <c r="AH1260" s="898"/>
      <c r="AI1260" s="502"/>
      <c r="AJ1260" s="502"/>
      <c r="AL1260" s="434"/>
      <c r="AM1260" s="436"/>
      <c r="AN1260" s="434"/>
      <c r="AO1260" s="434"/>
      <c r="AP1260" s="556"/>
      <c r="AQ1260" s="556"/>
      <c r="AR1260" s="556"/>
      <c r="CF1260" s="2"/>
    </row>
    <row r="1261" spans="3:84">
      <c r="C1261" s="2"/>
      <c r="AD1261" s="502"/>
      <c r="AE1261" s="911"/>
      <c r="AF1261" s="502"/>
      <c r="AH1261" s="898"/>
      <c r="AI1261" s="502"/>
      <c r="AJ1261" s="502"/>
      <c r="AL1261" s="434"/>
      <c r="AM1261" s="436"/>
      <c r="AN1261" s="434"/>
      <c r="AO1261" s="434"/>
      <c r="AP1261" s="556"/>
      <c r="AQ1261" s="556"/>
      <c r="AR1261" s="556"/>
      <c r="CF1261" s="2"/>
    </row>
    <row r="1262" spans="3:84">
      <c r="C1262" s="2"/>
      <c r="AD1262" s="502"/>
      <c r="AE1262" s="911"/>
      <c r="AF1262" s="502"/>
      <c r="AH1262" s="898"/>
      <c r="AI1262" s="502"/>
      <c r="AJ1262" s="502"/>
      <c r="AL1262" s="434"/>
      <c r="AM1262" s="436"/>
      <c r="AN1262" s="434"/>
      <c r="AO1262" s="434"/>
      <c r="AP1262" s="556"/>
      <c r="AQ1262" s="556"/>
      <c r="AR1262" s="556"/>
      <c r="CF1262" s="2"/>
    </row>
    <row r="1263" spans="3:84">
      <c r="C1263" s="2"/>
      <c r="AD1263" s="502"/>
      <c r="AE1263" s="911"/>
      <c r="AF1263" s="502"/>
      <c r="AH1263" s="898"/>
      <c r="AI1263" s="502"/>
      <c r="AJ1263" s="502"/>
      <c r="AL1263" s="434"/>
      <c r="AM1263" s="436"/>
      <c r="AN1263" s="434"/>
      <c r="AO1263" s="434"/>
      <c r="AP1263" s="556"/>
      <c r="AQ1263" s="556"/>
      <c r="AR1263" s="556"/>
      <c r="CF1263" s="2"/>
    </row>
    <row r="1264" spans="3:84">
      <c r="C1264" s="2"/>
      <c r="AD1264" s="502"/>
      <c r="AE1264" s="911"/>
      <c r="AF1264" s="502"/>
      <c r="AH1264" s="898"/>
      <c r="AI1264" s="502"/>
      <c r="AJ1264" s="502"/>
      <c r="AL1264" s="434"/>
      <c r="AM1264" s="436"/>
      <c r="AN1264" s="434"/>
      <c r="AO1264" s="434"/>
      <c r="AP1264" s="556"/>
      <c r="AQ1264" s="556"/>
      <c r="AR1264" s="556"/>
      <c r="CF1264" s="2"/>
    </row>
    <row r="1265" spans="3:84">
      <c r="C1265" s="2"/>
      <c r="AD1265" s="502"/>
      <c r="AE1265" s="911"/>
      <c r="AF1265" s="502"/>
      <c r="AH1265" s="898"/>
      <c r="AI1265" s="502"/>
      <c r="AJ1265" s="502"/>
      <c r="AL1265" s="434"/>
      <c r="AM1265" s="436"/>
      <c r="AN1265" s="434"/>
      <c r="AO1265" s="434"/>
      <c r="AP1265" s="556"/>
      <c r="AQ1265" s="556"/>
      <c r="AR1265" s="556"/>
      <c r="CF1265" s="2"/>
    </row>
    <row r="1266" spans="3:84">
      <c r="C1266" s="2"/>
      <c r="AD1266" s="502"/>
      <c r="AE1266" s="911"/>
      <c r="AF1266" s="502"/>
      <c r="AH1266" s="898"/>
      <c r="AI1266" s="502"/>
      <c r="AJ1266" s="502"/>
      <c r="AL1266" s="434"/>
      <c r="AM1266" s="436"/>
      <c r="AN1266" s="434"/>
      <c r="AO1266" s="434"/>
      <c r="AP1266" s="556"/>
      <c r="AQ1266" s="556"/>
      <c r="AR1266" s="556"/>
      <c r="CF1266" s="2"/>
    </row>
    <row r="1267" spans="3:84">
      <c r="C1267" s="2"/>
      <c r="AD1267" s="502"/>
      <c r="AE1267" s="911"/>
      <c r="AF1267" s="502"/>
      <c r="AH1267" s="898"/>
      <c r="AI1267" s="502"/>
      <c r="AJ1267" s="502"/>
      <c r="AL1267" s="434"/>
      <c r="AM1267" s="436"/>
      <c r="AN1267" s="434"/>
      <c r="AO1267" s="434"/>
      <c r="AP1267" s="556"/>
      <c r="AQ1267" s="556"/>
      <c r="AR1267" s="556"/>
      <c r="CF1267" s="2"/>
    </row>
    <row r="1268" spans="3:84">
      <c r="C1268" s="2"/>
      <c r="AD1268" s="502"/>
      <c r="AE1268" s="911"/>
      <c r="AF1268" s="502"/>
      <c r="AH1268" s="898"/>
      <c r="AI1268" s="502"/>
      <c r="AJ1268" s="502"/>
      <c r="AL1268" s="434"/>
      <c r="AM1268" s="436"/>
      <c r="AN1268" s="434"/>
      <c r="AO1268" s="434"/>
      <c r="AP1268" s="556"/>
      <c r="AQ1268" s="556"/>
      <c r="AR1268" s="556"/>
      <c r="CF1268" s="2"/>
    </row>
    <row r="1269" spans="3:84">
      <c r="C1269" s="2"/>
      <c r="AD1269" s="502"/>
      <c r="AE1269" s="911"/>
      <c r="AF1269" s="502"/>
      <c r="AH1269" s="898"/>
      <c r="AI1269" s="502"/>
      <c r="AJ1269" s="502"/>
      <c r="AL1269" s="434"/>
      <c r="AM1269" s="436"/>
      <c r="AN1269" s="434"/>
      <c r="AO1269" s="434"/>
      <c r="AP1269" s="556"/>
      <c r="AQ1269" s="556"/>
      <c r="AR1269" s="556"/>
      <c r="CF1269" s="2"/>
    </row>
    <row r="1270" spans="3:84">
      <c r="C1270" s="2"/>
      <c r="AD1270" s="502"/>
      <c r="AE1270" s="911"/>
      <c r="AF1270" s="502"/>
      <c r="AH1270" s="898"/>
      <c r="AI1270" s="502"/>
      <c r="AJ1270" s="502"/>
      <c r="AL1270" s="434"/>
      <c r="AM1270" s="436"/>
      <c r="AN1270" s="434"/>
      <c r="AO1270" s="434"/>
      <c r="AP1270" s="556"/>
      <c r="AQ1270" s="556"/>
      <c r="AR1270" s="556"/>
      <c r="CF1270" s="2"/>
    </row>
    <row r="1271" spans="3:84">
      <c r="C1271" s="2"/>
      <c r="AD1271" s="502"/>
      <c r="AE1271" s="911"/>
      <c r="AF1271" s="502"/>
      <c r="AH1271" s="898"/>
      <c r="AI1271" s="502"/>
      <c r="AJ1271" s="502"/>
      <c r="AL1271" s="434"/>
      <c r="AM1271" s="436"/>
      <c r="AN1271" s="434"/>
      <c r="AO1271" s="434"/>
      <c r="AP1271" s="556"/>
      <c r="AQ1271" s="556"/>
      <c r="AR1271" s="556"/>
      <c r="CF1271" s="2"/>
    </row>
    <row r="1272" spans="3:84">
      <c r="C1272" s="2"/>
      <c r="AD1272" s="502"/>
      <c r="AE1272" s="911"/>
      <c r="AF1272" s="502"/>
      <c r="AH1272" s="898"/>
      <c r="AI1272" s="502"/>
      <c r="AJ1272" s="502"/>
      <c r="AL1272" s="434"/>
      <c r="AM1272" s="436"/>
      <c r="AN1272" s="434"/>
      <c r="AO1272" s="434"/>
      <c r="AP1272" s="556"/>
      <c r="AQ1272" s="556"/>
      <c r="AR1272" s="556"/>
      <c r="CF1272" s="2"/>
    </row>
    <row r="1273" spans="3:84">
      <c r="C1273" s="2"/>
      <c r="AD1273" s="502"/>
      <c r="AE1273" s="911"/>
      <c r="AF1273" s="502"/>
      <c r="AH1273" s="898"/>
      <c r="AI1273" s="502"/>
      <c r="AJ1273" s="502"/>
      <c r="AL1273" s="434"/>
      <c r="AM1273" s="436"/>
      <c r="AN1273" s="434"/>
      <c r="AO1273" s="434"/>
      <c r="AP1273" s="556"/>
      <c r="AQ1273" s="556"/>
      <c r="AR1273" s="556"/>
      <c r="CF1273" s="2"/>
    </row>
    <row r="1274" spans="3:84">
      <c r="C1274" s="2"/>
      <c r="AD1274" s="502"/>
      <c r="AE1274" s="911"/>
      <c r="AF1274" s="502"/>
      <c r="AH1274" s="898"/>
      <c r="AI1274" s="502"/>
      <c r="AJ1274" s="502"/>
      <c r="AL1274" s="434"/>
      <c r="AM1274" s="436"/>
      <c r="AN1274" s="434"/>
      <c r="AO1274" s="434"/>
      <c r="AP1274" s="556"/>
      <c r="AQ1274" s="556"/>
      <c r="AR1274" s="556"/>
      <c r="CF1274" s="2"/>
    </row>
    <row r="1275" spans="3:84">
      <c r="C1275" s="2"/>
      <c r="AD1275" s="502"/>
      <c r="AE1275" s="911"/>
      <c r="AF1275" s="502"/>
      <c r="AH1275" s="898"/>
      <c r="AI1275" s="502"/>
      <c r="AJ1275" s="502"/>
      <c r="AL1275" s="434"/>
      <c r="AM1275" s="436"/>
      <c r="AN1275" s="434"/>
      <c r="AO1275" s="434"/>
      <c r="AP1275" s="556"/>
      <c r="AQ1275" s="556"/>
      <c r="AR1275" s="556"/>
      <c r="CF1275" s="2"/>
    </row>
    <row r="1276" spans="3:84">
      <c r="C1276" s="2"/>
      <c r="AD1276" s="502"/>
      <c r="AE1276" s="911"/>
      <c r="AF1276" s="502"/>
      <c r="AH1276" s="898"/>
      <c r="AI1276" s="502"/>
      <c r="AJ1276" s="502"/>
      <c r="AL1276" s="434"/>
      <c r="AM1276" s="436"/>
      <c r="AN1276" s="434"/>
      <c r="AO1276" s="434"/>
      <c r="AP1276" s="556"/>
      <c r="AQ1276" s="556"/>
      <c r="AR1276" s="556"/>
      <c r="CF1276" s="2"/>
    </row>
    <row r="1277" spans="3:84">
      <c r="C1277" s="2"/>
      <c r="AD1277" s="502"/>
      <c r="AE1277" s="911"/>
      <c r="AF1277" s="502"/>
      <c r="AH1277" s="898"/>
      <c r="AI1277" s="502"/>
      <c r="AJ1277" s="502"/>
      <c r="AL1277" s="434"/>
      <c r="AM1277" s="436"/>
      <c r="AN1277" s="434"/>
      <c r="AO1277" s="434"/>
      <c r="AP1277" s="556"/>
      <c r="AQ1277" s="556"/>
      <c r="AR1277" s="556"/>
      <c r="CF1277" s="2"/>
    </row>
    <row r="1278" spans="3:84">
      <c r="C1278" s="2"/>
      <c r="AD1278" s="502"/>
      <c r="AE1278" s="911"/>
      <c r="AF1278" s="502"/>
      <c r="AH1278" s="898"/>
      <c r="AI1278" s="502"/>
      <c r="AJ1278" s="502"/>
      <c r="AL1278" s="434"/>
      <c r="AM1278" s="436"/>
      <c r="AN1278" s="434"/>
      <c r="AO1278" s="434"/>
      <c r="AP1278" s="556"/>
      <c r="AQ1278" s="556"/>
      <c r="AR1278" s="556"/>
      <c r="CF1278" s="2"/>
    </row>
    <row r="1279" spans="3:84">
      <c r="C1279" s="2"/>
      <c r="AD1279" s="502"/>
      <c r="AE1279" s="911"/>
      <c r="AF1279" s="502"/>
      <c r="AH1279" s="898"/>
      <c r="AI1279" s="502"/>
      <c r="AJ1279" s="502"/>
      <c r="AL1279" s="434"/>
      <c r="AM1279" s="436"/>
      <c r="AN1279" s="434"/>
      <c r="AO1279" s="434"/>
      <c r="AP1279" s="556"/>
      <c r="AQ1279" s="556"/>
      <c r="AR1279" s="556"/>
      <c r="CF1279" s="2"/>
    </row>
    <row r="1280" spans="3:84">
      <c r="C1280" s="2"/>
      <c r="AD1280" s="502"/>
      <c r="AE1280" s="911"/>
      <c r="AF1280" s="502"/>
      <c r="AH1280" s="898"/>
      <c r="AI1280" s="502"/>
      <c r="AJ1280" s="502"/>
      <c r="AL1280" s="434"/>
      <c r="AM1280" s="436"/>
      <c r="AN1280" s="434"/>
      <c r="AO1280" s="434"/>
      <c r="AP1280" s="556"/>
      <c r="AQ1280" s="556"/>
      <c r="AR1280" s="556"/>
      <c r="CF1280" s="2"/>
    </row>
    <row r="1281" spans="3:84">
      <c r="C1281" s="2"/>
      <c r="AD1281" s="502"/>
      <c r="AE1281" s="911"/>
      <c r="AF1281" s="502"/>
      <c r="AH1281" s="898"/>
      <c r="AI1281" s="502"/>
      <c r="AJ1281" s="502"/>
      <c r="AL1281" s="434"/>
      <c r="AM1281" s="436"/>
      <c r="AN1281" s="434"/>
      <c r="AO1281" s="434"/>
      <c r="AP1281" s="556"/>
      <c r="AQ1281" s="556"/>
      <c r="AR1281" s="556"/>
      <c r="CF1281" s="2"/>
    </row>
    <row r="1282" spans="3:84">
      <c r="C1282" s="2"/>
      <c r="AD1282" s="502"/>
      <c r="AE1282" s="911"/>
      <c r="AF1282" s="502"/>
      <c r="AH1282" s="898"/>
      <c r="AI1282" s="502"/>
      <c r="AJ1282" s="502"/>
      <c r="AL1282" s="434"/>
      <c r="AM1282" s="436"/>
      <c r="AN1282" s="434"/>
      <c r="AO1282" s="434"/>
      <c r="AP1282" s="556"/>
      <c r="AQ1282" s="556"/>
      <c r="AR1282" s="556"/>
      <c r="CF1282" s="2"/>
    </row>
    <row r="1283" spans="3:84">
      <c r="C1283" s="2"/>
      <c r="AD1283" s="502"/>
      <c r="AE1283" s="911"/>
      <c r="AF1283" s="502"/>
      <c r="AH1283" s="898"/>
      <c r="AI1283" s="502"/>
      <c r="AJ1283" s="502"/>
      <c r="AL1283" s="434"/>
      <c r="AM1283" s="436"/>
      <c r="AN1283" s="434"/>
      <c r="AO1283" s="434"/>
      <c r="AP1283" s="556"/>
      <c r="AQ1283" s="556"/>
      <c r="AR1283" s="556"/>
      <c r="CF1283" s="2"/>
    </row>
    <row r="1284" spans="3:84">
      <c r="C1284" s="2"/>
      <c r="AD1284" s="502"/>
      <c r="AE1284" s="911"/>
      <c r="AF1284" s="502"/>
      <c r="AH1284" s="898"/>
      <c r="AI1284" s="502"/>
      <c r="AJ1284" s="502"/>
      <c r="AL1284" s="434"/>
      <c r="AM1284" s="436"/>
      <c r="AN1284" s="434"/>
      <c r="AO1284" s="434"/>
      <c r="AP1284" s="556"/>
      <c r="AQ1284" s="556"/>
      <c r="AR1284" s="556"/>
      <c r="CF1284" s="2"/>
    </row>
    <row r="1285" spans="3:84">
      <c r="C1285" s="2"/>
      <c r="AD1285" s="502"/>
      <c r="AE1285" s="911"/>
      <c r="AF1285" s="502"/>
      <c r="AH1285" s="898"/>
      <c r="AI1285" s="502"/>
      <c r="AJ1285" s="502"/>
      <c r="AL1285" s="434"/>
      <c r="AM1285" s="436"/>
      <c r="AN1285" s="434"/>
      <c r="AO1285" s="434"/>
      <c r="AP1285" s="556"/>
      <c r="AQ1285" s="556"/>
      <c r="AR1285" s="556"/>
      <c r="CF1285" s="2"/>
    </row>
    <row r="1286" spans="3:84">
      <c r="C1286" s="2"/>
      <c r="AD1286" s="502"/>
      <c r="AE1286" s="911"/>
      <c r="AF1286" s="502"/>
      <c r="AH1286" s="898"/>
      <c r="AI1286" s="502"/>
      <c r="AJ1286" s="502"/>
      <c r="AL1286" s="434"/>
      <c r="AM1286" s="436"/>
      <c r="AN1286" s="434"/>
      <c r="AO1286" s="434"/>
      <c r="AP1286" s="556"/>
      <c r="AQ1286" s="556"/>
      <c r="AR1286" s="556"/>
      <c r="CF1286" s="2"/>
    </row>
    <row r="1287" spans="3:84">
      <c r="C1287" s="2"/>
      <c r="AD1287" s="502"/>
      <c r="AE1287" s="911"/>
      <c r="AF1287" s="502"/>
      <c r="AH1287" s="898"/>
      <c r="AI1287" s="502"/>
      <c r="AJ1287" s="502"/>
      <c r="AL1287" s="434"/>
      <c r="AM1287" s="436"/>
      <c r="AN1287" s="434"/>
      <c r="AO1287" s="434"/>
      <c r="AP1287" s="556"/>
      <c r="AQ1287" s="556"/>
      <c r="AR1287" s="556"/>
      <c r="CF1287" s="2"/>
    </row>
    <row r="1288" spans="3:84">
      <c r="C1288" s="2"/>
      <c r="AD1288" s="502"/>
      <c r="AE1288" s="911"/>
      <c r="AF1288" s="502"/>
      <c r="AH1288" s="898"/>
      <c r="AI1288" s="502"/>
      <c r="AJ1288" s="502"/>
      <c r="AL1288" s="434"/>
      <c r="AM1288" s="436"/>
      <c r="AN1288" s="434"/>
      <c r="AO1288" s="434"/>
      <c r="AP1288" s="556"/>
      <c r="AQ1288" s="556"/>
      <c r="AR1288" s="556"/>
      <c r="CF1288" s="2"/>
    </row>
    <row r="1289" spans="3:84">
      <c r="C1289" s="2"/>
      <c r="AD1289" s="502"/>
      <c r="AE1289" s="911"/>
      <c r="AF1289" s="502"/>
      <c r="AH1289" s="898"/>
      <c r="AI1289" s="502"/>
      <c r="AJ1289" s="502"/>
      <c r="AL1289" s="434"/>
      <c r="AM1289" s="436"/>
      <c r="AN1289" s="434"/>
      <c r="AO1289" s="434"/>
      <c r="AP1289" s="556"/>
      <c r="AQ1289" s="556"/>
      <c r="AR1289" s="556"/>
      <c r="CF1289" s="2"/>
    </row>
    <row r="1290" spans="3:84">
      <c r="C1290" s="2"/>
      <c r="AD1290" s="502"/>
      <c r="AE1290" s="911"/>
      <c r="AF1290" s="502"/>
      <c r="AH1290" s="898"/>
      <c r="AI1290" s="502"/>
      <c r="AJ1290" s="502"/>
      <c r="AL1290" s="434"/>
      <c r="AM1290" s="436"/>
      <c r="AN1290" s="434"/>
      <c r="AO1290" s="434"/>
      <c r="AP1290" s="556"/>
      <c r="AQ1290" s="556"/>
      <c r="AR1290" s="556"/>
      <c r="CF1290" s="2"/>
    </row>
    <row r="1291" spans="3:84">
      <c r="C1291" s="2"/>
      <c r="AD1291" s="502"/>
      <c r="AE1291" s="911"/>
      <c r="AF1291" s="502"/>
      <c r="AH1291" s="898"/>
      <c r="AI1291" s="502"/>
      <c r="AJ1291" s="502"/>
      <c r="AL1291" s="434"/>
      <c r="AM1291" s="436"/>
      <c r="AN1291" s="434"/>
      <c r="AO1291" s="434"/>
      <c r="AP1291" s="556"/>
      <c r="AQ1291" s="556"/>
      <c r="AR1291" s="556"/>
      <c r="CF1291" s="2"/>
    </row>
    <row r="1292" spans="3:84">
      <c r="C1292" s="2"/>
      <c r="AD1292" s="502"/>
      <c r="AE1292" s="911"/>
      <c r="AF1292" s="502"/>
      <c r="AH1292" s="898"/>
      <c r="AI1292" s="502"/>
      <c r="AJ1292" s="502"/>
      <c r="AL1292" s="434"/>
      <c r="AM1292" s="436"/>
      <c r="AN1292" s="434"/>
      <c r="AO1292" s="434"/>
      <c r="AP1292" s="556"/>
      <c r="AQ1292" s="556"/>
      <c r="AR1292" s="556"/>
      <c r="CF1292" s="2"/>
    </row>
    <row r="1293" spans="3:84">
      <c r="C1293" s="2"/>
      <c r="AD1293" s="502"/>
      <c r="AE1293" s="911"/>
      <c r="AF1293" s="502"/>
      <c r="AH1293" s="898"/>
      <c r="AI1293" s="502"/>
      <c r="AJ1293" s="502"/>
      <c r="AL1293" s="434"/>
      <c r="AM1293" s="436"/>
      <c r="AN1293" s="434"/>
      <c r="AO1293" s="434"/>
      <c r="AP1293" s="556"/>
      <c r="AQ1293" s="556"/>
      <c r="AR1293" s="556"/>
      <c r="CF1293" s="2"/>
    </row>
    <row r="1294" spans="3:84">
      <c r="C1294" s="2"/>
      <c r="AD1294" s="502"/>
      <c r="AE1294" s="911"/>
      <c r="AF1294" s="502"/>
      <c r="AH1294" s="898"/>
      <c r="AI1294" s="502"/>
      <c r="AJ1294" s="502"/>
      <c r="AL1294" s="434"/>
      <c r="AM1294" s="436"/>
      <c r="AN1294" s="434"/>
      <c r="AO1294" s="434"/>
      <c r="AP1294" s="556"/>
      <c r="AQ1294" s="556"/>
      <c r="AR1294" s="556"/>
      <c r="CF1294" s="2"/>
    </row>
    <row r="1295" spans="3:84">
      <c r="C1295" s="2"/>
      <c r="AD1295" s="502"/>
      <c r="AE1295" s="911"/>
      <c r="AF1295" s="502"/>
      <c r="AH1295" s="898"/>
      <c r="AI1295" s="502"/>
      <c r="AJ1295" s="502"/>
      <c r="AL1295" s="434"/>
      <c r="AM1295" s="436"/>
      <c r="AN1295" s="434"/>
      <c r="AO1295" s="434"/>
      <c r="AP1295" s="556"/>
      <c r="AQ1295" s="556"/>
      <c r="AR1295" s="556"/>
      <c r="CF1295" s="2"/>
    </row>
    <row r="1296" spans="3:84">
      <c r="C1296" s="2"/>
      <c r="AD1296" s="502"/>
      <c r="AE1296" s="911"/>
      <c r="AF1296" s="502"/>
      <c r="AH1296" s="898"/>
      <c r="AI1296" s="502"/>
      <c r="AJ1296" s="502"/>
      <c r="AL1296" s="434"/>
      <c r="AM1296" s="436"/>
      <c r="AN1296" s="434"/>
      <c r="AO1296" s="434"/>
      <c r="AP1296" s="556"/>
      <c r="AQ1296" s="556"/>
      <c r="AR1296" s="556"/>
      <c r="CF1296" s="2"/>
    </row>
    <row r="1297" spans="3:84">
      <c r="C1297" s="2"/>
      <c r="AD1297" s="502"/>
      <c r="AE1297" s="911"/>
      <c r="AF1297" s="502"/>
      <c r="AH1297" s="898"/>
      <c r="AI1297" s="502"/>
      <c r="AJ1297" s="502"/>
      <c r="AL1297" s="434"/>
      <c r="AM1297" s="436"/>
      <c r="AN1297" s="434"/>
      <c r="AO1297" s="434"/>
      <c r="AP1297" s="556"/>
      <c r="AQ1297" s="556"/>
      <c r="AR1297" s="556"/>
      <c r="CF1297" s="2"/>
    </row>
    <row r="1298" spans="3:84">
      <c r="C1298" s="2"/>
      <c r="AD1298" s="502"/>
      <c r="AE1298" s="911"/>
      <c r="AF1298" s="502"/>
      <c r="AH1298" s="898"/>
      <c r="AI1298" s="502"/>
      <c r="AJ1298" s="502"/>
      <c r="AL1298" s="434"/>
      <c r="AM1298" s="436"/>
      <c r="AN1298" s="434"/>
      <c r="AO1298" s="434"/>
      <c r="AP1298" s="556"/>
      <c r="AQ1298" s="556"/>
      <c r="AR1298" s="556"/>
      <c r="CF1298" s="2"/>
    </row>
    <row r="1299" spans="3:84">
      <c r="C1299" s="2"/>
      <c r="AD1299" s="502"/>
      <c r="AE1299" s="911"/>
      <c r="AF1299" s="502"/>
      <c r="AH1299" s="898"/>
      <c r="AI1299" s="502"/>
      <c r="AJ1299" s="502"/>
      <c r="AL1299" s="434"/>
      <c r="AM1299" s="436"/>
      <c r="AN1299" s="434"/>
      <c r="AO1299" s="434"/>
      <c r="AP1299" s="556"/>
      <c r="AQ1299" s="556"/>
      <c r="AR1299" s="556"/>
      <c r="CF1299" s="2"/>
    </row>
    <row r="1300" spans="3:84">
      <c r="C1300" s="2"/>
      <c r="AD1300" s="502"/>
      <c r="AE1300" s="911"/>
      <c r="AF1300" s="502"/>
      <c r="AH1300" s="898"/>
      <c r="AI1300" s="502"/>
      <c r="AJ1300" s="502"/>
      <c r="AL1300" s="434"/>
      <c r="AM1300" s="436"/>
      <c r="AN1300" s="434"/>
      <c r="AO1300" s="434"/>
      <c r="AP1300" s="556"/>
      <c r="AQ1300" s="556"/>
      <c r="AR1300" s="556"/>
      <c r="CF1300" s="2"/>
    </row>
    <row r="1301" spans="3:84">
      <c r="C1301" s="2"/>
      <c r="AD1301" s="502"/>
      <c r="AE1301" s="911"/>
      <c r="AF1301" s="502"/>
      <c r="AH1301" s="898"/>
      <c r="AI1301" s="502"/>
      <c r="AJ1301" s="502"/>
      <c r="AL1301" s="434"/>
      <c r="AM1301" s="436"/>
      <c r="AN1301" s="434"/>
      <c r="AO1301" s="434"/>
      <c r="AP1301" s="556"/>
      <c r="AQ1301" s="556"/>
      <c r="AR1301" s="556"/>
      <c r="CF1301" s="2"/>
    </row>
    <row r="1302" spans="3:84">
      <c r="C1302" s="2"/>
      <c r="AD1302" s="502"/>
      <c r="AE1302" s="911"/>
      <c r="AF1302" s="502"/>
      <c r="AH1302" s="898"/>
      <c r="AI1302" s="502"/>
      <c r="AJ1302" s="502"/>
      <c r="AL1302" s="434"/>
      <c r="AM1302" s="436"/>
      <c r="AN1302" s="434"/>
      <c r="AO1302" s="434"/>
      <c r="AP1302" s="556"/>
      <c r="AQ1302" s="556"/>
      <c r="AR1302" s="556"/>
      <c r="CF1302" s="2"/>
    </row>
    <row r="1303" spans="3:84">
      <c r="C1303" s="2"/>
      <c r="AD1303" s="502"/>
      <c r="AE1303" s="911"/>
      <c r="AF1303" s="502"/>
      <c r="AH1303" s="898"/>
      <c r="AI1303" s="502"/>
      <c r="AJ1303" s="502"/>
      <c r="AL1303" s="434"/>
      <c r="AM1303" s="436"/>
      <c r="AN1303" s="434"/>
      <c r="AO1303" s="434"/>
      <c r="AP1303" s="556"/>
      <c r="AQ1303" s="556"/>
      <c r="AR1303" s="556"/>
      <c r="CF1303" s="2"/>
    </row>
    <row r="1304" spans="3:84">
      <c r="C1304" s="2"/>
      <c r="AD1304" s="502"/>
      <c r="AE1304" s="911"/>
      <c r="AF1304" s="502"/>
      <c r="AH1304" s="898"/>
      <c r="AI1304" s="502"/>
      <c r="AJ1304" s="502"/>
      <c r="AL1304" s="434"/>
      <c r="AM1304" s="436"/>
      <c r="AN1304" s="434"/>
      <c r="AO1304" s="434"/>
      <c r="AP1304" s="556"/>
      <c r="AQ1304" s="556"/>
      <c r="AR1304" s="556"/>
      <c r="CF1304" s="2"/>
    </row>
    <row r="1305" spans="3:84">
      <c r="C1305" s="2"/>
      <c r="AD1305" s="502"/>
      <c r="AE1305" s="911"/>
      <c r="AF1305" s="502"/>
      <c r="AH1305" s="898"/>
      <c r="AI1305" s="502"/>
      <c r="AJ1305" s="502"/>
      <c r="AL1305" s="434"/>
      <c r="AM1305" s="436"/>
      <c r="AN1305" s="434"/>
      <c r="AO1305" s="434"/>
      <c r="AP1305" s="556"/>
      <c r="AQ1305" s="556"/>
      <c r="AR1305" s="556"/>
      <c r="CF1305" s="2"/>
    </row>
    <row r="1306" spans="3:84">
      <c r="C1306" s="2"/>
      <c r="AD1306" s="502"/>
      <c r="AE1306" s="911"/>
      <c r="AF1306" s="502"/>
      <c r="AH1306" s="898"/>
      <c r="AI1306" s="502"/>
      <c r="AJ1306" s="502"/>
      <c r="AL1306" s="434"/>
      <c r="AM1306" s="436"/>
      <c r="AN1306" s="434"/>
      <c r="AO1306" s="434"/>
      <c r="AP1306" s="556"/>
      <c r="AQ1306" s="556"/>
      <c r="AR1306" s="556"/>
      <c r="CF1306" s="2"/>
    </row>
    <row r="1307" spans="3:84">
      <c r="C1307" s="2"/>
      <c r="AD1307" s="502"/>
      <c r="AE1307" s="911"/>
      <c r="AF1307" s="502"/>
      <c r="AH1307" s="898"/>
      <c r="AI1307" s="502"/>
      <c r="AJ1307" s="502"/>
      <c r="AL1307" s="434"/>
      <c r="AM1307" s="436"/>
      <c r="AN1307" s="434"/>
      <c r="AO1307" s="434"/>
      <c r="AP1307" s="556"/>
      <c r="AQ1307" s="556"/>
      <c r="AR1307" s="556"/>
      <c r="CF1307" s="2"/>
    </row>
    <row r="1308" spans="3:84">
      <c r="C1308" s="2"/>
      <c r="AD1308" s="502"/>
      <c r="AE1308" s="911"/>
      <c r="AF1308" s="502"/>
      <c r="AH1308" s="898"/>
      <c r="AI1308" s="502"/>
      <c r="AJ1308" s="502"/>
      <c r="AL1308" s="434"/>
      <c r="AM1308" s="436"/>
      <c r="AN1308" s="434"/>
      <c r="AO1308" s="434"/>
      <c r="AP1308" s="556"/>
      <c r="AQ1308" s="556"/>
      <c r="AR1308" s="556"/>
      <c r="CF1308" s="2"/>
    </row>
    <row r="1309" spans="3:84">
      <c r="C1309" s="2"/>
      <c r="AD1309" s="502"/>
      <c r="AE1309" s="911"/>
      <c r="AF1309" s="502"/>
      <c r="AH1309" s="898"/>
      <c r="AI1309" s="502"/>
      <c r="AJ1309" s="502"/>
      <c r="AL1309" s="434"/>
      <c r="AM1309" s="436"/>
      <c r="AN1309" s="434"/>
      <c r="AO1309" s="434"/>
      <c r="AP1309" s="556"/>
      <c r="AQ1309" s="556"/>
      <c r="AR1309" s="556"/>
      <c r="CF1309" s="2"/>
    </row>
    <row r="1310" spans="3:84">
      <c r="C1310" s="2"/>
      <c r="AD1310" s="502"/>
      <c r="AE1310" s="911"/>
      <c r="AF1310" s="502"/>
      <c r="AH1310" s="898"/>
      <c r="AI1310" s="502"/>
      <c r="AJ1310" s="502"/>
      <c r="AL1310" s="434"/>
      <c r="AM1310" s="436"/>
      <c r="AN1310" s="434"/>
      <c r="AO1310" s="434"/>
      <c r="AP1310" s="556"/>
      <c r="AQ1310" s="556"/>
      <c r="AR1310" s="556"/>
      <c r="CF1310" s="2"/>
    </row>
    <row r="1311" spans="3:84">
      <c r="C1311" s="2"/>
      <c r="AD1311" s="502"/>
      <c r="AE1311" s="911"/>
      <c r="AF1311" s="502"/>
      <c r="AH1311" s="898"/>
      <c r="AI1311" s="502"/>
      <c r="AJ1311" s="502"/>
      <c r="AL1311" s="434"/>
      <c r="AM1311" s="436"/>
      <c r="AN1311" s="434"/>
      <c r="AO1311" s="434"/>
      <c r="AP1311" s="556"/>
      <c r="AQ1311" s="556"/>
      <c r="AR1311" s="556"/>
      <c r="CF1311" s="2"/>
    </row>
    <row r="1312" spans="3:84">
      <c r="C1312" s="2"/>
      <c r="AD1312" s="502"/>
      <c r="AE1312" s="911"/>
      <c r="AF1312" s="502"/>
      <c r="AH1312" s="898"/>
      <c r="AI1312" s="502"/>
      <c r="AJ1312" s="502"/>
      <c r="AL1312" s="434"/>
      <c r="AM1312" s="436"/>
      <c r="AN1312" s="434"/>
      <c r="AO1312" s="434"/>
      <c r="AP1312" s="556"/>
      <c r="AQ1312" s="556"/>
      <c r="AR1312" s="556"/>
      <c r="CF1312" s="2"/>
    </row>
    <row r="1313" spans="3:84">
      <c r="C1313" s="2"/>
      <c r="AD1313" s="502"/>
      <c r="AE1313" s="911"/>
      <c r="AF1313" s="502"/>
      <c r="AH1313" s="898"/>
      <c r="AI1313" s="502"/>
      <c r="AJ1313" s="502"/>
      <c r="AL1313" s="434"/>
      <c r="AM1313" s="436"/>
      <c r="AN1313" s="434"/>
      <c r="AO1313" s="434"/>
      <c r="AP1313" s="556"/>
      <c r="AQ1313" s="556"/>
      <c r="AR1313" s="556"/>
      <c r="CF1313" s="2"/>
    </row>
    <row r="1314" spans="3:84">
      <c r="C1314" s="2"/>
      <c r="AD1314" s="502"/>
      <c r="AE1314" s="911"/>
      <c r="AF1314" s="502"/>
      <c r="AH1314" s="898"/>
      <c r="AI1314" s="502"/>
      <c r="AJ1314" s="502"/>
      <c r="AL1314" s="434"/>
      <c r="AM1314" s="436"/>
      <c r="AN1314" s="434"/>
      <c r="AO1314" s="434"/>
      <c r="AP1314" s="556"/>
      <c r="AQ1314" s="556"/>
      <c r="AR1314" s="556"/>
      <c r="CF1314" s="2"/>
    </row>
    <row r="1315" spans="3:84">
      <c r="C1315" s="2"/>
      <c r="AD1315" s="502"/>
      <c r="AE1315" s="911"/>
      <c r="AF1315" s="502"/>
      <c r="AH1315" s="898"/>
      <c r="AI1315" s="502"/>
      <c r="AJ1315" s="502"/>
      <c r="AL1315" s="434"/>
      <c r="AM1315" s="436"/>
      <c r="AN1315" s="434"/>
      <c r="AO1315" s="434"/>
      <c r="AP1315" s="556"/>
      <c r="AQ1315" s="556"/>
      <c r="AR1315" s="556"/>
      <c r="CF1315" s="2"/>
    </row>
    <row r="1316" spans="3:84">
      <c r="C1316" s="2"/>
      <c r="AD1316" s="502"/>
      <c r="AE1316" s="911"/>
      <c r="AF1316" s="502"/>
      <c r="AH1316" s="898"/>
      <c r="AI1316" s="502"/>
      <c r="AJ1316" s="502"/>
      <c r="AL1316" s="434"/>
      <c r="AM1316" s="436"/>
      <c r="AN1316" s="434"/>
      <c r="AO1316" s="434"/>
      <c r="AP1316" s="556"/>
      <c r="AQ1316" s="556"/>
      <c r="AR1316" s="556"/>
      <c r="CF1316" s="2"/>
    </row>
    <row r="1317" spans="3:84">
      <c r="C1317" s="2"/>
      <c r="AD1317" s="502"/>
      <c r="AE1317" s="911"/>
      <c r="AF1317" s="502"/>
      <c r="AH1317" s="898"/>
      <c r="AI1317" s="502"/>
      <c r="AJ1317" s="502"/>
      <c r="AL1317" s="434"/>
      <c r="AM1317" s="436"/>
      <c r="AN1317" s="434"/>
      <c r="AO1317" s="434"/>
      <c r="AP1317" s="556"/>
      <c r="AQ1317" s="556"/>
      <c r="AR1317" s="556"/>
      <c r="CF1317" s="2"/>
    </row>
    <row r="1318" spans="3:84">
      <c r="C1318" s="2"/>
      <c r="AD1318" s="502"/>
      <c r="AE1318" s="911"/>
      <c r="AF1318" s="502"/>
      <c r="AH1318" s="898"/>
      <c r="AI1318" s="502"/>
      <c r="AJ1318" s="502"/>
      <c r="AL1318" s="434"/>
      <c r="AM1318" s="436"/>
      <c r="AN1318" s="434"/>
      <c r="AO1318" s="434"/>
      <c r="AP1318" s="556"/>
      <c r="AQ1318" s="556"/>
      <c r="AR1318" s="556"/>
      <c r="CF1318" s="2"/>
    </row>
    <row r="1319" spans="3:84">
      <c r="C1319" s="2"/>
      <c r="AD1319" s="502"/>
      <c r="AE1319" s="911"/>
      <c r="AF1319" s="502"/>
      <c r="AH1319" s="898"/>
      <c r="AI1319" s="502"/>
      <c r="AJ1319" s="502"/>
      <c r="AL1319" s="434"/>
      <c r="AM1319" s="436"/>
      <c r="AN1319" s="434"/>
      <c r="AO1319" s="434"/>
      <c r="AP1319" s="556"/>
      <c r="AQ1319" s="556"/>
      <c r="AR1319" s="556"/>
      <c r="CF1319" s="2"/>
    </row>
    <row r="1320" spans="3:84">
      <c r="C1320" s="2"/>
      <c r="AD1320" s="502"/>
      <c r="AE1320" s="911"/>
      <c r="AF1320" s="502"/>
      <c r="AH1320" s="898"/>
      <c r="AI1320" s="502"/>
      <c r="AJ1320" s="502"/>
      <c r="AL1320" s="434"/>
      <c r="AM1320" s="436"/>
      <c r="AN1320" s="434"/>
      <c r="AO1320" s="434"/>
      <c r="AP1320" s="556"/>
      <c r="AQ1320" s="556"/>
      <c r="AR1320" s="556"/>
      <c r="CF1320" s="2"/>
    </row>
    <row r="1321" spans="3:84">
      <c r="C1321" s="2"/>
      <c r="AD1321" s="502"/>
      <c r="AE1321" s="911"/>
      <c r="AF1321" s="502"/>
      <c r="AH1321" s="898"/>
      <c r="AI1321" s="502"/>
      <c r="AJ1321" s="502"/>
      <c r="AL1321" s="434"/>
      <c r="AM1321" s="436"/>
      <c r="AN1321" s="434"/>
      <c r="AO1321" s="434"/>
      <c r="AP1321" s="556"/>
      <c r="AQ1321" s="556"/>
      <c r="AR1321" s="556"/>
      <c r="CF1321" s="2"/>
    </row>
    <row r="1322" spans="3:84">
      <c r="C1322" s="2"/>
      <c r="AD1322" s="502"/>
      <c r="AE1322" s="911"/>
      <c r="AF1322" s="502"/>
      <c r="AH1322" s="898"/>
      <c r="AI1322" s="502"/>
      <c r="AJ1322" s="502"/>
      <c r="AL1322" s="434"/>
      <c r="AM1322" s="436"/>
      <c r="AN1322" s="434"/>
      <c r="AO1322" s="434"/>
      <c r="AP1322" s="556"/>
      <c r="AQ1322" s="556"/>
      <c r="AR1322" s="556"/>
      <c r="CF1322" s="2"/>
    </row>
    <row r="1323" spans="3:84">
      <c r="C1323" s="2"/>
      <c r="AD1323" s="502"/>
      <c r="AE1323" s="911"/>
      <c r="AF1323" s="502"/>
      <c r="AH1323" s="898"/>
      <c r="AI1323" s="502"/>
      <c r="AJ1323" s="502"/>
      <c r="AL1323" s="434"/>
      <c r="AM1323" s="436"/>
      <c r="AN1323" s="434"/>
      <c r="AO1323" s="434"/>
      <c r="AP1323" s="556"/>
      <c r="AQ1323" s="556"/>
      <c r="AR1323" s="556"/>
      <c r="CF1323" s="2"/>
    </row>
    <row r="1324" spans="3:84">
      <c r="C1324" s="2"/>
      <c r="AD1324" s="502"/>
      <c r="AE1324" s="911"/>
      <c r="AF1324" s="502"/>
      <c r="AH1324" s="898"/>
      <c r="AI1324" s="502"/>
      <c r="AJ1324" s="502"/>
      <c r="AL1324" s="434"/>
      <c r="AM1324" s="436"/>
      <c r="AN1324" s="434"/>
      <c r="AO1324" s="434"/>
      <c r="AP1324" s="556"/>
      <c r="AQ1324" s="556"/>
      <c r="AR1324" s="556"/>
      <c r="CF1324" s="2"/>
    </row>
    <row r="1325" spans="3:84">
      <c r="C1325" s="2"/>
      <c r="AD1325" s="502"/>
      <c r="AE1325" s="911"/>
      <c r="AF1325" s="502"/>
      <c r="AH1325" s="898"/>
      <c r="AI1325" s="502"/>
      <c r="AJ1325" s="502"/>
      <c r="AL1325" s="434"/>
      <c r="AM1325" s="436"/>
      <c r="AN1325" s="434"/>
      <c r="AO1325" s="434"/>
      <c r="AP1325" s="556"/>
      <c r="AQ1325" s="556"/>
      <c r="AR1325" s="556"/>
      <c r="CF1325" s="2"/>
    </row>
    <row r="1326" spans="3:84">
      <c r="C1326" s="2"/>
      <c r="AD1326" s="502"/>
      <c r="AE1326" s="911"/>
      <c r="AF1326" s="502"/>
      <c r="AH1326" s="898"/>
      <c r="AI1326" s="502"/>
      <c r="AJ1326" s="502"/>
      <c r="AL1326" s="434"/>
      <c r="AM1326" s="436"/>
      <c r="AN1326" s="434"/>
      <c r="AO1326" s="434"/>
      <c r="AP1326" s="556"/>
      <c r="AQ1326" s="556"/>
      <c r="AR1326" s="556"/>
      <c r="CF1326" s="2"/>
    </row>
    <row r="1327" spans="3:84">
      <c r="C1327" s="2"/>
      <c r="AD1327" s="502"/>
      <c r="AE1327" s="911"/>
      <c r="AF1327" s="502"/>
      <c r="AH1327" s="898"/>
      <c r="AI1327" s="502"/>
      <c r="AJ1327" s="502"/>
      <c r="AL1327" s="434"/>
      <c r="AM1327" s="436"/>
      <c r="AN1327" s="434"/>
      <c r="AO1327" s="434"/>
      <c r="AP1327" s="556"/>
      <c r="AQ1327" s="556"/>
      <c r="AR1327" s="556"/>
      <c r="CF1327" s="2"/>
    </row>
    <row r="1328" spans="3:84">
      <c r="C1328" s="2"/>
      <c r="AD1328" s="502"/>
      <c r="AE1328" s="911"/>
      <c r="AF1328" s="502"/>
      <c r="AH1328" s="898"/>
      <c r="AI1328" s="502"/>
      <c r="AJ1328" s="502"/>
      <c r="AL1328" s="434"/>
      <c r="AM1328" s="436"/>
      <c r="AN1328" s="434"/>
      <c r="AO1328" s="434"/>
      <c r="AP1328" s="556"/>
      <c r="AQ1328" s="556"/>
      <c r="AR1328" s="556"/>
      <c r="CF1328" s="2"/>
    </row>
    <row r="1329" spans="3:84">
      <c r="C1329" s="2"/>
      <c r="AD1329" s="502"/>
      <c r="AE1329" s="911"/>
      <c r="AF1329" s="502"/>
      <c r="AH1329" s="898"/>
      <c r="AI1329" s="502"/>
      <c r="AJ1329" s="502"/>
      <c r="AL1329" s="434"/>
      <c r="AM1329" s="436"/>
      <c r="AN1329" s="434"/>
      <c r="AO1329" s="434"/>
      <c r="AP1329" s="556"/>
      <c r="AQ1329" s="556"/>
      <c r="AR1329" s="556"/>
      <c r="CF1329" s="2"/>
    </row>
    <row r="1330" spans="3:84">
      <c r="C1330" s="2"/>
      <c r="AD1330" s="502"/>
      <c r="AE1330" s="911"/>
      <c r="AF1330" s="502"/>
      <c r="AH1330" s="898"/>
      <c r="AI1330" s="502"/>
      <c r="AJ1330" s="502"/>
      <c r="AL1330" s="434"/>
      <c r="AM1330" s="436"/>
      <c r="AN1330" s="434"/>
      <c r="AO1330" s="434"/>
      <c r="AP1330" s="556"/>
      <c r="AQ1330" s="556"/>
      <c r="AR1330" s="556"/>
      <c r="CF1330" s="2"/>
    </row>
    <row r="1331" spans="3:84">
      <c r="C1331" s="2"/>
      <c r="AD1331" s="502"/>
      <c r="AE1331" s="911"/>
      <c r="AF1331" s="502"/>
      <c r="AH1331" s="898"/>
      <c r="AI1331" s="502"/>
      <c r="AJ1331" s="502"/>
      <c r="AL1331" s="434"/>
      <c r="AM1331" s="436"/>
      <c r="AN1331" s="434"/>
      <c r="AO1331" s="434"/>
      <c r="AP1331" s="556"/>
      <c r="AQ1331" s="556"/>
      <c r="AR1331" s="556"/>
      <c r="CF1331" s="2"/>
    </row>
    <row r="1332" spans="3:84">
      <c r="C1332" s="2"/>
      <c r="AD1332" s="502"/>
      <c r="AE1332" s="911"/>
      <c r="AF1332" s="502"/>
      <c r="AH1332" s="898"/>
      <c r="AI1332" s="502"/>
      <c r="AJ1332" s="502"/>
      <c r="AL1332" s="434"/>
      <c r="AM1332" s="436"/>
      <c r="AN1332" s="434"/>
      <c r="AO1332" s="434"/>
      <c r="AP1332" s="556"/>
      <c r="AQ1332" s="556"/>
      <c r="AR1332" s="556"/>
      <c r="CF1332" s="2"/>
    </row>
    <row r="1333" spans="3:84">
      <c r="C1333" s="2"/>
      <c r="AD1333" s="502"/>
      <c r="AE1333" s="911"/>
      <c r="AF1333" s="502"/>
      <c r="AH1333" s="898"/>
      <c r="AI1333" s="502"/>
      <c r="AJ1333" s="502"/>
      <c r="AL1333" s="434"/>
      <c r="AM1333" s="436"/>
      <c r="AN1333" s="434"/>
      <c r="AO1333" s="434"/>
      <c r="AP1333" s="556"/>
      <c r="AQ1333" s="556"/>
      <c r="AR1333" s="556"/>
      <c r="CF1333" s="2"/>
    </row>
    <row r="1334" spans="3:84">
      <c r="C1334" s="2"/>
      <c r="AD1334" s="502"/>
      <c r="AE1334" s="911"/>
      <c r="AF1334" s="502"/>
      <c r="AH1334" s="898"/>
      <c r="AI1334" s="502"/>
      <c r="AJ1334" s="502"/>
      <c r="AL1334" s="434"/>
      <c r="AM1334" s="436"/>
      <c r="AN1334" s="434"/>
      <c r="AO1334" s="434"/>
      <c r="AP1334" s="556"/>
      <c r="AQ1334" s="556"/>
      <c r="AR1334" s="556"/>
      <c r="CF1334" s="2"/>
    </row>
    <row r="1335" spans="3:84">
      <c r="C1335" s="2"/>
      <c r="AD1335" s="502"/>
      <c r="AE1335" s="911"/>
      <c r="AF1335" s="502"/>
      <c r="AH1335" s="898"/>
      <c r="AI1335" s="502"/>
      <c r="AJ1335" s="502"/>
      <c r="AL1335" s="434"/>
      <c r="AM1335" s="436"/>
      <c r="AN1335" s="434"/>
      <c r="AO1335" s="434"/>
      <c r="AP1335" s="556"/>
      <c r="AQ1335" s="556"/>
      <c r="AR1335" s="556"/>
      <c r="CF1335" s="2"/>
    </row>
    <row r="1336" spans="3:84">
      <c r="C1336" s="2"/>
      <c r="AD1336" s="502"/>
      <c r="AE1336" s="911"/>
      <c r="AF1336" s="502"/>
      <c r="AH1336" s="898"/>
      <c r="AI1336" s="502"/>
      <c r="AJ1336" s="502"/>
      <c r="AL1336" s="434"/>
      <c r="AM1336" s="436"/>
      <c r="AN1336" s="434"/>
      <c r="AO1336" s="434"/>
      <c r="AP1336" s="556"/>
      <c r="AQ1336" s="556"/>
      <c r="AR1336" s="556"/>
      <c r="CF1336" s="2"/>
    </row>
    <row r="1337" spans="3:84">
      <c r="C1337" s="2"/>
      <c r="AD1337" s="502"/>
      <c r="AE1337" s="911"/>
      <c r="AF1337" s="502"/>
      <c r="AH1337" s="898"/>
      <c r="AI1337" s="502"/>
      <c r="AJ1337" s="502"/>
      <c r="AL1337" s="434"/>
      <c r="AM1337" s="436"/>
      <c r="AN1337" s="434"/>
      <c r="AO1337" s="434"/>
      <c r="AP1337" s="556"/>
      <c r="AQ1337" s="556"/>
      <c r="AR1337" s="556"/>
      <c r="CF1337" s="2"/>
    </row>
    <row r="1338" spans="3:84">
      <c r="C1338" s="2"/>
      <c r="AD1338" s="502"/>
      <c r="AE1338" s="911"/>
      <c r="AF1338" s="502"/>
      <c r="AH1338" s="898"/>
      <c r="AI1338" s="502"/>
      <c r="AJ1338" s="502"/>
      <c r="AL1338" s="434"/>
      <c r="AM1338" s="436"/>
      <c r="AN1338" s="434"/>
      <c r="AO1338" s="434"/>
      <c r="AP1338" s="556"/>
      <c r="AQ1338" s="556"/>
      <c r="AR1338" s="556"/>
      <c r="CF1338" s="2"/>
    </row>
    <row r="1339" spans="3:84">
      <c r="C1339" s="2"/>
      <c r="AD1339" s="502"/>
      <c r="AE1339" s="911"/>
      <c r="AF1339" s="502"/>
      <c r="AH1339" s="898"/>
      <c r="AI1339" s="502"/>
      <c r="AJ1339" s="502"/>
      <c r="AL1339" s="434"/>
      <c r="AM1339" s="436"/>
      <c r="AN1339" s="434"/>
      <c r="AO1339" s="434"/>
      <c r="AP1339" s="556"/>
      <c r="AQ1339" s="556"/>
      <c r="AR1339" s="556"/>
      <c r="CF1339" s="2"/>
    </row>
    <row r="1340" spans="3:84">
      <c r="C1340" s="2"/>
      <c r="AD1340" s="502"/>
      <c r="AE1340" s="911"/>
      <c r="AF1340" s="502"/>
      <c r="AH1340" s="898"/>
      <c r="AI1340" s="502"/>
      <c r="AJ1340" s="502"/>
      <c r="AL1340" s="434"/>
      <c r="AM1340" s="436"/>
      <c r="AN1340" s="434"/>
      <c r="AO1340" s="434"/>
      <c r="AP1340" s="556"/>
      <c r="AQ1340" s="556"/>
      <c r="AR1340" s="556"/>
      <c r="CF1340" s="2"/>
    </row>
    <row r="1341" spans="3:84">
      <c r="C1341" s="2"/>
      <c r="AD1341" s="502"/>
      <c r="AE1341" s="911"/>
      <c r="AF1341" s="502"/>
      <c r="AH1341" s="898"/>
      <c r="AI1341" s="502"/>
      <c r="AJ1341" s="502"/>
      <c r="AL1341" s="434"/>
      <c r="AM1341" s="436"/>
      <c r="AN1341" s="434"/>
      <c r="AO1341" s="434"/>
      <c r="AP1341" s="556"/>
      <c r="AQ1341" s="556"/>
      <c r="AR1341" s="556"/>
      <c r="CF1341" s="2"/>
    </row>
    <row r="1342" spans="3:84">
      <c r="C1342" s="2"/>
      <c r="AD1342" s="502"/>
      <c r="AE1342" s="911"/>
      <c r="AF1342" s="502"/>
      <c r="AH1342" s="898"/>
      <c r="AI1342" s="502"/>
      <c r="AJ1342" s="502"/>
      <c r="AL1342" s="434"/>
      <c r="AM1342" s="436"/>
      <c r="AN1342" s="434"/>
      <c r="AO1342" s="434"/>
      <c r="AP1342" s="556"/>
      <c r="AQ1342" s="556"/>
      <c r="AR1342" s="556"/>
      <c r="CF1342" s="2"/>
    </row>
    <row r="1343" spans="3:84">
      <c r="C1343" s="2"/>
      <c r="AD1343" s="502"/>
      <c r="AE1343" s="911"/>
      <c r="AF1343" s="502"/>
      <c r="AH1343" s="898"/>
      <c r="AI1343" s="502"/>
      <c r="AJ1343" s="502"/>
      <c r="AL1343" s="434"/>
      <c r="AM1343" s="436"/>
      <c r="AN1343" s="434"/>
      <c r="AO1343" s="434"/>
      <c r="AP1343" s="556"/>
      <c r="AQ1343" s="556"/>
      <c r="AR1343" s="556"/>
      <c r="CF1343" s="2"/>
    </row>
    <row r="1344" spans="3:84">
      <c r="C1344" s="2"/>
      <c r="AD1344" s="502"/>
      <c r="AE1344" s="911"/>
      <c r="AF1344" s="502"/>
      <c r="AH1344" s="898"/>
      <c r="AI1344" s="502"/>
      <c r="AJ1344" s="502"/>
      <c r="AL1344" s="434"/>
      <c r="AM1344" s="436"/>
      <c r="AN1344" s="434"/>
      <c r="AO1344" s="434"/>
      <c r="AP1344" s="556"/>
      <c r="AQ1344" s="556"/>
      <c r="AR1344" s="556"/>
      <c r="CF1344" s="2"/>
    </row>
    <row r="1345" spans="3:84">
      <c r="C1345" s="2"/>
      <c r="AD1345" s="502"/>
      <c r="AE1345" s="911"/>
      <c r="AF1345" s="502"/>
      <c r="AH1345" s="898"/>
      <c r="AI1345" s="502"/>
      <c r="AJ1345" s="502"/>
      <c r="AL1345" s="434"/>
      <c r="AM1345" s="436"/>
      <c r="AN1345" s="434"/>
      <c r="AO1345" s="434"/>
      <c r="AP1345" s="556"/>
      <c r="AQ1345" s="556"/>
      <c r="AR1345" s="556"/>
      <c r="CF1345" s="2"/>
    </row>
    <row r="1346" spans="3:84">
      <c r="C1346" s="2"/>
      <c r="AD1346" s="502"/>
      <c r="AE1346" s="911"/>
      <c r="AF1346" s="502"/>
      <c r="AH1346" s="898"/>
      <c r="AI1346" s="502"/>
      <c r="AJ1346" s="502"/>
      <c r="AL1346" s="434"/>
      <c r="AM1346" s="436"/>
      <c r="AN1346" s="434"/>
      <c r="AO1346" s="434"/>
      <c r="AP1346" s="556"/>
      <c r="AQ1346" s="556"/>
      <c r="AR1346" s="556"/>
      <c r="CF1346" s="2"/>
    </row>
    <row r="1347" spans="3:84">
      <c r="C1347" s="2"/>
      <c r="AD1347" s="502"/>
      <c r="AE1347" s="911"/>
      <c r="AF1347" s="502"/>
      <c r="AH1347" s="898"/>
      <c r="AI1347" s="502"/>
      <c r="AJ1347" s="502"/>
      <c r="AL1347" s="434"/>
      <c r="AM1347" s="436"/>
      <c r="AN1347" s="434"/>
      <c r="AO1347" s="434"/>
      <c r="AP1347" s="556"/>
      <c r="AQ1347" s="556"/>
      <c r="AR1347" s="556"/>
      <c r="CF1347" s="2"/>
    </row>
    <row r="1348" spans="3:84">
      <c r="C1348" s="2"/>
      <c r="AD1348" s="502"/>
      <c r="AE1348" s="911"/>
      <c r="AF1348" s="502"/>
      <c r="AH1348" s="898"/>
      <c r="AI1348" s="502"/>
      <c r="AJ1348" s="502"/>
      <c r="AL1348" s="434"/>
      <c r="AM1348" s="436"/>
      <c r="AN1348" s="434"/>
      <c r="AO1348" s="434"/>
      <c r="AP1348" s="556"/>
      <c r="AQ1348" s="556"/>
      <c r="AR1348" s="556"/>
      <c r="CF1348" s="2"/>
    </row>
    <row r="1349" spans="3:84">
      <c r="C1349" s="2"/>
      <c r="AD1349" s="502"/>
      <c r="AE1349" s="911"/>
      <c r="AF1349" s="502"/>
      <c r="AH1349" s="898"/>
      <c r="AI1349" s="502"/>
      <c r="AJ1349" s="502"/>
      <c r="AL1349" s="434"/>
      <c r="AM1349" s="436"/>
      <c r="AN1349" s="434"/>
      <c r="AO1349" s="434"/>
      <c r="AP1349" s="556"/>
      <c r="AQ1349" s="556"/>
      <c r="AR1349" s="556"/>
      <c r="CF1349" s="2"/>
    </row>
    <row r="1350" spans="3:84">
      <c r="C1350" s="2"/>
      <c r="AD1350" s="502"/>
      <c r="AE1350" s="911"/>
      <c r="AF1350" s="502"/>
      <c r="AH1350" s="898"/>
      <c r="AI1350" s="502"/>
      <c r="AJ1350" s="502"/>
      <c r="AL1350" s="434"/>
      <c r="AM1350" s="436"/>
      <c r="AN1350" s="434"/>
      <c r="AO1350" s="434"/>
      <c r="AP1350" s="556"/>
      <c r="AQ1350" s="556"/>
      <c r="AR1350" s="556"/>
      <c r="CF1350" s="2"/>
    </row>
    <row r="1351" spans="3:84">
      <c r="C1351" s="2"/>
      <c r="AD1351" s="502"/>
      <c r="AE1351" s="911"/>
      <c r="AF1351" s="502"/>
      <c r="AH1351" s="898"/>
      <c r="AI1351" s="502"/>
      <c r="AJ1351" s="502"/>
      <c r="AL1351" s="434"/>
      <c r="AM1351" s="436"/>
      <c r="AN1351" s="434"/>
      <c r="AO1351" s="434"/>
      <c r="AP1351" s="556"/>
      <c r="AQ1351" s="556"/>
      <c r="AR1351" s="556"/>
      <c r="CF1351" s="2"/>
    </row>
    <row r="1352" spans="3:84">
      <c r="C1352" s="2"/>
      <c r="AD1352" s="502"/>
      <c r="AE1352" s="911"/>
      <c r="AF1352" s="502"/>
      <c r="AH1352" s="898"/>
      <c r="AI1352" s="502"/>
      <c r="AJ1352" s="502"/>
      <c r="AL1352" s="434"/>
      <c r="AM1352" s="436"/>
      <c r="AN1352" s="434"/>
      <c r="AO1352" s="434"/>
      <c r="AP1352" s="556"/>
      <c r="AQ1352" s="556"/>
      <c r="AR1352" s="556"/>
      <c r="CF1352" s="2"/>
    </row>
    <row r="1353" spans="3:84">
      <c r="C1353" s="2"/>
      <c r="AD1353" s="502"/>
      <c r="AE1353" s="911"/>
      <c r="AF1353" s="502"/>
      <c r="AH1353" s="898"/>
      <c r="AI1353" s="502"/>
      <c r="AJ1353" s="502"/>
      <c r="AL1353" s="434"/>
      <c r="AM1353" s="436"/>
      <c r="AN1353" s="434"/>
      <c r="AO1353" s="434"/>
      <c r="AP1353" s="556"/>
      <c r="AQ1353" s="556"/>
      <c r="AR1353" s="556"/>
      <c r="CF1353" s="2"/>
    </row>
    <row r="1354" spans="3:84">
      <c r="C1354" s="2"/>
      <c r="AD1354" s="502"/>
      <c r="AE1354" s="911"/>
      <c r="AF1354" s="502"/>
      <c r="AH1354" s="898"/>
      <c r="AI1354" s="502"/>
      <c r="AJ1354" s="502"/>
      <c r="AL1354" s="434"/>
      <c r="AM1354" s="436"/>
      <c r="AN1354" s="434"/>
      <c r="AO1354" s="434"/>
      <c r="AP1354" s="556"/>
      <c r="AQ1354" s="556"/>
      <c r="AR1354" s="556"/>
      <c r="CF1354" s="2"/>
    </row>
    <row r="1355" spans="3:84">
      <c r="C1355" s="2"/>
      <c r="AD1355" s="502"/>
      <c r="AE1355" s="911"/>
      <c r="AF1355" s="502"/>
      <c r="AH1355" s="898"/>
      <c r="AI1355" s="502"/>
      <c r="AJ1355" s="502"/>
      <c r="AL1355" s="434"/>
      <c r="AM1355" s="436"/>
      <c r="AN1355" s="434"/>
      <c r="AO1355" s="434"/>
      <c r="AP1355" s="556"/>
      <c r="AQ1355" s="556"/>
      <c r="AR1355" s="556"/>
      <c r="CF1355" s="2"/>
    </row>
    <row r="1356" spans="3:84">
      <c r="C1356" s="2"/>
      <c r="AD1356" s="502"/>
      <c r="AE1356" s="911"/>
      <c r="AF1356" s="502"/>
      <c r="AH1356" s="898"/>
      <c r="AI1356" s="502"/>
      <c r="AJ1356" s="502"/>
      <c r="AL1356" s="434"/>
      <c r="AM1356" s="436"/>
      <c r="AN1356" s="434"/>
      <c r="AO1356" s="434"/>
      <c r="AP1356" s="556"/>
      <c r="AQ1356" s="556"/>
      <c r="AR1356" s="556"/>
      <c r="CF1356" s="2"/>
    </row>
    <row r="1357" spans="3:84">
      <c r="C1357" s="2"/>
      <c r="AD1357" s="502"/>
      <c r="AE1357" s="911"/>
      <c r="AF1357" s="502"/>
      <c r="AH1357" s="898"/>
      <c r="AI1357" s="502"/>
      <c r="AJ1357" s="502"/>
      <c r="AL1357" s="434"/>
      <c r="AM1357" s="436"/>
      <c r="AN1357" s="434"/>
      <c r="AO1357" s="434"/>
      <c r="AP1357" s="556"/>
      <c r="AQ1357" s="556"/>
      <c r="AR1357" s="556"/>
      <c r="CF1357" s="2"/>
    </row>
    <row r="1358" spans="3:84">
      <c r="C1358" s="2"/>
      <c r="AD1358" s="502"/>
      <c r="AE1358" s="911"/>
      <c r="AF1358" s="502"/>
      <c r="AH1358" s="898"/>
      <c r="AI1358" s="502"/>
      <c r="AJ1358" s="502"/>
      <c r="AL1358" s="434"/>
      <c r="AM1358" s="436"/>
      <c r="AN1358" s="434"/>
      <c r="AO1358" s="434"/>
      <c r="AP1358" s="556"/>
      <c r="AQ1358" s="556"/>
      <c r="AR1358" s="556"/>
      <c r="CF1358" s="2"/>
    </row>
    <row r="1359" spans="3:84">
      <c r="C1359" s="2"/>
      <c r="AD1359" s="502"/>
      <c r="AE1359" s="911"/>
      <c r="AF1359" s="502"/>
      <c r="AH1359" s="898"/>
      <c r="AI1359" s="502"/>
      <c r="AJ1359" s="502"/>
      <c r="AL1359" s="434"/>
      <c r="AM1359" s="436"/>
      <c r="AN1359" s="434"/>
      <c r="AO1359" s="434"/>
      <c r="AP1359" s="556"/>
      <c r="AQ1359" s="556"/>
      <c r="AR1359" s="556"/>
      <c r="CF1359" s="2"/>
    </row>
    <row r="1360" spans="3:84">
      <c r="C1360" s="2"/>
      <c r="AD1360" s="502"/>
      <c r="AE1360" s="911"/>
      <c r="AF1360" s="502"/>
      <c r="AH1360" s="898"/>
      <c r="AI1360" s="502"/>
      <c r="AJ1360" s="502"/>
      <c r="AL1360" s="434"/>
      <c r="AM1360" s="436"/>
      <c r="AN1360" s="434"/>
      <c r="AO1360" s="434"/>
      <c r="AP1360" s="556"/>
      <c r="AQ1360" s="556"/>
      <c r="AR1360" s="556"/>
      <c r="CF1360" s="2"/>
    </row>
    <row r="1361" spans="3:84">
      <c r="C1361" s="2"/>
      <c r="AD1361" s="502"/>
      <c r="AE1361" s="911"/>
      <c r="AF1361" s="502"/>
      <c r="AH1361" s="898"/>
      <c r="AI1361" s="502"/>
      <c r="AJ1361" s="502"/>
      <c r="AL1361" s="434"/>
      <c r="AM1361" s="436"/>
      <c r="AN1361" s="434"/>
      <c r="AO1361" s="434"/>
      <c r="AP1361" s="556"/>
      <c r="AQ1361" s="556"/>
      <c r="AR1361" s="556"/>
      <c r="CF1361" s="2"/>
    </row>
    <row r="1362" spans="3:84">
      <c r="C1362" s="2"/>
      <c r="AD1362" s="502"/>
      <c r="AE1362" s="911"/>
      <c r="AF1362" s="502"/>
      <c r="AH1362" s="898"/>
      <c r="AI1362" s="502"/>
      <c r="AJ1362" s="502"/>
      <c r="AL1362" s="434"/>
      <c r="AM1362" s="436"/>
      <c r="AN1362" s="434"/>
      <c r="AO1362" s="434"/>
      <c r="AP1362" s="556"/>
      <c r="AQ1362" s="556"/>
      <c r="AR1362" s="556"/>
      <c r="CF1362" s="2"/>
    </row>
    <row r="1363" spans="3:84">
      <c r="C1363" s="2"/>
      <c r="AD1363" s="502"/>
      <c r="AE1363" s="911"/>
      <c r="AF1363" s="502"/>
      <c r="AH1363" s="898"/>
      <c r="AI1363" s="502"/>
      <c r="AJ1363" s="502"/>
      <c r="AL1363" s="434"/>
      <c r="AM1363" s="436"/>
      <c r="AN1363" s="434"/>
      <c r="AO1363" s="434"/>
      <c r="AP1363" s="556"/>
      <c r="AQ1363" s="556"/>
      <c r="AR1363" s="556"/>
      <c r="CF1363" s="2"/>
    </row>
    <row r="1364" spans="3:84">
      <c r="C1364" s="2"/>
      <c r="AD1364" s="502"/>
      <c r="AE1364" s="911"/>
      <c r="AF1364" s="502"/>
      <c r="AH1364" s="898"/>
      <c r="AI1364" s="502"/>
      <c r="AJ1364" s="502"/>
      <c r="AL1364" s="434"/>
      <c r="AM1364" s="436"/>
      <c r="AN1364" s="434"/>
      <c r="AO1364" s="434"/>
      <c r="AP1364" s="556"/>
      <c r="AQ1364" s="556"/>
      <c r="AR1364" s="556"/>
      <c r="CF1364" s="2"/>
    </row>
    <row r="1365" spans="3:84">
      <c r="C1365" s="2"/>
      <c r="AD1365" s="502"/>
      <c r="AE1365" s="911"/>
      <c r="AF1365" s="502"/>
      <c r="AH1365" s="898"/>
      <c r="AI1365" s="502"/>
      <c r="AJ1365" s="502"/>
      <c r="AL1365" s="434"/>
      <c r="AM1365" s="436"/>
      <c r="AN1365" s="434"/>
      <c r="AO1365" s="434"/>
      <c r="AP1365" s="556"/>
      <c r="AQ1365" s="556"/>
      <c r="AR1365" s="556"/>
      <c r="CF1365" s="2"/>
    </row>
    <row r="1366" spans="3:84">
      <c r="C1366" s="2"/>
      <c r="AD1366" s="502"/>
      <c r="AE1366" s="911"/>
      <c r="AF1366" s="502"/>
      <c r="AH1366" s="898"/>
      <c r="AI1366" s="502"/>
      <c r="AJ1366" s="502"/>
      <c r="AL1366" s="434"/>
      <c r="AM1366" s="436"/>
      <c r="AN1366" s="434"/>
      <c r="AO1366" s="434"/>
      <c r="AP1366" s="556"/>
      <c r="AQ1366" s="556"/>
      <c r="AR1366" s="556"/>
      <c r="CF1366" s="2"/>
    </row>
    <row r="1367" spans="3:84">
      <c r="C1367" s="2"/>
      <c r="AD1367" s="502"/>
      <c r="AE1367" s="911"/>
      <c r="AF1367" s="502"/>
      <c r="AH1367" s="898"/>
      <c r="AI1367" s="502"/>
      <c r="AJ1367" s="502"/>
      <c r="AL1367" s="434"/>
      <c r="AM1367" s="436"/>
      <c r="AN1367" s="434"/>
      <c r="AO1367" s="434"/>
      <c r="AP1367" s="556"/>
      <c r="AQ1367" s="556"/>
      <c r="AR1367" s="556"/>
      <c r="CF1367" s="2"/>
    </row>
    <row r="1368" spans="3:84">
      <c r="C1368" s="2"/>
      <c r="AD1368" s="502"/>
      <c r="AE1368" s="911"/>
      <c r="AF1368" s="502"/>
      <c r="AH1368" s="898"/>
      <c r="AI1368" s="502"/>
      <c r="AJ1368" s="502"/>
      <c r="AL1368" s="434"/>
      <c r="AM1368" s="436"/>
      <c r="AN1368" s="434"/>
      <c r="AO1368" s="434"/>
      <c r="AP1368" s="556"/>
      <c r="AQ1368" s="556"/>
      <c r="AR1368" s="556"/>
      <c r="CF1368" s="2"/>
    </row>
    <row r="1369" spans="3:84">
      <c r="C1369" s="2"/>
      <c r="AD1369" s="502"/>
      <c r="AE1369" s="911"/>
      <c r="AF1369" s="502"/>
      <c r="AH1369" s="898"/>
      <c r="AI1369" s="502"/>
      <c r="AJ1369" s="502"/>
      <c r="AL1369" s="434"/>
      <c r="AM1369" s="436"/>
      <c r="AN1369" s="434"/>
      <c r="AO1369" s="434"/>
      <c r="AP1369" s="556"/>
      <c r="AQ1369" s="556"/>
      <c r="AR1369" s="556"/>
      <c r="CF1369" s="2"/>
    </row>
    <row r="1370" spans="3:84">
      <c r="C1370" s="2"/>
      <c r="AD1370" s="502"/>
      <c r="AE1370" s="911"/>
      <c r="AF1370" s="502"/>
      <c r="AH1370" s="898"/>
      <c r="AI1370" s="502"/>
      <c r="AJ1370" s="502"/>
      <c r="AL1370" s="434"/>
      <c r="AM1370" s="436"/>
      <c r="AN1370" s="434"/>
      <c r="AO1370" s="434"/>
      <c r="AP1370" s="556"/>
      <c r="AQ1370" s="556"/>
      <c r="AR1370" s="556"/>
      <c r="CF1370" s="2"/>
    </row>
    <row r="1371" spans="3:84">
      <c r="C1371" s="2"/>
      <c r="AD1371" s="502"/>
      <c r="AE1371" s="911"/>
      <c r="AF1371" s="502"/>
      <c r="AH1371" s="898"/>
      <c r="AI1371" s="502"/>
      <c r="AJ1371" s="502"/>
      <c r="AL1371" s="434"/>
      <c r="AM1371" s="436"/>
      <c r="AN1371" s="434"/>
      <c r="AO1371" s="434"/>
      <c r="AP1371" s="556"/>
      <c r="AQ1371" s="556"/>
      <c r="AR1371" s="556"/>
      <c r="CF1371" s="2"/>
    </row>
    <row r="1372" spans="3:84">
      <c r="C1372" s="2"/>
      <c r="AD1372" s="502"/>
      <c r="AE1372" s="911"/>
      <c r="AF1372" s="502"/>
      <c r="AH1372" s="898"/>
      <c r="AI1372" s="502"/>
      <c r="AJ1372" s="502"/>
      <c r="AL1372" s="434"/>
      <c r="AM1372" s="436"/>
      <c r="AN1372" s="434"/>
      <c r="AO1372" s="434"/>
      <c r="AP1372" s="556"/>
      <c r="AQ1372" s="556"/>
      <c r="AR1372" s="556"/>
      <c r="CF1372" s="2"/>
    </row>
    <row r="1373" spans="3:84">
      <c r="C1373" s="2"/>
      <c r="AD1373" s="502"/>
      <c r="AE1373" s="911"/>
      <c r="AF1373" s="502"/>
      <c r="AH1373" s="898"/>
      <c r="AI1373" s="502"/>
      <c r="AJ1373" s="502"/>
      <c r="AL1373" s="434"/>
      <c r="AM1373" s="436"/>
      <c r="AN1373" s="434"/>
      <c r="AO1373" s="434"/>
      <c r="AP1373" s="556"/>
      <c r="AQ1373" s="556"/>
      <c r="AR1373" s="556"/>
      <c r="CF1373" s="2"/>
    </row>
    <row r="1374" spans="3:84">
      <c r="C1374" s="2"/>
      <c r="AD1374" s="502"/>
      <c r="AE1374" s="911"/>
      <c r="AF1374" s="502"/>
      <c r="AH1374" s="898"/>
      <c r="AI1374" s="502"/>
      <c r="AJ1374" s="502"/>
      <c r="AL1374" s="434"/>
      <c r="AM1374" s="436"/>
      <c r="AN1374" s="434"/>
      <c r="AO1374" s="434"/>
      <c r="AP1374" s="556"/>
      <c r="AQ1374" s="556"/>
      <c r="AR1374" s="556"/>
      <c r="CF1374" s="2"/>
    </row>
    <row r="1375" spans="3:84">
      <c r="C1375" s="2"/>
      <c r="AD1375" s="502"/>
      <c r="AE1375" s="911"/>
      <c r="AF1375" s="502"/>
      <c r="AH1375" s="898"/>
      <c r="AI1375" s="502"/>
      <c r="AJ1375" s="502"/>
      <c r="AL1375" s="434"/>
      <c r="AM1375" s="436"/>
      <c r="AN1375" s="434"/>
      <c r="AO1375" s="434"/>
      <c r="AP1375" s="556"/>
      <c r="AQ1375" s="556"/>
      <c r="AR1375" s="556"/>
      <c r="CF1375" s="2"/>
    </row>
    <row r="1376" spans="3:84">
      <c r="C1376" s="2"/>
      <c r="AD1376" s="502"/>
      <c r="AE1376" s="911"/>
      <c r="AF1376" s="502"/>
      <c r="AH1376" s="898"/>
      <c r="AI1376" s="502"/>
      <c r="AJ1376" s="502"/>
      <c r="AL1376" s="434"/>
      <c r="AM1376" s="436"/>
      <c r="AN1376" s="434"/>
      <c r="AO1376" s="434"/>
      <c r="AP1376" s="556"/>
      <c r="AQ1376" s="556"/>
      <c r="AR1376" s="556"/>
      <c r="CF1376" s="2"/>
    </row>
    <row r="1377" spans="3:84">
      <c r="C1377" s="2"/>
      <c r="AD1377" s="502"/>
      <c r="AE1377" s="911"/>
      <c r="AF1377" s="502"/>
      <c r="AH1377" s="898"/>
      <c r="AI1377" s="502"/>
      <c r="AJ1377" s="502"/>
      <c r="AL1377" s="434"/>
      <c r="AM1377" s="436"/>
      <c r="AN1377" s="434"/>
      <c r="AO1377" s="434"/>
      <c r="AP1377" s="556"/>
      <c r="AQ1377" s="556"/>
      <c r="AR1377" s="556"/>
      <c r="CF1377" s="2"/>
    </row>
    <row r="1378" spans="3:84">
      <c r="C1378" s="2"/>
      <c r="AD1378" s="502"/>
      <c r="AE1378" s="911"/>
      <c r="AF1378" s="502"/>
      <c r="AH1378" s="898"/>
      <c r="AI1378" s="502"/>
      <c r="AJ1378" s="502"/>
      <c r="AL1378" s="434"/>
      <c r="AM1378" s="436"/>
      <c r="AN1378" s="434"/>
      <c r="AO1378" s="434"/>
      <c r="AP1378" s="556"/>
      <c r="AQ1378" s="556"/>
      <c r="AR1378" s="556"/>
      <c r="CF1378" s="2"/>
    </row>
    <row r="1379" spans="3:84">
      <c r="C1379" s="2"/>
      <c r="AD1379" s="502"/>
      <c r="AE1379" s="911"/>
      <c r="AF1379" s="502"/>
      <c r="AH1379" s="898"/>
      <c r="AI1379" s="502"/>
      <c r="AJ1379" s="502"/>
      <c r="AL1379" s="434"/>
      <c r="AM1379" s="436"/>
      <c r="AN1379" s="434"/>
      <c r="AO1379" s="434"/>
      <c r="AP1379" s="556"/>
      <c r="AQ1379" s="556"/>
      <c r="AR1379" s="556"/>
      <c r="CF1379" s="2"/>
    </row>
    <row r="1380" spans="3:84">
      <c r="C1380" s="2"/>
      <c r="AD1380" s="502"/>
      <c r="AE1380" s="911"/>
      <c r="AF1380" s="502"/>
      <c r="AH1380" s="898"/>
      <c r="AI1380" s="502"/>
      <c r="AJ1380" s="502"/>
      <c r="AL1380" s="434"/>
      <c r="AM1380" s="436"/>
      <c r="AN1380" s="434"/>
      <c r="AO1380" s="434"/>
      <c r="AP1380" s="556"/>
      <c r="AQ1380" s="556"/>
      <c r="AR1380" s="556"/>
      <c r="CF1380" s="2"/>
    </row>
    <row r="1381" spans="3:84">
      <c r="C1381" s="2"/>
      <c r="AD1381" s="502"/>
      <c r="AE1381" s="911"/>
      <c r="AF1381" s="502"/>
      <c r="AH1381" s="898"/>
      <c r="AI1381" s="502"/>
      <c r="AJ1381" s="502"/>
      <c r="AL1381" s="434"/>
      <c r="AM1381" s="436"/>
      <c r="AN1381" s="434"/>
      <c r="AO1381" s="434"/>
      <c r="AP1381" s="556"/>
      <c r="AQ1381" s="556"/>
      <c r="AR1381" s="556"/>
      <c r="CF1381" s="2"/>
    </row>
    <row r="1382" spans="3:84">
      <c r="C1382" s="2"/>
      <c r="AD1382" s="502"/>
      <c r="AE1382" s="911"/>
      <c r="AF1382" s="502"/>
      <c r="AH1382" s="898"/>
      <c r="AI1382" s="502"/>
      <c r="AJ1382" s="502"/>
      <c r="AL1382" s="434"/>
      <c r="AM1382" s="436"/>
      <c r="AN1382" s="434"/>
      <c r="AO1382" s="434"/>
      <c r="AP1382" s="556"/>
      <c r="AQ1382" s="556"/>
      <c r="AR1382" s="556"/>
      <c r="CF1382" s="2"/>
    </row>
    <row r="1383" spans="3:84">
      <c r="C1383" s="2"/>
      <c r="AD1383" s="502"/>
      <c r="AE1383" s="911"/>
      <c r="AF1383" s="502"/>
      <c r="AH1383" s="898"/>
      <c r="AI1383" s="502"/>
      <c r="AJ1383" s="502"/>
      <c r="AL1383" s="434"/>
      <c r="AM1383" s="436"/>
      <c r="AN1383" s="434"/>
      <c r="AO1383" s="434"/>
      <c r="AP1383" s="556"/>
      <c r="AQ1383" s="556"/>
      <c r="AR1383" s="556"/>
      <c r="CF1383" s="2"/>
    </row>
    <row r="1384" spans="3:84">
      <c r="C1384" s="2"/>
      <c r="AD1384" s="502"/>
      <c r="AE1384" s="911"/>
      <c r="AF1384" s="502"/>
      <c r="AH1384" s="898"/>
      <c r="AI1384" s="502"/>
      <c r="AJ1384" s="502"/>
      <c r="AL1384" s="434"/>
      <c r="AM1384" s="436"/>
      <c r="AN1384" s="434"/>
      <c r="AO1384" s="434"/>
      <c r="AP1384" s="556"/>
      <c r="AQ1384" s="556"/>
      <c r="AR1384" s="556"/>
      <c r="CF1384" s="2"/>
    </row>
    <row r="1385" spans="3:84">
      <c r="C1385" s="2"/>
      <c r="AD1385" s="502"/>
      <c r="AE1385" s="911"/>
      <c r="AF1385" s="502"/>
      <c r="AH1385" s="898"/>
      <c r="AI1385" s="502"/>
      <c r="AJ1385" s="502"/>
      <c r="AL1385" s="434"/>
      <c r="AM1385" s="436"/>
      <c r="AN1385" s="434"/>
      <c r="AO1385" s="434"/>
      <c r="AP1385" s="556"/>
      <c r="AQ1385" s="556"/>
      <c r="AR1385" s="556"/>
      <c r="CF1385" s="2"/>
    </row>
    <row r="1386" spans="3:84">
      <c r="C1386" s="2"/>
      <c r="AD1386" s="502"/>
      <c r="AE1386" s="911"/>
      <c r="AF1386" s="502"/>
      <c r="AH1386" s="898"/>
      <c r="AI1386" s="502"/>
      <c r="AJ1386" s="502"/>
      <c r="AL1386" s="434"/>
      <c r="AM1386" s="436"/>
      <c r="AN1386" s="434"/>
      <c r="AO1386" s="434"/>
      <c r="AP1386" s="556"/>
      <c r="AQ1386" s="556"/>
      <c r="AR1386" s="556"/>
      <c r="CF1386" s="2"/>
    </row>
    <row r="1387" spans="3:84">
      <c r="C1387" s="2"/>
      <c r="AD1387" s="502"/>
      <c r="AE1387" s="911"/>
      <c r="AF1387" s="502"/>
      <c r="AH1387" s="898"/>
      <c r="AI1387" s="502"/>
      <c r="AJ1387" s="502"/>
      <c r="AL1387" s="434"/>
      <c r="AM1387" s="436"/>
      <c r="AN1387" s="434"/>
      <c r="AO1387" s="434"/>
      <c r="AP1387" s="556"/>
      <c r="AQ1387" s="556"/>
      <c r="AR1387" s="556"/>
      <c r="CF1387" s="2"/>
    </row>
    <row r="1388" spans="3:84">
      <c r="C1388" s="2"/>
      <c r="AD1388" s="502"/>
      <c r="AE1388" s="911"/>
      <c r="AF1388" s="502"/>
      <c r="AH1388" s="898"/>
      <c r="AI1388" s="502"/>
      <c r="AJ1388" s="502"/>
      <c r="AL1388" s="434"/>
      <c r="AM1388" s="436"/>
      <c r="AN1388" s="434"/>
      <c r="AO1388" s="434"/>
      <c r="AP1388" s="556"/>
      <c r="AQ1388" s="556"/>
      <c r="AR1388" s="556"/>
      <c r="CF1388" s="2"/>
    </row>
    <row r="1389" spans="3:84">
      <c r="C1389" s="2"/>
      <c r="AD1389" s="502"/>
      <c r="AE1389" s="911"/>
      <c r="AF1389" s="502"/>
      <c r="AH1389" s="898"/>
      <c r="AI1389" s="502"/>
      <c r="AJ1389" s="502"/>
      <c r="AL1389" s="434"/>
      <c r="AM1389" s="436"/>
      <c r="AN1389" s="434"/>
      <c r="AO1389" s="434"/>
      <c r="AP1389" s="556"/>
      <c r="AQ1389" s="556"/>
      <c r="AR1389" s="556"/>
      <c r="CF1389" s="2"/>
    </row>
    <row r="1390" spans="3:84">
      <c r="C1390" s="2"/>
      <c r="AD1390" s="502"/>
      <c r="AE1390" s="911"/>
      <c r="AF1390" s="502"/>
      <c r="AH1390" s="898"/>
      <c r="AI1390" s="502"/>
      <c r="AJ1390" s="502"/>
      <c r="AL1390" s="434"/>
      <c r="AM1390" s="436"/>
      <c r="AN1390" s="434"/>
      <c r="AO1390" s="434"/>
      <c r="AP1390" s="556"/>
      <c r="AQ1390" s="556"/>
      <c r="AR1390" s="556"/>
      <c r="CF1390" s="2"/>
    </row>
    <row r="1391" spans="3:84">
      <c r="C1391" s="2"/>
      <c r="AD1391" s="502"/>
      <c r="AE1391" s="911"/>
      <c r="AF1391" s="502"/>
      <c r="AH1391" s="898"/>
      <c r="AI1391" s="502"/>
      <c r="AJ1391" s="502"/>
      <c r="AL1391" s="434"/>
      <c r="AM1391" s="436"/>
      <c r="AN1391" s="434"/>
      <c r="AO1391" s="434"/>
      <c r="AP1391" s="556"/>
      <c r="AQ1391" s="556"/>
      <c r="AR1391" s="556"/>
      <c r="CF1391" s="2"/>
    </row>
    <row r="1392" spans="3:84">
      <c r="C1392" s="2"/>
      <c r="AD1392" s="502"/>
      <c r="AE1392" s="911"/>
      <c r="AF1392" s="502"/>
      <c r="AH1392" s="898"/>
      <c r="AI1392" s="502"/>
      <c r="AJ1392" s="502"/>
      <c r="AL1392" s="434"/>
      <c r="AM1392" s="436"/>
      <c r="AN1392" s="434"/>
      <c r="AO1392" s="434"/>
      <c r="AP1392" s="556"/>
      <c r="AQ1392" s="556"/>
      <c r="AR1392" s="556"/>
      <c r="CF1392" s="2"/>
    </row>
    <row r="1393" spans="3:84">
      <c r="C1393" s="2"/>
      <c r="AD1393" s="502"/>
      <c r="AE1393" s="911"/>
      <c r="AF1393" s="502"/>
      <c r="AH1393" s="898"/>
      <c r="AI1393" s="502"/>
      <c r="AJ1393" s="502"/>
      <c r="AL1393" s="434"/>
      <c r="AM1393" s="436"/>
      <c r="AN1393" s="434"/>
      <c r="AO1393" s="434"/>
      <c r="AP1393" s="556"/>
      <c r="AQ1393" s="556"/>
      <c r="AR1393" s="556"/>
      <c r="CF1393" s="2"/>
    </row>
    <row r="1394" spans="3:84">
      <c r="C1394" s="2"/>
      <c r="AD1394" s="502"/>
      <c r="AE1394" s="911"/>
      <c r="AF1394" s="502"/>
      <c r="AH1394" s="898"/>
      <c r="AI1394" s="502"/>
      <c r="AJ1394" s="502"/>
      <c r="AL1394" s="434"/>
      <c r="AM1394" s="436"/>
      <c r="AN1394" s="434"/>
      <c r="AO1394" s="434"/>
      <c r="AP1394" s="556"/>
      <c r="AQ1394" s="556"/>
      <c r="AR1394" s="556"/>
      <c r="CF1394" s="2"/>
    </row>
    <row r="1395" spans="3:84">
      <c r="C1395" s="2"/>
      <c r="AD1395" s="502"/>
      <c r="AE1395" s="911"/>
      <c r="AF1395" s="502"/>
      <c r="AH1395" s="898"/>
      <c r="AI1395" s="502"/>
      <c r="AJ1395" s="502"/>
      <c r="AL1395" s="434"/>
      <c r="AM1395" s="436"/>
      <c r="AN1395" s="434"/>
      <c r="AO1395" s="434"/>
      <c r="AP1395" s="556"/>
      <c r="AQ1395" s="556"/>
      <c r="AR1395" s="556"/>
      <c r="CF1395" s="2"/>
    </row>
    <row r="1396" spans="3:84">
      <c r="C1396" s="2"/>
      <c r="AD1396" s="502"/>
      <c r="AE1396" s="911"/>
      <c r="AF1396" s="502"/>
      <c r="AH1396" s="898"/>
      <c r="AI1396" s="502"/>
      <c r="AJ1396" s="502"/>
      <c r="AL1396" s="434"/>
      <c r="AM1396" s="436"/>
      <c r="AN1396" s="434"/>
      <c r="AO1396" s="434"/>
      <c r="AP1396" s="556"/>
      <c r="AQ1396" s="556"/>
      <c r="AR1396" s="556"/>
      <c r="CF1396" s="2"/>
    </row>
    <row r="1397" spans="3:84">
      <c r="C1397" s="2"/>
      <c r="AD1397" s="502"/>
      <c r="AE1397" s="911"/>
      <c r="AF1397" s="502"/>
      <c r="AH1397" s="898"/>
      <c r="AI1397" s="502"/>
      <c r="AJ1397" s="502"/>
      <c r="AL1397" s="434"/>
      <c r="AM1397" s="436"/>
      <c r="AN1397" s="434"/>
      <c r="AO1397" s="434"/>
      <c r="AP1397" s="556"/>
      <c r="AQ1397" s="556"/>
      <c r="AR1397" s="556"/>
      <c r="CF1397" s="2"/>
    </row>
    <row r="1398" spans="3:84">
      <c r="C1398" s="2"/>
      <c r="AD1398" s="502"/>
      <c r="AE1398" s="911"/>
      <c r="AF1398" s="502"/>
      <c r="AH1398" s="898"/>
      <c r="AI1398" s="502"/>
      <c r="AJ1398" s="502"/>
      <c r="AL1398" s="434"/>
      <c r="AM1398" s="436"/>
      <c r="AN1398" s="434"/>
      <c r="AO1398" s="434"/>
      <c r="AP1398" s="556"/>
      <c r="AQ1398" s="556"/>
      <c r="AR1398" s="556"/>
      <c r="CF1398" s="2"/>
    </row>
    <row r="1399" spans="3:84">
      <c r="C1399" s="2"/>
      <c r="AD1399" s="502"/>
      <c r="AE1399" s="911"/>
      <c r="AF1399" s="502"/>
      <c r="AH1399" s="898"/>
      <c r="AI1399" s="502"/>
      <c r="AJ1399" s="502"/>
      <c r="AL1399" s="434"/>
      <c r="AM1399" s="436"/>
      <c r="AN1399" s="434"/>
      <c r="AO1399" s="434"/>
      <c r="AP1399" s="556"/>
      <c r="AQ1399" s="556"/>
      <c r="AR1399" s="556"/>
      <c r="CF1399" s="2"/>
    </row>
    <row r="1400" spans="3:84">
      <c r="C1400" s="2"/>
      <c r="AD1400" s="502"/>
      <c r="AE1400" s="911"/>
      <c r="AF1400" s="502"/>
      <c r="AH1400" s="898"/>
      <c r="AI1400" s="502"/>
      <c r="AJ1400" s="502"/>
      <c r="AL1400" s="434"/>
      <c r="AM1400" s="436"/>
      <c r="AN1400" s="434"/>
      <c r="AO1400" s="434"/>
      <c r="AP1400" s="556"/>
      <c r="AQ1400" s="556"/>
      <c r="AR1400" s="556"/>
      <c r="CF1400" s="2"/>
    </row>
    <row r="1401" spans="3:84">
      <c r="C1401" s="2"/>
      <c r="AD1401" s="502"/>
      <c r="AE1401" s="911"/>
      <c r="AF1401" s="502"/>
      <c r="AH1401" s="898"/>
      <c r="AI1401" s="502"/>
      <c r="AJ1401" s="502"/>
      <c r="AL1401" s="434"/>
      <c r="AM1401" s="436"/>
      <c r="AN1401" s="434"/>
      <c r="AO1401" s="434"/>
      <c r="AP1401" s="556"/>
      <c r="AQ1401" s="556"/>
      <c r="AR1401" s="556"/>
      <c r="CF1401" s="2"/>
    </row>
    <row r="1402" spans="3:84">
      <c r="C1402" s="2"/>
      <c r="AD1402" s="502"/>
      <c r="AE1402" s="911"/>
      <c r="AF1402" s="502"/>
      <c r="AH1402" s="898"/>
      <c r="AI1402" s="502"/>
      <c r="AJ1402" s="502"/>
      <c r="AL1402" s="434"/>
      <c r="AM1402" s="436"/>
      <c r="AN1402" s="434"/>
      <c r="AO1402" s="434"/>
      <c r="AP1402" s="556"/>
      <c r="AQ1402" s="556"/>
      <c r="AR1402" s="556"/>
      <c r="CF1402" s="2"/>
    </row>
    <row r="1403" spans="3:84">
      <c r="C1403" s="2"/>
      <c r="AD1403" s="502"/>
      <c r="AE1403" s="911"/>
      <c r="AF1403" s="502"/>
      <c r="AH1403" s="898"/>
      <c r="AI1403" s="502"/>
      <c r="AJ1403" s="502"/>
      <c r="AL1403" s="434"/>
      <c r="AM1403" s="436"/>
      <c r="AN1403" s="434"/>
      <c r="AO1403" s="434"/>
      <c r="AP1403" s="556"/>
      <c r="AQ1403" s="556"/>
      <c r="AR1403" s="556"/>
      <c r="CF1403" s="2"/>
    </row>
    <row r="1404" spans="3:84">
      <c r="C1404" s="2"/>
      <c r="AD1404" s="502"/>
      <c r="AE1404" s="911"/>
      <c r="AF1404" s="502"/>
      <c r="AH1404" s="898"/>
      <c r="AI1404" s="502"/>
      <c r="AJ1404" s="502"/>
      <c r="AL1404" s="434"/>
      <c r="AM1404" s="436"/>
      <c r="AN1404" s="434"/>
      <c r="AO1404" s="434"/>
      <c r="AP1404" s="556"/>
      <c r="AQ1404" s="556"/>
      <c r="AR1404" s="556"/>
      <c r="CF1404" s="2"/>
    </row>
    <row r="1405" spans="3:84">
      <c r="C1405" s="2"/>
      <c r="AD1405" s="502"/>
      <c r="AE1405" s="911"/>
      <c r="AF1405" s="502"/>
      <c r="AH1405" s="898"/>
      <c r="AI1405" s="502"/>
      <c r="AJ1405" s="502"/>
      <c r="AL1405" s="434"/>
      <c r="AM1405" s="436"/>
      <c r="AN1405" s="434"/>
      <c r="AO1405" s="434"/>
      <c r="AP1405" s="556"/>
      <c r="AQ1405" s="556"/>
      <c r="AR1405" s="556"/>
      <c r="CF1405" s="2"/>
    </row>
    <row r="1406" spans="3:84">
      <c r="C1406" s="2"/>
      <c r="AD1406" s="502"/>
      <c r="AE1406" s="911"/>
      <c r="AF1406" s="502"/>
      <c r="AH1406" s="898"/>
      <c r="AI1406" s="502"/>
      <c r="AJ1406" s="502"/>
      <c r="AL1406" s="434"/>
      <c r="AM1406" s="436"/>
      <c r="AN1406" s="434"/>
      <c r="AO1406" s="434"/>
      <c r="AP1406" s="556"/>
      <c r="AQ1406" s="556"/>
      <c r="AR1406" s="556"/>
      <c r="CF1406" s="2"/>
    </row>
    <row r="1407" spans="3:84">
      <c r="C1407" s="2"/>
      <c r="AD1407" s="502"/>
      <c r="AE1407" s="911"/>
      <c r="AF1407" s="502"/>
      <c r="AH1407" s="898"/>
      <c r="AI1407" s="502"/>
      <c r="AJ1407" s="502"/>
      <c r="AL1407" s="434"/>
      <c r="AM1407" s="436"/>
      <c r="AN1407" s="434"/>
      <c r="AO1407" s="434"/>
      <c r="AP1407" s="556"/>
      <c r="AQ1407" s="556"/>
      <c r="AR1407" s="556"/>
      <c r="CF1407" s="2"/>
    </row>
    <row r="1408" spans="3:84">
      <c r="C1408" s="2"/>
      <c r="AD1408" s="502"/>
      <c r="AE1408" s="911"/>
      <c r="AF1408" s="502"/>
      <c r="AH1408" s="898"/>
      <c r="AI1408" s="502"/>
      <c r="AJ1408" s="502"/>
      <c r="AL1408" s="434"/>
      <c r="AM1408" s="436"/>
      <c r="AN1408" s="434"/>
      <c r="AO1408" s="434"/>
      <c r="AP1408" s="556"/>
      <c r="AQ1408" s="556"/>
      <c r="AR1408" s="556"/>
      <c r="CF1408" s="2"/>
    </row>
    <row r="1409" spans="3:84">
      <c r="C1409" s="2"/>
      <c r="AD1409" s="502"/>
      <c r="AE1409" s="911"/>
      <c r="AF1409" s="502"/>
      <c r="AH1409" s="898"/>
      <c r="AI1409" s="502"/>
      <c r="AJ1409" s="502"/>
      <c r="AL1409" s="434"/>
      <c r="AM1409" s="436"/>
      <c r="AN1409" s="434"/>
      <c r="AO1409" s="434"/>
      <c r="AP1409" s="556"/>
      <c r="AQ1409" s="556"/>
      <c r="AR1409" s="556"/>
      <c r="CF1409" s="2"/>
    </row>
    <row r="1410" spans="3:84">
      <c r="C1410" s="2"/>
      <c r="AD1410" s="502"/>
      <c r="AE1410" s="911"/>
      <c r="AF1410" s="502"/>
      <c r="AH1410" s="898"/>
      <c r="AI1410" s="502"/>
      <c r="AJ1410" s="502"/>
      <c r="AL1410" s="434"/>
      <c r="AM1410" s="436"/>
      <c r="AN1410" s="434"/>
      <c r="AO1410" s="434"/>
      <c r="AP1410" s="556"/>
      <c r="AQ1410" s="556"/>
      <c r="AR1410" s="556"/>
      <c r="CF1410" s="2"/>
    </row>
    <row r="1411" spans="3:84">
      <c r="C1411" s="2"/>
      <c r="AD1411" s="502"/>
      <c r="AE1411" s="911"/>
      <c r="AF1411" s="502"/>
      <c r="AH1411" s="898"/>
      <c r="AI1411" s="502"/>
      <c r="AJ1411" s="502"/>
      <c r="AL1411" s="434"/>
      <c r="AM1411" s="436"/>
      <c r="AN1411" s="434"/>
      <c r="AO1411" s="434"/>
      <c r="AP1411" s="556"/>
      <c r="AQ1411" s="556"/>
      <c r="AR1411" s="556"/>
      <c r="CF1411" s="2"/>
    </row>
    <row r="1412" spans="3:84">
      <c r="C1412" s="2"/>
      <c r="AD1412" s="502"/>
      <c r="AE1412" s="911"/>
      <c r="AF1412" s="502"/>
      <c r="AH1412" s="898"/>
      <c r="AI1412" s="502"/>
      <c r="AJ1412" s="502"/>
      <c r="AL1412" s="434"/>
      <c r="AM1412" s="436"/>
      <c r="AN1412" s="434"/>
      <c r="AO1412" s="434"/>
      <c r="AP1412" s="556"/>
      <c r="AQ1412" s="556"/>
      <c r="AR1412" s="556"/>
      <c r="CF1412" s="2"/>
    </row>
    <row r="1413" spans="3:84">
      <c r="C1413" s="2"/>
      <c r="AD1413" s="502"/>
      <c r="AE1413" s="911"/>
      <c r="AF1413" s="502"/>
      <c r="AH1413" s="898"/>
      <c r="AI1413" s="502"/>
      <c r="AJ1413" s="502"/>
      <c r="AL1413" s="434"/>
      <c r="AM1413" s="436"/>
      <c r="AN1413" s="434"/>
      <c r="AO1413" s="434"/>
      <c r="AP1413" s="556"/>
      <c r="AQ1413" s="556"/>
      <c r="AR1413" s="556"/>
      <c r="CF1413" s="2"/>
    </row>
    <row r="1414" spans="3:84">
      <c r="C1414" s="2"/>
      <c r="AD1414" s="502"/>
      <c r="AE1414" s="911"/>
      <c r="AF1414" s="502"/>
      <c r="AH1414" s="898"/>
      <c r="AI1414" s="502"/>
      <c r="AJ1414" s="502"/>
      <c r="AL1414" s="434"/>
      <c r="AM1414" s="436"/>
      <c r="AN1414" s="434"/>
      <c r="AO1414" s="434"/>
      <c r="AP1414" s="556"/>
      <c r="AQ1414" s="556"/>
      <c r="AR1414" s="556"/>
      <c r="CF1414" s="2"/>
    </row>
    <row r="1415" spans="3:84">
      <c r="C1415" s="2"/>
      <c r="AD1415" s="502"/>
      <c r="AE1415" s="911"/>
      <c r="AF1415" s="502"/>
      <c r="AH1415" s="898"/>
      <c r="AI1415" s="502"/>
      <c r="AJ1415" s="502"/>
      <c r="AL1415" s="434"/>
      <c r="AM1415" s="436"/>
      <c r="AN1415" s="434"/>
      <c r="AO1415" s="434"/>
      <c r="AP1415" s="556"/>
      <c r="AQ1415" s="556"/>
      <c r="AR1415" s="556"/>
      <c r="CF1415" s="2"/>
    </row>
    <row r="1416" spans="3:84">
      <c r="C1416" s="2"/>
      <c r="AD1416" s="502"/>
      <c r="AE1416" s="911"/>
      <c r="AF1416" s="502"/>
      <c r="AH1416" s="898"/>
      <c r="AI1416" s="502"/>
      <c r="AJ1416" s="502"/>
      <c r="AL1416" s="434"/>
      <c r="AM1416" s="436"/>
      <c r="AN1416" s="434"/>
      <c r="AO1416" s="434"/>
      <c r="AP1416" s="556"/>
      <c r="AQ1416" s="556"/>
      <c r="AR1416" s="556"/>
      <c r="CF1416" s="2"/>
    </row>
    <row r="1417" spans="3:84">
      <c r="C1417" s="2"/>
      <c r="AD1417" s="502"/>
      <c r="AE1417" s="911"/>
      <c r="AF1417" s="502"/>
      <c r="AH1417" s="898"/>
      <c r="AI1417" s="502"/>
      <c r="AJ1417" s="502"/>
      <c r="AL1417" s="434"/>
      <c r="AM1417" s="436"/>
      <c r="AN1417" s="434"/>
      <c r="AO1417" s="434"/>
      <c r="AP1417" s="556"/>
      <c r="AQ1417" s="556"/>
      <c r="AR1417" s="556"/>
      <c r="CF1417" s="2"/>
    </row>
    <row r="1418" spans="3:84">
      <c r="C1418" s="2"/>
      <c r="AD1418" s="502"/>
      <c r="AE1418" s="911"/>
      <c r="AF1418" s="502"/>
      <c r="AH1418" s="898"/>
      <c r="AI1418" s="502"/>
      <c r="AJ1418" s="502"/>
      <c r="AL1418" s="434"/>
      <c r="AM1418" s="436"/>
      <c r="AN1418" s="434"/>
      <c r="AO1418" s="434"/>
      <c r="AP1418" s="556"/>
      <c r="AQ1418" s="556"/>
      <c r="AR1418" s="556"/>
      <c r="CF1418" s="2"/>
    </row>
    <row r="1419" spans="3:84">
      <c r="C1419" s="2"/>
      <c r="AD1419" s="502"/>
      <c r="AE1419" s="911"/>
      <c r="AF1419" s="502"/>
      <c r="AH1419" s="898"/>
      <c r="AI1419" s="502"/>
      <c r="AJ1419" s="502"/>
      <c r="AL1419" s="434"/>
      <c r="AM1419" s="436"/>
      <c r="AN1419" s="434"/>
      <c r="AO1419" s="434"/>
      <c r="AP1419" s="556"/>
      <c r="AQ1419" s="556"/>
      <c r="AR1419" s="556"/>
      <c r="CF1419" s="2"/>
    </row>
    <row r="1420" spans="3:84">
      <c r="C1420" s="2"/>
      <c r="AD1420" s="502"/>
      <c r="AE1420" s="911"/>
      <c r="AF1420" s="502"/>
      <c r="AH1420" s="898"/>
      <c r="AI1420" s="502"/>
      <c r="AJ1420" s="502"/>
      <c r="AL1420" s="434"/>
      <c r="AM1420" s="436"/>
      <c r="AN1420" s="434"/>
      <c r="AO1420" s="434"/>
      <c r="AP1420" s="556"/>
      <c r="AQ1420" s="556"/>
      <c r="AR1420" s="556"/>
      <c r="CF1420" s="2"/>
    </row>
    <row r="1421" spans="3:84">
      <c r="C1421" s="2"/>
      <c r="AD1421" s="502"/>
      <c r="AE1421" s="911"/>
      <c r="AF1421" s="502"/>
      <c r="AH1421" s="898"/>
      <c r="AI1421" s="502"/>
      <c r="AJ1421" s="502"/>
      <c r="AL1421" s="434"/>
      <c r="AM1421" s="436"/>
      <c r="AN1421" s="434"/>
      <c r="AO1421" s="434"/>
      <c r="AP1421" s="556"/>
      <c r="AQ1421" s="556"/>
      <c r="AR1421" s="556"/>
      <c r="CF1421" s="2"/>
    </row>
    <row r="1422" spans="3:84">
      <c r="C1422" s="2"/>
      <c r="AD1422" s="502"/>
      <c r="AE1422" s="911"/>
      <c r="AF1422" s="502"/>
      <c r="AH1422" s="898"/>
      <c r="AI1422" s="502"/>
      <c r="AJ1422" s="502"/>
      <c r="AL1422" s="434"/>
      <c r="AM1422" s="436"/>
      <c r="AN1422" s="434"/>
      <c r="AO1422" s="434"/>
      <c r="AP1422" s="556"/>
      <c r="AQ1422" s="556"/>
      <c r="AR1422" s="556"/>
      <c r="CF1422" s="2"/>
    </row>
    <row r="1423" spans="3:84">
      <c r="C1423" s="2"/>
      <c r="AD1423" s="502"/>
      <c r="AE1423" s="911"/>
      <c r="AF1423" s="502"/>
      <c r="AH1423" s="898"/>
      <c r="AI1423" s="502"/>
      <c r="AJ1423" s="502"/>
      <c r="AL1423" s="434"/>
      <c r="AM1423" s="436"/>
      <c r="AN1423" s="434"/>
      <c r="AO1423" s="434"/>
      <c r="AP1423" s="556"/>
      <c r="AQ1423" s="556"/>
      <c r="AR1423" s="556"/>
      <c r="CF1423" s="2"/>
    </row>
    <row r="1424" spans="3:84">
      <c r="C1424" s="2"/>
      <c r="AD1424" s="502"/>
      <c r="AE1424" s="911"/>
      <c r="AF1424" s="502"/>
      <c r="AH1424" s="898"/>
      <c r="AI1424" s="502"/>
      <c r="AJ1424" s="502"/>
      <c r="AL1424" s="434"/>
      <c r="AM1424" s="436"/>
      <c r="AN1424" s="434"/>
      <c r="AO1424" s="434"/>
      <c r="AP1424" s="556"/>
      <c r="AQ1424" s="556"/>
      <c r="AR1424" s="556"/>
      <c r="CF1424" s="2"/>
    </row>
    <row r="1425" spans="3:84">
      <c r="C1425" s="2"/>
      <c r="AD1425" s="502"/>
      <c r="AE1425" s="911"/>
      <c r="AF1425" s="502"/>
      <c r="AH1425" s="898"/>
      <c r="AI1425" s="502"/>
      <c r="AJ1425" s="502"/>
      <c r="AL1425" s="434"/>
      <c r="AM1425" s="436"/>
      <c r="AN1425" s="434"/>
      <c r="AO1425" s="434"/>
      <c r="AP1425" s="556"/>
      <c r="AQ1425" s="556"/>
      <c r="AR1425" s="556"/>
      <c r="CF1425" s="2"/>
    </row>
    <row r="1426" spans="3:84">
      <c r="C1426" s="2"/>
      <c r="AD1426" s="502"/>
      <c r="AE1426" s="911"/>
      <c r="AF1426" s="502"/>
      <c r="AH1426" s="898"/>
      <c r="AI1426" s="502"/>
      <c r="AJ1426" s="502"/>
      <c r="AL1426" s="434"/>
      <c r="AM1426" s="436"/>
      <c r="AN1426" s="434"/>
      <c r="AO1426" s="434"/>
      <c r="AP1426" s="556"/>
      <c r="AQ1426" s="556"/>
      <c r="AR1426" s="556"/>
      <c r="CF1426" s="2"/>
    </row>
    <row r="1427" spans="3:84">
      <c r="C1427" s="2"/>
      <c r="AD1427" s="502"/>
      <c r="AE1427" s="911"/>
      <c r="AF1427" s="502"/>
      <c r="AH1427" s="898"/>
      <c r="AI1427" s="502"/>
      <c r="AJ1427" s="502"/>
      <c r="AL1427" s="434"/>
      <c r="AM1427" s="436"/>
      <c r="AN1427" s="434"/>
      <c r="AO1427" s="434"/>
      <c r="AP1427" s="556"/>
      <c r="AQ1427" s="556"/>
      <c r="AR1427" s="556"/>
      <c r="CF1427" s="2"/>
    </row>
    <row r="1428" spans="3:84">
      <c r="C1428" s="2"/>
      <c r="AD1428" s="502"/>
      <c r="AE1428" s="911"/>
      <c r="AF1428" s="502"/>
      <c r="AH1428" s="898"/>
      <c r="AI1428" s="502"/>
      <c r="AJ1428" s="502"/>
      <c r="AL1428" s="434"/>
      <c r="AM1428" s="436"/>
      <c r="AN1428" s="434"/>
      <c r="AO1428" s="434"/>
      <c r="AP1428" s="556"/>
      <c r="AQ1428" s="556"/>
      <c r="AR1428" s="556"/>
      <c r="CF1428" s="2"/>
    </row>
    <row r="1429" spans="3:84">
      <c r="C1429" s="2"/>
      <c r="AD1429" s="502"/>
      <c r="AE1429" s="911"/>
      <c r="AF1429" s="502"/>
      <c r="AH1429" s="898"/>
      <c r="AI1429" s="502"/>
      <c r="AJ1429" s="502"/>
      <c r="AL1429" s="434"/>
      <c r="AM1429" s="436"/>
      <c r="AN1429" s="434"/>
      <c r="AO1429" s="434"/>
      <c r="AP1429" s="556"/>
      <c r="AQ1429" s="556"/>
      <c r="AR1429" s="556"/>
      <c r="CF1429" s="2"/>
    </row>
    <row r="1430" spans="3:84">
      <c r="C1430" s="2"/>
      <c r="AD1430" s="502"/>
      <c r="AE1430" s="911"/>
      <c r="AF1430" s="502"/>
      <c r="AH1430" s="898"/>
      <c r="AI1430" s="502"/>
      <c r="AJ1430" s="502"/>
      <c r="AL1430" s="434"/>
      <c r="AM1430" s="436"/>
      <c r="AN1430" s="434"/>
      <c r="AO1430" s="434"/>
      <c r="AP1430" s="556"/>
      <c r="AQ1430" s="556"/>
      <c r="AR1430" s="556"/>
      <c r="CF1430" s="2"/>
    </row>
    <row r="1431" spans="3:84">
      <c r="C1431" s="2"/>
      <c r="AD1431" s="502"/>
      <c r="AE1431" s="911"/>
      <c r="AF1431" s="502"/>
      <c r="AH1431" s="898"/>
      <c r="AI1431" s="502"/>
      <c r="AJ1431" s="502"/>
      <c r="AL1431" s="434"/>
      <c r="AM1431" s="436"/>
      <c r="AN1431" s="434"/>
      <c r="AO1431" s="434"/>
      <c r="AP1431" s="556"/>
      <c r="AQ1431" s="556"/>
      <c r="AR1431" s="556"/>
      <c r="CF1431" s="2"/>
    </row>
    <row r="1432" spans="3:84">
      <c r="C1432" s="2"/>
      <c r="AD1432" s="502"/>
      <c r="AE1432" s="911"/>
      <c r="AF1432" s="502"/>
      <c r="AH1432" s="898"/>
      <c r="AI1432" s="502"/>
      <c r="AJ1432" s="502"/>
      <c r="AL1432" s="434"/>
      <c r="AM1432" s="436"/>
      <c r="AN1432" s="434"/>
      <c r="AO1432" s="434"/>
      <c r="AP1432" s="556"/>
      <c r="AQ1432" s="556"/>
      <c r="AR1432" s="556"/>
      <c r="CF1432" s="2"/>
    </row>
    <row r="1433" spans="3:84">
      <c r="C1433" s="2"/>
      <c r="AD1433" s="502"/>
      <c r="AE1433" s="911"/>
      <c r="AF1433" s="502"/>
      <c r="AH1433" s="898"/>
      <c r="AI1433" s="502"/>
      <c r="AJ1433" s="502"/>
      <c r="AL1433" s="434"/>
      <c r="AM1433" s="436"/>
      <c r="AN1433" s="434"/>
      <c r="AO1433" s="434"/>
      <c r="AP1433" s="556"/>
      <c r="AQ1433" s="556"/>
      <c r="AR1433" s="556"/>
      <c r="CF1433" s="2"/>
    </row>
    <row r="1434" spans="3:84">
      <c r="C1434" s="2"/>
      <c r="AD1434" s="502"/>
      <c r="AE1434" s="911"/>
      <c r="AF1434" s="502"/>
      <c r="AH1434" s="898"/>
      <c r="AI1434" s="502"/>
      <c r="AJ1434" s="502"/>
      <c r="AL1434" s="434"/>
      <c r="AM1434" s="436"/>
      <c r="AN1434" s="434"/>
      <c r="AO1434" s="434"/>
      <c r="AP1434" s="556"/>
      <c r="AQ1434" s="556"/>
      <c r="AR1434" s="556"/>
      <c r="CF1434" s="2"/>
    </row>
    <row r="1435" spans="3:84">
      <c r="C1435" s="2"/>
      <c r="AD1435" s="502"/>
      <c r="AE1435" s="911"/>
      <c r="AF1435" s="502"/>
      <c r="AH1435" s="898"/>
      <c r="AI1435" s="502"/>
      <c r="AJ1435" s="502"/>
      <c r="AL1435" s="434"/>
      <c r="AM1435" s="436"/>
      <c r="AN1435" s="434"/>
      <c r="AO1435" s="434"/>
      <c r="AP1435" s="556"/>
      <c r="AQ1435" s="556"/>
      <c r="AR1435" s="556"/>
      <c r="CF1435" s="2"/>
    </row>
    <row r="1436" spans="3:84">
      <c r="C1436" s="2"/>
      <c r="AD1436" s="502"/>
      <c r="AE1436" s="911"/>
      <c r="AF1436" s="502"/>
      <c r="AH1436" s="898"/>
      <c r="AI1436" s="502"/>
      <c r="AJ1436" s="502"/>
      <c r="AL1436" s="434"/>
      <c r="AM1436" s="436"/>
      <c r="AN1436" s="434"/>
      <c r="AO1436" s="434"/>
      <c r="AP1436" s="556"/>
      <c r="AQ1436" s="556"/>
      <c r="AR1436" s="556"/>
      <c r="CF1436" s="2"/>
    </row>
    <row r="1437" spans="3:84">
      <c r="C1437" s="2"/>
      <c r="AD1437" s="502"/>
      <c r="AE1437" s="911"/>
      <c r="AF1437" s="502"/>
      <c r="AH1437" s="898"/>
      <c r="AI1437" s="502"/>
      <c r="AJ1437" s="502"/>
      <c r="AL1437" s="434"/>
      <c r="AM1437" s="436"/>
      <c r="AN1437" s="434"/>
      <c r="AO1437" s="434"/>
      <c r="AP1437" s="556"/>
      <c r="AQ1437" s="556"/>
      <c r="AR1437" s="556"/>
      <c r="CF1437" s="2"/>
    </row>
    <row r="1438" spans="3:84">
      <c r="C1438" s="2"/>
      <c r="AD1438" s="502"/>
      <c r="AE1438" s="911"/>
      <c r="AF1438" s="502"/>
      <c r="AH1438" s="898"/>
      <c r="AI1438" s="502"/>
      <c r="AJ1438" s="502"/>
      <c r="AL1438" s="434"/>
      <c r="AM1438" s="436"/>
      <c r="AN1438" s="434"/>
      <c r="AO1438" s="434"/>
      <c r="AP1438" s="556"/>
      <c r="AQ1438" s="556"/>
      <c r="AR1438" s="556"/>
      <c r="CF1438" s="2"/>
    </row>
    <row r="1439" spans="3:84">
      <c r="C1439" s="2"/>
      <c r="AD1439" s="502"/>
      <c r="AE1439" s="911"/>
      <c r="AF1439" s="502"/>
      <c r="AH1439" s="898"/>
      <c r="AI1439" s="502"/>
      <c r="AJ1439" s="502"/>
      <c r="AL1439" s="434"/>
      <c r="AM1439" s="436"/>
      <c r="AN1439" s="434"/>
      <c r="AO1439" s="434"/>
      <c r="AP1439" s="556"/>
      <c r="AQ1439" s="556"/>
      <c r="AR1439" s="556"/>
      <c r="CF1439" s="2"/>
    </row>
    <row r="1440" spans="3:84">
      <c r="C1440" s="2"/>
      <c r="AD1440" s="502"/>
      <c r="AE1440" s="911"/>
      <c r="AF1440" s="502"/>
      <c r="AH1440" s="898"/>
      <c r="AI1440" s="502"/>
      <c r="AJ1440" s="502"/>
      <c r="AL1440" s="434"/>
      <c r="AM1440" s="436"/>
      <c r="AN1440" s="434"/>
      <c r="AO1440" s="434"/>
      <c r="AP1440" s="556"/>
      <c r="AQ1440" s="556"/>
      <c r="AR1440" s="556"/>
      <c r="CF1440" s="2"/>
    </row>
    <row r="1441" spans="3:84">
      <c r="C1441" s="2"/>
      <c r="AD1441" s="502"/>
      <c r="AE1441" s="911"/>
      <c r="AF1441" s="502"/>
      <c r="AH1441" s="898"/>
      <c r="AI1441" s="502"/>
      <c r="AJ1441" s="502"/>
      <c r="AL1441" s="434"/>
      <c r="AM1441" s="436"/>
      <c r="AN1441" s="434"/>
      <c r="AO1441" s="434"/>
      <c r="AP1441" s="556"/>
      <c r="AQ1441" s="556"/>
      <c r="AR1441" s="556"/>
      <c r="CF1441" s="2"/>
    </row>
    <row r="1442" spans="3:84">
      <c r="C1442" s="2"/>
      <c r="AD1442" s="502"/>
      <c r="AE1442" s="911"/>
      <c r="AF1442" s="502"/>
      <c r="AH1442" s="898"/>
      <c r="AI1442" s="502"/>
      <c r="AJ1442" s="502"/>
      <c r="AL1442" s="434"/>
      <c r="AM1442" s="436"/>
      <c r="AN1442" s="434"/>
      <c r="AO1442" s="434"/>
      <c r="AP1442" s="556"/>
      <c r="AQ1442" s="556"/>
      <c r="AR1442" s="556"/>
      <c r="CF1442" s="2"/>
    </row>
    <row r="1443" spans="3:84">
      <c r="C1443" s="2"/>
      <c r="AD1443" s="502"/>
      <c r="AE1443" s="911"/>
      <c r="AF1443" s="502"/>
      <c r="AH1443" s="898"/>
      <c r="AI1443" s="502"/>
      <c r="AJ1443" s="502"/>
      <c r="AL1443" s="434"/>
      <c r="AM1443" s="436"/>
      <c r="AN1443" s="434"/>
      <c r="AO1443" s="434"/>
      <c r="AP1443" s="556"/>
      <c r="AQ1443" s="556"/>
      <c r="AR1443" s="556"/>
      <c r="CF1443" s="2"/>
    </row>
    <row r="1444" spans="3:84">
      <c r="C1444" s="2"/>
      <c r="AD1444" s="502"/>
      <c r="AE1444" s="911"/>
      <c r="AF1444" s="502"/>
      <c r="AH1444" s="898"/>
      <c r="AI1444" s="502"/>
      <c r="AJ1444" s="502"/>
      <c r="AL1444" s="434"/>
      <c r="AM1444" s="436"/>
      <c r="AN1444" s="434"/>
      <c r="AO1444" s="434"/>
      <c r="AP1444" s="556"/>
      <c r="AQ1444" s="556"/>
      <c r="AR1444" s="556"/>
      <c r="CF1444" s="2"/>
    </row>
    <row r="1445" spans="3:84">
      <c r="C1445" s="2"/>
      <c r="AD1445" s="502"/>
      <c r="AE1445" s="911"/>
      <c r="AF1445" s="502"/>
      <c r="AH1445" s="898"/>
      <c r="AI1445" s="502"/>
      <c r="AJ1445" s="502"/>
      <c r="AL1445" s="434"/>
      <c r="AM1445" s="436"/>
      <c r="AN1445" s="434"/>
      <c r="AO1445" s="434"/>
      <c r="AP1445" s="556"/>
      <c r="AQ1445" s="556"/>
      <c r="AR1445" s="556"/>
      <c r="CF1445" s="2"/>
    </row>
    <row r="1446" spans="3:84">
      <c r="C1446" s="2"/>
      <c r="AD1446" s="502"/>
      <c r="AE1446" s="911"/>
      <c r="AF1446" s="502"/>
      <c r="AH1446" s="898"/>
      <c r="AI1446" s="502"/>
      <c r="AJ1446" s="502"/>
      <c r="AL1446" s="434"/>
      <c r="AM1446" s="436"/>
      <c r="AN1446" s="434"/>
      <c r="AO1446" s="434"/>
      <c r="AP1446" s="556"/>
      <c r="AQ1446" s="556"/>
      <c r="AR1446" s="556"/>
      <c r="CF1446" s="2"/>
    </row>
    <row r="1447" spans="3:84">
      <c r="C1447" s="2"/>
      <c r="AD1447" s="502"/>
      <c r="AE1447" s="911"/>
      <c r="AF1447" s="502"/>
      <c r="AH1447" s="898"/>
      <c r="AI1447" s="502"/>
      <c r="AJ1447" s="502"/>
      <c r="AL1447" s="434"/>
      <c r="AM1447" s="436"/>
      <c r="AN1447" s="434"/>
      <c r="AO1447" s="434"/>
      <c r="AP1447" s="556"/>
      <c r="AQ1447" s="556"/>
      <c r="AR1447" s="556"/>
      <c r="CF1447" s="2"/>
    </row>
    <row r="1448" spans="3:84">
      <c r="C1448" s="2"/>
      <c r="AD1448" s="502"/>
      <c r="AE1448" s="911"/>
      <c r="AF1448" s="502"/>
      <c r="AH1448" s="898"/>
      <c r="AI1448" s="502"/>
      <c r="AJ1448" s="502"/>
      <c r="AL1448" s="434"/>
      <c r="AM1448" s="436"/>
      <c r="AN1448" s="434"/>
      <c r="AO1448" s="434"/>
      <c r="AP1448" s="556"/>
      <c r="AQ1448" s="556"/>
      <c r="AR1448" s="556"/>
      <c r="CF1448" s="2"/>
    </row>
    <row r="1449" spans="3:84">
      <c r="C1449" s="2"/>
      <c r="AD1449" s="502"/>
      <c r="AE1449" s="911"/>
      <c r="AF1449" s="502"/>
      <c r="AH1449" s="898"/>
      <c r="AI1449" s="502"/>
      <c r="AJ1449" s="502"/>
      <c r="AL1449" s="434"/>
      <c r="AM1449" s="436"/>
      <c r="AN1449" s="434"/>
      <c r="AO1449" s="434"/>
      <c r="AP1449" s="556"/>
      <c r="AQ1449" s="556"/>
      <c r="AR1449" s="556"/>
      <c r="CF1449" s="2"/>
    </row>
    <row r="1450" spans="3:84">
      <c r="C1450" s="2"/>
      <c r="AD1450" s="502"/>
      <c r="AE1450" s="911"/>
      <c r="AF1450" s="502"/>
      <c r="AH1450" s="898"/>
      <c r="AI1450" s="502"/>
      <c r="AJ1450" s="502"/>
      <c r="AL1450" s="434"/>
      <c r="AM1450" s="436"/>
      <c r="AN1450" s="434"/>
      <c r="AO1450" s="434"/>
      <c r="AP1450" s="556"/>
      <c r="AQ1450" s="556"/>
      <c r="AR1450" s="556"/>
      <c r="CF1450" s="2"/>
    </row>
    <row r="1451" spans="3:84">
      <c r="C1451" s="2"/>
      <c r="AD1451" s="502"/>
      <c r="AE1451" s="911"/>
      <c r="AF1451" s="502"/>
      <c r="AH1451" s="898"/>
      <c r="AI1451" s="502"/>
      <c r="AJ1451" s="502"/>
      <c r="AL1451" s="434"/>
      <c r="AM1451" s="436"/>
      <c r="AN1451" s="434"/>
      <c r="AO1451" s="434"/>
      <c r="AP1451" s="556"/>
      <c r="AQ1451" s="556"/>
      <c r="AR1451" s="556"/>
      <c r="CF1451" s="2"/>
    </row>
    <row r="1452" spans="3:84">
      <c r="C1452" s="2"/>
      <c r="AD1452" s="502"/>
      <c r="AE1452" s="911"/>
      <c r="AF1452" s="502"/>
      <c r="AH1452" s="898"/>
      <c r="AI1452" s="502"/>
      <c r="AJ1452" s="502"/>
      <c r="AL1452" s="434"/>
      <c r="AM1452" s="436"/>
      <c r="AN1452" s="434"/>
      <c r="AO1452" s="434"/>
      <c r="AP1452" s="556"/>
      <c r="AQ1452" s="556"/>
      <c r="AR1452" s="556"/>
      <c r="CF1452" s="2"/>
    </row>
    <row r="1453" spans="3:84">
      <c r="C1453" s="2"/>
      <c r="AD1453" s="502"/>
      <c r="AE1453" s="911"/>
      <c r="AF1453" s="502"/>
      <c r="AH1453" s="898"/>
      <c r="AI1453" s="502"/>
      <c r="AJ1453" s="502"/>
      <c r="AL1453" s="434"/>
      <c r="AM1453" s="436"/>
      <c r="AN1453" s="434"/>
      <c r="AO1453" s="434"/>
      <c r="AP1453" s="556"/>
      <c r="AQ1453" s="556"/>
      <c r="AR1453" s="556"/>
      <c r="CF1453" s="2"/>
    </row>
    <row r="1454" spans="3:84">
      <c r="C1454" s="2"/>
      <c r="AD1454" s="502"/>
      <c r="AE1454" s="911"/>
      <c r="AF1454" s="502"/>
      <c r="AH1454" s="898"/>
      <c r="AI1454" s="502"/>
      <c r="AJ1454" s="502"/>
      <c r="AL1454" s="434"/>
      <c r="AM1454" s="436"/>
      <c r="AN1454" s="434"/>
      <c r="AO1454" s="434"/>
      <c r="AP1454" s="556"/>
      <c r="AQ1454" s="556"/>
      <c r="AR1454" s="556"/>
      <c r="CF1454" s="2"/>
    </row>
    <row r="1455" spans="3:84">
      <c r="C1455" s="2"/>
      <c r="AD1455" s="502"/>
      <c r="AE1455" s="911"/>
      <c r="AF1455" s="502"/>
      <c r="AH1455" s="898"/>
      <c r="AI1455" s="502"/>
      <c r="AJ1455" s="502"/>
      <c r="AL1455" s="434"/>
      <c r="AM1455" s="436"/>
      <c r="AN1455" s="434"/>
      <c r="AO1455" s="434"/>
      <c r="AP1455" s="556"/>
      <c r="AQ1455" s="556"/>
      <c r="AR1455" s="556"/>
      <c r="CF1455" s="2"/>
    </row>
    <row r="1456" spans="3:84">
      <c r="C1456" s="2"/>
      <c r="AD1456" s="502"/>
      <c r="AE1456" s="911"/>
      <c r="AF1456" s="502"/>
      <c r="AH1456" s="898"/>
      <c r="AI1456" s="502"/>
      <c r="AJ1456" s="502"/>
      <c r="AL1456" s="434"/>
      <c r="AM1456" s="436"/>
      <c r="AN1456" s="434"/>
      <c r="AO1456" s="434"/>
      <c r="AP1456" s="556"/>
      <c r="AQ1456" s="556"/>
      <c r="AR1456" s="556"/>
      <c r="CF1456" s="2"/>
    </row>
    <row r="1457" spans="3:84">
      <c r="C1457" s="2"/>
      <c r="AD1457" s="502"/>
      <c r="AE1457" s="911"/>
      <c r="AF1457" s="502"/>
      <c r="AH1457" s="898"/>
      <c r="AI1457" s="502"/>
      <c r="AJ1457" s="502"/>
      <c r="AL1457" s="434"/>
      <c r="AM1457" s="436"/>
      <c r="AN1457" s="434"/>
      <c r="AO1457" s="434"/>
      <c r="AP1457" s="556"/>
      <c r="AQ1457" s="556"/>
      <c r="AR1457" s="556"/>
      <c r="CF1457" s="2"/>
    </row>
    <row r="1458" spans="3:84">
      <c r="C1458" s="2"/>
      <c r="AD1458" s="502"/>
      <c r="AE1458" s="911"/>
      <c r="AF1458" s="502"/>
      <c r="AH1458" s="898"/>
      <c r="AI1458" s="502"/>
      <c r="AJ1458" s="502"/>
      <c r="AL1458" s="434"/>
      <c r="AM1458" s="436"/>
      <c r="AN1458" s="434"/>
      <c r="AO1458" s="434"/>
      <c r="AP1458" s="556"/>
      <c r="AQ1458" s="556"/>
      <c r="AR1458" s="556"/>
      <c r="CF1458" s="2"/>
    </row>
    <row r="1459" spans="3:84">
      <c r="C1459" s="2"/>
      <c r="AD1459" s="502"/>
      <c r="AE1459" s="911"/>
      <c r="AF1459" s="502"/>
      <c r="AH1459" s="898"/>
      <c r="AI1459" s="502"/>
      <c r="AJ1459" s="502"/>
      <c r="AL1459" s="434"/>
      <c r="AM1459" s="436"/>
      <c r="AN1459" s="434"/>
      <c r="AO1459" s="434"/>
      <c r="AP1459" s="556"/>
      <c r="AQ1459" s="556"/>
      <c r="AR1459" s="556"/>
      <c r="CF1459" s="2"/>
    </row>
    <row r="1460" spans="3:84">
      <c r="C1460" s="2"/>
      <c r="AD1460" s="502"/>
      <c r="AE1460" s="911"/>
      <c r="AF1460" s="502"/>
      <c r="AH1460" s="898"/>
      <c r="AI1460" s="502"/>
      <c r="AJ1460" s="502"/>
      <c r="AL1460" s="434"/>
      <c r="AM1460" s="436"/>
      <c r="AN1460" s="434"/>
      <c r="AO1460" s="434"/>
      <c r="AP1460" s="556"/>
      <c r="AQ1460" s="556"/>
      <c r="AR1460" s="556"/>
      <c r="CF1460" s="2"/>
    </row>
    <row r="1461" spans="3:84">
      <c r="C1461" s="2"/>
      <c r="AD1461" s="502"/>
      <c r="AE1461" s="911"/>
      <c r="AF1461" s="502"/>
      <c r="AH1461" s="898"/>
      <c r="AI1461" s="502"/>
      <c r="AJ1461" s="502"/>
      <c r="AL1461" s="434"/>
      <c r="AM1461" s="436"/>
      <c r="AN1461" s="434"/>
      <c r="AO1461" s="434"/>
      <c r="AP1461" s="556"/>
      <c r="AQ1461" s="556"/>
      <c r="AR1461" s="556"/>
      <c r="CF1461" s="2"/>
    </row>
    <row r="1462" spans="3:84">
      <c r="C1462" s="2"/>
      <c r="AD1462" s="502"/>
      <c r="AE1462" s="911"/>
      <c r="AF1462" s="502"/>
      <c r="AH1462" s="898"/>
      <c r="AI1462" s="502"/>
      <c r="AJ1462" s="502"/>
      <c r="AL1462" s="434"/>
      <c r="AM1462" s="436"/>
      <c r="AN1462" s="434"/>
      <c r="AO1462" s="434"/>
      <c r="AP1462" s="556"/>
      <c r="AQ1462" s="556"/>
      <c r="AR1462" s="556"/>
      <c r="CF1462" s="2"/>
    </row>
    <row r="1463" spans="3:84">
      <c r="C1463" s="2"/>
      <c r="AD1463" s="502"/>
      <c r="AE1463" s="911"/>
      <c r="AF1463" s="502"/>
      <c r="AH1463" s="898"/>
      <c r="AI1463" s="502"/>
      <c r="AJ1463" s="502"/>
      <c r="AL1463" s="434"/>
      <c r="AM1463" s="436"/>
      <c r="AN1463" s="434"/>
      <c r="AO1463" s="434"/>
      <c r="AP1463" s="556"/>
      <c r="AQ1463" s="556"/>
      <c r="AR1463" s="556"/>
      <c r="CF1463" s="2"/>
    </row>
    <row r="1464" spans="3:84">
      <c r="C1464" s="2"/>
      <c r="AD1464" s="502"/>
      <c r="AE1464" s="911"/>
      <c r="AF1464" s="502"/>
      <c r="AH1464" s="898"/>
      <c r="AI1464" s="502"/>
      <c r="AJ1464" s="502"/>
      <c r="AL1464" s="434"/>
      <c r="AM1464" s="436"/>
      <c r="AN1464" s="434"/>
      <c r="AO1464" s="434"/>
      <c r="AP1464" s="556"/>
      <c r="AQ1464" s="556"/>
      <c r="AR1464" s="556"/>
      <c r="CF1464" s="2"/>
    </row>
    <row r="1465" spans="3:84">
      <c r="C1465" s="2"/>
      <c r="AD1465" s="502"/>
      <c r="AE1465" s="911"/>
      <c r="AF1465" s="502"/>
      <c r="AH1465" s="898"/>
      <c r="AI1465" s="502"/>
      <c r="AJ1465" s="502"/>
      <c r="AL1465" s="434"/>
      <c r="AM1465" s="436"/>
      <c r="AN1465" s="434"/>
      <c r="AO1465" s="434"/>
      <c r="AP1465" s="556"/>
      <c r="AQ1465" s="556"/>
      <c r="AR1465" s="556"/>
      <c r="CF1465" s="2"/>
    </row>
    <row r="1466" spans="3:84">
      <c r="C1466" s="2"/>
      <c r="AD1466" s="502"/>
      <c r="AE1466" s="911"/>
      <c r="AF1466" s="502"/>
      <c r="AH1466" s="898"/>
      <c r="AI1466" s="502"/>
      <c r="AJ1466" s="502"/>
      <c r="AL1466" s="434"/>
      <c r="AM1466" s="436"/>
      <c r="AN1466" s="434"/>
      <c r="AO1466" s="434"/>
      <c r="AP1466" s="556"/>
      <c r="AQ1466" s="556"/>
      <c r="AR1466" s="556"/>
      <c r="CF1466" s="2"/>
    </row>
    <row r="1467" spans="3:84">
      <c r="C1467" s="2"/>
      <c r="AD1467" s="502"/>
      <c r="AE1467" s="911"/>
      <c r="AF1467" s="502"/>
      <c r="AH1467" s="898"/>
      <c r="AI1467" s="502"/>
      <c r="AJ1467" s="502"/>
      <c r="AL1467" s="434"/>
      <c r="AM1467" s="436"/>
      <c r="AN1467" s="434"/>
      <c r="AO1467" s="434"/>
      <c r="AP1467" s="556"/>
      <c r="AQ1467" s="556"/>
      <c r="AR1467" s="556"/>
      <c r="CF1467" s="2"/>
    </row>
    <row r="1468" spans="3:84">
      <c r="C1468" s="2"/>
      <c r="AD1468" s="502"/>
      <c r="AE1468" s="911"/>
      <c r="AF1468" s="502"/>
      <c r="AH1468" s="898"/>
      <c r="AI1468" s="502"/>
      <c r="AJ1468" s="502"/>
      <c r="AL1468" s="434"/>
      <c r="AM1468" s="436"/>
      <c r="AN1468" s="434"/>
      <c r="AO1468" s="434"/>
      <c r="AP1468" s="556"/>
      <c r="AQ1468" s="556"/>
      <c r="AR1468" s="556"/>
      <c r="CF1468" s="2"/>
    </row>
    <row r="1469" spans="3:84">
      <c r="C1469" s="2"/>
      <c r="AD1469" s="502"/>
      <c r="AE1469" s="911"/>
      <c r="AF1469" s="502"/>
      <c r="AH1469" s="898"/>
      <c r="AI1469" s="502"/>
      <c r="AJ1469" s="502"/>
      <c r="AL1469" s="434"/>
      <c r="AM1469" s="436"/>
      <c r="AN1469" s="434"/>
      <c r="AO1469" s="434"/>
      <c r="AP1469" s="556"/>
      <c r="AQ1469" s="556"/>
      <c r="AR1469" s="556"/>
      <c r="CF1469" s="2"/>
    </row>
    <row r="1470" spans="3:84">
      <c r="C1470" s="2"/>
      <c r="AD1470" s="502"/>
      <c r="AE1470" s="911"/>
      <c r="AF1470" s="502"/>
      <c r="AH1470" s="898"/>
      <c r="AI1470" s="502"/>
      <c r="AJ1470" s="502"/>
      <c r="AL1470" s="434"/>
      <c r="AM1470" s="436"/>
      <c r="AN1470" s="434"/>
      <c r="AO1470" s="434"/>
      <c r="AP1470" s="556"/>
      <c r="AQ1470" s="556"/>
      <c r="AR1470" s="556"/>
      <c r="CF1470" s="2"/>
    </row>
    <row r="1471" spans="3:84">
      <c r="C1471" s="2"/>
      <c r="AD1471" s="502"/>
      <c r="AE1471" s="911"/>
      <c r="AF1471" s="502"/>
      <c r="AH1471" s="898"/>
      <c r="AI1471" s="502"/>
      <c r="AJ1471" s="502"/>
      <c r="AL1471" s="434"/>
      <c r="AM1471" s="436"/>
      <c r="AN1471" s="434"/>
      <c r="AO1471" s="434"/>
      <c r="AP1471" s="556"/>
      <c r="AQ1471" s="556"/>
      <c r="AR1471" s="556"/>
      <c r="CF1471" s="2"/>
    </row>
    <row r="1472" spans="3:84">
      <c r="C1472" s="2"/>
      <c r="AD1472" s="502"/>
      <c r="AE1472" s="911"/>
      <c r="AF1472" s="502"/>
      <c r="AH1472" s="898"/>
      <c r="AI1472" s="502"/>
      <c r="AJ1472" s="502"/>
      <c r="AL1472" s="434"/>
      <c r="AM1472" s="436"/>
      <c r="AN1472" s="434"/>
      <c r="AO1472" s="434"/>
      <c r="AP1472" s="556"/>
      <c r="AQ1472" s="556"/>
      <c r="AR1472" s="556"/>
      <c r="CF1472" s="2"/>
    </row>
    <row r="1473" spans="3:84">
      <c r="C1473" s="2"/>
      <c r="AD1473" s="502"/>
      <c r="AE1473" s="911"/>
      <c r="AF1473" s="502"/>
      <c r="AH1473" s="898"/>
      <c r="AI1473" s="502"/>
      <c r="AJ1473" s="502"/>
      <c r="AL1473" s="434"/>
      <c r="AM1473" s="436"/>
      <c r="AN1473" s="434"/>
      <c r="AO1473" s="434"/>
      <c r="AP1473" s="556"/>
      <c r="AQ1473" s="556"/>
      <c r="AR1473" s="556"/>
      <c r="CF1473" s="2"/>
    </row>
    <row r="1474" spans="3:84">
      <c r="C1474" s="2"/>
      <c r="AD1474" s="502"/>
      <c r="AE1474" s="911"/>
      <c r="AF1474" s="502"/>
      <c r="AH1474" s="898"/>
      <c r="AI1474" s="502"/>
      <c r="AJ1474" s="502"/>
      <c r="AL1474" s="434"/>
      <c r="AM1474" s="436"/>
      <c r="AN1474" s="434"/>
      <c r="AO1474" s="434"/>
      <c r="AP1474" s="556"/>
      <c r="AQ1474" s="556"/>
      <c r="AR1474" s="556"/>
      <c r="CF1474" s="2"/>
    </row>
    <row r="1475" spans="3:84">
      <c r="C1475" s="2"/>
      <c r="AD1475" s="502"/>
      <c r="AE1475" s="911"/>
      <c r="AF1475" s="502"/>
      <c r="AH1475" s="898"/>
      <c r="AI1475" s="502"/>
      <c r="AJ1475" s="502"/>
      <c r="AL1475" s="434"/>
      <c r="AM1475" s="436"/>
      <c r="AN1475" s="434"/>
      <c r="AO1475" s="434"/>
      <c r="AP1475" s="556"/>
      <c r="AQ1475" s="556"/>
      <c r="AR1475" s="556"/>
      <c r="CF1475" s="2"/>
    </row>
    <row r="1476" spans="3:84">
      <c r="C1476" s="2"/>
      <c r="AD1476" s="502"/>
      <c r="AE1476" s="911"/>
      <c r="AF1476" s="502"/>
      <c r="AH1476" s="898"/>
      <c r="AI1476" s="502"/>
      <c r="AJ1476" s="502"/>
      <c r="AL1476" s="434"/>
      <c r="AM1476" s="436"/>
      <c r="AN1476" s="434"/>
      <c r="AO1476" s="434"/>
      <c r="AP1476" s="556"/>
      <c r="AQ1476" s="556"/>
      <c r="AR1476" s="556"/>
      <c r="CF1476" s="2"/>
    </row>
    <row r="1477" spans="3:84">
      <c r="C1477" s="2"/>
      <c r="AD1477" s="502"/>
      <c r="AE1477" s="911"/>
      <c r="AF1477" s="502"/>
      <c r="AH1477" s="898"/>
      <c r="AI1477" s="502"/>
      <c r="AJ1477" s="502"/>
      <c r="AL1477" s="434"/>
      <c r="AM1477" s="436"/>
      <c r="AN1477" s="434"/>
      <c r="AO1477" s="434"/>
      <c r="AP1477" s="556"/>
      <c r="AQ1477" s="556"/>
      <c r="AR1477" s="556"/>
      <c r="CF1477" s="2"/>
    </row>
    <row r="1478" spans="3:84">
      <c r="C1478" s="2"/>
      <c r="AD1478" s="502"/>
      <c r="AE1478" s="911"/>
      <c r="AF1478" s="502"/>
      <c r="AH1478" s="898"/>
      <c r="AI1478" s="502"/>
      <c r="AJ1478" s="502"/>
      <c r="AL1478" s="434"/>
      <c r="AM1478" s="436"/>
      <c r="AN1478" s="434"/>
      <c r="AO1478" s="434"/>
      <c r="AP1478" s="556"/>
      <c r="AQ1478" s="556"/>
      <c r="AR1478" s="556"/>
      <c r="CF1478" s="2"/>
    </row>
    <row r="1479" spans="3:84">
      <c r="C1479" s="2"/>
      <c r="AD1479" s="502"/>
      <c r="AE1479" s="911"/>
      <c r="AF1479" s="502"/>
      <c r="AH1479" s="898"/>
      <c r="AI1479" s="502"/>
      <c r="AJ1479" s="502"/>
      <c r="AL1479" s="434"/>
      <c r="AM1479" s="436"/>
      <c r="AN1479" s="434"/>
      <c r="AO1479" s="434"/>
      <c r="AP1479" s="556"/>
      <c r="AQ1479" s="556"/>
      <c r="AR1479" s="556"/>
      <c r="CF1479" s="2"/>
    </row>
    <row r="1480" spans="3:84">
      <c r="C1480" s="2"/>
      <c r="AD1480" s="502"/>
      <c r="AE1480" s="911"/>
      <c r="AF1480" s="502"/>
      <c r="AH1480" s="898"/>
      <c r="AI1480" s="502"/>
      <c r="AJ1480" s="502"/>
      <c r="AL1480" s="434"/>
      <c r="AM1480" s="436"/>
      <c r="AN1480" s="434"/>
      <c r="AO1480" s="434"/>
      <c r="AP1480" s="556"/>
      <c r="AQ1480" s="556"/>
      <c r="AR1480" s="556"/>
      <c r="CF1480" s="2"/>
    </row>
    <row r="1481" spans="3:84">
      <c r="C1481" s="2"/>
      <c r="AD1481" s="502"/>
      <c r="AE1481" s="911"/>
      <c r="AF1481" s="502"/>
      <c r="AH1481" s="898"/>
      <c r="AI1481" s="502"/>
      <c r="AJ1481" s="502"/>
      <c r="AL1481" s="434"/>
      <c r="AM1481" s="436"/>
      <c r="AN1481" s="434"/>
      <c r="AO1481" s="434"/>
      <c r="AP1481" s="556"/>
      <c r="AQ1481" s="556"/>
      <c r="AR1481" s="556"/>
      <c r="CF1481" s="2"/>
    </row>
    <row r="1482" spans="3:84">
      <c r="C1482" s="2"/>
      <c r="AD1482" s="502"/>
      <c r="AE1482" s="911"/>
      <c r="AF1482" s="502"/>
      <c r="AH1482" s="898"/>
      <c r="AI1482" s="502"/>
      <c r="AJ1482" s="502"/>
      <c r="AL1482" s="434"/>
      <c r="AM1482" s="436"/>
      <c r="AN1482" s="434"/>
      <c r="AO1482" s="434"/>
      <c r="AP1482" s="556"/>
      <c r="AQ1482" s="556"/>
      <c r="AR1482" s="556"/>
      <c r="CF1482" s="2"/>
    </row>
    <row r="1483" spans="3:84">
      <c r="C1483" s="2"/>
      <c r="AD1483" s="502"/>
      <c r="AE1483" s="911"/>
      <c r="AF1483" s="502"/>
      <c r="AH1483" s="898"/>
      <c r="AI1483" s="502"/>
      <c r="AJ1483" s="502"/>
      <c r="AL1483" s="434"/>
      <c r="AM1483" s="436"/>
      <c r="AN1483" s="434"/>
      <c r="AO1483" s="434"/>
      <c r="AP1483" s="556"/>
      <c r="AQ1483" s="556"/>
      <c r="AR1483" s="556"/>
      <c r="CF1483" s="2"/>
    </row>
    <row r="1484" spans="3:84">
      <c r="C1484" s="2"/>
      <c r="AD1484" s="502"/>
      <c r="AE1484" s="911"/>
      <c r="AF1484" s="502"/>
      <c r="AH1484" s="898"/>
      <c r="AI1484" s="502"/>
      <c r="AJ1484" s="502"/>
      <c r="AL1484" s="434"/>
      <c r="AM1484" s="436"/>
      <c r="AN1484" s="434"/>
      <c r="AO1484" s="434"/>
      <c r="AP1484" s="556"/>
      <c r="AQ1484" s="556"/>
      <c r="AR1484" s="556"/>
      <c r="CF1484" s="2"/>
    </row>
    <row r="1485" spans="3:84">
      <c r="C1485" s="2"/>
      <c r="AD1485" s="502"/>
      <c r="AE1485" s="911"/>
      <c r="AF1485" s="502"/>
      <c r="AH1485" s="898"/>
      <c r="AI1485" s="502"/>
      <c r="AJ1485" s="502"/>
      <c r="AL1485" s="434"/>
      <c r="AM1485" s="436"/>
      <c r="AN1485" s="434"/>
      <c r="AO1485" s="434"/>
      <c r="AP1485" s="556"/>
      <c r="AQ1485" s="556"/>
      <c r="AR1485" s="556"/>
      <c r="CF1485" s="2"/>
    </row>
    <row r="1486" spans="3:84">
      <c r="C1486" s="2"/>
      <c r="AD1486" s="502"/>
      <c r="AE1486" s="911"/>
      <c r="AF1486" s="502"/>
      <c r="AH1486" s="898"/>
      <c r="AI1486" s="502"/>
      <c r="AJ1486" s="502"/>
      <c r="AL1486" s="434"/>
      <c r="AM1486" s="436"/>
      <c r="AN1486" s="434"/>
      <c r="AO1486" s="434"/>
      <c r="AP1486" s="556"/>
      <c r="AQ1486" s="556"/>
      <c r="AR1486" s="556"/>
      <c r="CF1486" s="2"/>
    </row>
    <row r="1487" spans="3:84">
      <c r="C1487" s="2"/>
      <c r="AD1487" s="502"/>
      <c r="AE1487" s="911"/>
      <c r="AF1487" s="502"/>
      <c r="AH1487" s="898"/>
      <c r="AI1487" s="502"/>
      <c r="AJ1487" s="502"/>
      <c r="AL1487" s="434"/>
      <c r="AM1487" s="436"/>
      <c r="AN1487" s="434"/>
      <c r="AO1487" s="434"/>
      <c r="AP1487" s="556"/>
      <c r="AQ1487" s="556"/>
      <c r="AR1487" s="556"/>
      <c r="CF1487" s="2"/>
    </row>
    <row r="1488" spans="3:84">
      <c r="C1488" s="2"/>
      <c r="AD1488" s="502"/>
      <c r="AE1488" s="911"/>
      <c r="AF1488" s="502"/>
      <c r="AH1488" s="898"/>
      <c r="AI1488" s="502"/>
      <c r="AJ1488" s="502"/>
      <c r="AL1488" s="434"/>
      <c r="AM1488" s="436"/>
      <c r="AN1488" s="434"/>
      <c r="AO1488" s="434"/>
      <c r="AP1488" s="556"/>
      <c r="AQ1488" s="556"/>
      <c r="AR1488" s="556"/>
      <c r="CF1488" s="2"/>
    </row>
    <row r="1489" spans="3:84">
      <c r="C1489" s="2"/>
      <c r="AD1489" s="502"/>
      <c r="AE1489" s="911"/>
      <c r="AF1489" s="502"/>
      <c r="AH1489" s="898"/>
      <c r="AI1489" s="502"/>
      <c r="AJ1489" s="502"/>
      <c r="AL1489" s="434"/>
      <c r="AM1489" s="436"/>
      <c r="AN1489" s="434"/>
      <c r="AO1489" s="434"/>
      <c r="AP1489" s="556"/>
      <c r="AQ1489" s="556"/>
      <c r="AR1489" s="556"/>
      <c r="CF1489" s="2"/>
    </row>
    <row r="1490" spans="3:84">
      <c r="C1490" s="2"/>
      <c r="AD1490" s="502"/>
      <c r="AE1490" s="911"/>
      <c r="AF1490" s="502"/>
      <c r="AH1490" s="898"/>
      <c r="AI1490" s="502"/>
      <c r="AJ1490" s="502"/>
      <c r="AL1490" s="434"/>
      <c r="AM1490" s="436"/>
      <c r="AN1490" s="434"/>
      <c r="AO1490" s="434"/>
      <c r="AP1490" s="556"/>
      <c r="AQ1490" s="556"/>
      <c r="AR1490" s="556"/>
      <c r="CF1490" s="2"/>
    </row>
    <row r="1491" spans="3:84">
      <c r="C1491" s="2"/>
      <c r="AD1491" s="502"/>
      <c r="AE1491" s="911"/>
      <c r="AF1491" s="502"/>
      <c r="AH1491" s="898"/>
      <c r="AI1491" s="502"/>
      <c r="AJ1491" s="502"/>
      <c r="AL1491" s="434"/>
      <c r="AM1491" s="436"/>
      <c r="AN1491" s="434"/>
      <c r="AO1491" s="434"/>
      <c r="AP1491" s="556"/>
      <c r="AQ1491" s="556"/>
      <c r="AR1491" s="556"/>
      <c r="CF1491" s="2"/>
    </row>
    <row r="1492" spans="3:84">
      <c r="C1492" s="2"/>
      <c r="AD1492" s="502"/>
      <c r="AE1492" s="911"/>
      <c r="AF1492" s="502"/>
      <c r="AH1492" s="898"/>
      <c r="AI1492" s="502"/>
      <c r="AJ1492" s="502"/>
      <c r="AL1492" s="434"/>
      <c r="AM1492" s="436"/>
      <c r="AN1492" s="434"/>
      <c r="AO1492" s="434"/>
      <c r="AP1492" s="556"/>
      <c r="AQ1492" s="556"/>
      <c r="AR1492" s="556"/>
      <c r="CF1492" s="2"/>
    </row>
    <row r="1493" spans="3:84">
      <c r="C1493" s="2"/>
      <c r="AD1493" s="502"/>
      <c r="AE1493" s="911"/>
      <c r="AF1493" s="502"/>
      <c r="AH1493" s="898"/>
      <c r="AI1493" s="502"/>
      <c r="AJ1493" s="502"/>
      <c r="AL1493" s="434"/>
      <c r="AM1493" s="436"/>
      <c r="AN1493" s="434"/>
      <c r="AO1493" s="434"/>
      <c r="AP1493" s="556"/>
      <c r="AQ1493" s="556"/>
      <c r="AR1493" s="556"/>
      <c r="CF1493" s="2"/>
    </row>
    <row r="1494" spans="3:84">
      <c r="C1494" s="2"/>
      <c r="AD1494" s="502"/>
      <c r="AE1494" s="911"/>
      <c r="AF1494" s="502"/>
      <c r="AH1494" s="898"/>
      <c r="AI1494" s="502"/>
      <c r="AJ1494" s="502"/>
      <c r="AL1494" s="434"/>
      <c r="AM1494" s="436"/>
      <c r="AN1494" s="434"/>
      <c r="AO1494" s="434"/>
      <c r="AP1494" s="556"/>
      <c r="AQ1494" s="556"/>
      <c r="AR1494" s="556"/>
      <c r="CF1494" s="2"/>
    </row>
    <row r="1495" spans="3:84">
      <c r="C1495" s="2"/>
      <c r="AD1495" s="502"/>
      <c r="AE1495" s="911"/>
      <c r="AF1495" s="502"/>
      <c r="AH1495" s="898"/>
      <c r="AI1495" s="502"/>
      <c r="AJ1495" s="502"/>
      <c r="AL1495" s="434"/>
      <c r="AM1495" s="436"/>
      <c r="AN1495" s="434"/>
      <c r="AO1495" s="434"/>
      <c r="AP1495" s="556"/>
      <c r="AQ1495" s="556"/>
      <c r="AR1495" s="556"/>
      <c r="CF1495" s="2"/>
    </row>
    <row r="1496" spans="3:84">
      <c r="C1496" s="2"/>
      <c r="AD1496" s="502"/>
      <c r="AE1496" s="911"/>
      <c r="AF1496" s="502"/>
      <c r="AH1496" s="898"/>
      <c r="AI1496" s="502"/>
      <c r="AJ1496" s="502"/>
      <c r="AL1496" s="434"/>
      <c r="AM1496" s="436"/>
      <c r="AN1496" s="434"/>
      <c r="AO1496" s="434"/>
      <c r="AP1496" s="556"/>
      <c r="AQ1496" s="556"/>
      <c r="AR1496" s="556"/>
      <c r="CF1496" s="2"/>
    </row>
    <row r="1497" spans="3:84">
      <c r="C1497" s="2"/>
      <c r="AD1497" s="502"/>
      <c r="AE1497" s="911"/>
      <c r="AF1497" s="502"/>
      <c r="AH1497" s="898"/>
      <c r="AI1497" s="502"/>
      <c r="AJ1497" s="502"/>
      <c r="AL1497" s="434"/>
      <c r="AM1497" s="436"/>
      <c r="AN1497" s="434"/>
      <c r="AO1497" s="434"/>
      <c r="AP1497" s="556"/>
      <c r="AQ1497" s="556"/>
      <c r="AR1497" s="556"/>
      <c r="CF1497" s="2"/>
    </row>
    <row r="1498" spans="3:84">
      <c r="C1498" s="2"/>
      <c r="AD1498" s="502"/>
      <c r="AE1498" s="911"/>
      <c r="AF1498" s="502"/>
      <c r="AH1498" s="898"/>
      <c r="AI1498" s="502"/>
      <c r="AJ1498" s="502"/>
      <c r="AL1498" s="434"/>
      <c r="AM1498" s="436"/>
      <c r="AN1498" s="434"/>
      <c r="AO1498" s="434"/>
      <c r="AP1498" s="556"/>
      <c r="AQ1498" s="556"/>
      <c r="AR1498" s="556"/>
      <c r="CF1498" s="2"/>
    </row>
    <row r="1499" spans="3:84">
      <c r="C1499" s="2"/>
      <c r="AD1499" s="502"/>
      <c r="AE1499" s="911"/>
      <c r="AF1499" s="502"/>
      <c r="AH1499" s="898"/>
      <c r="AI1499" s="502"/>
      <c r="AJ1499" s="502"/>
      <c r="AL1499" s="434"/>
      <c r="AM1499" s="436"/>
      <c r="AN1499" s="434"/>
      <c r="AO1499" s="434"/>
      <c r="AP1499" s="556"/>
      <c r="AQ1499" s="556"/>
      <c r="AR1499" s="556"/>
      <c r="CF1499" s="2"/>
    </row>
    <row r="1500" spans="3:84">
      <c r="C1500" s="2"/>
      <c r="AD1500" s="502"/>
      <c r="AE1500" s="911"/>
      <c r="AF1500" s="502"/>
      <c r="AH1500" s="898"/>
      <c r="AI1500" s="502"/>
      <c r="AJ1500" s="502"/>
      <c r="AL1500" s="434"/>
      <c r="AM1500" s="436"/>
      <c r="AN1500" s="434"/>
      <c r="AO1500" s="434"/>
      <c r="AP1500" s="556"/>
      <c r="AQ1500" s="556"/>
      <c r="AR1500" s="556"/>
      <c r="CF1500" s="2"/>
    </row>
    <row r="1501" spans="3:84">
      <c r="C1501" s="2"/>
      <c r="AD1501" s="502"/>
      <c r="AE1501" s="911"/>
      <c r="AF1501" s="502"/>
      <c r="AH1501" s="898"/>
      <c r="AI1501" s="502"/>
      <c r="AJ1501" s="502"/>
      <c r="AL1501" s="434"/>
      <c r="AM1501" s="436"/>
      <c r="AN1501" s="434"/>
      <c r="AO1501" s="434"/>
      <c r="AP1501" s="556"/>
      <c r="AQ1501" s="556"/>
      <c r="AR1501" s="556"/>
      <c r="CF1501" s="2"/>
    </row>
    <row r="1502" spans="3:84">
      <c r="C1502" s="2"/>
      <c r="AD1502" s="502"/>
      <c r="AE1502" s="911"/>
      <c r="AF1502" s="502"/>
      <c r="AH1502" s="898"/>
      <c r="AI1502" s="502"/>
      <c r="AJ1502" s="502"/>
      <c r="AL1502" s="434"/>
      <c r="AM1502" s="436"/>
      <c r="AN1502" s="434"/>
      <c r="AO1502" s="434"/>
      <c r="AP1502" s="556"/>
      <c r="AQ1502" s="556"/>
      <c r="AR1502" s="556"/>
      <c r="CF1502" s="2"/>
    </row>
    <row r="1503" spans="3:84">
      <c r="C1503" s="2"/>
      <c r="AD1503" s="502"/>
      <c r="AE1503" s="911"/>
      <c r="AF1503" s="502"/>
      <c r="AH1503" s="898"/>
      <c r="AI1503" s="502"/>
      <c r="AJ1503" s="502"/>
      <c r="AL1503" s="434"/>
      <c r="AM1503" s="436"/>
      <c r="AN1503" s="434"/>
      <c r="AO1503" s="434"/>
      <c r="AP1503" s="556"/>
      <c r="AQ1503" s="556"/>
      <c r="AR1503" s="556"/>
      <c r="CF1503" s="2"/>
    </row>
    <row r="1504" spans="3:84">
      <c r="C1504" s="2"/>
      <c r="AD1504" s="502"/>
      <c r="AE1504" s="911"/>
      <c r="AF1504" s="502"/>
      <c r="AH1504" s="898"/>
      <c r="AI1504" s="502"/>
      <c r="AJ1504" s="502"/>
      <c r="AL1504" s="434"/>
      <c r="AM1504" s="436"/>
      <c r="AN1504" s="434"/>
      <c r="AO1504" s="434"/>
      <c r="AP1504" s="556"/>
      <c r="AQ1504" s="556"/>
      <c r="AR1504" s="556"/>
      <c r="CF1504" s="2"/>
    </row>
    <row r="1505" spans="3:84">
      <c r="C1505" s="2"/>
      <c r="AD1505" s="502"/>
      <c r="AE1505" s="911"/>
      <c r="AF1505" s="502"/>
      <c r="AH1505" s="898"/>
      <c r="AI1505" s="502"/>
      <c r="AJ1505" s="502"/>
      <c r="AL1505" s="434"/>
      <c r="AM1505" s="436"/>
      <c r="AN1505" s="434"/>
      <c r="AO1505" s="434"/>
      <c r="AP1505" s="556"/>
      <c r="AQ1505" s="556"/>
      <c r="AR1505" s="556"/>
      <c r="CF1505" s="2"/>
    </row>
    <row r="1506" spans="3:84">
      <c r="C1506" s="2"/>
      <c r="AD1506" s="502"/>
      <c r="AE1506" s="911"/>
      <c r="AF1506" s="502"/>
      <c r="AH1506" s="898"/>
      <c r="AI1506" s="502"/>
      <c r="AJ1506" s="502"/>
      <c r="AL1506" s="434"/>
      <c r="AM1506" s="436"/>
      <c r="AN1506" s="434"/>
      <c r="AO1506" s="434"/>
      <c r="AP1506" s="556"/>
      <c r="AQ1506" s="556"/>
      <c r="AR1506" s="556"/>
      <c r="CF1506" s="2"/>
    </row>
    <row r="1507" spans="3:84">
      <c r="C1507" s="2"/>
      <c r="AD1507" s="502"/>
      <c r="AE1507" s="911"/>
      <c r="AF1507" s="502"/>
      <c r="AH1507" s="898"/>
      <c r="AI1507" s="502"/>
      <c r="AJ1507" s="502"/>
      <c r="AL1507" s="434"/>
      <c r="AM1507" s="436"/>
      <c r="AN1507" s="434"/>
      <c r="AO1507" s="434"/>
      <c r="AP1507" s="556"/>
      <c r="AQ1507" s="556"/>
      <c r="AR1507" s="556"/>
      <c r="CF1507" s="2"/>
    </row>
    <row r="1508" spans="3:84">
      <c r="C1508" s="2"/>
      <c r="AD1508" s="502"/>
      <c r="AE1508" s="911"/>
      <c r="AF1508" s="502"/>
      <c r="AH1508" s="898"/>
      <c r="AI1508" s="502"/>
      <c r="AJ1508" s="502"/>
      <c r="AL1508" s="434"/>
      <c r="AM1508" s="436"/>
      <c r="AN1508" s="434"/>
      <c r="AO1508" s="434"/>
      <c r="AP1508" s="556"/>
      <c r="AQ1508" s="556"/>
      <c r="AR1508" s="556"/>
      <c r="CF1508" s="2"/>
    </row>
    <row r="1509" spans="3:84">
      <c r="C1509" s="2"/>
      <c r="AD1509" s="502"/>
      <c r="AE1509" s="911"/>
      <c r="AF1509" s="502"/>
      <c r="AH1509" s="898"/>
      <c r="AI1509" s="502"/>
      <c r="AJ1509" s="502"/>
      <c r="AL1509" s="434"/>
      <c r="AM1509" s="436"/>
      <c r="AN1509" s="434"/>
      <c r="AO1509" s="434"/>
      <c r="AP1509" s="556"/>
      <c r="AQ1509" s="556"/>
      <c r="AR1509" s="556"/>
      <c r="CF1509" s="2"/>
    </row>
    <row r="1510" spans="3:84">
      <c r="C1510" s="2"/>
      <c r="AD1510" s="502"/>
      <c r="AE1510" s="911"/>
      <c r="AF1510" s="502"/>
      <c r="AH1510" s="898"/>
      <c r="AI1510" s="502"/>
      <c r="AJ1510" s="502"/>
      <c r="AL1510" s="434"/>
      <c r="AM1510" s="436"/>
      <c r="AN1510" s="434"/>
      <c r="AO1510" s="434"/>
      <c r="AP1510" s="556"/>
      <c r="AQ1510" s="556"/>
      <c r="AR1510" s="556"/>
      <c r="CF1510" s="2"/>
    </row>
    <row r="1511" spans="3:84">
      <c r="C1511" s="2"/>
      <c r="AD1511" s="502"/>
      <c r="AE1511" s="911"/>
      <c r="AF1511" s="502"/>
      <c r="AH1511" s="898"/>
      <c r="AI1511" s="502"/>
      <c r="AJ1511" s="502"/>
      <c r="AL1511" s="434"/>
      <c r="AM1511" s="436"/>
      <c r="AN1511" s="434"/>
      <c r="AO1511" s="434"/>
      <c r="AP1511" s="556"/>
      <c r="AQ1511" s="556"/>
      <c r="AR1511" s="556"/>
      <c r="CF1511" s="2"/>
    </row>
    <row r="1512" spans="3:84">
      <c r="C1512" s="2"/>
      <c r="AD1512" s="502"/>
      <c r="AE1512" s="911"/>
      <c r="AF1512" s="502"/>
      <c r="AH1512" s="898"/>
      <c r="AI1512" s="502"/>
      <c r="AJ1512" s="502"/>
      <c r="AL1512" s="434"/>
      <c r="AM1512" s="436"/>
      <c r="AN1512" s="434"/>
      <c r="AO1512" s="434"/>
      <c r="AP1512" s="556"/>
      <c r="AQ1512" s="556"/>
      <c r="AR1512" s="556"/>
      <c r="CF1512" s="2"/>
    </row>
    <row r="1513" spans="3:84">
      <c r="C1513" s="2"/>
      <c r="AD1513" s="502"/>
      <c r="AE1513" s="911"/>
      <c r="AF1513" s="502"/>
      <c r="AH1513" s="898"/>
      <c r="AI1513" s="502"/>
      <c r="AJ1513" s="502"/>
      <c r="AL1513" s="434"/>
      <c r="AM1513" s="436"/>
      <c r="AN1513" s="434"/>
      <c r="AO1513" s="434"/>
      <c r="AP1513" s="556"/>
      <c r="AQ1513" s="556"/>
      <c r="AR1513" s="556"/>
      <c r="CF1513" s="2"/>
    </row>
    <row r="1514" spans="3:84">
      <c r="C1514" s="2"/>
      <c r="AD1514" s="502"/>
      <c r="AE1514" s="911"/>
      <c r="AF1514" s="502"/>
      <c r="AH1514" s="898"/>
      <c r="AI1514" s="502"/>
      <c r="AJ1514" s="502"/>
      <c r="AL1514" s="434"/>
      <c r="AM1514" s="436"/>
      <c r="AN1514" s="434"/>
      <c r="AO1514" s="434"/>
      <c r="AP1514" s="556"/>
      <c r="AQ1514" s="556"/>
      <c r="AR1514" s="556"/>
      <c r="CF1514" s="2"/>
    </row>
    <row r="1515" spans="3:84">
      <c r="C1515" s="2"/>
      <c r="AD1515" s="502"/>
      <c r="AE1515" s="911"/>
      <c r="AF1515" s="502"/>
      <c r="AH1515" s="898"/>
      <c r="AI1515" s="502"/>
      <c r="AJ1515" s="502"/>
      <c r="AL1515" s="434"/>
      <c r="AM1515" s="436"/>
      <c r="AN1515" s="434"/>
      <c r="AO1515" s="434"/>
      <c r="AP1515" s="556"/>
      <c r="AQ1515" s="556"/>
      <c r="AR1515" s="556"/>
      <c r="CF1515" s="2"/>
    </row>
    <row r="1516" spans="3:84">
      <c r="C1516" s="2"/>
      <c r="AD1516" s="502"/>
      <c r="AE1516" s="911"/>
      <c r="AF1516" s="502"/>
      <c r="AH1516" s="898"/>
      <c r="AI1516" s="502"/>
      <c r="AJ1516" s="502"/>
      <c r="AL1516" s="434"/>
      <c r="AM1516" s="436"/>
      <c r="AN1516" s="434"/>
      <c r="AO1516" s="434"/>
      <c r="AP1516" s="556"/>
      <c r="AQ1516" s="556"/>
      <c r="AR1516" s="556"/>
      <c r="CF1516" s="2"/>
    </row>
    <row r="1517" spans="3:84">
      <c r="C1517" s="2"/>
      <c r="AD1517" s="502"/>
      <c r="AE1517" s="911"/>
      <c r="AF1517" s="502"/>
      <c r="AH1517" s="898"/>
      <c r="AI1517" s="502"/>
      <c r="AJ1517" s="502"/>
      <c r="AL1517" s="434"/>
      <c r="AM1517" s="436"/>
      <c r="AN1517" s="434"/>
      <c r="AO1517" s="434"/>
      <c r="AP1517" s="556"/>
      <c r="AQ1517" s="556"/>
      <c r="AR1517" s="556"/>
      <c r="CF1517" s="2"/>
    </row>
    <row r="1518" spans="3:84">
      <c r="C1518" s="2"/>
      <c r="AD1518" s="502"/>
      <c r="AE1518" s="911"/>
      <c r="AF1518" s="502"/>
      <c r="AH1518" s="898"/>
      <c r="AI1518" s="502"/>
      <c r="AJ1518" s="502"/>
      <c r="AL1518" s="434"/>
      <c r="AM1518" s="436"/>
      <c r="AN1518" s="434"/>
      <c r="AO1518" s="434"/>
      <c r="AP1518" s="556"/>
      <c r="AQ1518" s="556"/>
      <c r="AR1518" s="556"/>
      <c r="CF1518" s="2"/>
    </row>
    <row r="1519" spans="3:84">
      <c r="C1519" s="2"/>
      <c r="AD1519" s="502"/>
      <c r="AE1519" s="911"/>
      <c r="AF1519" s="502"/>
      <c r="AH1519" s="898"/>
      <c r="AI1519" s="502"/>
      <c r="AJ1519" s="502"/>
      <c r="AL1519" s="434"/>
      <c r="AM1519" s="436"/>
      <c r="AN1519" s="434"/>
      <c r="AO1519" s="434"/>
      <c r="AP1519" s="556"/>
      <c r="AQ1519" s="556"/>
      <c r="AR1519" s="556"/>
      <c r="CF1519" s="2"/>
    </row>
    <row r="1520" spans="3:84">
      <c r="C1520" s="2"/>
      <c r="AD1520" s="502"/>
      <c r="AE1520" s="911"/>
      <c r="AF1520" s="502"/>
      <c r="AH1520" s="898"/>
      <c r="AI1520" s="502"/>
      <c r="AJ1520" s="502"/>
      <c r="AL1520" s="434"/>
      <c r="AM1520" s="436"/>
      <c r="AN1520" s="434"/>
      <c r="AO1520" s="434"/>
      <c r="AP1520" s="556"/>
      <c r="AQ1520" s="556"/>
      <c r="AR1520" s="556"/>
      <c r="CF1520" s="2"/>
    </row>
    <row r="1521" spans="3:84">
      <c r="C1521" s="2"/>
      <c r="AD1521" s="502"/>
      <c r="AE1521" s="911"/>
      <c r="AF1521" s="502"/>
      <c r="AH1521" s="898"/>
      <c r="AI1521" s="502"/>
      <c r="AJ1521" s="502"/>
      <c r="AL1521" s="434"/>
      <c r="AM1521" s="436"/>
      <c r="AN1521" s="434"/>
      <c r="AO1521" s="434"/>
      <c r="AP1521" s="556"/>
      <c r="AQ1521" s="556"/>
      <c r="AR1521" s="556"/>
      <c r="CF1521" s="2"/>
    </row>
    <row r="1522" spans="3:84">
      <c r="C1522" s="2"/>
      <c r="AD1522" s="502"/>
      <c r="AE1522" s="911"/>
      <c r="AF1522" s="502"/>
      <c r="AH1522" s="898"/>
      <c r="AI1522" s="502"/>
      <c r="AJ1522" s="502"/>
      <c r="AL1522" s="434"/>
      <c r="AM1522" s="436"/>
      <c r="AN1522" s="434"/>
      <c r="AO1522" s="434"/>
      <c r="AP1522" s="556"/>
      <c r="AQ1522" s="556"/>
      <c r="AR1522" s="556"/>
      <c r="CF1522" s="2"/>
    </row>
    <row r="1523" spans="3:84">
      <c r="C1523" s="2"/>
      <c r="AD1523" s="502"/>
      <c r="AE1523" s="911"/>
      <c r="AF1523" s="502"/>
      <c r="AH1523" s="898"/>
      <c r="AI1523" s="502"/>
      <c r="AJ1523" s="502"/>
      <c r="AL1523" s="434"/>
      <c r="AM1523" s="436"/>
      <c r="AN1523" s="434"/>
      <c r="AO1523" s="434"/>
      <c r="AP1523" s="556"/>
      <c r="AQ1523" s="556"/>
      <c r="AR1523" s="556"/>
      <c r="CF1523" s="2"/>
    </row>
    <row r="1524" spans="3:84">
      <c r="C1524" s="2"/>
      <c r="AD1524" s="502"/>
      <c r="AE1524" s="911"/>
      <c r="AF1524" s="502"/>
      <c r="AH1524" s="898"/>
      <c r="AI1524" s="502"/>
      <c r="AJ1524" s="502"/>
      <c r="AL1524" s="434"/>
      <c r="AM1524" s="436"/>
      <c r="AN1524" s="434"/>
      <c r="AO1524" s="434"/>
      <c r="AP1524" s="556"/>
      <c r="AQ1524" s="556"/>
      <c r="AR1524" s="556"/>
      <c r="CF1524" s="2"/>
    </row>
    <row r="1525" spans="3:84">
      <c r="C1525" s="2"/>
      <c r="AD1525" s="502"/>
      <c r="AE1525" s="911"/>
      <c r="AF1525" s="502"/>
      <c r="AH1525" s="898"/>
      <c r="AI1525" s="502"/>
      <c r="AJ1525" s="502"/>
      <c r="AL1525" s="434"/>
      <c r="AM1525" s="436"/>
      <c r="AN1525" s="434"/>
      <c r="AO1525" s="434"/>
      <c r="AP1525" s="556"/>
      <c r="AQ1525" s="556"/>
      <c r="AR1525" s="556"/>
      <c r="CF1525" s="2"/>
    </row>
    <row r="1526" spans="3:84">
      <c r="C1526" s="2"/>
      <c r="AD1526" s="502"/>
      <c r="AE1526" s="911"/>
      <c r="AF1526" s="502"/>
      <c r="AH1526" s="898"/>
      <c r="AI1526" s="502"/>
      <c r="AJ1526" s="502"/>
      <c r="AL1526" s="434"/>
      <c r="AM1526" s="436"/>
      <c r="AN1526" s="434"/>
      <c r="AO1526" s="434"/>
      <c r="AP1526" s="556"/>
      <c r="AQ1526" s="556"/>
      <c r="AR1526" s="556"/>
      <c r="CF1526" s="2"/>
    </row>
    <row r="1527" spans="3:84">
      <c r="C1527" s="2"/>
      <c r="AD1527" s="502"/>
      <c r="AE1527" s="911"/>
      <c r="AF1527" s="502"/>
      <c r="AH1527" s="898"/>
      <c r="AI1527" s="502"/>
      <c r="AJ1527" s="502"/>
      <c r="AL1527" s="434"/>
      <c r="AM1527" s="436"/>
      <c r="AN1527" s="434"/>
      <c r="AO1527" s="434"/>
      <c r="AP1527" s="556"/>
      <c r="AQ1527" s="556"/>
      <c r="AR1527" s="556"/>
      <c r="CF1527" s="2"/>
    </row>
    <row r="1528" spans="3:84">
      <c r="C1528" s="2"/>
      <c r="AD1528" s="502"/>
      <c r="AE1528" s="911"/>
      <c r="AF1528" s="502"/>
      <c r="AH1528" s="898"/>
      <c r="AI1528" s="502"/>
      <c r="AJ1528" s="502"/>
      <c r="AL1528" s="434"/>
      <c r="AM1528" s="436"/>
      <c r="AN1528" s="434"/>
      <c r="AO1528" s="434"/>
      <c r="AP1528" s="556"/>
      <c r="AQ1528" s="556"/>
      <c r="AR1528" s="556"/>
      <c r="CF1528" s="2"/>
    </row>
    <row r="1529" spans="3:84">
      <c r="C1529" s="2"/>
      <c r="AD1529" s="502"/>
      <c r="AE1529" s="911"/>
      <c r="AF1529" s="502"/>
      <c r="AH1529" s="898"/>
      <c r="AI1529" s="502"/>
      <c r="AJ1529" s="502"/>
      <c r="AL1529" s="434"/>
      <c r="AM1529" s="436"/>
      <c r="AN1529" s="434"/>
      <c r="AO1529" s="434"/>
      <c r="AP1529" s="556"/>
      <c r="AQ1529" s="556"/>
      <c r="AR1529" s="556"/>
      <c r="CF1529" s="2"/>
    </row>
    <row r="1530" spans="3:84">
      <c r="C1530" s="2"/>
      <c r="AD1530" s="502"/>
      <c r="AE1530" s="911"/>
      <c r="AF1530" s="502"/>
      <c r="AH1530" s="898"/>
      <c r="AI1530" s="502"/>
      <c r="AJ1530" s="502"/>
      <c r="AL1530" s="434"/>
      <c r="AM1530" s="436"/>
      <c r="AN1530" s="434"/>
      <c r="AO1530" s="434"/>
      <c r="AP1530" s="556"/>
      <c r="AQ1530" s="556"/>
      <c r="AR1530" s="556"/>
      <c r="CF1530" s="2"/>
    </row>
    <row r="1531" spans="3:84">
      <c r="C1531" s="2"/>
      <c r="AD1531" s="502"/>
      <c r="AE1531" s="911"/>
      <c r="AF1531" s="502"/>
      <c r="AH1531" s="898"/>
      <c r="AI1531" s="502"/>
      <c r="AJ1531" s="502"/>
      <c r="AL1531" s="434"/>
      <c r="AM1531" s="436"/>
      <c r="AN1531" s="434"/>
      <c r="AO1531" s="434"/>
      <c r="AP1531" s="556"/>
      <c r="AQ1531" s="556"/>
      <c r="AR1531" s="556"/>
      <c r="CF1531" s="2"/>
    </row>
    <row r="1532" spans="3:84">
      <c r="C1532" s="2"/>
      <c r="AD1532" s="502"/>
      <c r="AE1532" s="911"/>
      <c r="AF1532" s="502"/>
      <c r="AH1532" s="898"/>
      <c r="AI1532" s="502"/>
      <c r="AJ1532" s="502"/>
      <c r="AL1532" s="434"/>
      <c r="AM1532" s="436"/>
      <c r="AN1532" s="434"/>
      <c r="AO1532" s="434"/>
      <c r="AP1532" s="556"/>
      <c r="AQ1532" s="556"/>
      <c r="AR1532" s="556"/>
      <c r="CF1532" s="2"/>
    </row>
    <row r="1533" spans="3:84">
      <c r="C1533" s="2"/>
      <c r="AD1533" s="502"/>
      <c r="AE1533" s="911"/>
      <c r="AF1533" s="502"/>
      <c r="AH1533" s="898"/>
      <c r="AI1533" s="502"/>
      <c r="AJ1533" s="502"/>
      <c r="AL1533" s="434"/>
      <c r="AM1533" s="436"/>
      <c r="AN1533" s="434"/>
      <c r="AO1533" s="434"/>
      <c r="AP1533" s="556"/>
      <c r="AQ1533" s="556"/>
      <c r="AR1533" s="556"/>
      <c r="CF1533" s="2"/>
    </row>
    <row r="1534" spans="3:84">
      <c r="C1534" s="2"/>
      <c r="AD1534" s="502"/>
      <c r="AE1534" s="911"/>
      <c r="AF1534" s="502"/>
      <c r="AH1534" s="898"/>
      <c r="AI1534" s="502"/>
      <c r="AJ1534" s="502"/>
      <c r="AL1534" s="434"/>
      <c r="AM1534" s="436"/>
      <c r="AN1534" s="434"/>
      <c r="AO1534" s="434"/>
      <c r="AP1534" s="556"/>
      <c r="AQ1534" s="556"/>
      <c r="AR1534" s="556"/>
      <c r="CF1534" s="2"/>
    </row>
    <row r="1535" spans="3:84">
      <c r="C1535" s="2"/>
      <c r="AD1535" s="502"/>
      <c r="AE1535" s="911"/>
      <c r="AF1535" s="502"/>
      <c r="AH1535" s="898"/>
      <c r="AI1535" s="502"/>
      <c r="AJ1535" s="502"/>
      <c r="AL1535" s="434"/>
      <c r="AM1535" s="436"/>
      <c r="AN1535" s="434"/>
      <c r="AO1535" s="434"/>
      <c r="AP1535" s="556"/>
      <c r="AQ1535" s="556"/>
      <c r="AR1535" s="556"/>
      <c r="CF1535" s="2"/>
    </row>
    <row r="1536" spans="3:84">
      <c r="C1536" s="2"/>
      <c r="AD1536" s="502"/>
      <c r="AE1536" s="911"/>
      <c r="AF1536" s="502"/>
      <c r="AH1536" s="898"/>
      <c r="AI1536" s="502"/>
      <c r="AJ1536" s="502"/>
      <c r="AL1536" s="434"/>
      <c r="AM1536" s="436"/>
      <c r="AN1536" s="434"/>
      <c r="AO1536" s="434"/>
      <c r="AP1536" s="556"/>
      <c r="AQ1536" s="556"/>
      <c r="AR1536" s="556"/>
      <c r="CF1536" s="2"/>
    </row>
    <row r="1537" spans="3:84">
      <c r="C1537" s="2"/>
      <c r="AD1537" s="502"/>
      <c r="AE1537" s="911"/>
      <c r="AF1537" s="502"/>
      <c r="AH1537" s="898"/>
      <c r="AI1537" s="502"/>
      <c r="AJ1537" s="502"/>
      <c r="AL1537" s="434"/>
      <c r="AM1537" s="436"/>
      <c r="AN1537" s="434"/>
      <c r="AO1537" s="434"/>
      <c r="AP1537" s="556"/>
      <c r="AQ1537" s="556"/>
      <c r="AR1537" s="556"/>
      <c r="CF1537" s="2"/>
    </row>
    <row r="1538" spans="3:84">
      <c r="C1538" s="2"/>
      <c r="AD1538" s="502"/>
      <c r="AE1538" s="911"/>
      <c r="AF1538" s="502"/>
      <c r="AH1538" s="898"/>
      <c r="AI1538" s="502"/>
      <c r="AJ1538" s="502"/>
      <c r="AL1538" s="434"/>
      <c r="AM1538" s="436"/>
      <c r="AN1538" s="434"/>
      <c r="AO1538" s="434"/>
      <c r="AP1538" s="556"/>
      <c r="AQ1538" s="556"/>
      <c r="AR1538" s="556"/>
      <c r="CF1538" s="2"/>
    </row>
    <row r="1539" spans="3:84">
      <c r="C1539" s="2"/>
      <c r="AD1539" s="502"/>
      <c r="AE1539" s="911"/>
      <c r="AF1539" s="502"/>
      <c r="AH1539" s="898"/>
      <c r="AI1539" s="502"/>
      <c r="AJ1539" s="502"/>
      <c r="AL1539" s="434"/>
      <c r="AM1539" s="436"/>
      <c r="AN1539" s="434"/>
      <c r="AO1539" s="434"/>
      <c r="AP1539" s="556"/>
      <c r="AQ1539" s="556"/>
      <c r="AR1539" s="556"/>
      <c r="CF1539" s="2"/>
    </row>
    <row r="1540" spans="3:84">
      <c r="C1540" s="2"/>
      <c r="AD1540" s="502"/>
      <c r="AE1540" s="911"/>
      <c r="AF1540" s="502"/>
      <c r="AH1540" s="898"/>
      <c r="AI1540" s="502"/>
      <c r="AJ1540" s="502"/>
      <c r="AL1540" s="434"/>
      <c r="AM1540" s="436"/>
      <c r="AN1540" s="434"/>
      <c r="AO1540" s="434"/>
      <c r="AP1540" s="556"/>
      <c r="AQ1540" s="556"/>
      <c r="AR1540" s="556"/>
      <c r="CF1540" s="2"/>
    </row>
    <row r="1541" spans="3:84">
      <c r="C1541" s="2"/>
      <c r="AD1541" s="502"/>
      <c r="AE1541" s="911"/>
      <c r="AF1541" s="502"/>
      <c r="AH1541" s="898"/>
      <c r="AI1541" s="502"/>
      <c r="AJ1541" s="502"/>
      <c r="AL1541" s="434"/>
      <c r="AM1541" s="436"/>
      <c r="AN1541" s="434"/>
      <c r="AO1541" s="434"/>
      <c r="AP1541" s="556"/>
      <c r="AQ1541" s="556"/>
      <c r="AR1541" s="556"/>
      <c r="CF1541" s="2"/>
    </row>
    <row r="1542" spans="3:84">
      <c r="C1542" s="2"/>
      <c r="AD1542" s="502"/>
      <c r="AE1542" s="911"/>
      <c r="AF1542" s="502"/>
      <c r="AH1542" s="898"/>
      <c r="AI1542" s="502"/>
      <c r="AJ1542" s="502"/>
      <c r="AL1542" s="434"/>
      <c r="AM1542" s="436"/>
      <c r="AN1542" s="434"/>
      <c r="AO1542" s="434"/>
      <c r="AP1542" s="556"/>
      <c r="AQ1542" s="556"/>
      <c r="AR1542" s="556"/>
      <c r="CF1542" s="2"/>
    </row>
    <row r="1543" spans="3:84">
      <c r="C1543" s="2"/>
      <c r="AD1543" s="502"/>
      <c r="AE1543" s="911"/>
      <c r="AF1543" s="502"/>
      <c r="AH1543" s="898"/>
      <c r="AI1543" s="502"/>
      <c r="AJ1543" s="502"/>
      <c r="AL1543" s="434"/>
      <c r="AM1543" s="436"/>
      <c r="AN1543" s="434"/>
      <c r="AO1543" s="434"/>
      <c r="AP1543" s="556"/>
      <c r="AQ1543" s="556"/>
      <c r="AR1543" s="556"/>
      <c r="CF1543" s="2"/>
    </row>
    <row r="1544" spans="3:84">
      <c r="C1544" s="2"/>
      <c r="AD1544" s="502"/>
      <c r="AE1544" s="911"/>
      <c r="AF1544" s="502"/>
      <c r="AH1544" s="898"/>
      <c r="AI1544" s="502"/>
      <c r="AJ1544" s="502"/>
      <c r="AL1544" s="434"/>
      <c r="AM1544" s="436"/>
      <c r="AN1544" s="434"/>
      <c r="AO1544" s="434"/>
      <c r="AP1544" s="556"/>
      <c r="AQ1544" s="556"/>
      <c r="AR1544" s="556"/>
      <c r="CF1544" s="2"/>
    </row>
    <row r="1545" spans="3:84">
      <c r="C1545" s="2"/>
      <c r="AD1545" s="502"/>
      <c r="AE1545" s="911"/>
      <c r="AF1545" s="502"/>
      <c r="AH1545" s="898"/>
      <c r="AI1545" s="502"/>
      <c r="AJ1545" s="502"/>
      <c r="AL1545" s="434"/>
      <c r="AM1545" s="436"/>
      <c r="AN1545" s="434"/>
      <c r="AO1545" s="434"/>
      <c r="AP1545" s="556"/>
      <c r="AQ1545" s="556"/>
      <c r="AR1545" s="556"/>
      <c r="CF1545" s="2"/>
    </row>
    <row r="1546" spans="3:84">
      <c r="C1546" s="2"/>
      <c r="AD1546" s="502"/>
      <c r="AE1546" s="911"/>
      <c r="AF1546" s="502"/>
      <c r="AH1546" s="898"/>
      <c r="AI1546" s="502"/>
      <c r="AJ1546" s="502"/>
      <c r="AL1546" s="434"/>
      <c r="AM1546" s="436"/>
      <c r="AN1546" s="434"/>
      <c r="AO1546" s="434"/>
      <c r="AP1546" s="556"/>
      <c r="AQ1546" s="556"/>
      <c r="AR1546" s="556"/>
      <c r="CF1546" s="2"/>
    </row>
    <row r="1547" spans="3:84">
      <c r="C1547" s="2"/>
      <c r="AD1547" s="502"/>
      <c r="AE1547" s="911"/>
      <c r="AF1547" s="502"/>
      <c r="AH1547" s="898"/>
      <c r="AI1547" s="502"/>
      <c r="AJ1547" s="502"/>
      <c r="AL1547" s="434"/>
      <c r="AM1547" s="436"/>
      <c r="AN1547" s="434"/>
      <c r="AO1547" s="434"/>
      <c r="AP1547" s="556"/>
      <c r="AQ1547" s="556"/>
      <c r="AR1547" s="556"/>
      <c r="CF1547" s="2"/>
    </row>
    <row r="1548" spans="3:84">
      <c r="C1548" s="2"/>
      <c r="AD1548" s="502"/>
      <c r="AE1548" s="911"/>
      <c r="AF1548" s="502"/>
      <c r="AH1548" s="898"/>
      <c r="AI1548" s="502"/>
      <c r="AJ1548" s="502"/>
      <c r="AL1548" s="434"/>
      <c r="AM1548" s="436"/>
      <c r="AN1548" s="434"/>
      <c r="AO1548" s="434"/>
      <c r="AP1548" s="556"/>
      <c r="AQ1548" s="556"/>
      <c r="AR1548" s="556"/>
      <c r="CF1548" s="2"/>
    </row>
    <row r="1549" spans="3:84">
      <c r="C1549" s="2"/>
      <c r="AD1549" s="502"/>
      <c r="AE1549" s="911"/>
      <c r="AF1549" s="502"/>
      <c r="AH1549" s="898"/>
      <c r="AI1549" s="502"/>
      <c r="AJ1549" s="502"/>
      <c r="AL1549" s="434"/>
      <c r="AM1549" s="436"/>
      <c r="AN1549" s="434"/>
      <c r="AO1549" s="434"/>
      <c r="AP1549" s="556"/>
      <c r="AQ1549" s="556"/>
      <c r="AR1549" s="556"/>
      <c r="CF1549" s="2"/>
    </row>
    <row r="1550" spans="3:84">
      <c r="C1550" s="2"/>
      <c r="AD1550" s="502"/>
      <c r="AE1550" s="911"/>
      <c r="AF1550" s="502"/>
      <c r="AH1550" s="898"/>
      <c r="AI1550" s="502"/>
      <c r="AJ1550" s="502"/>
      <c r="AL1550" s="434"/>
      <c r="AM1550" s="436"/>
      <c r="AN1550" s="434"/>
      <c r="AO1550" s="434"/>
      <c r="AP1550" s="556"/>
      <c r="AQ1550" s="556"/>
      <c r="AR1550" s="556"/>
      <c r="CF1550" s="2"/>
    </row>
    <row r="1551" spans="3:84">
      <c r="C1551" s="2"/>
      <c r="AD1551" s="502"/>
      <c r="AE1551" s="911"/>
      <c r="AF1551" s="502"/>
      <c r="AH1551" s="898"/>
      <c r="AI1551" s="502"/>
      <c r="AJ1551" s="502"/>
      <c r="AL1551" s="434"/>
      <c r="AM1551" s="436"/>
      <c r="AN1551" s="434"/>
      <c r="AO1551" s="434"/>
      <c r="AP1551" s="556"/>
      <c r="AQ1551" s="556"/>
      <c r="AR1551" s="556"/>
      <c r="CF1551" s="2"/>
    </row>
    <row r="1552" spans="3:84">
      <c r="C1552" s="2"/>
      <c r="AD1552" s="502"/>
      <c r="AE1552" s="911"/>
      <c r="AF1552" s="502"/>
      <c r="AH1552" s="898"/>
      <c r="AI1552" s="502"/>
      <c r="AJ1552" s="502"/>
      <c r="AL1552" s="434"/>
      <c r="AM1552" s="436"/>
      <c r="AN1552" s="434"/>
      <c r="AO1552" s="434"/>
      <c r="AP1552" s="556"/>
      <c r="AQ1552" s="556"/>
      <c r="AR1552" s="556"/>
      <c r="CF1552" s="2"/>
    </row>
    <row r="1553" spans="3:84">
      <c r="C1553" s="2"/>
      <c r="AD1553" s="502"/>
      <c r="AE1553" s="911"/>
      <c r="AF1553" s="502"/>
      <c r="AH1553" s="898"/>
      <c r="AI1553" s="502"/>
      <c r="AJ1553" s="502"/>
      <c r="AL1553" s="434"/>
      <c r="AM1553" s="436"/>
      <c r="AN1553" s="434"/>
      <c r="AO1553" s="434"/>
      <c r="AP1553" s="556"/>
      <c r="AQ1553" s="556"/>
      <c r="AR1553" s="556"/>
      <c r="CF1553" s="2"/>
    </row>
    <row r="1554" spans="3:84">
      <c r="C1554" s="2"/>
      <c r="AD1554" s="502"/>
      <c r="AE1554" s="911"/>
      <c r="AF1554" s="502"/>
      <c r="AH1554" s="898"/>
      <c r="AI1554" s="502"/>
      <c r="AJ1554" s="502"/>
      <c r="AL1554" s="434"/>
      <c r="AM1554" s="436"/>
      <c r="AN1554" s="434"/>
      <c r="AO1554" s="434"/>
      <c r="AP1554" s="556"/>
      <c r="AQ1554" s="556"/>
      <c r="AR1554" s="556"/>
      <c r="CF1554" s="2"/>
    </row>
    <row r="1555" spans="3:84">
      <c r="C1555" s="2"/>
      <c r="AD1555" s="502"/>
      <c r="AE1555" s="911"/>
      <c r="AF1555" s="502"/>
      <c r="AH1555" s="898"/>
      <c r="AI1555" s="502"/>
      <c r="AJ1555" s="502"/>
      <c r="AL1555" s="434"/>
      <c r="AM1555" s="436"/>
      <c r="AN1555" s="434"/>
      <c r="AO1555" s="434"/>
      <c r="AP1555" s="556"/>
      <c r="AQ1555" s="556"/>
      <c r="AR1555" s="556"/>
      <c r="CF1555" s="2"/>
    </row>
    <row r="1556" spans="3:84">
      <c r="C1556" s="2"/>
      <c r="AD1556" s="502"/>
      <c r="AE1556" s="911"/>
      <c r="AF1556" s="502"/>
      <c r="AH1556" s="898"/>
      <c r="AI1556" s="502"/>
      <c r="AJ1556" s="502"/>
      <c r="AL1556" s="434"/>
      <c r="AM1556" s="436"/>
      <c r="AN1556" s="434"/>
      <c r="AO1556" s="434"/>
      <c r="AP1556" s="556"/>
      <c r="AQ1556" s="556"/>
      <c r="AR1556" s="556"/>
      <c r="CF1556" s="2"/>
    </row>
    <row r="1557" spans="3:84">
      <c r="C1557" s="2"/>
      <c r="AD1557" s="502"/>
      <c r="AE1557" s="911"/>
      <c r="AF1557" s="502"/>
      <c r="AH1557" s="898"/>
      <c r="AI1557" s="502"/>
      <c r="AJ1557" s="502"/>
      <c r="AL1557" s="434"/>
      <c r="AM1557" s="436"/>
      <c r="AN1557" s="434"/>
      <c r="AO1557" s="434"/>
      <c r="AP1557" s="556"/>
      <c r="AQ1557" s="556"/>
      <c r="AR1557" s="556"/>
      <c r="CF1557" s="2"/>
    </row>
    <row r="1558" spans="3:84">
      <c r="C1558" s="2"/>
      <c r="AD1558" s="502"/>
      <c r="AE1558" s="911"/>
      <c r="AF1558" s="502"/>
      <c r="AH1558" s="898"/>
      <c r="AI1558" s="502"/>
      <c r="AJ1558" s="502"/>
      <c r="AL1558" s="434"/>
      <c r="AM1558" s="436"/>
      <c r="AN1558" s="434"/>
      <c r="AO1558" s="434"/>
      <c r="AP1558" s="556"/>
      <c r="AQ1558" s="556"/>
      <c r="AR1558" s="556"/>
      <c r="CF1558" s="2"/>
    </row>
    <row r="1559" spans="3:84">
      <c r="C1559" s="2"/>
      <c r="AD1559" s="502"/>
      <c r="AE1559" s="911"/>
      <c r="AF1559" s="502"/>
      <c r="AH1559" s="898"/>
      <c r="AI1559" s="502"/>
      <c r="AJ1559" s="502"/>
      <c r="AL1559" s="434"/>
      <c r="AM1559" s="436"/>
      <c r="AN1559" s="434"/>
      <c r="AO1559" s="434"/>
      <c r="AP1559" s="556"/>
      <c r="AQ1559" s="556"/>
      <c r="AR1559" s="556"/>
      <c r="CF1559" s="2"/>
    </row>
    <row r="1560" spans="3:84">
      <c r="C1560" s="2"/>
      <c r="AD1560" s="502"/>
      <c r="AE1560" s="911"/>
      <c r="AF1560" s="502"/>
      <c r="AH1560" s="898"/>
      <c r="AI1560" s="502"/>
      <c r="AJ1560" s="502"/>
      <c r="AL1560" s="434"/>
      <c r="AM1560" s="436"/>
      <c r="AN1560" s="434"/>
      <c r="AO1560" s="434"/>
      <c r="AP1560" s="556"/>
      <c r="AQ1560" s="556"/>
      <c r="AR1560" s="556"/>
      <c r="CF1560" s="2"/>
    </row>
    <row r="1561" spans="3:84">
      <c r="C1561" s="2"/>
      <c r="AD1561" s="502"/>
      <c r="AE1561" s="911"/>
      <c r="AF1561" s="502"/>
      <c r="AH1561" s="898"/>
      <c r="AI1561" s="502"/>
      <c r="AJ1561" s="502"/>
      <c r="AL1561" s="434"/>
      <c r="AM1561" s="436"/>
      <c r="AN1561" s="434"/>
      <c r="AO1561" s="434"/>
      <c r="AP1561" s="556"/>
      <c r="AQ1561" s="556"/>
      <c r="AR1561" s="556"/>
      <c r="CF1561" s="2"/>
    </row>
    <row r="1562" spans="3:84">
      <c r="C1562" s="2"/>
      <c r="AD1562" s="502"/>
      <c r="AE1562" s="911"/>
      <c r="AF1562" s="502"/>
      <c r="AH1562" s="898"/>
      <c r="AI1562" s="502"/>
      <c r="AJ1562" s="502"/>
      <c r="AL1562" s="434"/>
      <c r="AM1562" s="436"/>
      <c r="AN1562" s="434"/>
      <c r="AO1562" s="434"/>
      <c r="AP1562" s="556"/>
      <c r="AQ1562" s="556"/>
      <c r="AR1562" s="556"/>
      <c r="CF1562" s="2"/>
    </row>
    <row r="1563" spans="3:84">
      <c r="C1563" s="2"/>
      <c r="AD1563" s="502"/>
      <c r="AE1563" s="911"/>
      <c r="AF1563" s="502"/>
      <c r="AH1563" s="898"/>
      <c r="AI1563" s="502"/>
      <c r="AJ1563" s="502"/>
      <c r="AL1563" s="434"/>
      <c r="AM1563" s="436"/>
      <c r="AN1563" s="434"/>
      <c r="AO1563" s="434"/>
      <c r="AP1563" s="556"/>
      <c r="AQ1563" s="556"/>
      <c r="AR1563" s="556"/>
      <c r="CF1563" s="2"/>
    </row>
    <row r="1564" spans="3:84">
      <c r="C1564" s="2"/>
      <c r="AD1564" s="502"/>
      <c r="AE1564" s="911"/>
      <c r="AF1564" s="502"/>
      <c r="AH1564" s="898"/>
      <c r="AI1564" s="502"/>
      <c r="AJ1564" s="502"/>
      <c r="AL1564" s="434"/>
      <c r="AM1564" s="436"/>
      <c r="AN1564" s="434"/>
      <c r="AO1564" s="434"/>
      <c r="AP1564" s="556"/>
      <c r="AQ1564" s="556"/>
      <c r="AR1564" s="556"/>
      <c r="CF1564" s="2"/>
    </row>
    <row r="1565" spans="3:84">
      <c r="C1565" s="2"/>
      <c r="AD1565" s="502"/>
      <c r="AE1565" s="911"/>
      <c r="AF1565" s="502"/>
      <c r="AH1565" s="898"/>
      <c r="AI1565" s="502"/>
      <c r="AJ1565" s="502"/>
      <c r="AL1565" s="434"/>
      <c r="AM1565" s="436"/>
      <c r="AN1565" s="434"/>
      <c r="AO1565" s="434"/>
      <c r="AP1565" s="556"/>
      <c r="AQ1565" s="556"/>
      <c r="AR1565" s="556"/>
      <c r="CF1565" s="2"/>
    </row>
    <row r="1566" spans="3:84">
      <c r="C1566" s="2"/>
      <c r="AD1566" s="502"/>
      <c r="AE1566" s="911"/>
      <c r="AF1566" s="502"/>
      <c r="AH1566" s="898"/>
      <c r="AI1566" s="502"/>
      <c r="AJ1566" s="502"/>
      <c r="AL1566" s="434"/>
      <c r="AM1566" s="436"/>
      <c r="AN1566" s="434"/>
      <c r="AO1566" s="434"/>
      <c r="AP1566" s="556"/>
      <c r="AQ1566" s="556"/>
      <c r="AR1566" s="556"/>
      <c r="CF1566" s="2"/>
    </row>
    <row r="1567" spans="3:84">
      <c r="C1567" s="2"/>
      <c r="AD1567" s="502"/>
      <c r="AE1567" s="911"/>
      <c r="AF1567" s="502"/>
      <c r="AH1567" s="898"/>
      <c r="AI1567" s="502"/>
      <c r="AJ1567" s="502"/>
      <c r="AL1567" s="434"/>
      <c r="AM1567" s="436"/>
      <c r="AN1567" s="434"/>
      <c r="AO1567" s="434"/>
      <c r="AP1567" s="556"/>
      <c r="AQ1567" s="556"/>
      <c r="AR1567" s="556"/>
      <c r="CF1567" s="2"/>
    </row>
    <row r="1568" spans="3:84">
      <c r="C1568" s="2"/>
      <c r="AD1568" s="502"/>
      <c r="AE1568" s="911"/>
      <c r="AF1568" s="502"/>
      <c r="AH1568" s="898"/>
      <c r="AI1568" s="502"/>
      <c r="AJ1568" s="502"/>
      <c r="AL1568" s="434"/>
      <c r="AM1568" s="436"/>
      <c r="AN1568" s="434"/>
      <c r="AO1568" s="434"/>
      <c r="AP1568" s="556"/>
      <c r="AQ1568" s="556"/>
      <c r="AR1568" s="556"/>
      <c r="CF1568" s="2"/>
    </row>
    <row r="1569" spans="3:84">
      <c r="C1569" s="2"/>
      <c r="AD1569" s="502"/>
      <c r="AE1569" s="911"/>
      <c r="AF1569" s="502"/>
      <c r="AH1569" s="898"/>
      <c r="AI1569" s="502"/>
      <c r="AJ1569" s="502"/>
      <c r="AL1569" s="434"/>
      <c r="AM1569" s="436"/>
      <c r="AN1569" s="434"/>
      <c r="AO1569" s="434"/>
      <c r="AP1569" s="556"/>
      <c r="AQ1569" s="556"/>
      <c r="AR1569" s="556"/>
      <c r="CF1569" s="2"/>
    </row>
    <row r="1570" spans="3:84">
      <c r="C1570" s="2"/>
      <c r="AD1570" s="502"/>
      <c r="AE1570" s="911"/>
      <c r="AF1570" s="502"/>
      <c r="AH1570" s="898"/>
      <c r="AI1570" s="502"/>
      <c r="AJ1570" s="502"/>
      <c r="AL1570" s="434"/>
      <c r="AM1570" s="436"/>
      <c r="AN1570" s="434"/>
      <c r="AO1570" s="434"/>
      <c r="AP1570" s="556"/>
      <c r="AQ1570" s="556"/>
      <c r="AR1570" s="556"/>
      <c r="CF1570" s="2"/>
    </row>
    <row r="1571" spans="3:84">
      <c r="C1571" s="2"/>
      <c r="AD1571" s="502"/>
      <c r="AE1571" s="911"/>
      <c r="AF1571" s="502"/>
      <c r="AH1571" s="898"/>
      <c r="AI1571" s="502"/>
      <c r="AJ1571" s="502"/>
      <c r="AL1571" s="434"/>
      <c r="AM1571" s="436"/>
      <c r="AN1571" s="434"/>
      <c r="AO1571" s="434"/>
      <c r="AP1571" s="556"/>
      <c r="AQ1571" s="556"/>
      <c r="AR1571" s="556"/>
      <c r="CF1571" s="2"/>
    </row>
    <row r="1572" spans="3:84">
      <c r="C1572" s="2"/>
      <c r="AD1572" s="502"/>
      <c r="AE1572" s="911"/>
      <c r="AF1572" s="502"/>
      <c r="AH1572" s="898"/>
      <c r="AI1572" s="502"/>
      <c r="AJ1572" s="502"/>
      <c r="AL1572" s="434"/>
      <c r="AM1572" s="436"/>
      <c r="AN1572" s="434"/>
      <c r="AO1572" s="434"/>
      <c r="AP1572" s="556"/>
      <c r="AQ1572" s="556"/>
      <c r="AR1572" s="556"/>
      <c r="CF1572" s="2"/>
    </row>
    <row r="1573" spans="3:84">
      <c r="C1573" s="2"/>
      <c r="AD1573" s="502"/>
      <c r="AE1573" s="911"/>
      <c r="AF1573" s="502"/>
      <c r="AH1573" s="898"/>
      <c r="AI1573" s="502"/>
      <c r="AJ1573" s="502"/>
      <c r="AL1573" s="434"/>
      <c r="AM1573" s="436"/>
      <c r="AN1573" s="434"/>
      <c r="AO1573" s="434"/>
      <c r="AP1573" s="556"/>
      <c r="AQ1573" s="556"/>
      <c r="AR1573" s="556"/>
      <c r="CF1573" s="2"/>
    </row>
    <row r="1574" spans="3:84">
      <c r="C1574" s="2"/>
      <c r="AD1574" s="502"/>
      <c r="AE1574" s="911"/>
      <c r="AF1574" s="502"/>
      <c r="AH1574" s="898"/>
      <c r="AI1574" s="502"/>
      <c r="AJ1574" s="502"/>
      <c r="AL1574" s="434"/>
      <c r="AM1574" s="436"/>
      <c r="AN1574" s="434"/>
      <c r="AO1574" s="434"/>
      <c r="AP1574" s="556"/>
      <c r="AQ1574" s="556"/>
      <c r="AR1574" s="556"/>
      <c r="CF1574" s="2"/>
    </row>
    <row r="1575" spans="3:84">
      <c r="C1575" s="2"/>
      <c r="AD1575" s="502"/>
      <c r="AE1575" s="911"/>
      <c r="AF1575" s="502"/>
      <c r="AH1575" s="898"/>
      <c r="AI1575" s="502"/>
      <c r="AJ1575" s="502"/>
      <c r="AL1575" s="434"/>
      <c r="AM1575" s="436"/>
      <c r="AN1575" s="434"/>
      <c r="AO1575" s="434"/>
      <c r="AP1575" s="556"/>
      <c r="AQ1575" s="556"/>
      <c r="AR1575" s="556"/>
      <c r="CF1575" s="2"/>
    </row>
    <row r="1576" spans="3:84">
      <c r="C1576" s="2"/>
      <c r="AD1576" s="502"/>
      <c r="AE1576" s="911"/>
      <c r="AF1576" s="502"/>
      <c r="AH1576" s="898"/>
      <c r="AI1576" s="502"/>
      <c r="AJ1576" s="502"/>
      <c r="AL1576" s="434"/>
      <c r="AM1576" s="436"/>
      <c r="AN1576" s="434"/>
      <c r="AO1576" s="434"/>
      <c r="AP1576" s="556"/>
      <c r="AQ1576" s="556"/>
      <c r="AR1576" s="556"/>
      <c r="CF1576" s="2"/>
    </row>
    <row r="1577" spans="3:84">
      <c r="C1577" s="2"/>
      <c r="AD1577" s="502"/>
      <c r="AE1577" s="911"/>
      <c r="AF1577" s="502"/>
      <c r="AH1577" s="898"/>
      <c r="AI1577" s="502"/>
      <c r="AJ1577" s="502"/>
      <c r="AL1577" s="434"/>
      <c r="AM1577" s="436"/>
      <c r="AN1577" s="434"/>
      <c r="AO1577" s="434"/>
      <c r="AP1577" s="556"/>
      <c r="AQ1577" s="556"/>
      <c r="AR1577" s="556"/>
      <c r="CF1577" s="2"/>
    </row>
    <row r="1578" spans="3:84">
      <c r="C1578" s="2"/>
      <c r="AD1578" s="502"/>
      <c r="AE1578" s="911"/>
      <c r="AF1578" s="502"/>
      <c r="AH1578" s="898"/>
      <c r="AI1578" s="502"/>
      <c r="AJ1578" s="502"/>
      <c r="AL1578" s="434"/>
      <c r="AM1578" s="436"/>
      <c r="AN1578" s="434"/>
      <c r="AO1578" s="434"/>
      <c r="AP1578" s="556"/>
      <c r="AQ1578" s="556"/>
      <c r="AR1578" s="556"/>
      <c r="CF1578" s="2"/>
    </row>
    <row r="1579" spans="3:84">
      <c r="C1579" s="2"/>
      <c r="AD1579" s="502"/>
      <c r="AE1579" s="911"/>
      <c r="AF1579" s="502"/>
      <c r="AH1579" s="898"/>
      <c r="AI1579" s="502"/>
      <c r="AJ1579" s="502"/>
      <c r="AL1579" s="434"/>
      <c r="AM1579" s="436"/>
      <c r="AN1579" s="434"/>
      <c r="AO1579" s="434"/>
      <c r="AP1579" s="556"/>
      <c r="AQ1579" s="556"/>
      <c r="AR1579" s="556"/>
      <c r="CF1579" s="2"/>
    </row>
    <row r="1580" spans="3:84">
      <c r="C1580" s="2"/>
      <c r="AD1580" s="502"/>
      <c r="AE1580" s="911"/>
      <c r="AF1580" s="502"/>
      <c r="AH1580" s="898"/>
      <c r="AI1580" s="502"/>
      <c r="AJ1580" s="502"/>
      <c r="AL1580" s="434"/>
      <c r="AM1580" s="436"/>
      <c r="AN1580" s="434"/>
      <c r="AO1580" s="434"/>
      <c r="AP1580" s="556"/>
      <c r="AQ1580" s="556"/>
      <c r="AR1580" s="556"/>
      <c r="CF1580" s="2"/>
    </row>
    <row r="1581" spans="3:84">
      <c r="C1581" s="2"/>
      <c r="AD1581" s="502"/>
      <c r="AE1581" s="911"/>
      <c r="AF1581" s="502"/>
      <c r="AH1581" s="898"/>
      <c r="AI1581" s="502"/>
      <c r="AJ1581" s="502"/>
      <c r="AL1581" s="434"/>
      <c r="AM1581" s="436"/>
      <c r="AN1581" s="434"/>
      <c r="AO1581" s="434"/>
      <c r="AP1581" s="556"/>
      <c r="AQ1581" s="556"/>
      <c r="AR1581" s="556"/>
      <c r="CF1581" s="2"/>
    </row>
    <row r="1582" spans="3:84">
      <c r="C1582" s="2"/>
      <c r="AD1582" s="502"/>
      <c r="AE1582" s="911"/>
      <c r="AF1582" s="502"/>
      <c r="AH1582" s="898"/>
      <c r="AI1582" s="502"/>
      <c r="AJ1582" s="502"/>
      <c r="AL1582" s="434"/>
      <c r="AM1582" s="436"/>
      <c r="AN1582" s="434"/>
      <c r="AO1582" s="434"/>
      <c r="AP1582" s="556"/>
      <c r="AQ1582" s="556"/>
      <c r="AR1582" s="556"/>
      <c r="CF1582" s="2"/>
    </row>
    <row r="1583" spans="3:84">
      <c r="C1583" s="2"/>
      <c r="AD1583" s="502"/>
      <c r="AE1583" s="911"/>
      <c r="AF1583" s="502"/>
      <c r="AH1583" s="898"/>
      <c r="AI1583" s="502"/>
      <c r="AJ1583" s="502"/>
      <c r="AL1583" s="434"/>
      <c r="AM1583" s="436"/>
      <c r="AN1583" s="434"/>
      <c r="AO1583" s="434"/>
      <c r="AP1583" s="556"/>
      <c r="AQ1583" s="556"/>
      <c r="AR1583" s="556"/>
      <c r="CF1583" s="2"/>
    </row>
    <row r="1584" spans="3:84">
      <c r="C1584" s="2"/>
      <c r="AD1584" s="502"/>
      <c r="AE1584" s="911"/>
      <c r="AF1584" s="502"/>
      <c r="AH1584" s="898"/>
      <c r="AI1584" s="502"/>
      <c r="AJ1584" s="502"/>
      <c r="AL1584" s="434"/>
      <c r="AM1584" s="436"/>
      <c r="AN1584" s="434"/>
      <c r="AO1584" s="434"/>
      <c r="AP1584" s="556"/>
      <c r="AQ1584" s="556"/>
      <c r="AR1584" s="556"/>
      <c r="CF1584" s="2"/>
    </row>
    <row r="1585" spans="3:84">
      <c r="C1585" s="2"/>
      <c r="AD1585" s="502"/>
      <c r="AE1585" s="911"/>
      <c r="AF1585" s="502"/>
      <c r="AH1585" s="898"/>
      <c r="AI1585" s="502"/>
      <c r="AJ1585" s="502"/>
      <c r="AL1585" s="434"/>
      <c r="AM1585" s="436"/>
      <c r="AN1585" s="434"/>
      <c r="AO1585" s="434"/>
      <c r="AP1585" s="556"/>
      <c r="AQ1585" s="556"/>
      <c r="AR1585" s="556"/>
      <c r="CF1585" s="2"/>
    </row>
    <row r="1586" spans="3:84">
      <c r="C1586" s="2"/>
      <c r="AD1586" s="502"/>
      <c r="AE1586" s="911"/>
      <c r="AF1586" s="502"/>
      <c r="AH1586" s="898"/>
      <c r="AI1586" s="502"/>
      <c r="AJ1586" s="502"/>
      <c r="AL1586" s="434"/>
      <c r="AM1586" s="436"/>
      <c r="AN1586" s="434"/>
      <c r="AO1586" s="434"/>
      <c r="AP1586" s="556"/>
      <c r="AQ1586" s="556"/>
      <c r="AR1586" s="556"/>
      <c r="CF1586" s="2"/>
    </row>
    <row r="1587" spans="3:84">
      <c r="C1587" s="2"/>
      <c r="AD1587" s="502"/>
      <c r="AE1587" s="911"/>
      <c r="AF1587" s="502"/>
      <c r="AH1587" s="898"/>
      <c r="AI1587" s="502"/>
      <c r="AJ1587" s="502"/>
      <c r="AL1587" s="434"/>
      <c r="AM1587" s="436"/>
      <c r="AN1587" s="434"/>
      <c r="AO1587" s="434"/>
      <c r="AP1587" s="556"/>
      <c r="AQ1587" s="556"/>
      <c r="AR1587" s="556"/>
      <c r="CF1587" s="2"/>
    </row>
    <row r="1588" spans="3:84">
      <c r="C1588" s="2"/>
      <c r="AD1588" s="502"/>
      <c r="AE1588" s="911"/>
      <c r="AF1588" s="502"/>
      <c r="AH1588" s="898"/>
      <c r="AI1588" s="502"/>
      <c r="AJ1588" s="502"/>
      <c r="AL1588" s="434"/>
      <c r="AM1588" s="436"/>
      <c r="AN1588" s="434"/>
      <c r="AO1588" s="434"/>
      <c r="AP1588" s="556"/>
      <c r="AQ1588" s="556"/>
      <c r="AR1588" s="556"/>
      <c r="CF1588" s="2"/>
    </row>
    <row r="1589" spans="3:84">
      <c r="C1589" s="2"/>
      <c r="AD1589" s="502"/>
      <c r="AE1589" s="911"/>
      <c r="AF1589" s="502"/>
      <c r="AH1589" s="898"/>
      <c r="AI1589" s="502"/>
      <c r="AJ1589" s="502"/>
      <c r="AL1589" s="434"/>
      <c r="AM1589" s="436"/>
      <c r="AN1589" s="434"/>
      <c r="AO1589" s="434"/>
      <c r="AP1589" s="556"/>
      <c r="AQ1589" s="556"/>
      <c r="AR1589" s="556"/>
      <c r="CF1589" s="2"/>
    </row>
    <row r="1590" spans="3:84">
      <c r="C1590" s="2"/>
      <c r="AD1590" s="502"/>
      <c r="AE1590" s="911"/>
      <c r="AF1590" s="502"/>
      <c r="AH1590" s="898"/>
      <c r="AI1590" s="502"/>
      <c r="AJ1590" s="502"/>
      <c r="AL1590" s="434"/>
      <c r="AM1590" s="436"/>
      <c r="AN1590" s="434"/>
      <c r="AO1590" s="434"/>
      <c r="AP1590" s="556"/>
      <c r="AQ1590" s="556"/>
      <c r="AR1590" s="556"/>
      <c r="CF1590" s="2"/>
    </row>
    <row r="1591" spans="3:84">
      <c r="C1591" s="2"/>
      <c r="AD1591" s="502"/>
      <c r="AE1591" s="911"/>
      <c r="AF1591" s="502"/>
      <c r="AH1591" s="898"/>
      <c r="AI1591" s="502"/>
      <c r="AJ1591" s="502"/>
      <c r="AL1591" s="434"/>
      <c r="AM1591" s="436"/>
      <c r="AN1591" s="434"/>
      <c r="AO1591" s="434"/>
      <c r="AP1591" s="556"/>
      <c r="AQ1591" s="556"/>
      <c r="AR1591" s="556"/>
      <c r="CF1591" s="2"/>
    </row>
    <row r="1592" spans="3:84">
      <c r="C1592" s="2"/>
      <c r="AD1592" s="502"/>
      <c r="AE1592" s="911"/>
      <c r="AF1592" s="502"/>
      <c r="AH1592" s="898"/>
      <c r="AI1592" s="502"/>
      <c r="AJ1592" s="502"/>
      <c r="AL1592" s="434"/>
      <c r="AM1592" s="436"/>
      <c r="AN1592" s="434"/>
      <c r="AO1592" s="434"/>
      <c r="AP1592" s="556"/>
      <c r="AQ1592" s="556"/>
      <c r="AR1592" s="556"/>
      <c r="CF1592" s="2"/>
    </row>
    <row r="1593" spans="3:84">
      <c r="C1593" s="2"/>
      <c r="AD1593" s="502"/>
      <c r="AE1593" s="911"/>
      <c r="AF1593" s="502"/>
      <c r="AH1593" s="898"/>
      <c r="AI1593" s="502"/>
      <c r="AJ1593" s="502"/>
      <c r="AL1593" s="434"/>
      <c r="AM1593" s="436"/>
      <c r="AN1593" s="434"/>
      <c r="AO1593" s="434"/>
      <c r="AP1593" s="556"/>
      <c r="AQ1593" s="556"/>
      <c r="AR1593" s="556"/>
      <c r="CF1593" s="2"/>
    </row>
    <row r="1594" spans="3:84">
      <c r="C1594" s="2"/>
      <c r="AD1594" s="502"/>
      <c r="AE1594" s="911"/>
      <c r="AF1594" s="502"/>
      <c r="AH1594" s="898"/>
      <c r="AI1594" s="502"/>
      <c r="AJ1594" s="502"/>
      <c r="AL1594" s="434"/>
      <c r="AM1594" s="436"/>
      <c r="AN1594" s="434"/>
      <c r="AO1594" s="434"/>
      <c r="AP1594" s="556"/>
      <c r="AQ1594" s="556"/>
      <c r="AR1594" s="556"/>
      <c r="CF1594" s="2"/>
    </row>
    <row r="1595" spans="3:84">
      <c r="C1595" s="2"/>
      <c r="AD1595" s="502"/>
      <c r="AE1595" s="911"/>
      <c r="AF1595" s="502"/>
      <c r="AH1595" s="898"/>
      <c r="AI1595" s="502"/>
      <c r="AJ1595" s="502"/>
      <c r="AL1595" s="434"/>
      <c r="AM1595" s="436"/>
      <c r="AN1595" s="434"/>
      <c r="AO1595" s="434"/>
      <c r="AP1595" s="556"/>
      <c r="AQ1595" s="556"/>
      <c r="AR1595" s="556"/>
      <c r="CF1595" s="2"/>
    </row>
    <row r="1596" spans="3:84">
      <c r="C1596" s="2"/>
      <c r="AD1596" s="502"/>
      <c r="AE1596" s="911"/>
      <c r="AF1596" s="502"/>
      <c r="AH1596" s="898"/>
      <c r="AI1596" s="502"/>
      <c r="AJ1596" s="502"/>
      <c r="AL1596" s="434"/>
      <c r="AM1596" s="436"/>
      <c r="AN1596" s="434"/>
      <c r="AO1596" s="434"/>
      <c r="AP1596" s="556"/>
      <c r="AQ1596" s="556"/>
      <c r="AR1596" s="556"/>
      <c r="CF1596" s="2"/>
    </row>
    <row r="1597" spans="3:84">
      <c r="C1597" s="2"/>
      <c r="AD1597" s="502"/>
      <c r="AE1597" s="911"/>
      <c r="AF1597" s="502"/>
      <c r="AH1597" s="898"/>
      <c r="AI1597" s="502"/>
      <c r="AJ1597" s="502"/>
      <c r="AL1597" s="434"/>
      <c r="AM1597" s="436"/>
      <c r="AN1597" s="434"/>
      <c r="AO1597" s="434"/>
      <c r="AP1597" s="556"/>
      <c r="AQ1597" s="556"/>
      <c r="AR1597" s="556"/>
      <c r="CF1597" s="2"/>
    </row>
    <row r="1598" spans="3:84">
      <c r="C1598" s="2"/>
      <c r="AD1598" s="502"/>
      <c r="AE1598" s="911"/>
      <c r="AF1598" s="502"/>
      <c r="AH1598" s="898"/>
      <c r="AI1598" s="502"/>
      <c r="AJ1598" s="502"/>
      <c r="AL1598" s="434"/>
      <c r="AM1598" s="436"/>
      <c r="AN1598" s="434"/>
      <c r="AO1598" s="434"/>
      <c r="AP1598" s="556"/>
      <c r="AQ1598" s="556"/>
      <c r="AR1598" s="556"/>
      <c r="CF1598" s="2"/>
    </row>
    <row r="1599" spans="3:84">
      <c r="C1599" s="2"/>
      <c r="AD1599" s="502"/>
      <c r="AE1599" s="911"/>
      <c r="AF1599" s="502"/>
      <c r="AH1599" s="898"/>
      <c r="AI1599" s="502"/>
      <c r="AJ1599" s="502"/>
      <c r="AL1599" s="434"/>
      <c r="AM1599" s="436"/>
      <c r="AN1599" s="434"/>
      <c r="AO1599" s="434"/>
      <c r="AP1599" s="556"/>
      <c r="AQ1599" s="556"/>
      <c r="AR1599" s="556"/>
      <c r="CF1599" s="2"/>
    </row>
    <row r="1600" spans="3:84">
      <c r="C1600" s="2"/>
      <c r="AD1600" s="502"/>
      <c r="AE1600" s="911"/>
      <c r="AF1600" s="502"/>
      <c r="AH1600" s="898"/>
      <c r="AI1600" s="502"/>
      <c r="AJ1600" s="502"/>
      <c r="AL1600" s="434"/>
      <c r="AM1600" s="436"/>
      <c r="AN1600" s="434"/>
      <c r="AO1600" s="434"/>
      <c r="AP1600" s="556"/>
      <c r="AQ1600" s="556"/>
      <c r="AR1600" s="556"/>
      <c r="CF1600" s="2"/>
    </row>
    <row r="1601" spans="3:84">
      <c r="C1601" s="2"/>
      <c r="AD1601" s="502"/>
      <c r="AE1601" s="911"/>
      <c r="AF1601" s="502"/>
      <c r="AH1601" s="898"/>
      <c r="AI1601" s="502"/>
      <c r="AJ1601" s="502"/>
      <c r="AL1601" s="434"/>
      <c r="AM1601" s="436"/>
      <c r="AN1601" s="434"/>
      <c r="AO1601" s="434"/>
      <c r="AP1601" s="556"/>
      <c r="AQ1601" s="556"/>
      <c r="AR1601" s="556"/>
      <c r="CF1601" s="2"/>
    </row>
    <row r="1602" spans="3:84">
      <c r="C1602" s="2"/>
      <c r="AD1602" s="502"/>
      <c r="AE1602" s="911"/>
      <c r="AF1602" s="502"/>
      <c r="AH1602" s="898"/>
      <c r="AI1602" s="502"/>
      <c r="AJ1602" s="502"/>
      <c r="AL1602" s="434"/>
      <c r="AM1602" s="436"/>
      <c r="AN1602" s="434"/>
      <c r="AO1602" s="434"/>
      <c r="AP1602" s="556"/>
      <c r="AQ1602" s="556"/>
      <c r="AR1602" s="556"/>
      <c r="CF1602" s="2"/>
    </row>
    <row r="1603" spans="3:84">
      <c r="C1603" s="2"/>
      <c r="AD1603" s="502"/>
      <c r="AE1603" s="911"/>
      <c r="AF1603" s="502"/>
      <c r="AH1603" s="898"/>
      <c r="AI1603" s="502"/>
      <c r="AJ1603" s="502"/>
      <c r="AL1603" s="434"/>
      <c r="AM1603" s="436"/>
      <c r="AN1603" s="434"/>
      <c r="AO1603" s="434"/>
      <c r="AP1603" s="556"/>
      <c r="AQ1603" s="556"/>
      <c r="AR1603" s="556"/>
      <c r="CF1603" s="2"/>
    </row>
    <row r="1604" spans="3:84">
      <c r="C1604" s="2"/>
      <c r="AD1604" s="502"/>
      <c r="AE1604" s="911"/>
      <c r="AF1604" s="502"/>
      <c r="AH1604" s="898"/>
      <c r="AI1604" s="502"/>
      <c r="AJ1604" s="502"/>
      <c r="AL1604" s="434"/>
      <c r="AM1604" s="436"/>
      <c r="AN1604" s="434"/>
      <c r="AO1604" s="434"/>
      <c r="AP1604" s="556"/>
      <c r="AQ1604" s="556"/>
      <c r="AR1604" s="556"/>
      <c r="CF1604" s="2"/>
    </row>
    <row r="1605" spans="3:84">
      <c r="C1605" s="2"/>
      <c r="AD1605" s="502"/>
      <c r="AE1605" s="911"/>
      <c r="AF1605" s="502"/>
      <c r="AH1605" s="898"/>
      <c r="AI1605" s="502"/>
      <c r="AJ1605" s="502"/>
      <c r="AL1605" s="434"/>
      <c r="AM1605" s="436"/>
      <c r="AN1605" s="434"/>
      <c r="AO1605" s="434"/>
      <c r="AP1605" s="556"/>
      <c r="AQ1605" s="556"/>
      <c r="AR1605" s="556"/>
      <c r="CF1605" s="2"/>
    </row>
    <row r="1606" spans="3:84">
      <c r="C1606" s="2"/>
      <c r="AD1606" s="502"/>
      <c r="AE1606" s="911"/>
      <c r="AF1606" s="502"/>
      <c r="AH1606" s="898"/>
      <c r="AI1606" s="502"/>
      <c r="AJ1606" s="502"/>
      <c r="AL1606" s="434"/>
      <c r="AM1606" s="436"/>
      <c r="AN1606" s="434"/>
      <c r="AO1606" s="434"/>
      <c r="AP1606" s="556"/>
      <c r="AQ1606" s="556"/>
      <c r="AR1606" s="556"/>
      <c r="CF1606" s="2"/>
    </row>
    <row r="1607" spans="3:84">
      <c r="C1607" s="2"/>
      <c r="AD1607" s="502"/>
      <c r="AE1607" s="911"/>
      <c r="AF1607" s="502"/>
      <c r="AH1607" s="898"/>
      <c r="AI1607" s="502"/>
      <c r="AJ1607" s="502"/>
      <c r="AL1607" s="434"/>
      <c r="AM1607" s="436"/>
      <c r="AN1607" s="434"/>
      <c r="AO1607" s="434"/>
      <c r="AP1607" s="556"/>
      <c r="AQ1607" s="556"/>
      <c r="AR1607" s="556"/>
      <c r="CF1607" s="2"/>
    </row>
    <row r="1608" spans="3:84">
      <c r="C1608" s="2"/>
      <c r="AD1608" s="502"/>
      <c r="AE1608" s="911"/>
      <c r="AF1608" s="502"/>
      <c r="AH1608" s="898"/>
      <c r="AI1608" s="502"/>
      <c r="AJ1608" s="502"/>
      <c r="AL1608" s="434"/>
      <c r="AM1608" s="436"/>
      <c r="AN1608" s="434"/>
      <c r="AO1608" s="434"/>
      <c r="AP1608" s="556"/>
      <c r="AQ1608" s="556"/>
      <c r="AR1608" s="556"/>
      <c r="CF1608" s="2"/>
    </row>
    <row r="1609" spans="3:84">
      <c r="C1609" s="2"/>
      <c r="AD1609" s="502"/>
      <c r="AE1609" s="911"/>
      <c r="AF1609" s="502"/>
      <c r="AH1609" s="898"/>
      <c r="AI1609" s="502"/>
      <c r="AJ1609" s="502"/>
      <c r="AL1609" s="434"/>
      <c r="AM1609" s="436"/>
      <c r="AN1609" s="434"/>
      <c r="AO1609" s="434"/>
      <c r="AP1609" s="556"/>
      <c r="AQ1609" s="556"/>
      <c r="AR1609" s="556"/>
      <c r="CF1609" s="2"/>
    </row>
    <row r="1610" spans="3:84">
      <c r="C1610" s="2"/>
      <c r="AD1610" s="502"/>
      <c r="AE1610" s="911"/>
      <c r="AF1610" s="502"/>
      <c r="AH1610" s="898"/>
      <c r="AI1610" s="502"/>
      <c r="AJ1610" s="502"/>
      <c r="AL1610" s="434"/>
      <c r="AM1610" s="436"/>
      <c r="AN1610" s="434"/>
      <c r="AO1610" s="434"/>
      <c r="AP1610" s="556"/>
      <c r="AQ1610" s="556"/>
      <c r="AR1610" s="556"/>
      <c r="CF1610" s="2"/>
    </row>
    <row r="1611" spans="3:84">
      <c r="C1611" s="2"/>
      <c r="AD1611" s="502"/>
      <c r="AE1611" s="911"/>
      <c r="AF1611" s="502"/>
      <c r="AH1611" s="898"/>
      <c r="AI1611" s="502"/>
      <c r="AJ1611" s="502"/>
      <c r="AL1611" s="434"/>
      <c r="AM1611" s="436"/>
      <c r="AN1611" s="434"/>
      <c r="AO1611" s="434"/>
      <c r="AP1611" s="556"/>
      <c r="AQ1611" s="556"/>
      <c r="AR1611" s="556"/>
      <c r="CF1611" s="2"/>
    </row>
    <row r="1612" spans="3:84">
      <c r="C1612" s="2"/>
      <c r="AD1612" s="502"/>
      <c r="AE1612" s="911"/>
      <c r="AF1612" s="502"/>
      <c r="AH1612" s="898"/>
      <c r="AI1612" s="502"/>
      <c r="AJ1612" s="502"/>
      <c r="AL1612" s="434"/>
      <c r="AM1612" s="436"/>
      <c r="AN1612" s="434"/>
      <c r="AO1612" s="434"/>
      <c r="AP1612" s="556"/>
      <c r="AQ1612" s="556"/>
      <c r="AR1612" s="556"/>
      <c r="CF1612" s="2"/>
    </row>
    <row r="1613" spans="3:84">
      <c r="C1613" s="2"/>
      <c r="AD1613" s="502"/>
      <c r="AE1613" s="911"/>
      <c r="AF1613" s="502"/>
      <c r="AH1613" s="898"/>
      <c r="AI1613" s="502"/>
      <c r="AJ1613" s="502"/>
      <c r="AL1613" s="434"/>
      <c r="AM1613" s="436"/>
      <c r="AN1613" s="434"/>
      <c r="AO1613" s="434"/>
      <c r="AP1613" s="556"/>
      <c r="AQ1613" s="556"/>
      <c r="AR1613" s="556"/>
      <c r="CF1613" s="2"/>
    </row>
    <row r="1614" spans="3:84">
      <c r="C1614" s="2"/>
      <c r="AD1614" s="502"/>
      <c r="AE1614" s="911"/>
      <c r="AF1614" s="502"/>
      <c r="AH1614" s="898"/>
      <c r="AI1614" s="502"/>
      <c r="AJ1614" s="502"/>
      <c r="AL1614" s="434"/>
      <c r="AM1614" s="436"/>
      <c r="AN1614" s="434"/>
      <c r="AO1614" s="434"/>
      <c r="AP1614" s="556"/>
      <c r="AQ1614" s="556"/>
      <c r="AR1614" s="556"/>
      <c r="CF1614" s="2"/>
    </row>
    <row r="1615" spans="3:84">
      <c r="C1615" s="2"/>
      <c r="AD1615" s="502"/>
      <c r="AE1615" s="911"/>
      <c r="AF1615" s="502"/>
      <c r="AH1615" s="898"/>
      <c r="AI1615" s="502"/>
      <c r="AJ1615" s="502"/>
      <c r="AL1615" s="434"/>
      <c r="AM1615" s="436"/>
      <c r="AN1615" s="434"/>
      <c r="AO1615" s="434"/>
      <c r="AP1615" s="556"/>
      <c r="AQ1615" s="556"/>
      <c r="AR1615" s="556"/>
      <c r="CF1615" s="2"/>
    </row>
    <row r="1616" spans="3:84">
      <c r="C1616" s="2"/>
      <c r="AD1616" s="502"/>
      <c r="AE1616" s="911"/>
      <c r="AF1616" s="502"/>
      <c r="AH1616" s="898"/>
      <c r="AI1616" s="502"/>
      <c r="AJ1616" s="502"/>
      <c r="AL1616" s="434"/>
      <c r="AM1616" s="436"/>
      <c r="AN1616" s="434"/>
      <c r="AO1616" s="434"/>
      <c r="AP1616" s="556"/>
      <c r="AQ1616" s="556"/>
      <c r="AR1616" s="556"/>
      <c r="CF1616" s="2"/>
    </row>
    <row r="1617" spans="3:84">
      <c r="C1617" s="2"/>
      <c r="AD1617" s="502"/>
      <c r="AE1617" s="911"/>
      <c r="AF1617" s="502"/>
      <c r="AH1617" s="898"/>
      <c r="AI1617" s="502"/>
      <c r="AJ1617" s="502"/>
      <c r="AL1617" s="434"/>
      <c r="AM1617" s="436"/>
      <c r="AN1617" s="434"/>
      <c r="AO1617" s="434"/>
      <c r="AP1617" s="556"/>
      <c r="AQ1617" s="556"/>
      <c r="AR1617" s="556"/>
      <c r="CF1617" s="2"/>
    </row>
    <row r="1618" spans="3:84">
      <c r="C1618" s="2"/>
      <c r="AD1618" s="502"/>
      <c r="AE1618" s="911"/>
      <c r="AF1618" s="502"/>
      <c r="AH1618" s="898"/>
      <c r="AI1618" s="502"/>
      <c r="AJ1618" s="502"/>
      <c r="AL1618" s="434"/>
      <c r="AM1618" s="436"/>
      <c r="AN1618" s="434"/>
      <c r="AO1618" s="434"/>
      <c r="AP1618" s="556"/>
      <c r="AQ1618" s="556"/>
      <c r="AR1618" s="556"/>
      <c r="CF1618" s="2"/>
    </row>
    <row r="1619" spans="3:84">
      <c r="C1619" s="2"/>
      <c r="AD1619" s="502"/>
      <c r="AE1619" s="911"/>
      <c r="AF1619" s="502"/>
      <c r="AH1619" s="898"/>
      <c r="AI1619" s="502"/>
      <c r="AJ1619" s="502"/>
      <c r="AL1619" s="434"/>
      <c r="AM1619" s="436"/>
      <c r="AN1619" s="434"/>
      <c r="AO1619" s="434"/>
      <c r="AP1619" s="556"/>
      <c r="AQ1619" s="556"/>
      <c r="AR1619" s="556"/>
      <c r="CF1619" s="2"/>
    </row>
    <row r="1620" spans="3:84">
      <c r="C1620" s="2"/>
      <c r="AD1620" s="502"/>
      <c r="AE1620" s="911"/>
      <c r="AF1620" s="502"/>
      <c r="AH1620" s="898"/>
      <c r="AI1620" s="502"/>
      <c r="AJ1620" s="502"/>
      <c r="AL1620" s="434"/>
      <c r="AM1620" s="436"/>
      <c r="AN1620" s="434"/>
      <c r="AO1620" s="434"/>
      <c r="AP1620" s="556"/>
      <c r="AQ1620" s="556"/>
      <c r="AR1620" s="556"/>
      <c r="CF1620" s="2"/>
    </row>
    <row r="1621" spans="3:84">
      <c r="C1621" s="2"/>
      <c r="AD1621" s="502"/>
      <c r="AE1621" s="911"/>
      <c r="AF1621" s="502"/>
      <c r="AH1621" s="898"/>
      <c r="AI1621" s="502"/>
      <c r="AJ1621" s="502"/>
      <c r="AL1621" s="434"/>
      <c r="AM1621" s="436"/>
      <c r="AN1621" s="434"/>
      <c r="AO1621" s="434"/>
      <c r="AP1621" s="556"/>
      <c r="AQ1621" s="556"/>
      <c r="AR1621" s="556"/>
      <c r="CF1621" s="2"/>
    </row>
    <row r="1622" spans="3:84">
      <c r="C1622" s="2"/>
      <c r="AD1622" s="502"/>
      <c r="AE1622" s="911"/>
      <c r="AF1622" s="502"/>
      <c r="AH1622" s="898"/>
      <c r="AI1622" s="502"/>
      <c r="AJ1622" s="502"/>
      <c r="AL1622" s="434"/>
      <c r="AM1622" s="436"/>
      <c r="AN1622" s="434"/>
      <c r="AO1622" s="434"/>
      <c r="AP1622" s="556"/>
      <c r="AQ1622" s="556"/>
      <c r="AR1622" s="556"/>
      <c r="CF1622" s="2"/>
    </row>
    <row r="1623" spans="3:84">
      <c r="C1623" s="2"/>
      <c r="AD1623" s="502"/>
      <c r="AE1623" s="911"/>
      <c r="AF1623" s="502"/>
      <c r="AH1623" s="898"/>
      <c r="AI1623" s="502"/>
      <c r="AJ1623" s="502"/>
      <c r="AL1623" s="434"/>
      <c r="AM1623" s="436"/>
      <c r="AN1623" s="434"/>
      <c r="AO1623" s="434"/>
      <c r="AP1623" s="556"/>
      <c r="AQ1623" s="556"/>
      <c r="AR1623" s="556"/>
      <c r="CF1623" s="2"/>
    </row>
    <row r="1624" spans="3:84">
      <c r="C1624" s="2"/>
      <c r="AD1624" s="502"/>
      <c r="AE1624" s="911"/>
      <c r="AF1624" s="502"/>
      <c r="AH1624" s="898"/>
      <c r="AI1624" s="502"/>
      <c r="AJ1624" s="502"/>
      <c r="AL1624" s="434"/>
      <c r="AM1624" s="436"/>
      <c r="AN1624" s="434"/>
      <c r="AO1624" s="434"/>
      <c r="AP1624" s="556"/>
      <c r="AQ1624" s="556"/>
      <c r="AR1624" s="556"/>
      <c r="CF1624" s="2"/>
    </row>
    <row r="1625" spans="3:84">
      <c r="C1625" s="2"/>
      <c r="AD1625" s="502"/>
      <c r="AE1625" s="911"/>
      <c r="AF1625" s="502"/>
      <c r="AH1625" s="898"/>
      <c r="AI1625" s="502"/>
      <c r="AJ1625" s="502"/>
      <c r="AL1625" s="434"/>
      <c r="AM1625" s="436"/>
      <c r="AN1625" s="434"/>
      <c r="AO1625" s="434"/>
      <c r="AP1625" s="556"/>
      <c r="AQ1625" s="556"/>
      <c r="AR1625" s="556"/>
      <c r="CF1625" s="2"/>
    </row>
    <row r="1626" spans="3:84">
      <c r="C1626" s="2"/>
      <c r="AD1626" s="502"/>
      <c r="AE1626" s="911"/>
      <c r="AF1626" s="502"/>
      <c r="AH1626" s="898"/>
      <c r="AI1626" s="502"/>
      <c r="AJ1626" s="502"/>
      <c r="AL1626" s="434"/>
      <c r="AM1626" s="436"/>
      <c r="AN1626" s="434"/>
      <c r="AO1626" s="434"/>
      <c r="AP1626" s="556"/>
      <c r="AQ1626" s="556"/>
      <c r="AR1626" s="556"/>
      <c r="CF1626" s="2"/>
    </row>
    <row r="1627" spans="3:84">
      <c r="C1627" s="2"/>
      <c r="AD1627" s="502"/>
      <c r="AE1627" s="911"/>
      <c r="AF1627" s="502"/>
      <c r="AH1627" s="898"/>
      <c r="AI1627" s="502"/>
      <c r="AJ1627" s="502"/>
      <c r="AL1627" s="434"/>
      <c r="AM1627" s="436"/>
      <c r="AN1627" s="434"/>
      <c r="AO1627" s="434"/>
      <c r="AP1627" s="556"/>
      <c r="AQ1627" s="556"/>
      <c r="AR1627" s="556"/>
      <c r="CF1627" s="2"/>
    </row>
    <row r="1628" spans="3:84">
      <c r="C1628" s="2"/>
      <c r="AD1628" s="502"/>
      <c r="AE1628" s="911"/>
      <c r="AF1628" s="502"/>
      <c r="AH1628" s="898"/>
      <c r="AI1628" s="502"/>
      <c r="AJ1628" s="502"/>
      <c r="AL1628" s="434"/>
      <c r="AM1628" s="436"/>
      <c r="AN1628" s="434"/>
      <c r="AO1628" s="434"/>
      <c r="AP1628" s="556"/>
      <c r="AQ1628" s="556"/>
      <c r="AR1628" s="556"/>
      <c r="CF1628" s="2"/>
    </row>
    <row r="1629" spans="3:84">
      <c r="C1629" s="2"/>
      <c r="AD1629" s="502"/>
      <c r="AE1629" s="911"/>
      <c r="AF1629" s="502"/>
      <c r="AH1629" s="898"/>
      <c r="AI1629" s="502"/>
      <c r="AJ1629" s="502"/>
      <c r="AL1629" s="434"/>
      <c r="AM1629" s="436"/>
      <c r="AN1629" s="434"/>
      <c r="AO1629" s="434"/>
      <c r="AP1629" s="556"/>
      <c r="AQ1629" s="556"/>
      <c r="AR1629" s="556"/>
      <c r="CF1629" s="2"/>
    </row>
    <row r="1630" spans="3:84">
      <c r="C1630" s="2"/>
      <c r="AD1630" s="502"/>
      <c r="AE1630" s="911"/>
      <c r="AF1630" s="502"/>
      <c r="AH1630" s="898"/>
      <c r="AI1630" s="502"/>
      <c r="AJ1630" s="502"/>
      <c r="AL1630" s="434"/>
      <c r="AM1630" s="436"/>
      <c r="AN1630" s="434"/>
      <c r="AO1630" s="434"/>
      <c r="AP1630" s="556"/>
      <c r="AQ1630" s="556"/>
      <c r="AR1630" s="556"/>
      <c r="CF1630" s="2"/>
    </row>
    <row r="1631" spans="3:84">
      <c r="C1631" s="2"/>
      <c r="AD1631" s="502"/>
      <c r="AE1631" s="911"/>
      <c r="AF1631" s="502"/>
      <c r="AH1631" s="898"/>
      <c r="AI1631" s="502"/>
      <c r="AJ1631" s="502"/>
      <c r="AL1631" s="434"/>
      <c r="AM1631" s="436"/>
      <c r="AN1631" s="434"/>
      <c r="AO1631" s="434"/>
      <c r="AP1631" s="556"/>
      <c r="AQ1631" s="556"/>
      <c r="AR1631" s="556"/>
      <c r="CF1631" s="2"/>
    </row>
    <row r="1632" spans="3:84">
      <c r="C1632" s="2"/>
      <c r="AD1632" s="502"/>
      <c r="AE1632" s="911"/>
      <c r="AF1632" s="502"/>
      <c r="AH1632" s="898"/>
      <c r="AI1632" s="502"/>
      <c r="AJ1632" s="502"/>
      <c r="AL1632" s="434"/>
      <c r="AM1632" s="436"/>
      <c r="AN1632" s="434"/>
      <c r="AO1632" s="434"/>
      <c r="AP1632" s="556"/>
      <c r="AQ1632" s="556"/>
      <c r="AR1632" s="556"/>
      <c r="CF1632" s="2"/>
    </row>
    <row r="1633" spans="3:84">
      <c r="C1633" s="2"/>
      <c r="AD1633" s="502"/>
      <c r="AE1633" s="911"/>
      <c r="AF1633" s="502"/>
      <c r="AH1633" s="898"/>
      <c r="AI1633" s="502"/>
      <c r="AJ1633" s="502"/>
      <c r="AL1633" s="434"/>
      <c r="AM1633" s="436"/>
      <c r="AN1633" s="434"/>
      <c r="AO1633" s="434"/>
      <c r="AP1633" s="556"/>
      <c r="AQ1633" s="556"/>
      <c r="AR1633" s="556"/>
      <c r="CF1633" s="2"/>
    </row>
    <row r="1634" spans="3:84">
      <c r="C1634" s="2"/>
      <c r="AD1634" s="502"/>
      <c r="AE1634" s="911"/>
      <c r="AF1634" s="502"/>
      <c r="AH1634" s="898"/>
      <c r="AI1634" s="502"/>
      <c r="AJ1634" s="502"/>
      <c r="AL1634" s="434"/>
      <c r="AM1634" s="436"/>
      <c r="AN1634" s="434"/>
      <c r="AO1634" s="434"/>
      <c r="AP1634" s="556"/>
      <c r="AQ1634" s="556"/>
      <c r="AR1634" s="556"/>
      <c r="CF1634" s="2"/>
    </row>
    <row r="1635" spans="3:84">
      <c r="C1635" s="2"/>
      <c r="AD1635" s="502"/>
      <c r="AE1635" s="911"/>
      <c r="AF1635" s="502"/>
      <c r="AH1635" s="898"/>
      <c r="AI1635" s="502"/>
      <c r="AJ1635" s="502"/>
      <c r="AL1635" s="434"/>
      <c r="AM1635" s="436"/>
      <c r="AN1635" s="434"/>
      <c r="AO1635" s="434"/>
      <c r="AP1635" s="556"/>
      <c r="AQ1635" s="556"/>
      <c r="AR1635" s="556"/>
      <c r="CF1635" s="2"/>
    </row>
    <row r="1636" spans="3:84">
      <c r="C1636" s="2"/>
      <c r="AD1636" s="502"/>
      <c r="AE1636" s="911"/>
      <c r="AF1636" s="502"/>
      <c r="AH1636" s="898"/>
      <c r="AI1636" s="502"/>
      <c r="AJ1636" s="502"/>
      <c r="AL1636" s="434"/>
      <c r="AM1636" s="436"/>
      <c r="AN1636" s="434"/>
      <c r="AO1636" s="434"/>
      <c r="AP1636" s="556"/>
      <c r="AQ1636" s="556"/>
      <c r="AR1636" s="556"/>
      <c r="CF1636" s="2"/>
    </row>
    <row r="1637" spans="3:84">
      <c r="C1637" s="2"/>
      <c r="AD1637" s="502"/>
      <c r="AE1637" s="911"/>
      <c r="AF1637" s="502"/>
      <c r="AH1637" s="898"/>
      <c r="AI1637" s="502"/>
      <c r="AJ1637" s="502"/>
      <c r="AL1637" s="434"/>
      <c r="AM1637" s="436"/>
      <c r="AN1637" s="434"/>
      <c r="AO1637" s="434"/>
      <c r="AP1637" s="556"/>
      <c r="AQ1637" s="556"/>
      <c r="AR1637" s="556"/>
      <c r="CF1637" s="2"/>
    </row>
    <row r="1638" spans="3:84">
      <c r="C1638" s="2"/>
      <c r="AD1638" s="502"/>
      <c r="AE1638" s="911"/>
      <c r="AF1638" s="502"/>
      <c r="AH1638" s="898"/>
      <c r="AI1638" s="502"/>
      <c r="AJ1638" s="502"/>
      <c r="AL1638" s="434"/>
      <c r="AM1638" s="436"/>
      <c r="AN1638" s="434"/>
      <c r="AO1638" s="434"/>
      <c r="AP1638" s="556"/>
      <c r="AQ1638" s="556"/>
      <c r="AR1638" s="556"/>
      <c r="CF1638" s="2"/>
    </row>
    <row r="1639" spans="3:84">
      <c r="C1639" s="2"/>
      <c r="AD1639" s="502"/>
      <c r="AE1639" s="911"/>
      <c r="AF1639" s="502"/>
      <c r="AH1639" s="898"/>
      <c r="AI1639" s="502"/>
      <c r="AJ1639" s="502"/>
      <c r="AL1639" s="434"/>
      <c r="AM1639" s="436"/>
      <c r="AN1639" s="434"/>
      <c r="AO1639" s="434"/>
      <c r="AP1639" s="556"/>
      <c r="AQ1639" s="556"/>
      <c r="AR1639" s="556"/>
      <c r="CF1639" s="2"/>
    </row>
    <row r="1640" spans="3:84">
      <c r="C1640" s="2"/>
      <c r="AD1640" s="502"/>
      <c r="AE1640" s="911"/>
      <c r="AF1640" s="502"/>
      <c r="AH1640" s="898"/>
      <c r="AI1640" s="502"/>
      <c r="AJ1640" s="502"/>
      <c r="AL1640" s="434"/>
      <c r="AM1640" s="436"/>
      <c r="AN1640" s="434"/>
      <c r="AO1640" s="434"/>
      <c r="AP1640" s="556"/>
      <c r="AQ1640" s="556"/>
      <c r="AR1640" s="556"/>
      <c r="CF1640" s="2"/>
    </row>
    <row r="1641" spans="3:84">
      <c r="C1641" s="2"/>
      <c r="AD1641" s="502"/>
      <c r="AE1641" s="911"/>
      <c r="AF1641" s="502"/>
      <c r="AH1641" s="898"/>
      <c r="AI1641" s="502"/>
      <c r="AJ1641" s="502"/>
      <c r="AL1641" s="434"/>
      <c r="AM1641" s="436"/>
      <c r="AN1641" s="434"/>
      <c r="AO1641" s="434"/>
      <c r="AP1641" s="556"/>
      <c r="AQ1641" s="556"/>
      <c r="AR1641" s="556"/>
      <c r="CF1641" s="2"/>
    </row>
    <row r="1642" spans="3:84">
      <c r="C1642" s="2"/>
      <c r="AD1642" s="502"/>
      <c r="AE1642" s="911"/>
      <c r="AF1642" s="502"/>
      <c r="AH1642" s="898"/>
      <c r="AI1642" s="502"/>
      <c r="AJ1642" s="502"/>
      <c r="AL1642" s="434"/>
      <c r="AM1642" s="436"/>
      <c r="AN1642" s="434"/>
      <c r="AO1642" s="434"/>
      <c r="AP1642" s="556"/>
      <c r="AQ1642" s="556"/>
      <c r="AR1642" s="556"/>
      <c r="CF1642" s="2"/>
    </row>
    <row r="1643" spans="3:84">
      <c r="C1643" s="2"/>
      <c r="AD1643" s="502"/>
      <c r="AE1643" s="911"/>
      <c r="AF1643" s="502"/>
      <c r="AH1643" s="898"/>
      <c r="AI1643" s="502"/>
      <c r="AJ1643" s="502"/>
      <c r="AL1643" s="434"/>
      <c r="AM1643" s="436"/>
      <c r="AN1643" s="434"/>
      <c r="AO1643" s="434"/>
      <c r="AP1643" s="556"/>
      <c r="AQ1643" s="556"/>
      <c r="AR1643" s="556"/>
      <c r="CF1643" s="2"/>
    </row>
    <row r="1644" spans="3:84">
      <c r="C1644" s="2"/>
      <c r="AD1644" s="502"/>
      <c r="AE1644" s="911"/>
      <c r="AF1644" s="502"/>
      <c r="AH1644" s="898"/>
      <c r="AI1644" s="502"/>
      <c r="AJ1644" s="502"/>
      <c r="AL1644" s="434"/>
      <c r="AM1644" s="436"/>
      <c r="AN1644" s="434"/>
      <c r="AO1644" s="434"/>
      <c r="AP1644" s="556"/>
      <c r="AQ1644" s="556"/>
      <c r="AR1644" s="556"/>
      <c r="CF1644" s="2"/>
    </row>
    <row r="1645" spans="3:84">
      <c r="C1645" s="2"/>
      <c r="AD1645" s="502"/>
      <c r="AE1645" s="911"/>
      <c r="AF1645" s="502"/>
      <c r="AH1645" s="898"/>
      <c r="AI1645" s="502"/>
      <c r="AJ1645" s="502"/>
      <c r="AL1645" s="434"/>
      <c r="AM1645" s="436"/>
      <c r="AN1645" s="434"/>
      <c r="AO1645" s="434"/>
      <c r="AP1645" s="556"/>
      <c r="AQ1645" s="556"/>
      <c r="AR1645" s="556"/>
      <c r="CF1645" s="2"/>
    </row>
    <row r="1646" spans="3:84">
      <c r="C1646" s="2"/>
      <c r="AD1646" s="502"/>
      <c r="AE1646" s="911"/>
      <c r="AF1646" s="502"/>
      <c r="AH1646" s="898"/>
      <c r="AI1646" s="502"/>
      <c r="AJ1646" s="502"/>
      <c r="AL1646" s="434"/>
      <c r="AM1646" s="436"/>
      <c r="AN1646" s="434"/>
      <c r="AO1646" s="434"/>
      <c r="AP1646" s="556"/>
      <c r="AQ1646" s="556"/>
      <c r="AR1646" s="556"/>
      <c r="CF1646" s="2"/>
    </row>
    <row r="1647" spans="3:84">
      <c r="C1647" s="2"/>
      <c r="AD1647" s="502"/>
      <c r="AE1647" s="911"/>
      <c r="AF1647" s="502"/>
      <c r="AH1647" s="898"/>
      <c r="AI1647" s="502"/>
      <c r="AJ1647" s="502"/>
      <c r="AL1647" s="434"/>
      <c r="AM1647" s="436"/>
      <c r="AN1647" s="434"/>
      <c r="AO1647" s="434"/>
      <c r="AP1647" s="556"/>
      <c r="AQ1647" s="556"/>
      <c r="AR1647" s="556"/>
      <c r="CF1647" s="2"/>
    </row>
    <row r="1648" spans="3:84">
      <c r="C1648" s="2"/>
      <c r="AD1648" s="502"/>
      <c r="AE1648" s="911"/>
      <c r="AF1648" s="502"/>
      <c r="AH1648" s="898"/>
      <c r="AI1648" s="502"/>
      <c r="AJ1648" s="502"/>
      <c r="AL1648" s="434"/>
      <c r="AM1648" s="436"/>
      <c r="AN1648" s="434"/>
      <c r="AO1648" s="434"/>
      <c r="AP1648" s="556"/>
      <c r="AQ1648" s="556"/>
      <c r="AR1648" s="556"/>
      <c r="CF1648" s="2"/>
    </row>
    <row r="1649" spans="3:84">
      <c r="C1649" s="2"/>
      <c r="AD1649" s="502"/>
      <c r="AE1649" s="911"/>
      <c r="AF1649" s="502"/>
      <c r="AH1649" s="898"/>
      <c r="AI1649" s="502"/>
      <c r="AJ1649" s="502"/>
      <c r="AL1649" s="434"/>
      <c r="AM1649" s="436"/>
      <c r="AN1649" s="434"/>
      <c r="AO1649" s="434"/>
      <c r="AP1649" s="556"/>
      <c r="AQ1649" s="556"/>
      <c r="AR1649" s="556"/>
      <c r="CF1649" s="2"/>
    </row>
    <row r="1650" spans="3:84">
      <c r="C1650" s="2"/>
      <c r="AD1650" s="502"/>
      <c r="AE1650" s="911"/>
      <c r="AF1650" s="502"/>
      <c r="AH1650" s="898"/>
      <c r="AI1650" s="502"/>
      <c r="AJ1650" s="502"/>
      <c r="AL1650" s="434"/>
      <c r="AM1650" s="436"/>
      <c r="AN1650" s="434"/>
      <c r="AO1650" s="434"/>
      <c r="AP1650" s="556"/>
      <c r="AQ1650" s="556"/>
      <c r="AR1650" s="556"/>
      <c r="CF1650" s="2"/>
    </row>
    <row r="1651" spans="3:84">
      <c r="C1651" s="2"/>
      <c r="AD1651" s="502"/>
      <c r="AE1651" s="911"/>
      <c r="AF1651" s="502"/>
      <c r="AH1651" s="898"/>
      <c r="AI1651" s="502"/>
      <c r="AJ1651" s="502"/>
      <c r="AL1651" s="434"/>
      <c r="AM1651" s="436"/>
      <c r="AN1651" s="434"/>
      <c r="AO1651" s="434"/>
      <c r="AP1651" s="556"/>
      <c r="AQ1651" s="556"/>
      <c r="AR1651" s="556"/>
      <c r="CF1651" s="2"/>
    </row>
    <row r="1652" spans="3:84">
      <c r="C1652" s="2"/>
      <c r="AD1652" s="502"/>
      <c r="AE1652" s="911"/>
      <c r="AF1652" s="502"/>
      <c r="AH1652" s="898"/>
      <c r="AI1652" s="502"/>
      <c r="AJ1652" s="502"/>
      <c r="AL1652" s="434"/>
      <c r="AM1652" s="436"/>
      <c r="AN1652" s="434"/>
      <c r="AO1652" s="434"/>
      <c r="AP1652" s="556"/>
      <c r="AQ1652" s="556"/>
      <c r="AR1652" s="556"/>
      <c r="CF1652" s="2"/>
    </row>
    <row r="1653" spans="3:84">
      <c r="C1653" s="2"/>
      <c r="AD1653" s="502"/>
      <c r="AE1653" s="911"/>
      <c r="AF1653" s="502"/>
      <c r="AH1653" s="898"/>
      <c r="AI1653" s="502"/>
      <c r="AJ1653" s="502"/>
      <c r="AL1653" s="434"/>
      <c r="AM1653" s="436"/>
      <c r="AN1653" s="434"/>
      <c r="AO1653" s="434"/>
      <c r="AP1653" s="556"/>
      <c r="AQ1653" s="556"/>
      <c r="AR1653" s="556"/>
      <c r="CF1653" s="2"/>
    </row>
    <row r="1654" spans="3:84">
      <c r="C1654" s="2"/>
      <c r="AD1654" s="502"/>
      <c r="AE1654" s="911"/>
      <c r="AF1654" s="502"/>
      <c r="AH1654" s="898"/>
      <c r="AI1654" s="502"/>
      <c r="AJ1654" s="502"/>
      <c r="AL1654" s="434"/>
      <c r="AM1654" s="436"/>
      <c r="AN1654" s="434"/>
      <c r="AO1654" s="434"/>
      <c r="AP1654" s="556"/>
      <c r="AQ1654" s="556"/>
      <c r="AR1654" s="556"/>
      <c r="CF1654" s="2"/>
    </row>
    <row r="1655" spans="3:84">
      <c r="C1655" s="2"/>
      <c r="AD1655" s="502"/>
      <c r="AE1655" s="911"/>
      <c r="AF1655" s="502"/>
      <c r="AH1655" s="898"/>
      <c r="AI1655" s="502"/>
      <c r="AJ1655" s="502"/>
      <c r="AL1655" s="434"/>
      <c r="AM1655" s="436"/>
      <c r="AN1655" s="434"/>
      <c r="AO1655" s="434"/>
      <c r="AP1655" s="556"/>
      <c r="AQ1655" s="556"/>
      <c r="AR1655" s="556"/>
      <c r="CF1655" s="2"/>
    </row>
    <row r="1656" spans="3:84">
      <c r="C1656" s="2"/>
      <c r="AD1656" s="502"/>
      <c r="AE1656" s="911"/>
      <c r="AF1656" s="502"/>
      <c r="AH1656" s="898"/>
      <c r="AI1656" s="502"/>
      <c r="AJ1656" s="502"/>
      <c r="AL1656" s="434"/>
      <c r="AM1656" s="436"/>
      <c r="AN1656" s="434"/>
      <c r="AO1656" s="434"/>
      <c r="AP1656" s="556"/>
      <c r="AQ1656" s="556"/>
      <c r="AR1656" s="556"/>
      <c r="CF1656" s="2"/>
    </row>
    <row r="1657" spans="3:84">
      <c r="C1657" s="2"/>
      <c r="AD1657" s="502"/>
      <c r="AE1657" s="911"/>
      <c r="AF1657" s="502"/>
      <c r="AH1657" s="898"/>
      <c r="AI1657" s="502"/>
      <c r="AJ1657" s="502"/>
      <c r="AL1657" s="434"/>
      <c r="AM1657" s="436"/>
      <c r="AN1657" s="434"/>
      <c r="AO1657" s="434"/>
      <c r="AP1657" s="556"/>
      <c r="AQ1657" s="556"/>
      <c r="AR1657" s="556"/>
      <c r="CF1657" s="2"/>
    </row>
    <row r="1658" spans="3:84">
      <c r="C1658" s="2"/>
      <c r="AD1658" s="502"/>
      <c r="AE1658" s="911"/>
      <c r="AF1658" s="502"/>
      <c r="AH1658" s="898"/>
      <c r="AI1658" s="502"/>
      <c r="AJ1658" s="502"/>
      <c r="AL1658" s="434"/>
      <c r="AM1658" s="436"/>
      <c r="AN1658" s="434"/>
      <c r="AO1658" s="434"/>
      <c r="AP1658" s="556"/>
      <c r="AQ1658" s="556"/>
      <c r="AR1658" s="556"/>
      <c r="CF1658" s="2"/>
    </row>
    <row r="1659" spans="3:84">
      <c r="C1659" s="2"/>
      <c r="AD1659" s="502"/>
      <c r="AE1659" s="911"/>
      <c r="AF1659" s="502"/>
      <c r="AH1659" s="898"/>
      <c r="AI1659" s="502"/>
      <c r="AJ1659" s="502"/>
      <c r="AL1659" s="434"/>
      <c r="AM1659" s="436"/>
      <c r="AN1659" s="434"/>
      <c r="AO1659" s="434"/>
      <c r="AP1659" s="556"/>
      <c r="AQ1659" s="556"/>
      <c r="AR1659" s="556"/>
      <c r="CF1659" s="2"/>
    </row>
    <row r="1660" spans="3:84">
      <c r="C1660" s="2"/>
      <c r="AD1660" s="502"/>
      <c r="AE1660" s="911"/>
      <c r="AF1660" s="502"/>
      <c r="AH1660" s="898"/>
      <c r="AI1660" s="502"/>
      <c r="AJ1660" s="502"/>
      <c r="AL1660" s="434"/>
      <c r="AM1660" s="436"/>
      <c r="AN1660" s="434"/>
      <c r="AO1660" s="434"/>
      <c r="AP1660" s="556"/>
      <c r="AQ1660" s="556"/>
      <c r="AR1660" s="556"/>
      <c r="CF1660" s="2"/>
    </row>
    <row r="1661" spans="3:84">
      <c r="C1661" s="2"/>
      <c r="AD1661" s="502"/>
      <c r="AE1661" s="911"/>
      <c r="AF1661" s="502"/>
      <c r="AH1661" s="898"/>
      <c r="AI1661" s="502"/>
      <c r="AJ1661" s="502"/>
      <c r="AL1661" s="434"/>
      <c r="AM1661" s="436"/>
      <c r="AN1661" s="434"/>
      <c r="AO1661" s="434"/>
      <c r="AP1661" s="556"/>
      <c r="AQ1661" s="556"/>
      <c r="AR1661" s="556"/>
      <c r="CF1661" s="2"/>
    </row>
    <row r="1662" spans="3:84">
      <c r="C1662" s="2"/>
      <c r="AD1662" s="502"/>
      <c r="AE1662" s="911"/>
      <c r="AF1662" s="502"/>
      <c r="AH1662" s="898"/>
      <c r="AI1662" s="502"/>
      <c r="AJ1662" s="502"/>
      <c r="AL1662" s="434"/>
      <c r="AM1662" s="436"/>
      <c r="AN1662" s="434"/>
      <c r="AO1662" s="434"/>
      <c r="AP1662" s="556"/>
      <c r="AQ1662" s="556"/>
      <c r="AR1662" s="556"/>
      <c r="CF1662" s="2"/>
    </row>
    <row r="1663" spans="3:84">
      <c r="C1663" s="2"/>
      <c r="AD1663" s="502"/>
      <c r="AE1663" s="911"/>
      <c r="AF1663" s="502"/>
      <c r="AH1663" s="898"/>
      <c r="AI1663" s="502"/>
      <c r="AJ1663" s="502"/>
      <c r="AL1663" s="434"/>
      <c r="AM1663" s="436"/>
      <c r="AN1663" s="434"/>
      <c r="AO1663" s="434"/>
      <c r="AP1663" s="556"/>
      <c r="AQ1663" s="556"/>
      <c r="AR1663" s="556"/>
      <c r="CF1663" s="2"/>
    </row>
    <row r="1664" spans="3:84">
      <c r="C1664" s="2"/>
      <c r="AD1664" s="502"/>
      <c r="AE1664" s="911"/>
      <c r="AF1664" s="502"/>
      <c r="AH1664" s="898"/>
      <c r="AI1664" s="502"/>
      <c r="AJ1664" s="502"/>
      <c r="AL1664" s="434"/>
      <c r="AM1664" s="436"/>
      <c r="AN1664" s="434"/>
      <c r="AO1664" s="434"/>
      <c r="AP1664" s="556"/>
      <c r="AQ1664" s="556"/>
      <c r="AR1664" s="556"/>
      <c r="CF1664" s="2"/>
    </row>
    <row r="1665" spans="3:84">
      <c r="C1665" s="2"/>
      <c r="AD1665" s="502"/>
      <c r="AE1665" s="911"/>
      <c r="AF1665" s="502"/>
      <c r="AH1665" s="898"/>
      <c r="AI1665" s="502"/>
      <c r="AJ1665" s="502"/>
      <c r="AL1665" s="434"/>
      <c r="AM1665" s="436"/>
      <c r="AN1665" s="434"/>
      <c r="AO1665" s="434"/>
      <c r="AP1665" s="556"/>
      <c r="AQ1665" s="556"/>
      <c r="AR1665" s="556"/>
      <c r="CF1665" s="2"/>
    </row>
    <row r="1666" spans="3:84">
      <c r="C1666" s="2"/>
      <c r="AD1666" s="502"/>
      <c r="AE1666" s="911"/>
      <c r="AF1666" s="502"/>
      <c r="AH1666" s="898"/>
      <c r="AI1666" s="502"/>
      <c r="AJ1666" s="502"/>
      <c r="AL1666" s="434"/>
      <c r="AM1666" s="436"/>
      <c r="AN1666" s="434"/>
      <c r="AO1666" s="434"/>
      <c r="AP1666" s="556"/>
      <c r="AQ1666" s="556"/>
      <c r="AR1666" s="556"/>
      <c r="CF1666" s="2"/>
    </row>
    <row r="1667" spans="3:84">
      <c r="C1667" s="2"/>
      <c r="AD1667" s="502"/>
      <c r="AE1667" s="911"/>
      <c r="AF1667" s="502"/>
      <c r="AH1667" s="898"/>
      <c r="AI1667" s="502"/>
      <c r="AJ1667" s="502"/>
      <c r="AL1667" s="434"/>
      <c r="AM1667" s="436"/>
      <c r="AN1667" s="434"/>
      <c r="AO1667" s="434"/>
      <c r="AP1667" s="556"/>
      <c r="AQ1667" s="556"/>
      <c r="AR1667" s="556"/>
      <c r="CF1667" s="2"/>
    </row>
    <row r="1668" spans="3:84">
      <c r="C1668" s="2"/>
      <c r="AD1668" s="502"/>
      <c r="AE1668" s="911"/>
      <c r="AF1668" s="502"/>
      <c r="AH1668" s="898"/>
      <c r="AI1668" s="502"/>
      <c r="AJ1668" s="502"/>
      <c r="AL1668" s="434"/>
      <c r="AM1668" s="436"/>
      <c r="AN1668" s="434"/>
      <c r="AO1668" s="434"/>
      <c r="AP1668" s="556"/>
      <c r="AQ1668" s="556"/>
      <c r="AR1668" s="556"/>
      <c r="CF1668" s="2"/>
    </row>
    <row r="1669" spans="3:84">
      <c r="C1669" s="2"/>
      <c r="AD1669" s="502"/>
      <c r="AE1669" s="911"/>
      <c r="AF1669" s="502"/>
      <c r="AH1669" s="898"/>
      <c r="AI1669" s="502"/>
      <c r="AJ1669" s="502"/>
      <c r="AL1669" s="434"/>
      <c r="AM1669" s="436"/>
      <c r="AN1669" s="434"/>
      <c r="AO1669" s="434"/>
      <c r="AP1669" s="556"/>
      <c r="AQ1669" s="556"/>
      <c r="AR1669" s="556"/>
      <c r="CF1669" s="2"/>
    </row>
    <row r="1670" spans="3:84">
      <c r="C1670" s="2"/>
      <c r="AD1670" s="502"/>
      <c r="AE1670" s="911"/>
      <c r="AF1670" s="502"/>
      <c r="AH1670" s="898"/>
      <c r="AI1670" s="502"/>
      <c r="AJ1670" s="502"/>
      <c r="AL1670" s="434"/>
      <c r="AM1670" s="436"/>
      <c r="AN1670" s="434"/>
      <c r="AO1670" s="434"/>
      <c r="AP1670" s="556"/>
      <c r="AQ1670" s="556"/>
      <c r="AR1670" s="556"/>
      <c r="CF1670" s="2"/>
    </row>
    <row r="1671" spans="3:84">
      <c r="C1671" s="2"/>
      <c r="AD1671" s="502"/>
      <c r="AE1671" s="911"/>
      <c r="AF1671" s="502"/>
      <c r="AH1671" s="898"/>
      <c r="AI1671" s="502"/>
      <c r="AJ1671" s="502"/>
      <c r="AL1671" s="434"/>
      <c r="AM1671" s="436"/>
      <c r="AN1671" s="434"/>
      <c r="AO1671" s="434"/>
      <c r="AP1671" s="556"/>
      <c r="AQ1671" s="556"/>
      <c r="AR1671" s="556"/>
      <c r="CF1671" s="2"/>
    </row>
    <row r="1672" spans="3:84">
      <c r="C1672" s="2"/>
      <c r="AD1672" s="502"/>
      <c r="AE1672" s="911"/>
      <c r="AF1672" s="502"/>
      <c r="AH1672" s="898"/>
      <c r="AI1672" s="502"/>
      <c r="AJ1672" s="502"/>
      <c r="AL1672" s="434"/>
      <c r="AM1672" s="436"/>
      <c r="AN1672" s="434"/>
      <c r="AO1672" s="434"/>
      <c r="AP1672" s="556"/>
      <c r="AQ1672" s="556"/>
      <c r="AR1672" s="556"/>
      <c r="CF1672" s="2"/>
    </row>
    <row r="1673" spans="3:84">
      <c r="C1673" s="2"/>
      <c r="AD1673" s="502"/>
      <c r="AE1673" s="911"/>
      <c r="AF1673" s="502"/>
      <c r="AH1673" s="898"/>
      <c r="AI1673" s="502"/>
      <c r="AJ1673" s="502"/>
      <c r="AL1673" s="434"/>
      <c r="AM1673" s="436"/>
      <c r="AN1673" s="434"/>
      <c r="AO1673" s="434"/>
      <c r="AP1673" s="556"/>
      <c r="AQ1673" s="556"/>
      <c r="AR1673" s="556"/>
      <c r="CF1673" s="2"/>
    </row>
    <row r="1674" spans="3:84">
      <c r="C1674" s="2"/>
      <c r="AD1674" s="502"/>
      <c r="AE1674" s="911"/>
      <c r="AF1674" s="502"/>
      <c r="AH1674" s="898"/>
      <c r="AI1674" s="502"/>
      <c r="AJ1674" s="502"/>
      <c r="AL1674" s="434"/>
      <c r="AM1674" s="436"/>
      <c r="AN1674" s="434"/>
      <c r="AO1674" s="434"/>
      <c r="AP1674" s="556"/>
      <c r="AQ1674" s="556"/>
      <c r="AR1674" s="556"/>
      <c r="CF1674" s="2"/>
    </row>
    <row r="1675" spans="3:84">
      <c r="C1675" s="2"/>
      <c r="AD1675" s="502"/>
      <c r="AE1675" s="911"/>
      <c r="AF1675" s="502"/>
      <c r="AH1675" s="898"/>
      <c r="AI1675" s="502"/>
      <c r="AJ1675" s="502"/>
      <c r="AL1675" s="434"/>
      <c r="AM1675" s="436"/>
      <c r="AN1675" s="434"/>
      <c r="AO1675" s="434"/>
      <c r="AP1675" s="556"/>
      <c r="AQ1675" s="556"/>
      <c r="AR1675" s="556"/>
      <c r="CF1675" s="2"/>
    </row>
    <row r="1676" spans="3:84">
      <c r="C1676" s="2"/>
      <c r="AD1676" s="502"/>
      <c r="AE1676" s="911"/>
      <c r="AF1676" s="502"/>
      <c r="AH1676" s="898"/>
      <c r="AI1676" s="502"/>
      <c r="AJ1676" s="502"/>
      <c r="AL1676" s="434"/>
      <c r="AM1676" s="436"/>
      <c r="AN1676" s="434"/>
      <c r="AO1676" s="434"/>
      <c r="AP1676" s="556"/>
      <c r="AQ1676" s="556"/>
      <c r="AR1676" s="556"/>
      <c r="CF1676" s="2"/>
    </row>
    <row r="1677" spans="3:84">
      <c r="C1677" s="2"/>
      <c r="AD1677" s="502"/>
      <c r="AE1677" s="911"/>
      <c r="AF1677" s="502"/>
      <c r="AH1677" s="898"/>
      <c r="AI1677" s="502"/>
      <c r="AJ1677" s="502"/>
      <c r="AL1677" s="434"/>
      <c r="AM1677" s="436"/>
      <c r="AN1677" s="434"/>
      <c r="AO1677" s="434"/>
      <c r="AP1677" s="556"/>
      <c r="AQ1677" s="556"/>
      <c r="AR1677" s="556"/>
      <c r="CF1677" s="2"/>
    </row>
    <row r="1678" spans="3:84">
      <c r="C1678" s="2"/>
      <c r="AD1678" s="502"/>
      <c r="AE1678" s="911"/>
      <c r="AF1678" s="502"/>
      <c r="AH1678" s="898"/>
      <c r="AI1678" s="502"/>
      <c r="AJ1678" s="502"/>
      <c r="AL1678" s="434"/>
      <c r="AM1678" s="436"/>
      <c r="AN1678" s="434"/>
      <c r="AO1678" s="434"/>
      <c r="AP1678" s="556"/>
      <c r="AQ1678" s="556"/>
      <c r="AR1678" s="556"/>
      <c r="CF1678" s="2"/>
    </row>
    <row r="1679" spans="3:84">
      <c r="C1679" s="2"/>
      <c r="AD1679" s="502"/>
      <c r="AE1679" s="911"/>
      <c r="AF1679" s="502"/>
      <c r="AH1679" s="898"/>
      <c r="AI1679" s="502"/>
      <c r="AJ1679" s="502"/>
      <c r="AL1679" s="434"/>
      <c r="AM1679" s="436"/>
      <c r="AN1679" s="434"/>
      <c r="AO1679" s="434"/>
      <c r="AP1679" s="556"/>
      <c r="AQ1679" s="556"/>
      <c r="AR1679" s="556"/>
      <c r="CF1679" s="2"/>
    </row>
    <row r="1680" spans="3:84">
      <c r="C1680" s="2"/>
      <c r="AD1680" s="502"/>
      <c r="AE1680" s="911"/>
      <c r="AF1680" s="502"/>
      <c r="AH1680" s="898"/>
      <c r="AI1680" s="502"/>
      <c r="AJ1680" s="502"/>
      <c r="AL1680" s="434"/>
      <c r="AM1680" s="436"/>
      <c r="AN1680" s="434"/>
      <c r="AO1680" s="434"/>
      <c r="AP1680" s="556"/>
      <c r="AQ1680" s="556"/>
      <c r="AR1680" s="556"/>
      <c r="CF1680" s="2"/>
    </row>
    <row r="1681" spans="3:84">
      <c r="C1681" s="2"/>
      <c r="AD1681" s="502"/>
      <c r="AE1681" s="911"/>
      <c r="AF1681" s="502"/>
      <c r="AH1681" s="898"/>
      <c r="AI1681" s="502"/>
      <c r="AJ1681" s="502"/>
      <c r="AL1681" s="434"/>
      <c r="AM1681" s="436"/>
      <c r="AN1681" s="434"/>
      <c r="AO1681" s="434"/>
      <c r="AP1681" s="556"/>
      <c r="AQ1681" s="556"/>
      <c r="AR1681" s="556"/>
      <c r="CF1681" s="2"/>
    </row>
    <row r="1682" spans="3:84">
      <c r="C1682" s="2"/>
      <c r="AD1682" s="502"/>
      <c r="AE1682" s="911"/>
      <c r="AF1682" s="502"/>
      <c r="AH1682" s="898"/>
      <c r="AI1682" s="502"/>
      <c r="AJ1682" s="502"/>
      <c r="AL1682" s="434"/>
      <c r="AM1682" s="436"/>
      <c r="AN1682" s="434"/>
      <c r="AO1682" s="434"/>
      <c r="AP1682" s="556"/>
      <c r="AQ1682" s="556"/>
      <c r="AR1682" s="556"/>
      <c r="CF1682" s="2"/>
    </row>
    <row r="1683" spans="3:84">
      <c r="C1683" s="2"/>
      <c r="AD1683" s="502"/>
      <c r="AE1683" s="911"/>
      <c r="AF1683" s="502"/>
      <c r="AH1683" s="898"/>
      <c r="AI1683" s="502"/>
      <c r="AJ1683" s="502"/>
      <c r="AL1683" s="434"/>
      <c r="AM1683" s="436"/>
      <c r="AN1683" s="434"/>
      <c r="AO1683" s="434"/>
      <c r="AP1683" s="556"/>
      <c r="AQ1683" s="556"/>
      <c r="AR1683" s="556"/>
      <c r="CF1683" s="2"/>
    </row>
    <row r="1684" spans="3:84">
      <c r="C1684" s="2"/>
      <c r="AD1684" s="502"/>
      <c r="AE1684" s="911"/>
      <c r="AF1684" s="502"/>
      <c r="AH1684" s="898"/>
      <c r="AI1684" s="502"/>
      <c r="AJ1684" s="502"/>
      <c r="AL1684" s="434"/>
      <c r="AM1684" s="436"/>
      <c r="AN1684" s="434"/>
      <c r="AO1684" s="434"/>
      <c r="AP1684" s="556"/>
      <c r="AQ1684" s="556"/>
      <c r="AR1684" s="556"/>
      <c r="CF1684" s="2"/>
    </row>
    <row r="1685" spans="3:84">
      <c r="C1685" s="2"/>
      <c r="AD1685" s="502"/>
      <c r="AE1685" s="911"/>
      <c r="AF1685" s="502"/>
      <c r="AH1685" s="898"/>
      <c r="AI1685" s="502"/>
      <c r="AJ1685" s="502"/>
      <c r="AL1685" s="434"/>
      <c r="AM1685" s="436"/>
      <c r="AN1685" s="434"/>
      <c r="AO1685" s="434"/>
      <c r="AP1685" s="556"/>
      <c r="AQ1685" s="556"/>
      <c r="AR1685" s="556"/>
      <c r="CF1685" s="2"/>
    </row>
    <row r="1686" spans="3:84">
      <c r="C1686" s="2"/>
      <c r="AD1686" s="502"/>
      <c r="AE1686" s="911"/>
      <c r="AF1686" s="502"/>
      <c r="AH1686" s="898"/>
      <c r="AI1686" s="502"/>
      <c r="AJ1686" s="502"/>
      <c r="AL1686" s="434"/>
      <c r="AM1686" s="436"/>
      <c r="AN1686" s="434"/>
      <c r="AO1686" s="434"/>
      <c r="AP1686" s="556"/>
      <c r="AQ1686" s="556"/>
      <c r="AR1686" s="556"/>
      <c r="CF1686" s="2"/>
    </row>
    <row r="1687" spans="3:84">
      <c r="C1687" s="2"/>
      <c r="AD1687" s="502"/>
      <c r="AE1687" s="911"/>
      <c r="AF1687" s="502"/>
      <c r="AH1687" s="898"/>
      <c r="AI1687" s="502"/>
      <c r="AJ1687" s="502"/>
      <c r="AL1687" s="434"/>
      <c r="AM1687" s="436"/>
      <c r="AN1687" s="434"/>
      <c r="AO1687" s="434"/>
      <c r="AP1687" s="556"/>
      <c r="AQ1687" s="556"/>
      <c r="AR1687" s="556"/>
      <c r="CF1687" s="2"/>
    </row>
    <row r="1688" spans="3:84">
      <c r="C1688" s="2"/>
      <c r="AD1688" s="502"/>
      <c r="AE1688" s="911"/>
      <c r="AF1688" s="502"/>
      <c r="AH1688" s="898"/>
      <c r="AI1688" s="502"/>
      <c r="AJ1688" s="502"/>
      <c r="AL1688" s="434"/>
      <c r="AM1688" s="436"/>
      <c r="AN1688" s="434"/>
      <c r="AO1688" s="434"/>
      <c r="AP1688" s="556"/>
      <c r="AQ1688" s="556"/>
      <c r="AR1688" s="556"/>
      <c r="CF1688" s="2"/>
    </row>
    <row r="1689" spans="3:84">
      <c r="C1689" s="2"/>
      <c r="AD1689" s="502"/>
      <c r="AE1689" s="911"/>
      <c r="AF1689" s="502"/>
      <c r="AH1689" s="898"/>
      <c r="AI1689" s="502"/>
      <c r="AJ1689" s="502"/>
      <c r="AL1689" s="434"/>
      <c r="AM1689" s="436"/>
      <c r="AN1689" s="434"/>
      <c r="AO1689" s="434"/>
      <c r="AP1689" s="556"/>
      <c r="AQ1689" s="556"/>
      <c r="AR1689" s="556"/>
      <c r="CF1689" s="2"/>
    </row>
    <row r="1690" spans="3:84">
      <c r="C1690" s="2"/>
      <c r="AD1690" s="502"/>
      <c r="AE1690" s="911"/>
      <c r="AF1690" s="502"/>
      <c r="AH1690" s="898"/>
      <c r="AI1690" s="502"/>
      <c r="AJ1690" s="502"/>
      <c r="AL1690" s="434"/>
      <c r="AM1690" s="436"/>
      <c r="AN1690" s="434"/>
      <c r="AO1690" s="434"/>
      <c r="AP1690" s="556"/>
      <c r="AQ1690" s="556"/>
      <c r="AR1690" s="556"/>
      <c r="CF1690" s="2"/>
    </row>
    <row r="1691" spans="3:84">
      <c r="C1691" s="2"/>
      <c r="AD1691" s="502"/>
      <c r="AE1691" s="911"/>
      <c r="AF1691" s="502"/>
      <c r="AH1691" s="898"/>
      <c r="AI1691" s="502"/>
      <c r="AJ1691" s="502"/>
      <c r="AL1691" s="434"/>
      <c r="AM1691" s="436"/>
      <c r="AN1691" s="434"/>
      <c r="AO1691" s="434"/>
      <c r="AP1691" s="556"/>
      <c r="AQ1691" s="556"/>
      <c r="AR1691" s="556"/>
      <c r="CF1691" s="2"/>
    </row>
    <row r="1692" spans="3:84">
      <c r="C1692" s="2"/>
      <c r="AD1692" s="502"/>
      <c r="AE1692" s="911"/>
      <c r="AF1692" s="502"/>
      <c r="AH1692" s="898"/>
      <c r="AI1692" s="502"/>
      <c r="AJ1692" s="502"/>
      <c r="AL1692" s="434"/>
      <c r="AM1692" s="436"/>
      <c r="AN1692" s="434"/>
      <c r="AO1692" s="434"/>
      <c r="AP1692" s="556"/>
      <c r="AQ1692" s="556"/>
      <c r="AR1692" s="556"/>
      <c r="CF1692" s="2"/>
    </row>
    <row r="1693" spans="3:84">
      <c r="C1693" s="2"/>
      <c r="AD1693" s="502"/>
      <c r="AE1693" s="911"/>
      <c r="AF1693" s="502"/>
      <c r="AH1693" s="898"/>
      <c r="AI1693" s="502"/>
      <c r="AJ1693" s="502"/>
      <c r="AL1693" s="434"/>
      <c r="AM1693" s="436"/>
      <c r="AN1693" s="434"/>
      <c r="AO1693" s="434"/>
      <c r="AP1693" s="556"/>
      <c r="AQ1693" s="556"/>
      <c r="AR1693" s="556"/>
      <c r="CF1693" s="2"/>
    </row>
    <row r="1694" spans="3:84">
      <c r="C1694" s="2"/>
      <c r="AD1694" s="502"/>
      <c r="AE1694" s="911"/>
      <c r="AF1694" s="502"/>
      <c r="AH1694" s="898"/>
      <c r="AI1694" s="502"/>
      <c r="AJ1694" s="502"/>
      <c r="AL1694" s="434"/>
      <c r="AM1694" s="436"/>
      <c r="AN1694" s="434"/>
      <c r="AO1694" s="434"/>
      <c r="AP1694" s="556"/>
      <c r="AQ1694" s="556"/>
      <c r="AR1694" s="556"/>
      <c r="CF1694" s="2"/>
    </row>
    <row r="1695" spans="3:84">
      <c r="C1695" s="2"/>
      <c r="AD1695" s="502"/>
      <c r="AE1695" s="911"/>
      <c r="AF1695" s="502"/>
      <c r="AH1695" s="898"/>
      <c r="AI1695" s="502"/>
      <c r="AJ1695" s="502"/>
      <c r="AL1695" s="434"/>
      <c r="AM1695" s="436"/>
      <c r="AN1695" s="434"/>
      <c r="AO1695" s="434"/>
      <c r="AP1695" s="556"/>
      <c r="AQ1695" s="556"/>
      <c r="AR1695" s="556"/>
      <c r="CF1695" s="2"/>
    </row>
    <row r="1696" spans="3:84">
      <c r="C1696" s="2"/>
      <c r="AD1696" s="502"/>
      <c r="AE1696" s="911"/>
      <c r="AF1696" s="502"/>
      <c r="AH1696" s="898"/>
      <c r="AI1696" s="502"/>
      <c r="AJ1696" s="502"/>
      <c r="AL1696" s="434"/>
      <c r="AM1696" s="436"/>
      <c r="AN1696" s="434"/>
      <c r="AO1696" s="434"/>
      <c r="AP1696" s="556"/>
      <c r="AQ1696" s="556"/>
      <c r="AR1696" s="556"/>
      <c r="CF1696" s="2"/>
    </row>
    <row r="1697" spans="3:84">
      <c r="C1697" s="2"/>
      <c r="AD1697" s="502"/>
      <c r="AE1697" s="911"/>
      <c r="AF1697" s="502"/>
      <c r="AH1697" s="898"/>
      <c r="AI1697" s="502"/>
      <c r="AJ1697" s="502"/>
      <c r="AL1697" s="434"/>
      <c r="AM1697" s="436"/>
      <c r="AN1697" s="434"/>
      <c r="AO1697" s="434"/>
      <c r="AP1697" s="556"/>
      <c r="AQ1697" s="556"/>
      <c r="AR1697" s="556"/>
      <c r="CF1697" s="2"/>
    </row>
    <row r="1698" spans="3:84">
      <c r="C1698" s="2"/>
      <c r="AD1698" s="502"/>
      <c r="AE1698" s="911"/>
      <c r="AF1698" s="502"/>
      <c r="AH1698" s="898"/>
      <c r="AI1698" s="502"/>
      <c r="AJ1698" s="502"/>
      <c r="AL1698" s="434"/>
      <c r="AM1698" s="436"/>
      <c r="AN1698" s="434"/>
      <c r="AO1698" s="434"/>
      <c r="AP1698" s="556"/>
      <c r="AQ1698" s="556"/>
      <c r="AR1698" s="556"/>
      <c r="CF1698" s="2"/>
    </row>
    <row r="1699" spans="3:84">
      <c r="C1699" s="2"/>
      <c r="AD1699" s="502"/>
      <c r="AE1699" s="911"/>
      <c r="AF1699" s="502"/>
      <c r="AH1699" s="898"/>
      <c r="AI1699" s="502"/>
      <c r="AJ1699" s="502"/>
      <c r="AL1699" s="434"/>
      <c r="AM1699" s="436"/>
      <c r="AN1699" s="434"/>
      <c r="AO1699" s="434"/>
      <c r="AP1699" s="556"/>
      <c r="AQ1699" s="556"/>
      <c r="AR1699" s="556"/>
      <c r="CF1699" s="2"/>
    </row>
    <row r="1700" spans="3:84">
      <c r="C1700" s="2"/>
      <c r="AD1700" s="502"/>
      <c r="AE1700" s="911"/>
      <c r="AF1700" s="502"/>
      <c r="AH1700" s="898"/>
      <c r="AI1700" s="502"/>
      <c r="AJ1700" s="502"/>
      <c r="AL1700" s="434"/>
      <c r="AM1700" s="436"/>
      <c r="AN1700" s="434"/>
      <c r="AO1700" s="434"/>
      <c r="AP1700" s="556"/>
      <c r="AQ1700" s="556"/>
      <c r="AR1700" s="556"/>
      <c r="CF1700" s="2"/>
    </row>
    <row r="1701" spans="3:84">
      <c r="C1701" s="2"/>
      <c r="AD1701" s="502"/>
      <c r="AE1701" s="911"/>
      <c r="AF1701" s="502"/>
      <c r="AH1701" s="898"/>
      <c r="AI1701" s="502"/>
      <c r="AJ1701" s="502"/>
      <c r="AL1701" s="434"/>
      <c r="AM1701" s="436"/>
      <c r="AN1701" s="434"/>
      <c r="AO1701" s="434"/>
      <c r="AP1701" s="556"/>
      <c r="AQ1701" s="556"/>
      <c r="AR1701" s="556"/>
      <c r="CF1701" s="2"/>
    </row>
    <row r="1702" spans="3:84">
      <c r="C1702" s="2"/>
      <c r="AD1702" s="502"/>
      <c r="AE1702" s="911"/>
      <c r="AF1702" s="502"/>
      <c r="AH1702" s="898"/>
      <c r="AI1702" s="502"/>
      <c r="AJ1702" s="502"/>
      <c r="AL1702" s="434"/>
      <c r="AM1702" s="436"/>
      <c r="AN1702" s="434"/>
      <c r="AO1702" s="434"/>
      <c r="AP1702" s="556"/>
      <c r="AQ1702" s="556"/>
      <c r="AR1702" s="556"/>
      <c r="CF1702" s="2"/>
    </row>
    <row r="1703" spans="3:84">
      <c r="C1703" s="2"/>
      <c r="AD1703" s="502"/>
      <c r="AE1703" s="911"/>
      <c r="AF1703" s="502"/>
      <c r="AH1703" s="898"/>
      <c r="AI1703" s="502"/>
      <c r="AJ1703" s="502"/>
      <c r="AL1703" s="434"/>
      <c r="AM1703" s="436"/>
      <c r="AN1703" s="434"/>
      <c r="AO1703" s="434"/>
      <c r="AP1703" s="556"/>
      <c r="AQ1703" s="556"/>
      <c r="AR1703" s="556"/>
      <c r="CF1703" s="2"/>
    </row>
    <row r="1704" spans="3:84">
      <c r="C1704" s="2"/>
      <c r="AD1704" s="502"/>
      <c r="AE1704" s="911"/>
      <c r="AF1704" s="502"/>
      <c r="AH1704" s="898"/>
      <c r="AI1704" s="502"/>
      <c r="AJ1704" s="502"/>
      <c r="AL1704" s="434"/>
      <c r="AM1704" s="436"/>
      <c r="AN1704" s="434"/>
      <c r="AO1704" s="434"/>
      <c r="AP1704" s="556"/>
      <c r="AQ1704" s="556"/>
      <c r="AR1704" s="556"/>
      <c r="CF1704" s="2"/>
    </row>
    <row r="1705" spans="3:84">
      <c r="C1705" s="2"/>
      <c r="AD1705" s="502"/>
      <c r="AE1705" s="911"/>
      <c r="AF1705" s="502"/>
      <c r="AH1705" s="898"/>
      <c r="AI1705" s="502"/>
      <c r="AJ1705" s="502"/>
      <c r="AL1705" s="434"/>
      <c r="AM1705" s="436"/>
      <c r="AN1705" s="434"/>
      <c r="AO1705" s="434"/>
      <c r="AP1705" s="556"/>
      <c r="AQ1705" s="556"/>
      <c r="AR1705" s="556"/>
      <c r="CF1705" s="2"/>
    </row>
    <row r="1706" spans="3:84">
      <c r="C1706" s="2"/>
      <c r="AD1706" s="502"/>
      <c r="AE1706" s="911"/>
      <c r="AF1706" s="502"/>
      <c r="AH1706" s="898"/>
      <c r="AI1706" s="502"/>
      <c r="AJ1706" s="502"/>
      <c r="AL1706" s="434"/>
      <c r="AM1706" s="436"/>
      <c r="AN1706" s="434"/>
      <c r="AO1706" s="434"/>
      <c r="AP1706" s="556"/>
      <c r="AQ1706" s="556"/>
      <c r="AR1706" s="556"/>
      <c r="CF1706" s="2"/>
    </row>
    <row r="1707" spans="3:84">
      <c r="C1707" s="2"/>
      <c r="AD1707" s="502"/>
      <c r="AE1707" s="911"/>
      <c r="AF1707" s="502"/>
      <c r="AH1707" s="898"/>
      <c r="AI1707" s="502"/>
      <c r="AJ1707" s="502"/>
      <c r="AL1707" s="434"/>
      <c r="AM1707" s="436"/>
      <c r="AN1707" s="434"/>
      <c r="AO1707" s="434"/>
      <c r="AP1707" s="556"/>
      <c r="AQ1707" s="556"/>
      <c r="AR1707" s="556"/>
      <c r="CF1707" s="2"/>
    </row>
    <row r="1708" spans="3:84">
      <c r="C1708" s="2"/>
      <c r="AD1708" s="502"/>
      <c r="AE1708" s="911"/>
      <c r="AF1708" s="502"/>
      <c r="AH1708" s="898"/>
      <c r="AI1708" s="502"/>
      <c r="AJ1708" s="502"/>
      <c r="AL1708" s="434"/>
      <c r="AM1708" s="436"/>
      <c r="AN1708" s="434"/>
      <c r="AO1708" s="434"/>
      <c r="AP1708" s="556"/>
      <c r="AQ1708" s="556"/>
      <c r="AR1708" s="556"/>
      <c r="CF1708" s="2"/>
    </row>
    <row r="1709" spans="3:84">
      <c r="C1709" s="2"/>
      <c r="AD1709" s="502"/>
      <c r="AE1709" s="911"/>
      <c r="AF1709" s="502"/>
      <c r="AH1709" s="898"/>
      <c r="AI1709" s="502"/>
      <c r="AJ1709" s="502"/>
      <c r="AL1709" s="434"/>
      <c r="AM1709" s="436"/>
      <c r="AN1709" s="434"/>
      <c r="AO1709" s="434"/>
      <c r="AP1709" s="556"/>
      <c r="AQ1709" s="556"/>
      <c r="AR1709" s="556"/>
      <c r="CF1709" s="2"/>
    </row>
    <row r="1710" spans="3:84">
      <c r="C1710" s="2"/>
      <c r="AD1710" s="502"/>
      <c r="AE1710" s="911"/>
      <c r="AF1710" s="502"/>
      <c r="AH1710" s="898"/>
      <c r="AI1710" s="502"/>
      <c r="AJ1710" s="502"/>
      <c r="AL1710" s="434"/>
      <c r="AM1710" s="436"/>
      <c r="AN1710" s="434"/>
      <c r="AO1710" s="434"/>
      <c r="AP1710" s="556"/>
      <c r="AQ1710" s="556"/>
      <c r="AR1710" s="556"/>
      <c r="CF1710" s="2"/>
    </row>
    <row r="1711" spans="3:84">
      <c r="C1711" s="2"/>
      <c r="AD1711" s="502"/>
      <c r="AE1711" s="911"/>
      <c r="AF1711" s="502"/>
      <c r="AH1711" s="898"/>
      <c r="AI1711" s="502"/>
      <c r="AJ1711" s="502"/>
      <c r="AL1711" s="434"/>
      <c r="AM1711" s="436"/>
      <c r="AN1711" s="434"/>
      <c r="AO1711" s="434"/>
      <c r="AP1711" s="556"/>
      <c r="AQ1711" s="556"/>
      <c r="AR1711" s="556"/>
      <c r="CF1711" s="2"/>
    </row>
    <row r="1712" spans="3:84">
      <c r="C1712" s="2"/>
      <c r="AD1712" s="502"/>
      <c r="AE1712" s="911"/>
      <c r="AF1712" s="502"/>
      <c r="AH1712" s="898"/>
      <c r="AI1712" s="502"/>
      <c r="AJ1712" s="502"/>
      <c r="AL1712" s="434"/>
      <c r="AM1712" s="436"/>
      <c r="AN1712" s="434"/>
      <c r="AO1712" s="434"/>
      <c r="AP1712" s="556"/>
      <c r="AQ1712" s="556"/>
      <c r="AR1712" s="556"/>
      <c r="CF1712" s="2"/>
    </row>
    <row r="1713" spans="3:84">
      <c r="C1713" s="2"/>
      <c r="AD1713" s="502"/>
      <c r="AE1713" s="911"/>
      <c r="AF1713" s="502"/>
      <c r="AH1713" s="898"/>
      <c r="AI1713" s="502"/>
      <c r="AJ1713" s="502"/>
      <c r="AL1713" s="434"/>
      <c r="AM1713" s="436"/>
      <c r="AN1713" s="434"/>
      <c r="AO1713" s="434"/>
      <c r="AP1713" s="556"/>
      <c r="AQ1713" s="556"/>
      <c r="AR1713" s="556"/>
      <c r="CF1713" s="2"/>
    </row>
    <row r="1714" spans="3:84">
      <c r="C1714" s="2"/>
      <c r="AD1714" s="502"/>
      <c r="AE1714" s="911"/>
      <c r="AF1714" s="502"/>
      <c r="AH1714" s="898"/>
      <c r="AI1714" s="502"/>
      <c r="AJ1714" s="502"/>
      <c r="AL1714" s="434"/>
      <c r="AM1714" s="436"/>
      <c r="AN1714" s="434"/>
      <c r="AO1714" s="434"/>
      <c r="AP1714" s="556"/>
      <c r="AQ1714" s="556"/>
      <c r="AR1714" s="556"/>
      <c r="CF1714" s="2"/>
    </row>
    <row r="1715" spans="3:84">
      <c r="C1715" s="2"/>
      <c r="AD1715" s="502"/>
      <c r="AE1715" s="911"/>
      <c r="AF1715" s="502"/>
      <c r="AH1715" s="898"/>
      <c r="AI1715" s="502"/>
      <c r="AJ1715" s="502"/>
      <c r="AL1715" s="434"/>
      <c r="AM1715" s="436"/>
      <c r="AN1715" s="434"/>
      <c r="AO1715" s="434"/>
      <c r="AP1715" s="556"/>
      <c r="AQ1715" s="556"/>
      <c r="AR1715" s="556"/>
      <c r="CF1715" s="2"/>
    </row>
    <row r="1716" spans="3:84">
      <c r="C1716" s="2"/>
      <c r="AD1716" s="502"/>
      <c r="AE1716" s="911"/>
      <c r="AF1716" s="502"/>
      <c r="AH1716" s="898"/>
      <c r="AI1716" s="502"/>
      <c r="AJ1716" s="502"/>
      <c r="AL1716" s="434"/>
      <c r="AM1716" s="436"/>
      <c r="AN1716" s="434"/>
      <c r="AO1716" s="434"/>
      <c r="AP1716" s="556"/>
      <c r="AQ1716" s="556"/>
      <c r="AR1716" s="556"/>
      <c r="CF1716" s="2"/>
    </row>
    <row r="1717" spans="3:84">
      <c r="C1717" s="2"/>
      <c r="AD1717" s="502"/>
      <c r="AE1717" s="911"/>
      <c r="AF1717" s="502"/>
      <c r="AH1717" s="898"/>
      <c r="AI1717" s="502"/>
      <c r="AJ1717" s="502"/>
      <c r="AL1717" s="434"/>
      <c r="AM1717" s="436"/>
      <c r="AN1717" s="434"/>
      <c r="AO1717" s="434"/>
      <c r="AP1717" s="556"/>
      <c r="AQ1717" s="556"/>
      <c r="AR1717" s="556"/>
      <c r="CF1717" s="2"/>
    </row>
    <row r="1718" spans="3:84">
      <c r="C1718" s="2"/>
      <c r="AD1718" s="502"/>
      <c r="AE1718" s="911"/>
      <c r="AF1718" s="502"/>
      <c r="AH1718" s="898"/>
      <c r="AI1718" s="502"/>
      <c r="AJ1718" s="502"/>
      <c r="AL1718" s="434"/>
      <c r="AM1718" s="436"/>
      <c r="AN1718" s="434"/>
      <c r="AO1718" s="434"/>
      <c r="AP1718" s="556"/>
      <c r="AQ1718" s="556"/>
      <c r="AR1718" s="556"/>
      <c r="CF1718" s="2"/>
    </row>
    <row r="1719" spans="3:84">
      <c r="C1719" s="2"/>
      <c r="AD1719" s="502"/>
      <c r="AE1719" s="911"/>
      <c r="AF1719" s="502"/>
      <c r="AH1719" s="898"/>
      <c r="AI1719" s="502"/>
      <c r="AJ1719" s="502"/>
      <c r="AL1719" s="434"/>
      <c r="AM1719" s="436"/>
      <c r="AN1719" s="434"/>
      <c r="AO1719" s="434"/>
      <c r="AP1719" s="556"/>
      <c r="AQ1719" s="556"/>
      <c r="AR1719" s="556"/>
      <c r="CF1719" s="2"/>
    </row>
    <row r="1720" spans="3:84">
      <c r="C1720" s="2"/>
      <c r="AD1720" s="502"/>
      <c r="AE1720" s="911"/>
      <c r="AF1720" s="502"/>
      <c r="AH1720" s="898"/>
      <c r="AI1720" s="502"/>
      <c r="AJ1720" s="502"/>
      <c r="AL1720" s="434"/>
      <c r="AM1720" s="436"/>
      <c r="AN1720" s="434"/>
      <c r="AO1720" s="434"/>
      <c r="AP1720" s="556"/>
      <c r="AQ1720" s="556"/>
      <c r="AR1720" s="556"/>
      <c r="CF1720" s="2"/>
    </row>
    <row r="1721" spans="3:84">
      <c r="C1721" s="2"/>
      <c r="AD1721" s="502"/>
      <c r="AE1721" s="911"/>
      <c r="AF1721" s="502"/>
      <c r="AH1721" s="898"/>
      <c r="AI1721" s="502"/>
      <c r="AJ1721" s="502"/>
      <c r="AL1721" s="434"/>
      <c r="AM1721" s="436"/>
      <c r="AN1721" s="434"/>
      <c r="AO1721" s="434"/>
      <c r="AP1721" s="556"/>
      <c r="AQ1721" s="556"/>
      <c r="AR1721" s="556"/>
      <c r="CF1721" s="2"/>
    </row>
    <row r="1722" spans="3:84">
      <c r="C1722" s="2"/>
      <c r="AD1722" s="502"/>
      <c r="AE1722" s="911"/>
      <c r="AF1722" s="502"/>
      <c r="AH1722" s="898"/>
      <c r="AI1722" s="502"/>
      <c r="AJ1722" s="502"/>
      <c r="AL1722" s="434"/>
      <c r="AM1722" s="436"/>
      <c r="AN1722" s="434"/>
      <c r="AO1722" s="434"/>
      <c r="AP1722" s="556"/>
      <c r="AQ1722" s="556"/>
      <c r="AR1722" s="556"/>
      <c r="CF1722" s="2"/>
    </row>
    <row r="1723" spans="3:84">
      <c r="C1723" s="2"/>
      <c r="AD1723" s="502"/>
      <c r="AE1723" s="911"/>
      <c r="AF1723" s="502"/>
      <c r="AH1723" s="898"/>
      <c r="AI1723" s="502"/>
      <c r="AJ1723" s="502"/>
      <c r="AL1723" s="434"/>
      <c r="AM1723" s="436"/>
      <c r="AN1723" s="434"/>
      <c r="AO1723" s="434"/>
      <c r="AP1723" s="556"/>
      <c r="AQ1723" s="556"/>
      <c r="AR1723" s="556"/>
      <c r="CF1723" s="2"/>
    </row>
    <row r="1724" spans="3:84">
      <c r="C1724" s="2"/>
      <c r="AD1724" s="502"/>
      <c r="AE1724" s="911"/>
      <c r="AF1724" s="502"/>
      <c r="AH1724" s="898"/>
      <c r="AI1724" s="502"/>
      <c r="AJ1724" s="502"/>
      <c r="AL1724" s="434"/>
      <c r="AM1724" s="436"/>
      <c r="AN1724" s="434"/>
      <c r="AO1724" s="434"/>
      <c r="AP1724" s="556"/>
      <c r="AQ1724" s="556"/>
      <c r="AR1724" s="556"/>
      <c r="CF1724" s="2"/>
    </row>
    <row r="1725" spans="3:84">
      <c r="C1725" s="2"/>
      <c r="AD1725" s="502"/>
      <c r="AE1725" s="911"/>
      <c r="AF1725" s="502"/>
      <c r="AH1725" s="898"/>
      <c r="AI1725" s="502"/>
      <c r="AJ1725" s="502"/>
      <c r="AL1725" s="434"/>
      <c r="AM1725" s="436"/>
      <c r="AN1725" s="434"/>
      <c r="AO1725" s="434"/>
      <c r="AP1725" s="556"/>
      <c r="AQ1725" s="556"/>
      <c r="AR1725" s="556"/>
      <c r="CF1725" s="2"/>
    </row>
    <row r="1726" spans="3:84">
      <c r="C1726" s="2"/>
      <c r="AD1726" s="502"/>
      <c r="AE1726" s="911"/>
      <c r="AF1726" s="502"/>
      <c r="AH1726" s="898"/>
      <c r="AI1726" s="502"/>
      <c r="AJ1726" s="502"/>
      <c r="AL1726" s="434"/>
      <c r="AM1726" s="436"/>
      <c r="AN1726" s="434"/>
      <c r="AO1726" s="434"/>
      <c r="AP1726" s="556"/>
      <c r="AQ1726" s="556"/>
      <c r="AR1726" s="556"/>
      <c r="CF1726" s="2"/>
    </row>
    <row r="1727" spans="3:84">
      <c r="C1727" s="2"/>
      <c r="AD1727" s="502"/>
      <c r="AE1727" s="911"/>
      <c r="AF1727" s="502"/>
      <c r="AH1727" s="898"/>
      <c r="AI1727" s="502"/>
      <c r="AJ1727" s="502"/>
      <c r="AL1727" s="434"/>
      <c r="AM1727" s="436"/>
      <c r="AN1727" s="434"/>
      <c r="AO1727" s="434"/>
      <c r="AP1727" s="556"/>
      <c r="AQ1727" s="556"/>
      <c r="AR1727" s="556"/>
      <c r="CF1727" s="2"/>
    </row>
    <row r="1728" spans="3:84">
      <c r="C1728" s="2"/>
      <c r="AD1728" s="502"/>
      <c r="AE1728" s="911"/>
      <c r="AF1728" s="502"/>
      <c r="AH1728" s="898"/>
      <c r="AI1728" s="502"/>
      <c r="AJ1728" s="502"/>
      <c r="AL1728" s="434"/>
      <c r="AM1728" s="436"/>
      <c r="AN1728" s="434"/>
      <c r="AO1728" s="434"/>
      <c r="AP1728" s="556"/>
      <c r="AQ1728" s="556"/>
      <c r="AR1728" s="556"/>
      <c r="CF1728" s="2"/>
    </row>
    <row r="1729" spans="3:84">
      <c r="C1729" s="2"/>
      <c r="AD1729" s="502"/>
      <c r="AE1729" s="911"/>
      <c r="AF1729" s="502"/>
      <c r="AH1729" s="898"/>
      <c r="AI1729" s="502"/>
      <c r="AJ1729" s="502"/>
      <c r="AL1729" s="434"/>
      <c r="AM1729" s="436"/>
      <c r="AN1729" s="434"/>
      <c r="AO1729" s="434"/>
      <c r="AP1729" s="556"/>
      <c r="AQ1729" s="556"/>
      <c r="AR1729" s="556"/>
      <c r="CF1729" s="2"/>
    </row>
    <row r="1730" spans="3:84">
      <c r="C1730" s="2"/>
      <c r="AD1730" s="502"/>
      <c r="AE1730" s="911"/>
      <c r="AF1730" s="502"/>
      <c r="AH1730" s="898"/>
      <c r="AI1730" s="502"/>
      <c r="AJ1730" s="502"/>
      <c r="AL1730" s="434"/>
      <c r="AM1730" s="436"/>
      <c r="AN1730" s="434"/>
      <c r="AO1730" s="434"/>
      <c r="AP1730" s="556"/>
      <c r="AQ1730" s="556"/>
      <c r="AR1730" s="556"/>
      <c r="CF1730" s="2"/>
    </row>
    <row r="1731" spans="3:84">
      <c r="C1731" s="2"/>
      <c r="AD1731" s="502"/>
      <c r="AE1731" s="911"/>
      <c r="AF1731" s="502"/>
      <c r="AH1731" s="898"/>
      <c r="AI1731" s="502"/>
      <c r="AJ1731" s="502"/>
      <c r="AL1731" s="434"/>
      <c r="AM1731" s="436"/>
      <c r="AN1731" s="434"/>
      <c r="AO1731" s="434"/>
      <c r="AP1731" s="556"/>
      <c r="AQ1731" s="556"/>
      <c r="AR1731" s="556"/>
      <c r="CF1731" s="2"/>
    </row>
    <row r="1732" spans="3:84">
      <c r="C1732" s="2"/>
      <c r="AD1732" s="502"/>
      <c r="AE1732" s="911"/>
      <c r="AF1732" s="502"/>
      <c r="AH1732" s="898"/>
      <c r="AI1732" s="502"/>
      <c r="AJ1732" s="502"/>
      <c r="AL1732" s="434"/>
      <c r="AM1732" s="436"/>
      <c r="AN1732" s="434"/>
      <c r="AO1732" s="434"/>
      <c r="AP1732" s="556"/>
      <c r="AQ1732" s="556"/>
      <c r="AR1732" s="556"/>
      <c r="CF1732" s="2"/>
    </row>
    <row r="1733" spans="3:84">
      <c r="C1733" s="2"/>
      <c r="AD1733" s="502"/>
      <c r="AE1733" s="911"/>
      <c r="AF1733" s="502"/>
      <c r="AH1733" s="898"/>
      <c r="AI1733" s="502"/>
      <c r="AJ1733" s="502"/>
      <c r="AL1733" s="434"/>
      <c r="AM1733" s="436"/>
      <c r="AN1733" s="434"/>
      <c r="AO1733" s="434"/>
      <c r="AP1733" s="556"/>
      <c r="AQ1733" s="556"/>
      <c r="AR1733" s="556"/>
      <c r="CF1733" s="2"/>
    </row>
    <row r="1734" spans="3:84">
      <c r="C1734" s="2"/>
      <c r="AD1734" s="502"/>
      <c r="AE1734" s="911"/>
      <c r="AF1734" s="502"/>
      <c r="AH1734" s="898"/>
      <c r="AI1734" s="502"/>
      <c r="AJ1734" s="502"/>
      <c r="AL1734" s="434"/>
      <c r="AM1734" s="436"/>
      <c r="AN1734" s="434"/>
      <c r="AO1734" s="434"/>
      <c r="AP1734" s="556"/>
      <c r="AQ1734" s="556"/>
      <c r="AR1734" s="556"/>
      <c r="CF1734" s="2"/>
    </row>
    <row r="1735" spans="3:84">
      <c r="C1735" s="2"/>
      <c r="AD1735" s="502"/>
      <c r="AE1735" s="911"/>
      <c r="AF1735" s="502"/>
      <c r="AH1735" s="898"/>
      <c r="AI1735" s="502"/>
      <c r="AJ1735" s="502"/>
      <c r="AL1735" s="434"/>
      <c r="AM1735" s="436"/>
      <c r="AN1735" s="434"/>
      <c r="AO1735" s="434"/>
      <c r="AP1735" s="556"/>
      <c r="AQ1735" s="556"/>
      <c r="AR1735" s="556"/>
      <c r="CF1735" s="2"/>
    </row>
    <row r="1736" spans="3:84">
      <c r="C1736" s="2"/>
      <c r="AD1736" s="502"/>
      <c r="AE1736" s="911"/>
      <c r="AF1736" s="502"/>
      <c r="AH1736" s="898"/>
      <c r="AI1736" s="502"/>
      <c r="AJ1736" s="502"/>
      <c r="AL1736" s="434"/>
      <c r="AM1736" s="436"/>
      <c r="AN1736" s="434"/>
      <c r="AO1736" s="434"/>
      <c r="AP1736" s="556"/>
      <c r="AQ1736" s="556"/>
      <c r="AR1736" s="556"/>
      <c r="CF1736" s="2"/>
    </row>
    <row r="1737" spans="3:84">
      <c r="C1737" s="2"/>
      <c r="AD1737" s="502"/>
      <c r="AE1737" s="911"/>
      <c r="AF1737" s="502"/>
      <c r="AH1737" s="898"/>
      <c r="AI1737" s="502"/>
      <c r="AJ1737" s="502"/>
      <c r="AL1737" s="434"/>
      <c r="AM1737" s="436"/>
      <c r="AN1737" s="434"/>
      <c r="AO1737" s="434"/>
      <c r="AP1737" s="556"/>
      <c r="AQ1737" s="556"/>
      <c r="AR1737" s="556"/>
      <c r="CF1737" s="2"/>
    </row>
    <row r="1738" spans="3:84">
      <c r="C1738" s="2"/>
      <c r="AD1738" s="502"/>
      <c r="AE1738" s="911"/>
      <c r="AF1738" s="502"/>
      <c r="AH1738" s="898"/>
      <c r="AI1738" s="502"/>
      <c r="AJ1738" s="502"/>
      <c r="AL1738" s="434"/>
      <c r="AM1738" s="436"/>
      <c r="AN1738" s="434"/>
      <c r="AO1738" s="434"/>
      <c r="AP1738" s="556"/>
      <c r="AQ1738" s="556"/>
      <c r="AR1738" s="556"/>
      <c r="CF1738" s="2"/>
    </row>
    <row r="1739" spans="3:84">
      <c r="C1739" s="2"/>
      <c r="AD1739" s="502"/>
      <c r="AE1739" s="911"/>
      <c r="AF1739" s="502"/>
      <c r="AH1739" s="898"/>
      <c r="AI1739" s="502"/>
      <c r="AJ1739" s="502"/>
      <c r="AL1739" s="434"/>
      <c r="AM1739" s="436"/>
      <c r="AN1739" s="434"/>
      <c r="AO1739" s="434"/>
      <c r="AP1739" s="556"/>
      <c r="AQ1739" s="556"/>
      <c r="AR1739" s="556"/>
      <c r="CF1739" s="2"/>
    </row>
    <row r="1740" spans="3:84">
      <c r="C1740" s="2"/>
      <c r="AD1740" s="502"/>
      <c r="AE1740" s="911"/>
      <c r="AF1740" s="502"/>
      <c r="AH1740" s="898"/>
      <c r="AI1740" s="502"/>
      <c r="AJ1740" s="502"/>
      <c r="AL1740" s="434"/>
      <c r="AM1740" s="436"/>
      <c r="AN1740" s="434"/>
      <c r="AO1740" s="434"/>
      <c r="AP1740" s="556"/>
      <c r="AQ1740" s="556"/>
      <c r="AR1740" s="556"/>
      <c r="CF1740" s="2"/>
    </row>
    <row r="1741" spans="3:84">
      <c r="C1741" s="2"/>
      <c r="AD1741" s="502"/>
      <c r="AE1741" s="911"/>
      <c r="AF1741" s="502"/>
      <c r="AH1741" s="898"/>
      <c r="AI1741" s="502"/>
      <c r="AJ1741" s="502"/>
      <c r="AL1741" s="434"/>
      <c r="AM1741" s="436"/>
      <c r="AN1741" s="434"/>
      <c r="AO1741" s="434"/>
      <c r="AP1741" s="556"/>
      <c r="AQ1741" s="556"/>
      <c r="AR1741" s="556"/>
      <c r="CF1741" s="2"/>
    </row>
    <row r="1742" spans="3:84">
      <c r="C1742" s="2"/>
      <c r="AD1742" s="502"/>
      <c r="AE1742" s="911"/>
      <c r="AF1742" s="502"/>
      <c r="AH1742" s="898"/>
      <c r="AI1742" s="502"/>
      <c r="AJ1742" s="502"/>
      <c r="AL1742" s="434"/>
      <c r="AM1742" s="436"/>
      <c r="AN1742" s="434"/>
      <c r="AO1742" s="434"/>
      <c r="AP1742" s="556"/>
      <c r="AQ1742" s="556"/>
      <c r="AR1742" s="556"/>
      <c r="CF1742" s="2"/>
    </row>
    <row r="1743" spans="3:84">
      <c r="C1743" s="2"/>
      <c r="AD1743" s="502"/>
      <c r="AE1743" s="911"/>
      <c r="AF1743" s="502"/>
      <c r="AH1743" s="898"/>
      <c r="AI1743" s="502"/>
      <c r="AJ1743" s="502"/>
      <c r="AL1743" s="434"/>
      <c r="AM1743" s="436"/>
      <c r="AN1743" s="434"/>
      <c r="AO1743" s="434"/>
      <c r="AP1743" s="556"/>
      <c r="AQ1743" s="556"/>
      <c r="AR1743" s="556"/>
      <c r="CF1743" s="2"/>
    </row>
    <row r="1744" spans="3:84">
      <c r="C1744" s="2"/>
      <c r="AD1744" s="502"/>
      <c r="AE1744" s="911"/>
      <c r="AF1744" s="502"/>
      <c r="AH1744" s="898"/>
      <c r="AI1744" s="502"/>
      <c r="AJ1744" s="502"/>
      <c r="AL1744" s="434"/>
      <c r="AM1744" s="436"/>
      <c r="AN1744" s="434"/>
      <c r="AO1744" s="434"/>
      <c r="AP1744" s="556"/>
      <c r="AQ1744" s="556"/>
      <c r="AR1744" s="556"/>
      <c r="CF1744" s="2"/>
    </row>
    <row r="1745" spans="3:84">
      <c r="C1745" s="2"/>
      <c r="AD1745" s="502"/>
      <c r="AE1745" s="911"/>
      <c r="AF1745" s="502"/>
      <c r="AH1745" s="898"/>
      <c r="AI1745" s="502"/>
      <c r="AJ1745" s="502"/>
      <c r="AL1745" s="434"/>
      <c r="AM1745" s="436"/>
      <c r="AN1745" s="434"/>
      <c r="AO1745" s="434"/>
      <c r="AP1745" s="556"/>
      <c r="AQ1745" s="556"/>
      <c r="AR1745" s="556"/>
      <c r="CF1745" s="2"/>
    </row>
    <row r="1746" spans="3:84">
      <c r="C1746" s="2"/>
      <c r="AD1746" s="502"/>
      <c r="AE1746" s="911"/>
      <c r="AF1746" s="502"/>
      <c r="AH1746" s="898"/>
      <c r="AI1746" s="502"/>
      <c r="AJ1746" s="502"/>
      <c r="AL1746" s="434"/>
      <c r="AM1746" s="436"/>
      <c r="AN1746" s="434"/>
      <c r="AO1746" s="434"/>
      <c r="AP1746" s="556"/>
      <c r="AQ1746" s="556"/>
      <c r="AR1746" s="556"/>
      <c r="CF1746" s="2"/>
    </row>
    <row r="1747" spans="3:84">
      <c r="C1747" s="2"/>
      <c r="AD1747" s="502"/>
      <c r="AE1747" s="911"/>
      <c r="AF1747" s="502"/>
      <c r="AH1747" s="898"/>
      <c r="AI1747" s="502"/>
      <c r="AJ1747" s="502"/>
      <c r="AL1747" s="434"/>
      <c r="AM1747" s="436"/>
      <c r="AN1747" s="434"/>
      <c r="AO1747" s="434"/>
      <c r="AP1747" s="556"/>
      <c r="AQ1747" s="556"/>
      <c r="AR1747" s="556"/>
      <c r="CF1747" s="2"/>
    </row>
    <row r="1748" spans="3:84">
      <c r="C1748" s="2"/>
      <c r="AD1748" s="502"/>
      <c r="AE1748" s="911"/>
      <c r="AF1748" s="502"/>
      <c r="AH1748" s="898"/>
      <c r="AI1748" s="502"/>
      <c r="AJ1748" s="502"/>
      <c r="AL1748" s="434"/>
      <c r="AM1748" s="436"/>
      <c r="AN1748" s="434"/>
      <c r="AO1748" s="434"/>
      <c r="AP1748" s="556"/>
      <c r="AQ1748" s="556"/>
      <c r="AR1748" s="556"/>
      <c r="CF1748" s="2"/>
    </row>
    <row r="1749" spans="3:84">
      <c r="C1749" s="2"/>
      <c r="AD1749" s="502"/>
      <c r="AE1749" s="911"/>
      <c r="AF1749" s="502"/>
      <c r="AH1749" s="898"/>
      <c r="AI1749" s="502"/>
      <c r="AJ1749" s="502"/>
      <c r="AL1749" s="434"/>
      <c r="AM1749" s="436"/>
      <c r="AN1749" s="434"/>
      <c r="AO1749" s="434"/>
      <c r="AP1749" s="556"/>
      <c r="AQ1749" s="556"/>
      <c r="AR1749" s="556"/>
      <c r="CF1749" s="2"/>
    </row>
    <row r="1750" spans="3:84">
      <c r="C1750" s="2"/>
      <c r="AD1750" s="502"/>
      <c r="AE1750" s="911"/>
      <c r="AF1750" s="502"/>
      <c r="AH1750" s="898"/>
      <c r="AI1750" s="502"/>
      <c r="AJ1750" s="502"/>
      <c r="AL1750" s="434"/>
      <c r="AM1750" s="436"/>
      <c r="AN1750" s="434"/>
      <c r="AO1750" s="434"/>
      <c r="AP1750" s="556"/>
      <c r="AQ1750" s="556"/>
      <c r="AR1750" s="556"/>
      <c r="CF1750" s="2"/>
    </row>
    <row r="1751" spans="3:84">
      <c r="C1751" s="2"/>
      <c r="AD1751" s="502"/>
      <c r="AE1751" s="911"/>
      <c r="AF1751" s="502"/>
      <c r="AH1751" s="898"/>
      <c r="AI1751" s="502"/>
      <c r="AJ1751" s="502"/>
      <c r="AL1751" s="434"/>
      <c r="AM1751" s="436"/>
      <c r="AN1751" s="434"/>
      <c r="AO1751" s="434"/>
      <c r="AP1751" s="556"/>
      <c r="AQ1751" s="556"/>
      <c r="AR1751" s="556"/>
      <c r="CF1751" s="2"/>
    </row>
    <row r="1752" spans="3:84">
      <c r="C1752" s="2"/>
      <c r="AD1752" s="502"/>
      <c r="AE1752" s="911"/>
      <c r="AF1752" s="502"/>
      <c r="AH1752" s="898"/>
      <c r="AI1752" s="502"/>
      <c r="AJ1752" s="502"/>
      <c r="AL1752" s="434"/>
      <c r="AM1752" s="436"/>
      <c r="AN1752" s="434"/>
      <c r="AO1752" s="434"/>
      <c r="AP1752" s="556"/>
      <c r="AQ1752" s="556"/>
      <c r="AR1752" s="556"/>
      <c r="CF1752" s="2"/>
    </row>
    <row r="1753" spans="3:84">
      <c r="C1753" s="2"/>
      <c r="AD1753" s="502"/>
      <c r="AE1753" s="911"/>
      <c r="AF1753" s="502"/>
      <c r="AH1753" s="898"/>
      <c r="AI1753" s="502"/>
      <c r="AJ1753" s="502"/>
      <c r="AL1753" s="434"/>
      <c r="AM1753" s="436"/>
      <c r="AN1753" s="434"/>
      <c r="AO1753" s="434"/>
      <c r="AP1753" s="556"/>
      <c r="AQ1753" s="556"/>
      <c r="AR1753" s="556"/>
      <c r="CF1753" s="2"/>
    </row>
    <row r="1754" spans="3:84">
      <c r="C1754" s="2"/>
      <c r="AD1754" s="502"/>
      <c r="AE1754" s="911"/>
      <c r="AF1754" s="502"/>
      <c r="AH1754" s="898"/>
      <c r="AI1754" s="502"/>
      <c r="AJ1754" s="502"/>
      <c r="AL1754" s="434"/>
      <c r="AM1754" s="436"/>
      <c r="AN1754" s="434"/>
      <c r="AO1754" s="434"/>
      <c r="AP1754" s="556"/>
      <c r="AQ1754" s="556"/>
      <c r="AR1754" s="556"/>
      <c r="CF1754" s="2"/>
    </row>
    <row r="1755" spans="3:84">
      <c r="C1755" s="2"/>
      <c r="AD1755" s="502"/>
      <c r="AE1755" s="911"/>
      <c r="AF1755" s="502"/>
      <c r="AH1755" s="898"/>
      <c r="AI1755" s="502"/>
      <c r="AJ1755" s="502"/>
      <c r="AL1755" s="434"/>
      <c r="AM1755" s="436"/>
      <c r="AN1755" s="434"/>
      <c r="AO1755" s="434"/>
      <c r="AP1755" s="556"/>
      <c r="AQ1755" s="556"/>
      <c r="AR1755" s="556"/>
      <c r="CF1755" s="2"/>
    </row>
    <row r="1756" spans="3:84">
      <c r="C1756" s="2"/>
      <c r="AD1756" s="502"/>
      <c r="AE1756" s="911"/>
      <c r="AF1756" s="502"/>
      <c r="AH1756" s="898"/>
      <c r="AI1756" s="502"/>
      <c r="AJ1756" s="502"/>
      <c r="AL1756" s="434"/>
      <c r="AM1756" s="436"/>
      <c r="AN1756" s="434"/>
      <c r="AO1756" s="434"/>
      <c r="AP1756" s="556"/>
      <c r="AQ1756" s="556"/>
      <c r="AR1756" s="556"/>
      <c r="CF1756" s="2"/>
    </row>
    <row r="1757" spans="3:84">
      <c r="C1757" s="2"/>
      <c r="AD1757" s="502"/>
      <c r="AE1757" s="911"/>
      <c r="AF1757" s="502"/>
      <c r="AH1757" s="898"/>
      <c r="AI1757" s="502"/>
      <c r="AJ1757" s="502"/>
      <c r="AL1757" s="434"/>
      <c r="AM1757" s="436"/>
      <c r="AN1757" s="434"/>
      <c r="AO1757" s="434"/>
      <c r="AP1757" s="556"/>
      <c r="AQ1757" s="556"/>
      <c r="AR1757" s="556"/>
      <c r="CF1757" s="2"/>
    </row>
    <row r="1758" spans="3:84">
      <c r="C1758" s="2"/>
      <c r="AD1758" s="502"/>
      <c r="AE1758" s="911"/>
      <c r="AF1758" s="502"/>
      <c r="AH1758" s="898"/>
      <c r="AI1758" s="502"/>
      <c r="AJ1758" s="502"/>
      <c r="AL1758" s="434"/>
      <c r="AM1758" s="436"/>
      <c r="AN1758" s="434"/>
      <c r="AO1758" s="434"/>
      <c r="AP1758" s="556"/>
      <c r="AQ1758" s="556"/>
      <c r="AR1758" s="556"/>
      <c r="CF1758" s="2"/>
    </row>
    <row r="1759" spans="3:84">
      <c r="C1759" s="2"/>
      <c r="AD1759" s="502"/>
      <c r="AE1759" s="911"/>
      <c r="AF1759" s="502"/>
      <c r="AH1759" s="898"/>
      <c r="AI1759" s="502"/>
      <c r="AJ1759" s="502"/>
      <c r="AL1759" s="434"/>
      <c r="AM1759" s="436"/>
      <c r="AN1759" s="434"/>
      <c r="AO1759" s="434"/>
      <c r="AP1759" s="556"/>
      <c r="AQ1759" s="556"/>
      <c r="AR1759" s="556"/>
      <c r="CF1759" s="2"/>
    </row>
    <row r="1760" spans="3:84">
      <c r="C1760" s="2"/>
      <c r="AD1760" s="502"/>
      <c r="AE1760" s="911"/>
      <c r="AF1760" s="502"/>
      <c r="AH1760" s="898"/>
      <c r="AI1760" s="502"/>
      <c r="AJ1760" s="502"/>
      <c r="AL1760" s="434"/>
      <c r="AM1760" s="436"/>
      <c r="AN1760" s="434"/>
      <c r="AO1760" s="434"/>
      <c r="AP1760" s="556"/>
      <c r="AQ1760" s="556"/>
      <c r="AR1760" s="556"/>
      <c r="CF1760" s="2"/>
    </row>
    <row r="1761" spans="3:84">
      <c r="C1761" s="2"/>
      <c r="AD1761" s="502"/>
      <c r="AE1761" s="911"/>
      <c r="AF1761" s="502"/>
      <c r="AH1761" s="898"/>
      <c r="AI1761" s="502"/>
      <c r="AJ1761" s="502"/>
      <c r="AL1761" s="434"/>
      <c r="AM1761" s="436"/>
      <c r="AN1761" s="434"/>
      <c r="AO1761" s="434"/>
      <c r="AP1761" s="556"/>
      <c r="AQ1761" s="556"/>
      <c r="AR1761" s="556"/>
      <c r="CF1761" s="2"/>
    </row>
    <row r="1762" spans="3:84">
      <c r="C1762" s="2"/>
      <c r="AD1762" s="502"/>
      <c r="AE1762" s="911"/>
      <c r="AF1762" s="502"/>
      <c r="AH1762" s="898"/>
      <c r="AI1762" s="502"/>
      <c r="AJ1762" s="502"/>
      <c r="AL1762" s="434"/>
      <c r="AM1762" s="436"/>
      <c r="AN1762" s="434"/>
      <c r="AO1762" s="434"/>
      <c r="AP1762" s="556"/>
      <c r="AQ1762" s="556"/>
      <c r="AR1762" s="556"/>
      <c r="CF1762" s="2"/>
    </row>
    <row r="1763" spans="3:84">
      <c r="C1763" s="2"/>
      <c r="AD1763" s="502"/>
      <c r="AE1763" s="911"/>
      <c r="AF1763" s="502"/>
      <c r="AH1763" s="898"/>
      <c r="AI1763" s="502"/>
      <c r="AJ1763" s="502"/>
      <c r="AL1763" s="434"/>
      <c r="AM1763" s="436"/>
      <c r="AN1763" s="434"/>
      <c r="AO1763" s="434"/>
      <c r="AP1763" s="556"/>
      <c r="AQ1763" s="556"/>
      <c r="AR1763" s="556"/>
      <c r="CF1763" s="2"/>
    </row>
    <row r="1764" spans="3:84">
      <c r="C1764" s="2"/>
      <c r="AD1764" s="502"/>
      <c r="AE1764" s="911"/>
      <c r="AF1764" s="502"/>
      <c r="AH1764" s="898"/>
      <c r="AI1764" s="502"/>
      <c r="AJ1764" s="502"/>
      <c r="AL1764" s="434"/>
      <c r="AM1764" s="436"/>
      <c r="AN1764" s="434"/>
      <c r="AO1764" s="434"/>
      <c r="AP1764" s="556"/>
      <c r="AQ1764" s="556"/>
      <c r="AR1764" s="556"/>
      <c r="CF1764" s="2"/>
    </row>
    <row r="1765" spans="3:84">
      <c r="C1765" s="2"/>
      <c r="AD1765" s="502"/>
      <c r="AE1765" s="911"/>
      <c r="AF1765" s="502"/>
      <c r="AH1765" s="898"/>
      <c r="AI1765" s="502"/>
      <c r="AJ1765" s="502"/>
      <c r="AL1765" s="434"/>
      <c r="AM1765" s="436"/>
      <c r="AN1765" s="434"/>
      <c r="AO1765" s="434"/>
      <c r="AP1765" s="556"/>
      <c r="AQ1765" s="556"/>
      <c r="AR1765" s="556"/>
      <c r="CF1765" s="2"/>
    </row>
    <row r="1766" spans="3:84">
      <c r="C1766" s="2"/>
      <c r="AD1766" s="502"/>
      <c r="AE1766" s="911"/>
      <c r="AF1766" s="502"/>
      <c r="AH1766" s="898"/>
      <c r="AI1766" s="502"/>
      <c r="AJ1766" s="502"/>
      <c r="AL1766" s="434"/>
      <c r="AM1766" s="436"/>
      <c r="AN1766" s="434"/>
      <c r="AO1766" s="434"/>
      <c r="AP1766" s="556"/>
      <c r="AQ1766" s="556"/>
      <c r="AR1766" s="556"/>
      <c r="CF1766" s="2"/>
    </row>
    <row r="1767" spans="3:84">
      <c r="C1767" s="2"/>
      <c r="AD1767" s="502"/>
      <c r="AE1767" s="911"/>
      <c r="AF1767" s="502"/>
      <c r="AH1767" s="898"/>
      <c r="AI1767" s="502"/>
      <c r="AJ1767" s="502"/>
      <c r="AL1767" s="434"/>
      <c r="AM1767" s="436"/>
      <c r="AN1767" s="434"/>
      <c r="AO1767" s="434"/>
      <c r="AP1767" s="556"/>
      <c r="AQ1767" s="556"/>
      <c r="AR1767" s="556"/>
      <c r="CF1767" s="2"/>
    </row>
    <row r="1768" spans="3:84">
      <c r="C1768" s="2"/>
      <c r="AD1768" s="502"/>
      <c r="AE1768" s="911"/>
      <c r="AF1768" s="502"/>
      <c r="AH1768" s="898"/>
      <c r="AI1768" s="502"/>
      <c r="AJ1768" s="502"/>
      <c r="AL1768" s="434"/>
      <c r="AM1768" s="436"/>
      <c r="AN1768" s="434"/>
      <c r="AO1768" s="434"/>
      <c r="AP1768" s="556"/>
      <c r="AQ1768" s="556"/>
      <c r="AR1768" s="556"/>
      <c r="CF1768" s="2"/>
    </row>
    <row r="1769" spans="3:84">
      <c r="C1769" s="2"/>
      <c r="AD1769" s="502"/>
      <c r="AE1769" s="911"/>
      <c r="AF1769" s="502"/>
      <c r="AH1769" s="898"/>
      <c r="AI1769" s="502"/>
      <c r="AJ1769" s="502"/>
      <c r="AL1769" s="434"/>
      <c r="AM1769" s="436"/>
      <c r="AN1769" s="434"/>
      <c r="AO1769" s="434"/>
      <c r="AP1769" s="556"/>
      <c r="AQ1769" s="556"/>
      <c r="AR1769" s="556"/>
      <c r="CF1769" s="2"/>
    </row>
    <row r="1770" spans="3:84">
      <c r="C1770" s="2"/>
      <c r="AD1770" s="502"/>
      <c r="AE1770" s="911"/>
      <c r="AF1770" s="502"/>
      <c r="AH1770" s="898"/>
      <c r="AI1770" s="502"/>
      <c r="AJ1770" s="502"/>
      <c r="AL1770" s="434"/>
      <c r="AM1770" s="436"/>
      <c r="AN1770" s="434"/>
      <c r="AO1770" s="434"/>
      <c r="AP1770" s="556"/>
      <c r="AQ1770" s="556"/>
      <c r="AR1770" s="556"/>
      <c r="CF1770" s="2"/>
    </row>
    <row r="1771" spans="3:84">
      <c r="C1771" s="2"/>
      <c r="AD1771" s="502"/>
      <c r="AE1771" s="911"/>
      <c r="AF1771" s="502"/>
      <c r="AH1771" s="898"/>
      <c r="AI1771" s="502"/>
      <c r="AJ1771" s="502"/>
      <c r="AL1771" s="434"/>
      <c r="AM1771" s="436"/>
      <c r="AN1771" s="434"/>
      <c r="AO1771" s="434"/>
      <c r="AP1771" s="556"/>
      <c r="AQ1771" s="556"/>
      <c r="AR1771" s="556"/>
      <c r="CF1771" s="2"/>
    </row>
    <row r="1772" spans="3:84">
      <c r="C1772" s="2"/>
      <c r="AD1772" s="502"/>
      <c r="AE1772" s="911"/>
      <c r="AF1772" s="502"/>
      <c r="AH1772" s="898"/>
      <c r="AI1772" s="502"/>
      <c r="AJ1772" s="502"/>
      <c r="AL1772" s="434"/>
      <c r="AM1772" s="436"/>
      <c r="AN1772" s="434"/>
      <c r="AO1772" s="434"/>
      <c r="AP1772" s="556"/>
      <c r="AQ1772" s="556"/>
      <c r="AR1772" s="556"/>
      <c r="CF1772" s="2"/>
    </row>
    <row r="1773" spans="3:84">
      <c r="C1773" s="2"/>
      <c r="AD1773" s="502"/>
      <c r="AE1773" s="911"/>
      <c r="AF1773" s="502"/>
      <c r="AH1773" s="898"/>
      <c r="AI1773" s="502"/>
      <c r="AJ1773" s="502"/>
      <c r="AL1773" s="434"/>
      <c r="AM1773" s="436"/>
      <c r="AN1773" s="434"/>
      <c r="AO1773" s="434"/>
      <c r="AP1773" s="556"/>
      <c r="AQ1773" s="556"/>
      <c r="AR1773" s="556"/>
      <c r="CF1773" s="2"/>
    </row>
    <row r="1774" spans="3:84">
      <c r="C1774" s="2"/>
      <c r="AD1774" s="502"/>
      <c r="AE1774" s="911"/>
      <c r="AF1774" s="502"/>
      <c r="AH1774" s="898"/>
      <c r="AI1774" s="502"/>
      <c r="AJ1774" s="502"/>
      <c r="AL1774" s="434"/>
      <c r="AM1774" s="436"/>
      <c r="AN1774" s="434"/>
      <c r="AO1774" s="434"/>
      <c r="AP1774" s="556"/>
      <c r="AQ1774" s="556"/>
      <c r="AR1774" s="556"/>
      <c r="CF1774" s="2"/>
    </row>
    <row r="1775" spans="3:84">
      <c r="C1775" s="2"/>
      <c r="AD1775" s="502"/>
      <c r="AE1775" s="911"/>
      <c r="AF1775" s="502"/>
      <c r="AH1775" s="898"/>
      <c r="AI1775" s="502"/>
      <c r="AJ1775" s="502"/>
      <c r="AL1775" s="434"/>
      <c r="AM1775" s="436"/>
      <c r="AN1775" s="434"/>
      <c r="AO1775" s="434"/>
      <c r="AP1775" s="556"/>
      <c r="AQ1775" s="556"/>
      <c r="AR1775" s="556"/>
      <c r="CF1775" s="2"/>
    </row>
    <row r="1776" spans="3:84">
      <c r="C1776" s="2"/>
      <c r="AD1776" s="502"/>
      <c r="AE1776" s="911"/>
      <c r="AF1776" s="502"/>
      <c r="AH1776" s="898"/>
      <c r="AI1776" s="502"/>
      <c r="AJ1776" s="502"/>
      <c r="AL1776" s="434"/>
      <c r="AM1776" s="436"/>
      <c r="AN1776" s="434"/>
      <c r="AO1776" s="434"/>
      <c r="AP1776" s="556"/>
      <c r="AQ1776" s="556"/>
      <c r="AR1776" s="556"/>
      <c r="CF1776" s="2"/>
    </row>
    <row r="1777" spans="3:84">
      <c r="C1777" s="2"/>
      <c r="AD1777" s="502"/>
      <c r="AE1777" s="911"/>
      <c r="AF1777" s="502"/>
      <c r="AH1777" s="898"/>
      <c r="AI1777" s="502"/>
      <c r="AJ1777" s="502"/>
      <c r="AL1777" s="434"/>
      <c r="AM1777" s="436"/>
      <c r="AN1777" s="434"/>
      <c r="AO1777" s="434"/>
      <c r="AP1777" s="556"/>
      <c r="AQ1777" s="556"/>
      <c r="AR1777" s="556"/>
      <c r="CF1777" s="2"/>
    </row>
    <row r="1778" spans="3:84">
      <c r="C1778" s="2"/>
      <c r="AD1778" s="502"/>
      <c r="AE1778" s="911"/>
      <c r="AF1778" s="502"/>
      <c r="AH1778" s="898"/>
      <c r="AI1778" s="502"/>
      <c r="AJ1778" s="502"/>
      <c r="AL1778" s="434"/>
      <c r="AM1778" s="436"/>
      <c r="AN1778" s="434"/>
      <c r="AO1778" s="434"/>
      <c r="AP1778" s="556"/>
      <c r="AQ1778" s="556"/>
      <c r="AR1778" s="556"/>
      <c r="CF1778" s="2"/>
    </row>
    <row r="1779" spans="3:84">
      <c r="C1779" s="2"/>
      <c r="AD1779" s="502"/>
      <c r="AE1779" s="911"/>
      <c r="AF1779" s="502"/>
      <c r="AH1779" s="898"/>
      <c r="AI1779" s="502"/>
      <c r="AJ1779" s="502"/>
      <c r="AL1779" s="434"/>
      <c r="AM1779" s="436"/>
      <c r="AN1779" s="434"/>
      <c r="AO1779" s="434"/>
      <c r="AP1779" s="556"/>
      <c r="AQ1779" s="556"/>
      <c r="AR1779" s="556"/>
      <c r="CF1779" s="2"/>
    </row>
    <row r="1780" spans="3:84">
      <c r="C1780" s="2"/>
      <c r="AD1780" s="502"/>
      <c r="AE1780" s="911"/>
      <c r="AF1780" s="502"/>
      <c r="AH1780" s="898"/>
      <c r="AI1780" s="502"/>
      <c r="AJ1780" s="502"/>
      <c r="AL1780" s="434"/>
      <c r="AM1780" s="436"/>
      <c r="AN1780" s="434"/>
      <c r="AO1780" s="434"/>
      <c r="AP1780" s="556"/>
      <c r="AQ1780" s="556"/>
      <c r="AR1780" s="556"/>
      <c r="CF1780" s="2"/>
    </row>
    <row r="1781" spans="3:84">
      <c r="C1781" s="2"/>
      <c r="AD1781" s="502"/>
      <c r="AE1781" s="911"/>
      <c r="AF1781" s="502"/>
      <c r="AH1781" s="898"/>
      <c r="AI1781" s="502"/>
      <c r="AJ1781" s="502"/>
      <c r="AL1781" s="434"/>
      <c r="AM1781" s="436"/>
      <c r="AN1781" s="434"/>
      <c r="AO1781" s="434"/>
      <c r="AP1781" s="556"/>
      <c r="AQ1781" s="556"/>
      <c r="AR1781" s="556"/>
      <c r="CF1781" s="2"/>
    </row>
    <row r="1782" spans="3:84">
      <c r="C1782" s="2"/>
      <c r="AD1782" s="502"/>
      <c r="AE1782" s="911"/>
      <c r="AF1782" s="502"/>
      <c r="AH1782" s="898"/>
      <c r="AI1782" s="502"/>
      <c r="AJ1782" s="502"/>
      <c r="AL1782" s="434"/>
      <c r="AM1782" s="436"/>
      <c r="AN1782" s="434"/>
      <c r="AO1782" s="434"/>
      <c r="AP1782" s="556"/>
      <c r="AQ1782" s="556"/>
      <c r="AR1782" s="556"/>
      <c r="CF1782" s="2"/>
    </row>
    <row r="1783" spans="3:84">
      <c r="C1783" s="2"/>
      <c r="AD1783" s="502"/>
      <c r="AE1783" s="911"/>
      <c r="AF1783" s="502"/>
      <c r="AH1783" s="898"/>
      <c r="AI1783" s="502"/>
      <c r="AJ1783" s="502"/>
      <c r="AL1783" s="434"/>
      <c r="AM1783" s="436"/>
      <c r="AN1783" s="434"/>
      <c r="AO1783" s="434"/>
      <c r="AP1783" s="556"/>
      <c r="AQ1783" s="556"/>
      <c r="AR1783" s="556"/>
      <c r="CF1783" s="2"/>
    </row>
    <row r="1784" spans="3:84">
      <c r="C1784" s="2"/>
      <c r="AD1784" s="502"/>
      <c r="AE1784" s="911"/>
      <c r="AF1784" s="502"/>
      <c r="AH1784" s="898"/>
      <c r="AI1784" s="502"/>
      <c r="AJ1784" s="502"/>
      <c r="AL1784" s="434"/>
      <c r="AM1784" s="436"/>
      <c r="AN1784" s="434"/>
      <c r="AO1784" s="434"/>
      <c r="AP1784" s="556"/>
      <c r="AQ1784" s="556"/>
      <c r="AR1784" s="556"/>
      <c r="CF1784" s="2"/>
    </row>
    <row r="1785" spans="3:84">
      <c r="C1785" s="2"/>
      <c r="AD1785" s="502"/>
      <c r="AE1785" s="911"/>
      <c r="AF1785" s="502"/>
      <c r="AH1785" s="898"/>
      <c r="AI1785" s="502"/>
      <c r="AJ1785" s="502"/>
      <c r="AL1785" s="434"/>
      <c r="AM1785" s="436"/>
      <c r="AN1785" s="434"/>
      <c r="AO1785" s="434"/>
      <c r="AP1785" s="556"/>
      <c r="AQ1785" s="556"/>
      <c r="AR1785" s="556"/>
      <c r="CF1785" s="2"/>
    </row>
    <row r="1786" spans="3:84">
      <c r="C1786" s="2"/>
      <c r="AD1786" s="502"/>
      <c r="AE1786" s="911"/>
      <c r="AF1786" s="502"/>
      <c r="AH1786" s="898"/>
      <c r="AI1786" s="502"/>
      <c r="AJ1786" s="502"/>
      <c r="AL1786" s="434"/>
      <c r="AM1786" s="436"/>
      <c r="AN1786" s="434"/>
      <c r="AO1786" s="434"/>
      <c r="AP1786" s="556"/>
      <c r="AQ1786" s="556"/>
      <c r="AR1786" s="556"/>
      <c r="CF1786" s="2"/>
    </row>
    <row r="1787" spans="3:84">
      <c r="C1787" s="2"/>
      <c r="AD1787" s="502"/>
      <c r="AE1787" s="911"/>
      <c r="AF1787" s="502"/>
      <c r="AH1787" s="898"/>
      <c r="AI1787" s="502"/>
      <c r="AJ1787" s="502"/>
      <c r="AL1787" s="434"/>
      <c r="AM1787" s="436"/>
      <c r="AN1787" s="434"/>
      <c r="AO1787" s="434"/>
      <c r="AP1787" s="556"/>
      <c r="AQ1787" s="556"/>
      <c r="AR1787" s="556"/>
      <c r="CF1787" s="2"/>
    </row>
    <row r="1788" spans="3:84">
      <c r="C1788" s="2"/>
      <c r="AD1788" s="502"/>
      <c r="AE1788" s="911"/>
      <c r="AF1788" s="502"/>
      <c r="AH1788" s="898"/>
      <c r="AI1788" s="502"/>
      <c r="AJ1788" s="502"/>
      <c r="AL1788" s="434"/>
      <c r="AM1788" s="436"/>
      <c r="AN1788" s="434"/>
      <c r="AO1788" s="434"/>
      <c r="AP1788" s="556"/>
      <c r="AQ1788" s="556"/>
      <c r="AR1788" s="556"/>
      <c r="CF1788" s="2"/>
    </row>
    <row r="1789" spans="3:84">
      <c r="C1789" s="2"/>
      <c r="AD1789" s="502"/>
      <c r="AE1789" s="911"/>
      <c r="AF1789" s="502"/>
      <c r="AH1789" s="898"/>
      <c r="AI1789" s="502"/>
      <c r="AJ1789" s="502"/>
      <c r="AL1789" s="434"/>
      <c r="AM1789" s="436"/>
      <c r="AN1789" s="434"/>
      <c r="AO1789" s="434"/>
      <c r="AP1789" s="556"/>
      <c r="AQ1789" s="556"/>
      <c r="AR1789" s="556"/>
      <c r="CF1789" s="2"/>
    </row>
    <row r="1790" spans="3:84">
      <c r="C1790" s="2"/>
      <c r="AD1790" s="502"/>
      <c r="AE1790" s="911"/>
      <c r="AF1790" s="502"/>
      <c r="AH1790" s="898"/>
      <c r="AI1790" s="502"/>
      <c r="AJ1790" s="502"/>
      <c r="AL1790" s="434"/>
      <c r="AM1790" s="436"/>
      <c r="AN1790" s="434"/>
      <c r="AO1790" s="434"/>
      <c r="AP1790" s="556"/>
      <c r="AQ1790" s="556"/>
      <c r="AR1790" s="556"/>
      <c r="CF1790" s="2"/>
    </row>
    <row r="1791" spans="3:84">
      <c r="C1791" s="2"/>
      <c r="AD1791" s="502"/>
      <c r="AE1791" s="911"/>
      <c r="AF1791" s="502"/>
      <c r="AH1791" s="898"/>
      <c r="AI1791" s="502"/>
      <c r="AJ1791" s="502"/>
      <c r="AL1791" s="434"/>
      <c r="AM1791" s="436"/>
      <c r="AN1791" s="434"/>
      <c r="AO1791" s="434"/>
      <c r="AP1791" s="556"/>
      <c r="AQ1791" s="556"/>
      <c r="AR1791" s="556"/>
      <c r="CF1791" s="2"/>
    </row>
    <row r="1792" spans="3:84">
      <c r="C1792" s="2"/>
      <c r="AD1792" s="502"/>
      <c r="AE1792" s="911"/>
      <c r="AF1792" s="502"/>
      <c r="AH1792" s="898"/>
      <c r="AI1792" s="502"/>
      <c r="AJ1792" s="502"/>
      <c r="AL1792" s="434"/>
      <c r="AM1792" s="436"/>
      <c r="AN1792" s="434"/>
      <c r="AO1792" s="434"/>
      <c r="AP1792" s="556"/>
      <c r="AQ1792" s="556"/>
      <c r="AR1792" s="556"/>
      <c r="CF1792" s="2"/>
    </row>
    <row r="1793" spans="3:84">
      <c r="C1793" s="2"/>
      <c r="AD1793" s="502"/>
      <c r="AE1793" s="911"/>
      <c r="AF1793" s="502"/>
      <c r="AH1793" s="898"/>
      <c r="AI1793" s="502"/>
      <c r="AJ1793" s="502"/>
      <c r="AL1793" s="434"/>
      <c r="AM1793" s="436"/>
      <c r="AN1793" s="434"/>
      <c r="AO1793" s="434"/>
      <c r="AP1793" s="556"/>
      <c r="AQ1793" s="556"/>
      <c r="AR1793" s="556"/>
      <c r="CF1793" s="2"/>
    </row>
    <row r="1794" spans="3:84">
      <c r="C1794" s="2"/>
      <c r="AD1794" s="502"/>
      <c r="AE1794" s="911"/>
      <c r="AF1794" s="502"/>
      <c r="AH1794" s="898"/>
      <c r="AI1794" s="502"/>
      <c r="AJ1794" s="502"/>
      <c r="AL1794" s="434"/>
      <c r="AM1794" s="436"/>
      <c r="AN1794" s="434"/>
      <c r="AO1794" s="434"/>
      <c r="AP1794" s="556"/>
      <c r="AQ1794" s="556"/>
      <c r="AR1794" s="556"/>
      <c r="CF1794" s="2"/>
    </row>
    <row r="1795" spans="3:84">
      <c r="C1795" s="2"/>
      <c r="AD1795" s="502"/>
      <c r="AE1795" s="911"/>
      <c r="AF1795" s="502"/>
      <c r="AH1795" s="898"/>
      <c r="AI1795" s="502"/>
      <c r="AJ1795" s="502"/>
      <c r="AL1795" s="434"/>
      <c r="AM1795" s="436"/>
      <c r="AN1795" s="434"/>
      <c r="AO1795" s="434"/>
      <c r="AP1795" s="556"/>
      <c r="AQ1795" s="556"/>
      <c r="AR1795" s="556"/>
      <c r="CF1795" s="2"/>
    </row>
    <row r="1796" spans="3:84">
      <c r="C1796" s="2"/>
      <c r="AD1796" s="502"/>
      <c r="AE1796" s="911"/>
      <c r="AF1796" s="502"/>
      <c r="AH1796" s="898"/>
      <c r="AI1796" s="502"/>
      <c r="AJ1796" s="502"/>
      <c r="AL1796" s="434"/>
      <c r="AM1796" s="436"/>
      <c r="AN1796" s="434"/>
      <c r="AO1796" s="434"/>
      <c r="AP1796" s="556"/>
      <c r="AQ1796" s="556"/>
      <c r="AR1796" s="556"/>
      <c r="CF1796" s="2"/>
    </row>
    <row r="1797" spans="3:84">
      <c r="C1797" s="2"/>
      <c r="AD1797" s="502"/>
      <c r="AE1797" s="911"/>
      <c r="AF1797" s="502"/>
      <c r="AH1797" s="898"/>
      <c r="AI1797" s="502"/>
      <c r="AJ1797" s="502"/>
      <c r="AL1797" s="434"/>
      <c r="AM1797" s="436"/>
      <c r="AN1797" s="434"/>
      <c r="AO1797" s="434"/>
      <c r="AP1797" s="556"/>
      <c r="AQ1797" s="556"/>
      <c r="AR1797" s="556"/>
      <c r="CF1797" s="2"/>
    </row>
    <row r="1798" spans="3:84">
      <c r="C1798" s="2"/>
      <c r="AD1798" s="502"/>
      <c r="AE1798" s="911"/>
      <c r="AF1798" s="502"/>
      <c r="AH1798" s="898"/>
      <c r="AI1798" s="502"/>
      <c r="AJ1798" s="502"/>
      <c r="AL1798" s="434"/>
      <c r="AM1798" s="436"/>
      <c r="AN1798" s="434"/>
      <c r="AO1798" s="434"/>
      <c r="AP1798" s="556"/>
      <c r="AQ1798" s="556"/>
      <c r="AR1798" s="556"/>
      <c r="CF1798" s="2"/>
    </row>
    <row r="1799" spans="3:84">
      <c r="C1799" s="2"/>
      <c r="AD1799" s="502"/>
      <c r="AE1799" s="911"/>
      <c r="AF1799" s="502"/>
      <c r="AH1799" s="898"/>
      <c r="AI1799" s="502"/>
      <c r="AJ1799" s="502"/>
      <c r="AL1799" s="434"/>
      <c r="AM1799" s="436"/>
      <c r="AN1799" s="434"/>
      <c r="AO1799" s="434"/>
      <c r="AP1799" s="556"/>
      <c r="AQ1799" s="556"/>
      <c r="AR1799" s="556"/>
      <c r="CF1799" s="2"/>
    </row>
    <row r="1800" spans="3:84">
      <c r="C1800" s="2"/>
      <c r="AD1800" s="502"/>
      <c r="AE1800" s="911"/>
      <c r="AF1800" s="502"/>
      <c r="AH1800" s="898"/>
      <c r="AI1800" s="502"/>
      <c r="AJ1800" s="502"/>
      <c r="AL1800" s="434"/>
      <c r="AM1800" s="436"/>
      <c r="AN1800" s="434"/>
      <c r="AO1800" s="434"/>
      <c r="AP1800" s="556"/>
      <c r="AQ1800" s="556"/>
      <c r="AR1800" s="556"/>
      <c r="CF1800" s="2"/>
    </row>
    <row r="1801" spans="3:84">
      <c r="C1801" s="2"/>
      <c r="AD1801" s="502"/>
      <c r="AE1801" s="911"/>
      <c r="AF1801" s="502"/>
      <c r="AH1801" s="898"/>
      <c r="AI1801" s="502"/>
      <c r="AJ1801" s="502"/>
      <c r="AL1801" s="434"/>
      <c r="AM1801" s="436"/>
      <c r="AN1801" s="434"/>
      <c r="AO1801" s="434"/>
      <c r="AP1801" s="556"/>
      <c r="AQ1801" s="556"/>
      <c r="AR1801" s="556"/>
      <c r="CF1801" s="2"/>
    </row>
    <row r="1802" spans="3:84">
      <c r="C1802" s="2"/>
      <c r="AD1802" s="502"/>
      <c r="AE1802" s="911"/>
      <c r="AF1802" s="502"/>
      <c r="AH1802" s="898"/>
      <c r="AI1802" s="502"/>
      <c r="AJ1802" s="502"/>
      <c r="AL1802" s="434"/>
      <c r="AM1802" s="436"/>
      <c r="AN1802" s="434"/>
      <c r="AO1802" s="434"/>
      <c r="AP1802" s="556"/>
      <c r="AQ1802" s="556"/>
      <c r="AR1802" s="556"/>
      <c r="CF1802" s="2"/>
    </row>
    <row r="1803" spans="3:84">
      <c r="C1803" s="2"/>
      <c r="AD1803" s="502"/>
      <c r="AE1803" s="911"/>
      <c r="AF1803" s="502"/>
      <c r="AH1803" s="898"/>
      <c r="AI1803" s="502"/>
      <c r="AJ1803" s="502"/>
      <c r="AL1803" s="434"/>
      <c r="AM1803" s="436"/>
      <c r="AN1803" s="434"/>
      <c r="AO1803" s="434"/>
      <c r="AP1803" s="556"/>
      <c r="AQ1803" s="556"/>
      <c r="AR1803" s="556"/>
      <c r="CF1803" s="2"/>
    </row>
    <row r="1804" spans="3:84">
      <c r="C1804" s="2"/>
      <c r="AD1804" s="502"/>
      <c r="AE1804" s="911"/>
      <c r="AF1804" s="502"/>
      <c r="AH1804" s="898"/>
      <c r="AI1804" s="502"/>
      <c r="AJ1804" s="502"/>
      <c r="AL1804" s="434"/>
      <c r="AM1804" s="436"/>
      <c r="AN1804" s="434"/>
      <c r="AO1804" s="434"/>
      <c r="AP1804" s="556"/>
      <c r="AQ1804" s="556"/>
      <c r="AR1804" s="556"/>
      <c r="CF1804" s="2"/>
    </row>
    <row r="1805" spans="3:84">
      <c r="C1805" s="2"/>
      <c r="AD1805" s="502"/>
      <c r="AE1805" s="911"/>
      <c r="AF1805" s="502"/>
      <c r="AH1805" s="898"/>
      <c r="AI1805" s="502"/>
      <c r="AJ1805" s="502"/>
      <c r="AL1805" s="434"/>
      <c r="AM1805" s="436"/>
      <c r="AN1805" s="434"/>
      <c r="AO1805" s="434"/>
      <c r="AP1805" s="556"/>
      <c r="AQ1805" s="556"/>
      <c r="AR1805" s="556"/>
      <c r="CF1805" s="2"/>
    </row>
    <row r="1806" spans="3:84">
      <c r="C1806" s="2"/>
      <c r="AD1806" s="502"/>
      <c r="AE1806" s="911"/>
      <c r="AF1806" s="502"/>
      <c r="AH1806" s="898"/>
      <c r="AI1806" s="502"/>
      <c r="AJ1806" s="502"/>
      <c r="AL1806" s="434"/>
      <c r="AM1806" s="436"/>
      <c r="AN1806" s="434"/>
      <c r="AO1806" s="434"/>
      <c r="AP1806" s="556"/>
      <c r="AQ1806" s="556"/>
      <c r="AR1806" s="556"/>
      <c r="CF1806" s="2"/>
    </row>
    <row r="1807" spans="3:84">
      <c r="C1807" s="2"/>
      <c r="AD1807" s="502"/>
      <c r="AE1807" s="911"/>
      <c r="AF1807" s="502"/>
      <c r="AH1807" s="898"/>
      <c r="AI1807" s="502"/>
      <c r="AJ1807" s="502"/>
      <c r="AL1807" s="434"/>
      <c r="AM1807" s="436"/>
      <c r="AN1807" s="434"/>
      <c r="AO1807" s="434"/>
      <c r="AP1807" s="556"/>
      <c r="AQ1807" s="556"/>
      <c r="AR1807" s="556"/>
      <c r="CF1807" s="2"/>
    </row>
    <row r="1808" spans="3:84">
      <c r="C1808" s="2"/>
      <c r="AD1808" s="502"/>
      <c r="AE1808" s="911"/>
      <c r="AF1808" s="502"/>
      <c r="AH1808" s="898"/>
      <c r="AI1808" s="502"/>
      <c r="AJ1808" s="502"/>
      <c r="AL1808" s="434"/>
      <c r="AM1808" s="436"/>
      <c r="AN1808" s="434"/>
      <c r="AO1808" s="434"/>
      <c r="AP1808" s="556"/>
      <c r="AQ1808" s="556"/>
      <c r="AR1808" s="556"/>
      <c r="CF1808" s="2"/>
    </row>
    <row r="1809" spans="3:84">
      <c r="C1809" s="2"/>
      <c r="AD1809" s="502"/>
      <c r="AE1809" s="911"/>
      <c r="AF1809" s="502"/>
      <c r="AH1809" s="898"/>
      <c r="AI1809" s="502"/>
      <c r="AJ1809" s="502"/>
      <c r="AL1809" s="434"/>
      <c r="AM1809" s="436"/>
      <c r="AN1809" s="434"/>
      <c r="AO1809" s="434"/>
      <c r="AP1809" s="556"/>
      <c r="AQ1809" s="556"/>
      <c r="AR1809" s="556"/>
      <c r="CF1809" s="2"/>
    </row>
    <row r="1810" spans="3:84">
      <c r="C1810" s="2"/>
      <c r="AD1810" s="502"/>
      <c r="AE1810" s="911"/>
      <c r="AF1810" s="502"/>
      <c r="AH1810" s="898"/>
      <c r="AI1810" s="502"/>
      <c r="AJ1810" s="502"/>
      <c r="AL1810" s="434"/>
      <c r="AM1810" s="436"/>
      <c r="AN1810" s="434"/>
      <c r="AO1810" s="434"/>
      <c r="AP1810" s="556"/>
      <c r="AQ1810" s="556"/>
      <c r="AR1810" s="556"/>
      <c r="CF1810" s="2"/>
    </row>
    <row r="1811" spans="3:84">
      <c r="C1811" s="2"/>
      <c r="AD1811" s="502"/>
      <c r="AE1811" s="911"/>
      <c r="AF1811" s="502"/>
      <c r="AH1811" s="898"/>
      <c r="AI1811" s="502"/>
      <c r="AJ1811" s="502"/>
      <c r="AL1811" s="434"/>
      <c r="AM1811" s="436"/>
      <c r="AN1811" s="434"/>
      <c r="AO1811" s="434"/>
      <c r="AP1811" s="556"/>
      <c r="AQ1811" s="556"/>
      <c r="AR1811" s="556"/>
      <c r="CF1811" s="2"/>
    </row>
    <row r="1812" spans="3:84">
      <c r="C1812" s="2"/>
      <c r="AD1812" s="502"/>
      <c r="AE1812" s="911"/>
      <c r="AF1812" s="502"/>
      <c r="AH1812" s="898"/>
      <c r="AI1812" s="502"/>
      <c r="AJ1812" s="502"/>
      <c r="AL1812" s="434"/>
      <c r="AM1812" s="436"/>
      <c r="AN1812" s="434"/>
      <c r="AO1812" s="434"/>
      <c r="AP1812" s="556"/>
      <c r="AQ1812" s="556"/>
      <c r="AR1812" s="556"/>
      <c r="CF1812" s="2"/>
    </row>
    <row r="1813" spans="3:84">
      <c r="C1813" s="2"/>
      <c r="AD1813" s="502"/>
      <c r="AE1813" s="911"/>
      <c r="AF1813" s="502"/>
      <c r="AH1813" s="898"/>
      <c r="AI1813" s="502"/>
      <c r="AJ1813" s="502"/>
      <c r="AL1813" s="434"/>
      <c r="AM1813" s="436"/>
      <c r="AN1813" s="434"/>
      <c r="AO1813" s="434"/>
      <c r="AP1813" s="556"/>
      <c r="AQ1813" s="556"/>
      <c r="AR1813" s="556"/>
      <c r="CF1813" s="2"/>
    </row>
    <row r="1814" spans="3:84">
      <c r="C1814" s="2"/>
      <c r="AD1814" s="502"/>
      <c r="AE1814" s="911"/>
      <c r="AF1814" s="502"/>
      <c r="AH1814" s="898"/>
      <c r="AI1814" s="502"/>
      <c r="AJ1814" s="502"/>
      <c r="AL1814" s="434"/>
      <c r="AM1814" s="436"/>
      <c r="AN1814" s="434"/>
      <c r="AO1814" s="434"/>
      <c r="AP1814" s="556"/>
      <c r="AQ1814" s="556"/>
      <c r="AR1814" s="556"/>
      <c r="CF1814" s="2"/>
    </row>
    <row r="1815" spans="3:84">
      <c r="C1815" s="2"/>
      <c r="AD1815" s="502"/>
      <c r="AE1815" s="911"/>
      <c r="AF1815" s="502"/>
      <c r="AH1815" s="898"/>
      <c r="AI1815" s="502"/>
      <c r="AJ1815" s="502"/>
      <c r="AL1815" s="434"/>
      <c r="AM1815" s="436"/>
      <c r="AN1815" s="434"/>
      <c r="AO1815" s="434"/>
      <c r="AP1815" s="556"/>
      <c r="AQ1815" s="556"/>
      <c r="AR1815" s="556"/>
      <c r="CF1815" s="2"/>
    </row>
    <row r="1816" spans="3:84">
      <c r="C1816" s="2"/>
      <c r="AD1816" s="502"/>
      <c r="AE1816" s="911"/>
      <c r="AF1816" s="502"/>
      <c r="AH1816" s="898"/>
      <c r="AI1816" s="502"/>
      <c r="AJ1816" s="502"/>
      <c r="AL1816" s="434"/>
      <c r="AM1816" s="436"/>
      <c r="AN1816" s="434"/>
      <c r="AO1816" s="434"/>
      <c r="AP1816" s="556"/>
      <c r="AQ1816" s="556"/>
      <c r="AR1816" s="556"/>
      <c r="CF1816" s="2"/>
    </row>
    <row r="1817" spans="3:84">
      <c r="C1817" s="2"/>
      <c r="AD1817" s="502"/>
      <c r="AE1817" s="911"/>
      <c r="AF1817" s="502"/>
      <c r="AH1817" s="898"/>
      <c r="AI1817" s="502"/>
      <c r="AJ1817" s="502"/>
      <c r="AL1817" s="434"/>
      <c r="AM1817" s="436"/>
      <c r="AN1817" s="434"/>
      <c r="AO1817" s="434"/>
      <c r="AP1817" s="556"/>
      <c r="AQ1817" s="556"/>
      <c r="AR1817" s="556"/>
      <c r="CF1817" s="2"/>
    </row>
    <row r="1818" spans="3:84">
      <c r="C1818" s="2"/>
      <c r="AD1818" s="502"/>
      <c r="AE1818" s="911"/>
      <c r="AF1818" s="502"/>
      <c r="AH1818" s="898"/>
      <c r="AI1818" s="502"/>
      <c r="AJ1818" s="502"/>
      <c r="AL1818" s="434"/>
      <c r="AM1818" s="436"/>
      <c r="AN1818" s="434"/>
      <c r="AO1818" s="434"/>
      <c r="AP1818" s="556"/>
      <c r="AQ1818" s="556"/>
      <c r="AR1818" s="556"/>
      <c r="CF1818" s="2"/>
    </row>
    <row r="1819" spans="3:84">
      <c r="C1819" s="2"/>
      <c r="AD1819" s="502"/>
      <c r="AE1819" s="911"/>
      <c r="AF1819" s="502"/>
      <c r="AH1819" s="898"/>
      <c r="AI1819" s="502"/>
      <c r="AJ1819" s="502"/>
      <c r="AL1819" s="434"/>
      <c r="AM1819" s="436"/>
      <c r="AN1819" s="434"/>
      <c r="AO1819" s="434"/>
      <c r="AP1819" s="556"/>
      <c r="AQ1819" s="556"/>
      <c r="AR1819" s="556"/>
      <c r="CF1819" s="2"/>
    </row>
    <row r="1820" spans="3:84">
      <c r="C1820" s="2"/>
      <c r="AD1820" s="502"/>
      <c r="AE1820" s="911"/>
      <c r="AF1820" s="502"/>
      <c r="AH1820" s="898"/>
      <c r="AI1820" s="502"/>
      <c r="AJ1820" s="502"/>
      <c r="AL1820" s="434"/>
      <c r="AM1820" s="436"/>
      <c r="AN1820" s="434"/>
      <c r="AO1820" s="434"/>
      <c r="AP1820" s="556"/>
      <c r="AQ1820" s="556"/>
      <c r="AR1820" s="556"/>
      <c r="CF1820" s="2"/>
    </row>
    <row r="1821" spans="3:84">
      <c r="C1821" s="2"/>
      <c r="AD1821" s="502"/>
      <c r="AE1821" s="911"/>
      <c r="AF1821" s="502"/>
      <c r="AH1821" s="898"/>
      <c r="AI1821" s="502"/>
      <c r="AJ1821" s="502"/>
      <c r="AL1821" s="434"/>
      <c r="AM1821" s="436"/>
      <c r="AN1821" s="434"/>
      <c r="AO1821" s="434"/>
      <c r="AP1821" s="556"/>
      <c r="AQ1821" s="556"/>
      <c r="AR1821" s="556"/>
      <c r="CF1821" s="2"/>
    </row>
    <row r="1822" spans="3:84">
      <c r="C1822" s="2"/>
      <c r="AD1822" s="502"/>
      <c r="AE1822" s="911"/>
      <c r="AF1822" s="502"/>
      <c r="AH1822" s="898"/>
      <c r="AI1822" s="502"/>
      <c r="AJ1822" s="502"/>
      <c r="AL1822" s="434"/>
      <c r="AM1822" s="436"/>
      <c r="AN1822" s="434"/>
      <c r="AO1822" s="434"/>
      <c r="AP1822" s="556"/>
      <c r="AQ1822" s="556"/>
      <c r="AR1822" s="556"/>
      <c r="CF1822" s="2"/>
    </row>
    <row r="1823" spans="3:84">
      <c r="C1823" s="2"/>
      <c r="AD1823" s="502"/>
      <c r="AE1823" s="911"/>
      <c r="AF1823" s="502"/>
      <c r="AH1823" s="898"/>
      <c r="AI1823" s="502"/>
      <c r="AJ1823" s="502"/>
      <c r="AL1823" s="434"/>
      <c r="AM1823" s="436"/>
      <c r="AN1823" s="434"/>
      <c r="AO1823" s="434"/>
      <c r="AP1823" s="556"/>
      <c r="AQ1823" s="556"/>
      <c r="AR1823" s="556"/>
      <c r="CF1823" s="2"/>
    </row>
    <row r="1824" spans="3:84">
      <c r="C1824" s="2"/>
      <c r="AD1824" s="502"/>
      <c r="AE1824" s="911"/>
      <c r="AF1824" s="502"/>
      <c r="AH1824" s="898"/>
      <c r="AI1824" s="502"/>
      <c r="AJ1824" s="502"/>
      <c r="AL1824" s="434"/>
      <c r="AM1824" s="436"/>
      <c r="AN1824" s="434"/>
      <c r="AO1824" s="434"/>
      <c r="AP1824" s="556"/>
      <c r="AQ1824" s="556"/>
      <c r="AR1824" s="556"/>
      <c r="CF1824" s="2"/>
    </row>
    <row r="1825" spans="3:84">
      <c r="C1825" s="2"/>
      <c r="AD1825" s="502"/>
      <c r="AE1825" s="911"/>
      <c r="AF1825" s="502"/>
      <c r="AH1825" s="898"/>
      <c r="AI1825" s="502"/>
      <c r="AJ1825" s="502"/>
      <c r="AL1825" s="434"/>
      <c r="AM1825" s="436"/>
      <c r="AN1825" s="434"/>
      <c r="AO1825" s="434"/>
      <c r="AP1825" s="556"/>
      <c r="AQ1825" s="556"/>
      <c r="AR1825" s="556"/>
      <c r="CF1825" s="2"/>
    </row>
    <row r="1826" spans="3:84">
      <c r="C1826" s="2"/>
      <c r="AD1826" s="502"/>
      <c r="AE1826" s="911"/>
      <c r="AF1826" s="502"/>
      <c r="AH1826" s="898"/>
      <c r="AI1826" s="502"/>
      <c r="AJ1826" s="502"/>
      <c r="AL1826" s="434"/>
      <c r="AM1826" s="436"/>
      <c r="AN1826" s="434"/>
      <c r="AO1826" s="434"/>
      <c r="AP1826" s="556"/>
      <c r="AQ1826" s="556"/>
      <c r="AR1826" s="556"/>
      <c r="CF1826" s="2"/>
    </row>
    <row r="1827" spans="3:84">
      <c r="C1827" s="2"/>
      <c r="AD1827" s="502"/>
      <c r="AE1827" s="911"/>
      <c r="AF1827" s="502"/>
      <c r="AH1827" s="898"/>
      <c r="AI1827" s="502"/>
      <c r="AJ1827" s="502"/>
      <c r="AL1827" s="434"/>
      <c r="AM1827" s="436"/>
      <c r="AN1827" s="434"/>
      <c r="AO1827" s="434"/>
      <c r="AP1827" s="556"/>
      <c r="AQ1827" s="556"/>
      <c r="AR1827" s="556"/>
      <c r="CF1827" s="2"/>
    </row>
    <row r="1828" spans="3:84">
      <c r="C1828" s="2"/>
      <c r="AD1828" s="502"/>
      <c r="AE1828" s="911"/>
      <c r="AF1828" s="502"/>
      <c r="AH1828" s="898"/>
      <c r="AI1828" s="502"/>
      <c r="AJ1828" s="502"/>
      <c r="AL1828" s="434"/>
      <c r="AM1828" s="436"/>
      <c r="AN1828" s="434"/>
      <c r="AO1828" s="434"/>
      <c r="AP1828" s="556"/>
      <c r="AQ1828" s="556"/>
      <c r="AR1828" s="556"/>
      <c r="CF1828" s="2"/>
    </row>
    <row r="1829" spans="3:84">
      <c r="C1829" s="2"/>
      <c r="AD1829" s="502"/>
      <c r="AE1829" s="911"/>
      <c r="AF1829" s="502"/>
      <c r="AH1829" s="898"/>
      <c r="AI1829" s="502"/>
      <c r="AJ1829" s="502"/>
      <c r="AL1829" s="434"/>
      <c r="AM1829" s="436"/>
      <c r="AN1829" s="434"/>
      <c r="AO1829" s="434"/>
      <c r="AP1829" s="556"/>
      <c r="AQ1829" s="556"/>
      <c r="AR1829" s="556"/>
      <c r="CF1829" s="2"/>
    </row>
    <row r="1830" spans="3:84">
      <c r="C1830" s="2"/>
      <c r="AD1830" s="502"/>
      <c r="AE1830" s="911"/>
      <c r="AF1830" s="502"/>
      <c r="AH1830" s="898"/>
      <c r="AI1830" s="502"/>
      <c r="AJ1830" s="502"/>
      <c r="AL1830" s="434"/>
      <c r="AM1830" s="436"/>
      <c r="AN1830" s="434"/>
      <c r="AO1830" s="434"/>
      <c r="AP1830" s="556"/>
      <c r="AQ1830" s="556"/>
      <c r="AR1830" s="556"/>
      <c r="CF1830" s="2"/>
    </row>
    <row r="1831" spans="3:84">
      <c r="C1831" s="2"/>
      <c r="AD1831" s="502"/>
      <c r="AE1831" s="911"/>
      <c r="AF1831" s="502"/>
      <c r="AH1831" s="898"/>
      <c r="AI1831" s="502"/>
      <c r="AJ1831" s="502"/>
      <c r="AL1831" s="434"/>
      <c r="AM1831" s="436"/>
      <c r="AN1831" s="434"/>
      <c r="AO1831" s="434"/>
      <c r="AP1831" s="556"/>
      <c r="AQ1831" s="556"/>
      <c r="AR1831" s="556"/>
      <c r="CF1831" s="2"/>
    </row>
    <row r="1832" spans="3:84">
      <c r="C1832" s="2"/>
      <c r="AD1832" s="502"/>
      <c r="AE1832" s="911"/>
      <c r="AF1832" s="502"/>
      <c r="AH1832" s="898"/>
      <c r="AI1832" s="502"/>
      <c r="AJ1832" s="502"/>
      <c r="AL1832" s="434"/>
      <c r="AM1832" s="436"/>
      <c r="AN1832" s="434"/>
      <c r="AO1832" s="434"/>
      <c r="AP1832" s="556"/>
      <c r="AQ1832" s="556"/>
      <c r="AR1832" s="556"/>
      <c r="CF1832" s="2"/>
    </row>
    <row r="1833" spans="3:84">
      <c r="C1833" s="2"/>
      <c r="AD1833" s="502"/>
      <c r="AE1833" s="911"/>
      <c r="AF1833" s="502"/>
      <c r="AH1833" s="898"/>
      <c r="AI1833" s="502"/>
      <c r="AJ1833" s="502"/>
      <c r="AL1833" s="434"/>
      <c r="AM1833" s="436"/>
      <c r="AN1833" s="434"/>
      <c r="AO1833" s="434"/>
      <c r="AP1833" s="556"/>
      <c r="AQ1833" s="556"/>
      <c r="AR1833" s="556"/>
      <c r="CF1833" s="2"/>
    </row>
    <row r="1834" spans="3:84">
      <c r="C1834" s="2"/>
      <c r="AD1834" s="502"/>
      <c r="AE1834" s="911"/>
      <c r="AF1834" s="502"/>
      <c r="AH1834" s="898"/>
      <c r="AI1834" s="502"/>
      <c r="AJ1834" s="502"/>
      <c r="AL1834" s="434"/>
      <c r="AM1834" s="436"/>
      <c r="AN1834" s="434"/>
      <c r="AO1834" s="434"/>
      <c r="AP1834" s="556"/>
      <c r="AQ1834" s="556"/>
      <c r="AR1834" s="556"/>
      <c r="CF1834" s="2"/>
    </row>
    <row r="1835" spans="3:84">
      <c r="C1835" s="2"/>
      <c r="AD1835" s="502"/>
      <c r="AE1835" s="911"/>
      <c r="AF1835" s="502"/>
      <c r="AH1835" s="898"/>
      <c r="AI1835" s="502"/>
      <c r="AJ1835" s="502"/>
      <c r="AL1835" s="434"/>
      <c r="AM1835" s="436"/>
      <c r="AN1835" s="434"/>
      <c r="AO1835" s="434"/>
      <c r="AP1835" s="556"/>
      <c r="AQ1835" s="556"/>
      <c r="AR1835" s="556"/>
      <c r="CF1835" s="2"/>
    </row>
    <row r="1836" spans="3:84">
      <c r="C1836" s="2"/>
      <c r="AD1836" s="502"/>
      <c r="AE1836" s="911"/>
      <c r="AF1836" s="502"/>
      <c r="AH1836" s="898"/>
      <c r="AI1836" s="502"/>
      <c r="AJ1836" s="502"/>
      <c r="AL1836" s="434"/>
      <c r="AM1836" s="436"/>
      <c r="AN1836" s="434"/>
      <c r="AO1836" s="434"/>
      <c r="AP1836" s="556"/>
      <c r="AQ1836" s="556"/>
      <c r="AR1836" s="556"/>
      <c r="CF1836" s="2"/>
    </row>
    <row r="1837" spans="3:84">
      <c r="C1837" s="2"/>
      <c r="AD1837" s="502"/>
      <c r="AE1837" s="911"/>
      <c r="AF1837" s="502"/>
      <c r="AH1837" s="898"/>
      <c r="AI1837" s="502"/>
      <c r="AJ1837" s="502"/>
      <c r="AL1837" s="434"/>
      <c r="AM1837" s="436"/>
      <c r="AN1837" s="434"/>
      <c r="AO1837" s="434"/>
      <c r="AP1837" s="556"/>
      <c r="AQ1837" s="556"/>
      <c r="AR1837" s="556"/>
      <c r="CF1837" s="2"/>
    </row>
    <row r="1838" spans="3:84">
      <c r="C1838" s="2"/>
      <c r="AD1838" s="502"/>
      <c r="AE1838" s="911"/>
      <c r="AF1838" s="502"/>
      <c r="AH1838" s="898"/>
      <c r="AI1838" s="502"/>
      <c r="AJ1838" s="502"/>
      <c r="AL1838" s="434"/>
      <c r="AM1838" s="436"/>
      <c r="AN1838" s="434"/>
      <c r="AO1838" s="434"/>
      <c r="AP1838" s="556"/>
      <c r="AQ1838" s="556"/>
      <c r="AR1838" s="556"/>
      <c r="CF1838" s="2"/>
    </row>
    <row r="1839" spans="3:84">
      <c r="C1839" s="2"/>
      <c r="AD1839" s="502"/>
      <c r="AE1839" s="911"/>
      <c r="AF1839" s="502"/>
      <c r="AH1839" s="898"/>
      <c r="AI1839" s="502"/>
      <c r="AJ1839" s="502"/>
      <c r="AL1839" s="434"/>
      <c r="AM1839" s="436"/>
      <c r="AN1839" s="434"/>
      <c r="AO1839" s="434"/>
      <c r="AP1839" s="556"/>
      <c r="AQ1839" s="556"/>
      <c r="AR1839" s="556"/>
      <c r="CF1839" s="2"/>
    </row>
    <row r="1840" spans="3:84">
      <c r="C1840" s="2"/>
      <c r="AD1840" s="502"/>
      <c r="AE1840" s="911"/>
      <c r="AF1840" s="502"/>
      <c r="AH1840" s="898"/>
      <c r="AI1840" s="502"/>
      <c r="AJ1840" s="502"/>
      <c r="AL1840" s="434"/>
      <c r="AM1840" s="436"/>
      <c r="AN1840" s="434"/>
      <c r="AO1840" s="434"/>
      <c r="AP1840" s="556"/>
      <c r="AQ1840" s="556"/>
      <c r="AR1840" s="556"/>
      <c r="CF1840" s="2"/>
    </row>
    <row r="1841" spans="3:84">
      <c r="C1841" s="2"/>
      <c r="AD1841" s="502"/>
      <c r="AE1841" s="911"/>
      <c r="AF1841" s="502"/>
      <c r="AH1841" s="898"/>
      <c r="AI1841" s="502"/>
      <c r="AJ1841" s="502"/>
      <c r="AL1841" s="434"/>
      <c r="AM1841" s="436"/>
      <c r="AN1841" s="434"/>
      <c r="AO1841" s="434"/>
      <c r="AP1841" s="556"/>
      <c r="AQ1841" s="556"/>
      <c r="AR1841" s="556"/>
      <c r="CF1841" s="2"/>
    </row>
    <row r="1842" spans="3:84">
      <c r="C1842" s="2"/>
      <c r="AD1842" s="502"/>
      <c r="AE1842" s="911"/>
      <c r="AF1842" s="502"/>
      <c r="AH1842" s="898"/>
      <c r="AI1842" s="502"/>
      <c r="AJ1842" s="502"/>
      <c r="AL1842" s="434"/>
      <c r="AM1842" s="436"/>
      <c r="AN1842" s="434"/>
      <c r="AO1842" s="434"/>
      <c r="AP1842" s="556"/>
      <c r="AQ1842" s="556"/>
      <c r="AR1842" s="556"/>
      <c r="CF1842" s="2"/>
    </row>
    <row r="1843" spans="3:84">
      <c r="C1843" s="2"/>
      <c r="AD1843" s="502"/>
      <c r="AE1843" s="911"/>
      <c r="AF1843" s="502"/>
      <c r="AH1843" s="898"/>
      <c r="AI1843" s="502"/>
      <c r="AJ1843" s="502"/>
      <c r="AL1843" s="434"/>
      <c r="AM1843" s="436"/>
      <c r="AN1843" s="434"/>
      <c r="AO1843" s="434"/>
      <c r="AP1843" s="556"/>
      <c r="AQ1843" s="556"/>
      <c r="AR1843" s="556"/>
      <c r="CF1843" s="2"/>
    </row>
    <row r="1844" spans="3:84">
      <c r="C1844" s="2"/>
      <c r="AD1844" s="502"/>
      <c r="AE1844" s="911"/>
      <c r="AF1844" s="502"/>
      <c r="AH1844" s="898"/>
      <c r="AI1844" s="502"/>
      <c r="AJ1844" s="502"/>
      <c r="AL1844" s="434"/>
      <c r="AM1844" s="436"/>
      <c r="AN1844" s="434"/>
      <c r="AO1844" s="434"/>
      <c r="AP1844" s="556"/>
      <c r="AQ1844" s="556"/>
      <c r="AR1844" s="556"/>
      <c r="CF1844" s="2"/>
    </row>
    <row r="1845" spans="3:84">
      <c r="C1845" s="2"/>
      <c r="AD1845" s="502"/>
      <c r="AE1845" s="911"/>
      <c r="AF1845" s="502"/>
      <c r="AH1845" s="898"/>
      <c r="AI1845" s="502"/>
      <c r="AJ1845" s="502"/>
      <c r="AL1845" s="434"/>
      <c r="AM1845" s="436"/>
      <c r="AN1845" s="434"/>
      <c r="AO1845" s="434"/>
      <c r="AP1845" s="556"/>
      <c r="AQ1845" s="556"/>
      <c r="AR1845" s="556"/>
      <c r="CF1845" s="2"/>
    </row>
    <row r="1846" spans="3:84">
      <c r="C1846" s="2"/>
      <c r="AD1846" s="502"/>
      <c r="AE1846" s="911"/>
      <c r="AF1846" s="502"/>
      <c r="AH1846" s="898"/>
      <c r="AI1846" s="502"/>
      <c r="AJ1846" s="502"/>
      <c r="AL1846" s="434"/>
      <c r="AM1846" s="436"/>
      <c r="AN1846" s="434"/>
      <c r="AO1846" s="434"/>
      <c r="AP1846" s="556"/>
      <c r="AQ1846" s="556"/>
      <c r="AR1846" s="556"/>
      <c r="CF1846" s="2"/>
    </row>
    <row r="1847" spans="3:84">
      <c r="C1847" s="2"/>
      <c r="AD1847" s="502"/>
      <c r="AE1847" s="911"/>
      <c r="AF1847" s="502"/>
      <c r="AH1847" s="898"/>
      <c r="AI1847" s="502"/>
      <c r="AJ1847" s="502"/>
      <c r="AL1847" s="434"/>
      <c r="AM1847" s="436"/>
      <c r="AN1847" s="434"/>
      <c r="AO1847" s="434"/>
      <c r="AP1847" s="556"/>
      <c r="AQ1847" s="556"/>
      <c r="AR1847" s="556"/>
      <c r="CF1847" s="2"/>
    </row>
    <row r="1848" spans="3:84">
      <c r="C1848" s="2"/>
      <c r="AD1848" s="502"/>
      <c r="AE1848" s="911"/>
      <c r="AF1848" s="502"/>
      <c r="AH1848" s="898"/>
      <c r="AI1848" s="502"/>
      <c r="AJ1848" s="502"/>
      <c r="AL1848" s="434"/>
      <c r="AM1848" s="436"/>
      <c r="AN1848" s="434"/>
      <c r="AO1848" s="434"/>
      <c r="AP1848" s="556"/>
      <c r="AQ1848" s="556"/>
      <c r="AR1848" s="556"/>
      <c r="CF1848" s="2"/>
    </row>
    <row r="1849" spans="3:84">
      <c r="C1849" s="2"/>
      <c r="AD1849" s="502"/>
      <c r="AE1849" s="911"/>
      <c r="AF1849" s="502"/>
      <c r="AH1849" s="898"/>
      <c r="AI1849" s="502"/>
      <c r="AJ1849" s="502"/>
      <c r="AL1849" s="434"/>
      <c r="AM1849" s="436"/>
      <c r="AN1849" s="434"/>
      <c r="AO1849" s="434"/>
      <c r="AP1849" s="556"/>
      <c r="AQ1849" s="556"/>
      <c r="AR1849" s="556"/>
      <c r="CF1849" s="2"/>
    </row>
    <row r="1850" spans="3:84">
      <c r="C1850" s="2"/>
      <c r="AD1850" s="502"/>
      <c r="AE1850" s="911"/>
      <c r="AF1850" s="502"/>
      <c r="AH1850" s="898"/>
      <c r="AI1850" s="502"/>
      <c r="AJ1850" s="502"/>
      <c r="AL1850" s="434"/>
      <c r="AM1850" s="436"/>
      <c r="AN1850" s="434"/>
      <c r="AO1850" s="434"/>
      <c r="AP1850" s="556"/>
      <c r="AQ1850" s="556"/>
      <c r="AR1850" s="556"/>
      <c r="CF1850" s="2"/>
    </row>
    <row r="1851" spans="3:84">
      <c r="C1851" s="2"/>
      <c r="AD1851" s="502"/>
      <c r="AE1851" s="911"/>
      <c r="AF1851" s="502"/>
      <c r="AH1851" s="898"/>
      <c r="AI1851" s="502"/>
      <c r="AJ1851" s="502"/>
      <c r="AL1851" s="434"/>
      <c r="AM1851" s="436"/>
      <c r="AN1851" s="434"/>
      <c r="AO1851" s="434"/>
      <c r="AP1851" s="556"/>
      <c r="AQ1851" s="556"/>
      <c r="AR1851" s="556"/>
      <c r="CF1851" s="2"/>
    </row>
    <row r="1852" spans="3:84">
      <c r="C1852" s="2"/>
      <c r="AD1852" s="502"/>
      <c r="AE1852" s="911"/>
      <c r="AF1852" s="502"/>
      <c r="AH1852" s="898"/>
      <c r="AI1852" s="502"/>
      <c r="AJ1852" s="502"/>
      <c r="AL1852" s="434"/>
      <c r="AM1852" s="436"/>
      <c r="AN1852" s="434"/>
      <c r="AO1852" s="434"/>
      <c r="AP1852" s="556"/>
      <c r="AQ1852" s="556"/>
      <c r="AR1852" s="556"/>
      <c r="CF1852" s="2"/>
    </row>
    <row r="1853" spans="3:84">
      <c r="C1853" s="2"/>
      <c r="AD1853" s="502"/>
      <c r="AE1853" s="911"/>
      <c r="AF1853" s="502"/>
      <c r="AH1853" s="898"/>
      <c r="AI1853" s="502"/>
      <c r="AJ1853" s="502"/>
      <c r="AL1853" s="434"/>
      <c r="AM1853" s="436"/>
      <c r="AN1853" s="434"/>
      <c r="AO1853" s="434"/>
      <c r="AP1853" s="556"/>
      <c r="AQ1853" s="556"/>
      <c r="AR1853" s="556"/>
      <c r="CF1853" s="2"/>
    </row>
    <row r="1854" spans="3:84">
      <c r="C1854" s="2"/>
      <c r="AD1854" s="502"/>
      <c r="AE1854" s="911"/>
      <c r="AF1854" s="502"/>
      <c r="AH1854" s="898"/>
      <c r="AI1854" s="502"/>
      <c r="AJ1854" s="502"/>
      <c r="AL1854" s="434"/>
      <c r="AM1854" s="436"/>
      <c r="AN1854" s="434"/>
      <c r="AO1854" s="434"/>
      <c r="AP1854" s="556"/>
      <c r="AQ1854" s="556"/>
      <c r="AR1854" s="556"/>
      <c r="CF1854" s="2"/>
    </row>
    <row r="1855" spans="3:84">
      <c r="C1855" s="2"/>
      <c r="AD1855" s="502"/>
      <c r="AE1855" s="911"/>
      <c r="AF1855" s="502"/>
      <c r="AH1855" s="898"/>
      <c r="AI1855" s="502"/>
      <c r="AJ1855" s="502"/>
      <c r="AL1855" s="434"/>
      <c r="AM1855" s="436"/>
      <c r="AN1855" s="434"/>
      <c r="AO1855" s="434"/>
      <c r="AP1855" s="556"/>
      <c r="AQ1855" s="556"/>
      <c r="AR1855" s="556"/>
      <c r="CF1855" s="2"/>
    </row>
    <row r="1856" spans="3:84">
      <c r="C1856" s="2"/>
      <c r="AD1856" s="502"/>
      <c r="AE1856" s="911"/>
      <c r="AF1856" s="502"/>
      <c r="AH1856" s="898"/>
      <c r="AI1856" s="502"/>
      <c r="AJ1856" s="502"/>
      <c r="AL1856" s="434"/>
      <c r="AM1856" s="436"/>
      <c r="AN1856" s="434"/>
      <c r="AO1856" s="434"/>
      <c r="AP1856" s="556"/>
      <c r="AQ1856" s="556"/>
      <c r="AR1856" s="556"/>
      <c r="CF1856" s="2"/>
    </row>
    <row r="1857" spans="3:84">
      <c r="C1857" s="2"/>
      <c r="AD1857" s="502"/>
      <c r="AE1857" s="911"/>
      <c r="AF1857" s="502"/>
      <c r="AH1857" s="898"/>
      <c r="AI1857" s="502"/>
      <c r="AJ1857" s="502"/>
      <c r="AL1857" s="434"/>
      <c r="AM1857" s="436"/>
      <c r="AN1857" s="434"/>
      <c r="AO1857" s="434"/>
      <c r="AP1857" s="556"/>
      <c r="AQ1857" s="556"/>
      <c r="AR1857" s="556"/>
      <c r="CF1857" s="2"/>
    </row>
    <row r="1858" spans="3:84">
      <c r="C1858" s="2"/>
      <c r="AD1858" s="502"/>
      <c r="AE1858" s="911"/>
      <c r="AF1858" s="502"/>
      <c r="AH1858" s="898"/>
      <c r="AI1858" s="502"/>
      <c r="AJ1858" s="502"/>
      <c r="AL1858" s="434"/>
      <c r="AM1858" s="436"/>
      <c r="AN1858" s="434"/>
      <c r="AO1858" s="434"/>
      <c r="AP1858" s="556"/>
      <c r="AQ1858" s="556"/>
      <c r="AR1858" s="556"/>
      <c r="CF1858" s="2"/>
    </row>
    <row r="1859" spans="3:84">
      <c r="C1859" s="2"/>
      <c r="AD1859" s="502"/>
      <c r="AE1859" s="911"/>
      <c r="AF1859" s="502"/>
      <c r="AH1859" s="898"/>
      <c r="AI1859" s="502"/>
      <c r="AJ1859" s="502"/>
      <c r="AL1859" s="434"/>
      <c r="AM1859" s="436"/>
      <c r="AN1859" s="434"/>
      <c r="AO1859" s="434"/>
      <c r="AP1859" s="556"/>
      <c r="AQ1859" s="556"/>
      <c r="AR1859" s="556"/>
      <c r="CF1859" s="2"/>
    </row>
    <row r="1860" spans="3:84">
      <c r="C1860" s="2"/>
      <c r="AD1860" s="502"/>
      <c r="AE1860" s="911"/>
      <c r="AF1860" s="502"/>
      <c r="AH1860" s="898"/>
      <c r="AI1860" s="502"/>
      <c r="AJ1860" s="502"/>
      <c r="AL1860" s="434"/>
      <c r="AM1860" s="436"/>
      <c r="AN1860" s="434"/>
      <c r="AO1860" s="434"/>
      <c r="AP1860" s="556"/>
      <c r="AQ1860" s="556"/>
      <c r="AR1860" s="556"/>
      <c r="CF1860" s="2"/>
    </row>
    <row r="1861" spans="3:84">
      <c r="C1861" s="2"/>
      <c r="AD1861" s="502"/>
      <c r="AE1861" s="911"/>
      <c r="AF1861" s="502"/>
      <c r="AH1861" s="898"/>
      <c r="AI1861" s="502"/>
      <c r="AJ1861" s="502"/>
      <c r="AL1861" s="434"/>
      <c r="AM1861" s="436"/>
      <c r="AN1861" s="434"/>
      <c r="AO1861" s="434"/>
      <c r="AP1861" s="556"/>
      <c r="AQ1861" s="556"/>
      <c r="AR1861" s="556"/>
      <c r="CF1861" s="2"/>
    </row>
    <row r="1862" spans="3:84">
      <c r="C1862" s="2"/>
      <c r="AD1862" s="502"/>
      <c r="AE1862" s="911"/>
      <c r="AF1862" s="502"/>
      <c r="AH1862" s="898"/>
      <c r="AI1862" s="502"/>
      <c r="AJ1862" s="502"/>
      <c r="AL1862" s="434"/>
      <c r="AM1862" s="436"/>
      <c r="AN1862" s="434"/>
      <c r="AO1862" s="434"/>
      <c r="AP1862" s="556"/>
      <c r="AQ1862" s="556"/>
      <c r="AR1862" s="556"/>
      <c r="CF1862" s="2"/>
    </row>
    <row r="1863" spans="3:84">
      <c r="C1863" s="2"/>
      <c r="AD1863" s="502"/>
      <c r="AE1863" s="911"/>
      <c r="AF1863" s="502"/>
      <c r="AH1863" s="898"/>
      <c r="AI1863" s="502"/>
      <c r="AJ1863" s="502"/>
      <c r="AL1863" s="434"/>
      <c r="AM1863" s="436"/>
      <c r="AN1863" s="434"/>
      <c r="AO1863" s="434"/>
      <c r="AP1863" s="556"/>
      <c r="AQ1863" s="556"/>
      <c r="AR1863" s="556"/>
      <c r="CF1863" s="2"/>
    </row>
    <row r="1864" spans="3:84">
      <c r="C1864" s="2"/>
      <c r="AD1864" s="502"/>
      <c r="AE1864" s="911"/>
      <c r="AF1864" s="502"/>
      <c r="AH1864" s="898"/>
      <c r="AI1864" s="502"/>
      <c r="AJ1864" s="502"/>
      <c r="AL1864" s="434"/>
      <c r="AM1864" s="436"/>
      <c r="AN1864" s="434"/>
      <c r="AO1864" s="434"/>
      <c r="AP1864" s="556"/>
      <c r="AQ1864" s="556"/>
      <c r="AR1864" s="556"/>
      <c r="CF1864" s="2"/>
    </row>
    <row r="1865" spans="3:84">
      <c r="C1865" s="2"/>
      <c r="AD1865" s="502"/>
      <c r="AE1865" s="911"/>
      <c r="AF1865" s="502"/>
      <c r="AH1865" s="898"/>
      <c r="AI1865" s="502"/>
      <c r="AJ1865" s="502"/>
      <c r="AL1865" s="434"/>
      <c r="AM1865" s="436"/>
      <c r="AN1865" s="434"/>
      <c r="AO1865" s="434"/>
      <c r="AP1865" s="556"/>
      <c r="AQ1865" s="556"/>
      <c r="AR1865" s="556"/>
      <c r="CF1865" s="2"/>
    </row>
    <row r="1866" spans="3:84">
      <c r="C1866" s="2"/>
      <c r="AD1866" s="502"/>
      <c r="AE1866" s="911"/>
      <c r="AF1866" s="502"/>
      <c r="AH1866" s="898"/>
      <c r="AI1866" s="502"/>
      <c r="AJ1866" s="502"/>
      <c r="AL1866" s="434"/>
      <c r="AM1866" s="436"/>
      <c r="AN1866" s="434"/>
      <c r="AO1866" s="434"/>
      <c r="AP1866" s="556"/>
      <c r="AQ1866" s="556"/>
      <c r="AR1866" s="556"/>
      <c r="CF1866" s="2"/>
    </row>
    <row r="1867" spans="3:84">
      <c r="C1867" s="2"/>
      <c r="AD1867" s="502"/>
      <c r="AE1867" s="911"/>
      <c r="AF1867" s="502"/>
      <c r="AH1867" s="898"/>
      <c r="AI1867" s="502"/>
      <c r="AJ1867" s="502"/>
      <c r="AL1867" s="434"/>
      <c r="AM1867" s="436"/>
      <c r="AN1867" s="434"/>
      <c r="AO1867" s="434"/>
      <c r="AP1867" s="556"/>
      <c r="AQ1867" s="556"/>
      <c r="AR1867" s="556"/>
      <c r="CF1867" s="2"/>
    </row>
    <row r="1868" spans="3:84">
      <c r="C1868" s="2"/>
      <c r="AD1868" s="502"/>
      <c r="AE1868" s="911"/>
      <c r="AF1868" s="502"/>
      <c r="AH1868" s="898"/>
      <c r="AI1868" s="502"/>
      <c r="AJ1868" s="502"/>
      <c r="AL1868" s="434"/>
      <c r="AM1868" s="436"/>
      <c r="AN1868" s="434"/>
      <c r="AO1868" s="434"/>
      <c r="AP1868" s="556"/>
      <c r="AQ1868" s="556"/>
      <c r="AR1868" s="556"/>
      <c r="CF1868" s="2"/>
    </row>
    <row r="1869" spans="3:84">
      <c r="C1869" s="2"/>
      <c r="AD1869" s="502"/>
      <c r="AE1869" s="911"/>
      <c r="AF1869" s="502"/>
      <c r="AH1869" s="898"/>
      <c r="AI1869" s="502"/>
      <c r="AJ1869" s="502"/>
      <c r="AL1869" s="434"/>
      <c r="AM1869" s="436"/>
      <c r="AN1869" s="434"/>
      <c r="AO1869" s="434"/>
      <c r="AP1869" s="556"/>
      <c r="AQ1869" s="556"/>
      <c r="AR1869" s="556"/>
      <c r="CF1869" s="2"/>
    </row>
    <row r="1870" spans="3:84">
      <c r="C1870" s="2"/>
      <c r="AD1870" s="502"/>
      <c r="AE1870" s="911"/>
      <c r="AF1870" s="502"/>
      <c r="AH1870" s="898"/>
      <c r="AI1870" s="502"/>
      <c r="AJ1870" s="502"/>
      <c r="AL1870" s="434"/>
      <c r="AM1870" s="436"/>
      <c r="AN1870" s="434"/>
      <c r="AO1870" s="434"/>
      <c r="AP1870" s="556"/>
      <c r="AQ1870" s="556"/>
      <c r="AR1870" s="556"/>
      <c r="CF1870" s="2"/>
    </row>
    <row r="1871" spans="3:84">
      <c r="C1871" s="2"/>
      <c r="AD1871" s="502"/>
      <c r="AE1871" s="911"/>
      <c r="AF1871" s="502"/>
      <c r="AH1871" s="898"/>
      <c r="AI1871" s="502"/>
      <c r="AJ1871" s="502"/>
      <c r="AL1871" s="434"/>
      <c r="AM1871" s="436"/>
      <c r="AN1871" s="434"/>
      <c r="AO1871" s="434"/>
      <c r="AP1871" s="556"/>
      <c r="AQ1871" s="556"/>
      <c r="AR1871" s="556"/>
      <c r="CF1871" s="2"/>
    </row>
    <row r="1872" spans="3:84">
      <c r="C1872" s="2"/>
      <c r="AD1872" s="502"/>
      <c r="AE1872" s="911"/>
      <c r="AF1872" s="502"/>
      <c r="AH1872" s="898"/>
      <c r="AI1872" s="502"/>
      <c r="AJ1872" s="502"/>
      <c r="AL1872" s="434"/>
      <c r="AM1872" s="436"/>
      <c r="AN1872" s="434"/>
      <c r="AO1872" s="434"/>
      <c r="AP1872" s="556"/>
      <c r="AQ1872" s="556"/>
      <c r="AR1872" s="556"/>
      <c r="CF1872" s="2"/>
    </row>
    <row r="1873" spans="3:84">
      <c r="C1873" s="2"/>
      <c r="AD1873" s="502"/>
      <c r="AE1873" s="911"/>
      <c r="AF1873" s="502"/>
      <c r="AH1873" s="898"/>
      <c r="AI1873" s="502"/>
      <c r="AJ1873" s="502"/>
      <c r="AL1873" s="434"/>
      <c r="AM1873" s="436"/>
      <c r="AN1873" s="434"/>
      <c r="AO1873" s="434"/>
      <c r="AP1873" s="556"/>
      <c r="AQ1873" s="556"/>
      <c r="AR1873" s="556"/>
      <c r="CF1873" s="2"/>
    </row>
    <row r="1874" spans="3:84">
      <c r="C1874" s="2"/>
      <c r="AD1874" s="502"/>
      <c r="AE1874" s="911"/>
      <c r="AF1874" s="502"/>
      <c r="AH1874" s="898"/>
      <c r="AI1874" s="502"/>
      <c r="AJ1874" s="502"/>
      <c r="AL1874" s="434"/>
      <c r="AM1874" s="436"/>
      <c r="AN1874" s="434"/>
      <c r="AO1874" s="434"/>
      <c r="AP1874" s="556"/>
      <c r="AQ1874" s="556"/>
      <c r="AR1874" s="556"/>
      <c r="CF1874" s="2"/>
    </row>
    <row r="1875" spans="3:84">
      <c r="C1875" s="2"/>
      <c r="AD1875" s="502"/>
      <c r="AE1875" s="911"/>
      <c r="AF1875" s="502"/>
      <c r="AH1875" s="898"/>
      <c r="AI1875" s="502"/>
      <c r="AJ1875" s="502"/>
      <c r="AL1875" s="434"/>
      <c r="AM1875" s="436"/>
      <c r="AN1875" s="434"/>
      <c r="AO1875" s="434"/>
      <c r="AP1875" s="556"/>
      <c r="AQ1875" s="556"/>
      <c r="AR1875" s="556"/>
      <c r="CF1875" s="2"/>
    </row>
    <row r="1876" spans="3:84">
      <c r="C1876" s="2"/>
      <c r="AD1876" s="502"/>
      <c r="AE1876" s="911"/>
      <c r="AF1876" s="502"/>
      <c r="AH1876" s="898"/>
      <c r="AI1876" s="502"/>
      <c r="AJ1876" s="502"/>
      <c r="AL1876" s="434"/>
      <c r="AM1876" s="436"/>
      <c r="AN1876" s="434"/>
      <c r="AO1876" s="434"/>
      <c r="AP1876" s="556"/>
      <c r="AQ1876" s="556"/>
      <c r="AR1876" s="556"/>
      <c r="CF1876" s="2"/>
    </row>
    <row r="1877" spans="3:84">
      <c r="C1877" s="2"/>
      <c r="AD1877" s="502"/>
      <c r="AE1877" s="911"/>
      <c r="AF1877" s="502"/>
      <c r="AH1877" s="898"/>
      <c r="AI1877" s="502"/>
      <c r="AJ1877" s="502"/>
      <c r="AL1877" s="434"/>
      <c r="AM1877" s="436"/>
      <c r="AN1877" s="434"/>
      <c r="AO1877" s="434"/>
      <c r="AP1877" s="556"/>
      <c r="AQ1877" s="556"/>
      <c r="AR1877" s="556"/>
      <c r="CF1877" s="2"/>
    </row>
    <row r="1878" spans="3:84">
      <c r="C1878" s="2"/>
      <c r="AD1878" s="502"/>
      <c r="AE1878" s="911"/>
      <c r="AF1878" s="502"/>
      <c r="AH1878" s="898"/>
      <c r="AI1878" s="502"/>
      <c r="AJ1878" s="502"/>
      <c r="AL1878" s="434"/>
      <c r="AM1878" s="436"/>
      <c r="AN1878" s="434"/>
      <c r="AO1878" s="434"/>
      <c r="AP1878" s="556"/>
      <c r="AQ1878" s="556"/>
      <c r="AR1878" s="556"/>
      <c r="CF1878" s="2"/>
    </row>
    <row r="1879" spans="3:84">
      <c r="C1879" s="2"/>
      <c r="AD1879" s="502"/>
      <c r="AE1879" s="911"/>
      <c r="AF1879" s="502"/>
      <c r="AH1879" s="898"/>
      <c r="AI1879" s="502"/>
      <c r="AJ1879" s="502"/>
      <c r="AL1879" s="434"/>
      <c r="AM1879" s="436"/>
      <c r="AN1879" s="434"/>
      <c r="AO1879" s="434"/>
      <c r="AP1879" s="556"/>
      <c r="AQ1879" s="556"/>
      <c r="AR1879" s="556"/>
      <c r="CF1879" s="2"/>
    </row>
    <row r="1880" spans="3:84">
      <c r="C1880" s="2"/>
      <c r="AD1880" s="502"/>
      <c r="AE1880" s="911"/>
      <c r="AF1880" s="502"/>
      <c r="AH1880" s="898"/>
      <c r="AI1880" s="502"/>
      <c r="AJ1880" s="502"/>
      <c r="AL1880" s="434"/>
      <c r="AM1880" s="436"/>
      <c r="AN1880" s="434"/>
      <c r="AO1880" s="434"/>
      <c r="AP1880" s="556"/>
      <c r="AQ1880" s="556"/>
      <c r="AR1880" s="556"/>
      <c r="CF1880" s="2"/>
    </row>
    <row r="1881" spans="3:84">
      <c r="C1881" s="2"/>
      <c r="AD1881" s="502"/>
      <c r="AE1881" s="911"/>
      <c r="AF1881" s="502"/>
      <c r="AH1881" s="898"/>
      <c r="AI1881" s="502"/>
      <c r="AJ1881" s="502"/>
      <c r="AL1881" s="434"/>
      <c r="AM1881" s="436"/>
      <c r="AN1881" s="434"/>
      <c r="AO1881" s="434"/>
      <c r="AP1881" s="556"/>
      <c r="AQ1881" s="556"/>
      <c r="AR1881" s="556"/>
      <c r="CF1881" s="2"/>
    </row>
    <row r="1882" spans="3:84">
      <c r="C1882" s="2"/>
      <c r="AD1882" s="502"/>
      <c r="AE1882" s="911"/>
      <c r="AF1882" s="502"/>
      <c r="AH1882" s="898"/>
      <c r="AI1882" s="502"/>
      <c r="AJ1882" s="502"/>
      <c r="AL1882" s="434"/>
      <c r="AM1882" s="436"/>
      <c r="AN1882" s="434"/>
      <c r="AO1882" s="434"/>
      <c r="AP1882" s="556"/>
      <c r="AQ1882" s="556"/>
      <c r="AR1882" s="556"/>
      <c r="CF1882" s="2"/>
    </row>
    <row r="1883" spans="3:84">
      <c r="C1883" s="2"/>
      <c r="AD1883" s="502"/>
      <c r="AE1883" s="911"/>
      <c r="AF1883" s="502"/>
      <c r="AH1883" s="898"/>
      <c r="AI1883" s="502"/>
      <c r="AJ1883" s="502"/>
      <c r="AL1883" s="434"/>
      <c r="AM1883" s="436"/>
      <c r="AN1883" s="434"/>
      <c r="AO1883" s="434"/>
      <c r="AP1883" s="556"/>
      <c r="AQ1883" s="556"/>
      <c r="AR1883" s="556"/>
      <c r="CF1883" s="2"/>
    </row>
    <row r="1884" spans="3:84">
      <c r="C1884" s="2"/>
      <c r="AD1884" s="502"/>
      <c r="AE1884" s="911"/>
      <c r="AF1884" s="502"/>
      <c r="AH1884" s="898"/>
      <c r="AI1884" s="502"/>
      <c r="AJ1884" s="502"/>
      <c r="AL1884" s="434"/>
      <c r="AM1884" s="436"/>
      <c r="AN1884" s="434"/>
      <c r="AO1884" s="434"/>
      <c r="AP1884" s="556"/>
      <c r="AQ1884" s="556"/>
      <c r="AR1884" s="556"/>
      <c r="CF1884" s="2"/>
    </row>
    <row r="1885" spans="3:84">
      <c r="C1885" s="2"/>
      <c r="AD1885" s="502"/>
      <c r="AE1885" s="911"/>
      <c r="AF1885" s="502"/>
      <c r="AH1885" s="898"/>
      <c r="AI1885" s="502"/>
      <c r="AJ1885" s="502"/>
      <c r="AL1885" s="434"/>
      <c r="AM1885" s="436"/>
      <c r="AN1885" s="434"/>
      <c r="AO1885" s="434"/>
      <c r="AP1885" s="556"/>
      <c r="AQ1885" s="556"/>
      <c r="AR1885" s="556"/>
      <c r="CF1885" s="2"/>
    </row>
    <row r="1886" spans="3:84">
      <c r="C1886" s="2"/>
      <c r="AD1886" s="502"/>
      <c r="AE1886" s="911"/>
      <c r="AF1886" s="502"/>
      <c r="AH1886" s="898"/>
      <c r="AI1886" s="502"/>
      <c r="AJ1886" s="502"/>
      <c r="AL1886" s="434"/>
      <c r="AM1886" s="436"/>
      <c r="AN1886" s="434"/>
      <c r="AO1886" s="434"/>
      <c r="AP1886" s="556"/>
      <c r="AQ1886" s="556"/>
      <c r="AR1886" s="556"/>
      <c r="CF1886" s="2"/>
    </row>
    <row r="1887" spans="3:84">
      <c r="C1887" s="2"/>
      <c r="AD1887" s="502"/>
      <c r="AE1887" s="911"/>
      <c r="AF1887" s="502"/>
      <c r="AH1887" s="898"/>
      <c r="AI1887" s="502"/>
      <c r="AJ1887" s="502"/>
      <c r="AL1887" s="434"/>
      <c r="AM1887" s="436"/>
      <c r="AN1887" s="434"/>
      <c r="AO1887" s="434"/>
      <c r="AP1887" s="556"/>
      <c r="AQ1887" s="556"/>
      <c r="AR1887" s="556"/>
      <c r="CF1887" s="2"/>
    </row>
    <row r="1888" spans="3:84">
      <c r="C1888" s="2"/>
      <c r="AD1888" s="502"/>
      <c r="AE1888" s="911"/>
      <c r="AF1888" s="502"/>
      <c r="AH1888" s="898"/>
      <c r="AI1888" s="502"/>
      <c r="AJ1888" s="502"/>
      <c r="AL1888" s="434"/>
      <c r="AM1888" s="436"/>
      <c r="AN1888" s="434"/>
      <c r="AO1888" s="434"/>
      <c r="AP1888" s="556"/>
      <c r="AQ1888" s="556"/>
      <c r="AR1888" s="556"/>
      <c r="CF1888" s="2"/>
    </row>
    <row r="1889" spans="3:84">
      <c r="C1889" s="2"/>
      <c r="AD1889" s="502"/>
      <c r="AE1889" s="911"/>
      <c r="AF1889" s="502"/>
      <c r="AH1889" s="898"/>
      <c r="AI1889" s="502"/>
      <c r="AJ1889" s="502"/>
      <c r="AL1889" s="434"/>
      <c r="AM1889" s="436"/>
      <c r="AN1889" s="434"/>
      <c r="AO1889" s="434"/>
      <c r="AP1889" s="556"/>
      <c r="AQ1889" s="556"/>
      <c r="AR1889" s="556"/>
      <c r="CF1889" s="2"/>
    </row>
    <row r="1890" spans="3:84">
      <c r="C1890" s="2"/>
      <c r="AD1890" s="502"/>
      <c r="AE1890" s="911"/>
      <c r="AF1890" s="502"/>
      <c r="AH1890" s="898"/>
      <c r="AI1890" s="502"/>
      <c r="AJ1890" s="502"/>
      <c r="AL1890" s="434"/>
      <c r="AM1890" s="436"/>
      <c r="AN1890" s="434"/>
      <c r="AO1890" s="434"/>
      <c r="AP1890" s="556"/>
      <c r="AQ1890" s="556"/>
      <c r="AR1890" s="556"/>
      <c r="CF1890" s="2"/>
    </row>
    <row r="1891" spans="3:84">
      <c r="C1891" s="2"/>
      <c r="AD1891" s="502"/>
      <c r="AE1891" s="911"/>
      <c r="AF1891" s="502"/>
      <c r="AH1891" s="898"/>
      <c r="AI1891" s="502"/>
      <c r="AJ1891" s="502"/>
      <c r="AL1891" s="434"/>
      <c r="AM1891" s="436"/>
      <c r="AN1891" s="434"/>
      <c r="AO1891" s="434"/>
      <c r="AP1891" s="556"/>
      <c r="AQ1891" s="556"/>
      <c r="AR1891" s="556"/>
      <c r="CF1891" s="2"/>
    </row>
    <row r="1892" spans="3:84">
      <c r="C1892" s="2"/>
      <c r="AD1892" s="502"/>
      <c r="AE1892" s="911"/>
      <c r="AF1892" s="502"/>
      <c r="AH1892" s="898"/>
      <c r="AI1892" s="502"/>
      <c r="AJ1892" s="502"/>
      <c r="AL1892" s="434"/>
      <c r="AM1892" s="436"/>
      <c r="AN1892" s="434"/>
      <c r="AO1892" s="434"/>
      <c r="AP1892" s="556"/>
      <c r="AQ1892" s="556"/>
      <c r="AR1892" s="556"/>
      <c r="CF1892" s="2"/>
    </row>
    <row r="1893" spans="3:84">
      <c r="C1893" s="2"/>
      <c r="AD1893" s="502"/>
      <c r="AE1893" s="911"/>
      <c r="AF1893" s="502"/>
      <c r="AH1893" s="898"/>
      <c r="AI1893" s="502"/>
      <c r="AJ1893" s="502"/>
      <c r="AL1893" s="434"/>
      <c r="AM1893" s="436"/>
      <c r="AN1893" s="434"/>
      <c r="AO1893" s="434"/>
      <c r="AP1893" s="556"/>
      <c r="AQ1893" s="556"/>
      <c r="AR1893" s="556"/>
      <c r="CF1893" s="2"/>
    </row>
    <row r="1894" spans="3:84">
      <c r="C1894" s="2"/>
      <c r="AD1894" s="502"/>
      <c r="AE1894" s="911"/>
      <c r="AF1894" s="502"/>
      <c r="AH1894" s="898"/>
      <c r="AI1894" s="502"/>
      <c r="AJ1894" s="502"/>
      <c r="AL1894" s="434"/>
      <c r="AM1894" s="436"/>
      <c r="AN1894" s="434"/>
      <c r="AO1894" s="434"/>
      <c r="AP1894" s="556"/>
      <c r="AQ1894" s="556"/>
      <c r="AR1894" s="556"/>
      <c r="CF1894" s="2"/>
    </row>
    <row r="1895" spans="3:84">
      <c r="C1895" s="2"/>
      <c r="AD1895" s="502"/>
      <c r="AE1895" s="911"/>
      <c r="AF1895" s="502"/>
      <c r="AH1895" s="898"/>
      <c r="AI1895" s="502"/>
      <c r="AJ1895" s="502"/>
      <c r="AL1895" s="434"/>
      <c r="AM1895" s="436"/>
      <c r="AN1895" s="434"/>
      <c r="AO1895" s="434"/>
      <c r="AP1895" s="556"/>
      <c r="AQ1895" s="556"/>
      <c r="AR1895" s="556"/>
      <c r="CF1895" s="2"/>
    </row>
    <row r="1896" spans="3:84">
      <c r="C1896" s="2"/>
      <c r="AD1896" s="502"/>
      <c r="AE1896" s="911"/>
      <c r="AF1896" s="502"/>
      <c r="AH1896" s="898"/>
      <c r="AI1896" s="502"/>
      <c r="AJ1896" s="502"/>
      <c r="AL1896" s="434"/>
      <c r="AM1896" s="436"/>
      <c r="AN1896" s="434"/>
      <c r="AO1896" s="434"/>
      <c r="AP1896" s="556"/>
      <c r="AQ1896" s="556"/>
      <c r="AR1896" s="556"/>
      <c r="CF1896" s="2"/>
    </row>
    <row r="1897" spans="3:84">
      <c r="C1897" s="2"/>
      <c r="AD1897" s="502"/>
      <c r="AE1897" s="911"/>
      <c r="AF1897" s="502"/>
      <c r="AH1897" s="898"/>
      <c r="AI1897" s="502"/>
      <c r="AJ1897" s="502"/>
      <c r="AL1897" s="434"/>
      <c r="AM1897" s="436"/>
      <c r="AN1897" s="434"/>
      <c r="AO1897" s="434"/>
      <c r="AP1897" s="556"/>
      <c r="AQ1897" s="556"/>
      <c r="AR1897" s="556"/>
      <c r="CF1897" s="2"/>
    </row>
    <row r="1898" spans="3:84">
      <c r="C1898" s="2"/>
      <c r="AD1898" s="502"/>
      <c r="AE1898" s="911"/>
      <c r="AF1898" s="502"/>
      <c r="AH1898" s="898"/>
      <c r="AI1898" s="502"/>
      <c r="AJ1898" s="502"/>
      <c r="AL1898" s="434"/>
      <c r="AM1898" s="436"/>
      <c r="AN1898" s="434"/>
      <c r="AO1898" s="434"/>
      <c r="AP1898" s="556"/>
      <c r="AQ1898" s="556"/>
      <c r="AR1898" s="556"/>
      <c r="CF1898" s="2"/>
    </row>
    <row r="1899" spans="3:84">
      <c r="C1899" s="2"/>
      <c r="AD1899" s="502"/>
      <c r="AE1899" s="911"/>
      <c r="AF1899" s="502"/>
      <c r="AH1899" s="898"/>
      <c r="AI1899" s="502"/>
      <c r="AJ1899" s="502"/>
      <c r="AL1899" s="434"/>
      <c r="AM1899" s="436"/>
      <c r="AN1899" s="434"/>
      <c r="AO1899" s="434"/>
      <c r="AP1899" s="556"/>
      <c r="AQ1899" s="556"/>
      <c r="AR1899" s="556"/>
      <c r="CF1899" s="2"/>
    </row>
    <row r="1900" spans="3:84">
      <c r="C1900" s="2"/>
      <c r="AD1900" s="502"/>
      <c r="AE1900" s="911"/>
      <c r="AF1900" s="502"/>
      <c r="AH1900" s="898"/>
      <c r="AI1900" s="502"/>
      <c r="AJ1900" s="502"/>
      <c r="AL1900" s="434"/>
      <c r="AM1900" s="436"/>
      <c r="AN1900" s="434"/>
      <c r="AO1900" s="434"/>
      <c r="AP1900" s="556"/>
      <c r="AQ1900" s="556"/>
      <c r="AR1900" s="556"/>
      <c r="CF1900" s="2"/>
    </row>
    <row r="1901" spans="3:84">
      <c r="C1901" s="2"/>
      <c r="AD1901" s="502"/>
      <c r="AE1901" s="911"/>
      <c r="AF1901" s="502"/>
      <c r="AH1901" s="898"/>
      <c r="AI1901" s="502"/>
      <c r="AJ1901" s="502"/>
      <c r="AL1901" s="434"/>
      <c r="AM1901" s="436"/>
      <c r="AN1901" s="434"/>
      <c r="AO1901" s="434"/>
      <c r="AP1901" s="556"/>
      <c r="AQ1901" s="556"/>
      <c r="AR1901" s="556"/>
      <c r="CF1901" s="2"/>
    </row>
    <row r="1902" spans="3:84">
      <c r="C1902" s="2"/>
      <c r="AD1902" s="502"/>
      <c r="AE1902" s="911"/>
      <c r="AF1902" s="502"/>
      <c r="AH1902" s="898"/>
      <c r="AI1902" s="502"/>
      <c r="AJ1902" s="502"/>
      <c r="AL1902" s="434"/>
      <c r="AM1902" s="436"/>
      <c r="AN1902" s="434"/>
      <c r="AO1902" s="434"/>
      <c r="AP1902" s="556"/>
      <c r="AQ1902" s="556"/>
      <c r="AR1902" s="556"/>
      <c r="CF1902" s="2"/>
    </row>
    <row r="1903" spans="3:84">
      <c r="C1903" s="2"/>
      <c r="AD1903" s="502"/>
      <c r="AE1903" s="911"/>
      <c r="AF1903" s="502"/>
      <c r="AH1903" s="898"/>
      <c r="AI1903" s="502"/>
      <c r="AJ1903" s="502"/>
      <c r="AL1903" s="434"/>
      <c r="AM1903" s="436"/>
      <c r="AN1903" s="434"/>
      <c r="AO1903" s="434"/>
      <c r="AP1903" s="556"/>
      <c r="AQ1903" s="556"/>
      <c r="AR1903" s="556"/>
      <c r="CF1903" s="2"/>
    </row>
    <row r="1904" spans="3:84">
      <c r="C1904" s="2"/>
      <c r="AD1904" s="502"/>
      <c r="AE1904" s="911"/>
      <c r="AF1904" s="502"/>
      <c r="AH1904" s="898"/>
      <c r="AI1904" s="502"/>
      <c r="AJ1904" s="502"/>
      <c r="AL1904" s="434"/>
      <c r="AM1904" s="436"/>
      <c r="AN1904" s="434"/>
      <c r="AO1904" s="434"/>
      <c r="AP1904" s="556"/>
      <c r="AQ1904" s="556"/>
      <c r="AR1904" s="556"/>
      <c r="CF1904" s="2"/>
    </row>
    <row r="1905" spans="3:84">
      <c r="C1905" s="2"/>
      <c r="AD1905" s="502"/>
      <c r="AE1905" s="911"/>
      <c r="AF1905" s="502"/>
      <c r="AH1905" s="898"/>
      <c r="AI1905" s="502"/>
      <c r="AJ1905" s="502"/>
      <c r="AL1905" s="434"/>
      <c r="AM1905" s="436"/>
      <c r="AN1905" s="434"/>
      <c r="AO1905" s="434"/>
      <c r="AP1905" s="556"/>
      <c r="AQ1905" s="556"/>
      <c r="AR1905" s="556"/>
      <c r="CF1905" s="2"/>
    </row>
    <row r="1906" spans="3:84">
      <c r="C1906" s="2"/>
      <c r="AD1906" s="502"/>
      <c r="AE1906" s="911"/>
      <c r="AF1906" s="502"/>
      <c r="AH1906" s="898"/>
      <c r="AI1906" s="502"/>
      <c r="AJ1906" s="502"/>
      <c r="AL1906" s="434"/>
      <c r="AM1906" s="436"/>
      <c r="AN1906" s="434"/>
      <c r="AO1906" s="434"/>
      <c r="AP1906" s="556"/>
      <c r="AQ1906" s="556"/>
      <c r="AR1906" s="556"/>
      <c r="CF1906" s="2"/>
    </row>
    <row r="1907" spans="3:84">
      <c r="C1907" s="2"/>
      <c r="AD1907" s="502"/>
      <c r="AE1907" s="911"/>
      <c r="AF1907" s="502"/>
      <c r="AH1907" s="898"/>
      <c r="AI1907" s="502"/>
      <c r="AJ1907" s="502"/>
      <c r="AL1907" s="434"/>
      <c r="AM1907" s="436"/>
      <c r="AN1907" s="434"/>
      <c r="AO1907" s="434"/>
      <c r="AP1907" s="556"/>
      <c r="AQ1907" s="556"/>
      <c r="AR1907" s="556"/>
      <c r="CF1907" s="2"/>
    </row>
    <row r="1908" spans="3:84">
      <c r="C1908" s="2"/>
      <c r="AD1908" s="502"/>
      <c r="AE1908" s="911"/>
      <c r="AF1908" s="502"/>
      <c r="AH1908" s="898"/>
      <c r="AI1908" s="502"/>
      <c r="AJ1908" s="502"/>
      <c r="AL1908" s="434"/>
      <c r="AM1908" s="436"/>
      <c r="AN1908" s="434"/>
      <c r="AO1908" s="434"/>
      <c r="AP1908" s="556"/>
      <c r="AQ1908" s="556"/>
      <c r="AR1908" s="556"/>
      <c r="CF1908" s="2"/>
    </row>
    <row r="1909" spans="3:84">
      <c r="C1909" s="2"/>
      <c r="AD1909" s="502"/>
      <c r="AE1909" s="911"/>
      <c r="AF1909" s="502"/>
      <c r="AH1909" s="898"/>
      <c r="AI1909" s="502"/>
      <c r="AJ1909" s="502"/>
      <c r="AL1909" s="434"/>
      <c r="AM1909" s="436"/>
      <c r="AN1909" s="434"/>
      <c r="AO1909" s="434"/>
      <c r="AP1909" s="556"/>
      <c r="AQ1909" s="556"/>
      <c r="AR1909" s="556"/>
      <c r="CF1909" s="2"/>
    </row>
    <row r="1910" spans="3:84">
      <c r="C1910" s="2"/>
      <c r="AD1910" s="502"/>
      <c r="AE1910" s="911"/>
      <c r="AF1910" s="502"/>
      <c r="AH1910" s="898"/>
      <c r="AI1910" s="502"/>
      <c r="AJ1910" s="502"/>
      <c r="AL1910" s="434"/>
      <c r="AM1910" s="436"/>
      <c r="AN1910" s="434"/>
      <c r="AO1910" s="434"/>
      <c r="AP1910" s="556"/>
      <c r="AQ1910" s="556"/>
      <c r="AR1910" s="556"/>
      <c r="CF1910" s="2"/>
    </row>
    <row r="1911" spans="3:84">
      <c r="C1911" s="2"/>
      <c r="AD1911" s="502"/>
      <c r="AE1911" s="911"/>
      <c r="AF1911" s="502"/>
      <c r="AH1911" s="898"/>
      <c r="AI1911" s="502"/>
      <c r="AJ1911" s="502"/>
      <c r="AL1911" s="434"/>
      <c r="AM1911" s="436"/>
      <c r="AN1911" s="434"/>
      <c r="AO1911" s="434"/>
      <c r="AP1911" s="556"/>
      <c r="AQ1911" s="556"/>
      <c r="AR1911" s="556"/>
      <c r="CF1911" s="2"/>
    </row>
    <row r="1912" spans="3:84">
      <c r="C1912" s="2"/>
      <c r="AD1912" s="502"/>
      <c r="AE1912" s="911"/>
      <c r="AF1912" s="502"/>
      <c r="AH1912" s="898"/>
      <c r="AI1912" s="502"/>
      <c r="AJ1912" s="502"/>
      <c r="AL1912" s="434"/>
      <c r="AM1912" s="436"/>
      <c r="AN1912" s="434"/>
      <c r="AO1912" s="434"/>
      <c r="AP1912" s="556"/>
      <c r="AQ1912" s="556"/>
      <c r="AR1912" s="556"/>
      <c r="CF1912" s="2"/>
    </row>
    <row r="1913" spans="3:84">
      <c r="C1913" s="2"/>
      <c r="AD1913" s="502"/>
      <c r="AE1913" s="911"/>
      <c r="AF1913" s="502"/>
      <c r="AH1913" s="898"/>
      <c r="AI1913" s="502"/>
      <c r="AJ1913" s="502"/>
      <c r="AL1913" s="434"/>
      <c r="AM1913" s="436"/>
      <c r="AN1913" s="434"/>
      <c r="AO1913" s="434"/>
      <c r="AP1913" s="556"/>
      <c r="AQ1913" s="556"/>
      <c r="AR1913" s="556"/>
      <c r="CF1913" s="2"/>
    </row>
    <row r="1914" spans="3:84">
      <c r="C1914" s="2"/>
      <c r="AD1914" s="502"/>
      <c r="AE1914" s="911"/>
      <c r="AF1914" s="502"/>
      <c r="AH1914" s="898"/>
      <c r="AI1914" s="502"/>
      <c r="AJ1914" s="502"/>
      <c r="AL1914" s="434"/>
      <c r="AM1914" s="436"/>
      <c r="AN1914" s="434"/>
      <c r="AO1914" s="434"/>
      <c r="AP1914" s="556"/>
      <c r="AQ1914" s="556"/>
      <c r="AR1914" s="556"/>
      <c r="CF1914" s="2"/>
    </row>
    <row r="1915" spans="3:84">
      <c r="C1915" s="2"/>
      <c r="AD1915" s="502"/>
      <c r="AE1915" s="911"/>
      <c r="AF1915" s="502"/>
      <c r="AH1915" s="898"/>
      <c r="AI1915" s="502"/>
      <c r="AJ1915" s="502"/>
      <c r="AL1915" s="434"/>
      <c r="AM1915" s="436"/>
      <c r="AN1915" s="434"/>
      <c r="AO1915" s="434"/>
      <c r="AP1915" s="556"/>
      <c r="AQ1915" s="556"/>
      <c r="AR1915" s="556"/>
      <c r="CF1915" s="2"/>
    </row>
    <row r="1916" spans="3:84">
      <c r="C1916" s="2"/>
      <c r="AD1916" s="502"/>
      <c r="AE1916" s="911"/>
      <c r="AF1916" s="502"/>
      <c r="AH1916" s="898"/>
      <c r="AI1916" s="502"/>
      <c r="AJ1916" s="502"/>
      <c r="AL1916" s="434"/>
      <c r="AM1916" s="436"/>
      <c r="AN1916" s="434"/>
      <c r="AO1916" s="434"/>
      <c r="AP1916" s="556"/>
      <c r="AQ1916" s="556"/>
      <c r="AR1916" s="556"/>
      <c r="CF1916" s="2"/>
    </row>
    <row r="1917" spans="3:84">
      <c r="C1917" s="2"/>
      <c r="AD1917" s="502"/>
      <c r="AE1917" s="911"/>
      <c r="AF1917" s="502"/>
      <c r="AH1917" s="898"/>
      <c r="AI1917" s="502"/>
      <c r="AJ1917" s="502"/>
      <c r="AL1917" s="434"/>
      <c r="AM1917" s="436"/>
      <c r="AN1917" s="434"/>
      <c r="AO1917" s="434"/>
      <c r="AP1917" s="556"/>
      <c r="AQ1917" s="556"/>
      <c r="AR1917" s="556"/>
      <c r="CF1917" s="2"/>
    </row>
    <row r="1918" spans="3:84">
      <c r="C1918" s="2"/>
      <c r="AD1918" s="502"/>
      <c r="AE1918" s="911"/>
      <c r="AF1918" s="502"/>
      <c r="AH1918" s="898"/>
      <c r="AI1918" s="502"/>
      <c r="AJ1918" s="502"/>
      <c r="AL1918" s="434"/>
      <c r="AM1918" s="436"/>
      <c r="AN1918" s="434"/>
      <c r="AO1918" s="434"/>
      <c r="AP1918" s="556"/>
      <c r="AQ1918" s="556"/>
      <c r="AR1918" s="556"/>
      <c r="CF1918" s="2"/>
    </row>
    <row r="1919" spans="3:84">
      <c r="C1919" s="2"/>
      <c r="AD1919" s="502"/>
      <c r="AE1919" s="911"/>
      <c r="AF1919" s="502"/>
      <c r="AH1919" s="898"/>
      <c r="AI1919" s="502"/>
      <c r="AJ1919" s="502"/>
      <c r="AL1919" s="434"/>
      <c r="AM1919" s="436"/>
      <c r="AN1919" s="434"/>
      <c r="AO1919" s="434"/>
      <c r="AP1919" s="556"/>
      <c r="AQ1919" s="556"/>
      <c r="AR1919" s="556"/>
      <c r="CF1919" s="2"/>
    </row>
    <row r="1920" spans="3:84">
      <c r="C1920" s="2"/>
      <c r="AD1920" s="502"/>
      <c r="AE1920" s="911"/>
      <c r="AF1920" s="502"/>
      <c r="AH1920" s="898"/>
      <c r="AI1920" s="502"/>
      <c r="AJ1920" s="502"/>
      <c r="AL1920" s="434"/>
      <c r="AM1920" s="436"/>
      <c r="AN1920" s="434"/>
      <c r="AO1920" s="434"/>
      <c r="AP1920" s="556"/>
      <c r="AQ1920" s="556"/>
      <c r="AR1920" s="556"/>
      <c r="CF1920" s="2"/>
    </row>
    <row r="1921" spans="3:84">
      <c r="C1921" s="2"/>
      <c r="AD1921" s="502"/>
      <c r="AE1921" s="911"/>
      <c r="AF1921" s="502"/>
      <c r="AH1921" s="898"/>
      <c r="AI1921" s="502"/>
      <c r="AJ1921" s="502"/>
      <c r="AL1921" s="434"/>
      <c r="AM1921" s="436"/>
      <c r="AN1921" s="434"/>
      <c r="AO1921" s="434"/>
      <c r="AP1921" s="556"/>
      <c r="AQ1921" s="556"/>
      <c r="AR1921" s="556"/>
      <c r="CF1921" s="2"/>
    </row>
    <row r="1922" spans="3:84">
      <c r="C1922" s="2"/>
      <c r="AD1922" s="502"/>
      <c r="AE1922" s="911"/>
      <c r="AF1922" s="502"/>
      <c r="AH1922" s="898"/>
      <c r="AI1922" s="502"/>
      <c r="AJ1922" s="502"/>
      <c r="AL1922" s="434"/>
      <c r="AM1922" s="436"/>
      <c r="AN1922" s="434"/>
      <c r="AO1922" s="434"/>
      <c r="AP1922" s="556"/>
      <c r="AQ1922" s="556"/>
      <c r="AR1922" s="556"/>
      <c r="CF1922" s="2"/>
    </row>
    <row r="1923" spans="3:84">
      <c r="C1923" s="2"/>
      <c r="AD1923" s="502"/>
      <c r="AE1923" s="911"/>
      <c r="AF1923" s="502"/>
      <c r="AH1923" s="898"/>
      <c r="AI1923" s="502"/>
      <c r="AJ1923" s="502"/>
      <c r="AL1923" s="434"/>
      <c r="AM1923" s="436"/>
      <c r="AN1923" s="434"/>
      <c r="AO1923" s="434"/>
      <c r="AP1923" s="556"/>
      <c r="AQ1923" s="556"/>
      <c r="AR1923" s="556"/>
      <c r="CF1923" s="2"/>
    </row>
    <row r="1924" spans="3:84">
      <c r="C1924" s="2"/>
      <c r="AD1924" s="502"/>
      <c r="AE1924" s="911"/>
      <c r="AF1924" s="502"/>
      <c r="AH1924" s="898"/>
      <c r="AI1924" s="502"/>
      <c r="AJ1924" s="502"/>
      <c r="AL1924" s="434"/>
      <c r="AM1924" s="436"/>
      <c r="AN1924" s="434"/>
      <c r="AO1924" s="434"/>
      <c r="AP1924" s="556"/>
      <c r="AQ1924" s="556"/>
      <c r="AR1924" s="556"/>
      <c r="CF1924" s="2"/>
    </row>
    <row r="1925" spans="3:84">
      <c r="C1925" s="2"/>
      <c r="AD1925" s="502"/>
      <c r="AE1925" s="911"/>
      <c r="AF1925" s="502"/>
      <c r="AH1925" s="898"/>
      <c r="AI1925" s="502"/>
      <c r="AJ1925" s="502"/>
      <c r="AL1925" s="434"/>
      <c r="AM1925" s="436"/>
      <c r="AN1925" s="434"/>
      <c r="AO1925" s="434"/>
      <c r="AP1925" s="556"/>
      <c r="AQ1925" s="556"/>
      <c r="AR1925" s="556"/>
      <c r="CF1925" s="2"/>
    </row>
    <row r="1926" spans="3:84">
      <c r="C1926" s="2"/>
      <c r="AD1926" s="502"/>
      <c r="AE1926" s="911"/>
      <c r="AF1926" s="502"/>
      <c r="AH1926" s="898"/>
      <c r="AI1926" s="502"/>
      <c r="AJ1926" s="502"/>
      <c r="AL1926" s="434"/>
      <c r="AM1926" s="436"/>
      <c r="AN1926" s="434"/>
      <c r="AO1926" s="434"/>
      <c r="AP1926" s="556"/>
      <c r="AQ1926" s="556"/>
      <c r="AR1926" s="556"/>
      <c r="CF1926" s="2"/>
    </row>
    <row r="1927" spans="3:84">
      <c r="C1927" s="2"/>
      <c r="AD1927" s="502"/>
      <c r="AE1927" s="911"/>
      <c r="AF1927" s="502"/>
      <c r="AH1927" s="898"/>
      <c r="AI1927" s="502"/>
      <c r="AJ1927" s="502"/>
      <c r="AL1927" s="434"/>
      <c r="AM1927" s="436"/>
      <c r="AN1927" s="434"/>
      <c r="AO1927" s="434"/>
      <c r="AP1927" s="556"/>
      <c r="AQ1927" s="556"/>
      <c r="AR1927" s="556"/>
      <c r="CF1927" s="2"/>
    </row>
    <row r="1928" spans="3:84">
      <c r="C1928" s="2"/>
      <c r="AD1928" s="502"/>
      <c r="AE1928" s="911"/>
      <c r="AF1928" s="502"/>
      <c r="AH1928" s="898"/>
      <c r="AI1928" s="502"/>
      <c r="AJ1928" s="502"/>
      <c r="AL1928" s="434"/>
      <c r="AM1928" s="436"/>
      <c r="AN1928" s="434"/>
      <c r="AO1928" s="434"/>
      <c r="AP1928" s="556"/>
      <c r="AQ1928" s="556"/>
      <c r="AR1928" s="556"/>
      <c r="CF1928" s="2"/>
    </row>
    <row r="1929" spans="3:84">
      <c r="C1929" s="2"/>
      <c r="AD1929" s="502"/>
      <c r="AE1929" s="911"/>
      <c r="AF1929" s="502"/>
      <c r="AH1929" s="898"/>
      <c r="AI1929" s="502"/>
      <c r="AJ1929" s="502"/>
      <c r="AL1929" s="434"/>
      <c r="AM1929" s="436"/>
      <c r="AN1929" s="434"/>
      <c r="AO1929" s="434"/>
      <c r="AP1929" s="556"/>
      <c r="AQ1929" s="556"/>
      <c r="AR1929" s="556"/>
      <c r="CF1929" s="2"/>
    </row>
    <row r="1930" spans="3:84">
      <c r="C1930" s="2"/>
      <c r="AD1930" s="502"/>
      <c r="AE1930" s="911"/>
      <c r="AF1930" s="502"/>
      <c r="AH1930" s="898"/>
      <c r="AI1930" s="502"/>
      <c r="AJ1930" s="502"/>
      <c r="AL1930" s="434"/>
      <c r="AM1930" s="436"/>
      <c r="AN1930" s="434"/>
      <c r="AO1930" s="434"/>
      <c r="AP1930" s="556"/>
      <c r="AQ1930" s="556"/>
      <c r="AR1930" s="556"/>
      <c r="CF1930" s="2"/>
    </row>
    <row r="1931" spans="3:84">
      <c r="C1931" s="2"/>
      <c r="AD1931" s="502"/>
      <c r="AE1931" s="911"/>
      <c r="AF1931" s="502"/>
      <c r="AH1931" s="898"/>
      <c r="AI1931" s="502"/>
      <c r="AJ1931" s="502"/>
      <c r="AL1931" s="434"/>
      <c r="AM1931" s="436"/>
      <c r="AN1931" s="434"/>
      <c r="AO1931" s="434"/>
      <c r="AP1931" s="556"/>
      <c r="AQ1931" s="556"/>
      <c r="AR1931" s="556"/>
      <c r="CF1931" s="2"/>
    </row>
    <row r="1932" spans="3:84">
      <c r="C1932" s="2"/>
      <c r="AD1932" s="502"/>
      <c r="AE1932" s="911"/>
      <c r="AF1932" s="502"/>
      <c r="AH1932" s="898"/>
      <c r="AI1932" s="502"/>
      <c r="AJ1932" s="502"/>
      <c r="AL1932" s="434"/>
      <c r="AM1932" s="436"/>
      <c r="AN1932" s="434"/>
      <c r="AO1932" s="434"/>
      <c r="AP1932" s="556"/>
      <c r="AQ1932" s="556"/>
      <c r="AR1932" s="556"/>
      <c r="CF1932" s="2"/>
    </row>
    <row r="1933" spans="3:84">
      <c r="C1933" s="2"/>
      <c r="AD1933" s="502"/>
      <c r="AE1933" s="911"/>
      <c r="AF1933" s="502"/>
      <c r="AH1933" s="898"/>
      <c r="AI1933" s="502"/>
      <c r="AJ1933" s="502"/>
      <c r="AL1933" s="434"/>
      <c r="AM1933" s="436"/>
      <c r="AN1933" s="434"/>
      <c r="AO1933" s="434"/>
      <c r="AP1933" s="556"/>
      <c r="AQ1933" s="556"/>
      <c r="AR1933" s="556"/>
      <c r="CF1933" s="2"/>
    </row>
    <row r="1934" spans="3:84">
      <c r="C1934" s="2"/>
      <c r="AD1934" s="502"/>
      <c r="AE1934" s="911"/>
      <c r="AF1934" s="502"/>
      <c r="AH1934" s="898"/>
      <c r="AI1934" s="502"/>
      <c r="AJ1934" s="502"/>
      <c r="AL1934" s="434"/>
      <c r="AM1934" s="436"/>
      <c r="AN1934" s="434"/>
      <c r="AO1934" s="434"/>
      <c r="AP1934" s="556"/>
      <c r="AQ1934" s="556"/>
      <c r="AR1934" s="556"/>
      <c r="CF1934" s="2"/>
    </row>
    <row r="1935" spans="3:84">
      <c r="C1935" s="2"/>
      <c r="AD1935" s="502"/>
      <c r="AE1935" s="911"/>
      <c r="AF1935" s="502"/>
      <c r="AH1935" s="898"/>
      <c r="AI1935" s="502"/>
      <c r="AJ1935" s="502"/>
      <c r="AL1935" s="434"/>
      <c r="AM1935" s="436"/>
      <c r="AN1935" s="434"/>
      <c r="AO1935" s="434"/>
      <c r="AP1935" s="556"/>
      <c r="AQ1935" s="556"/>
      <c r="AR1935" s="556"/>
      <c r="CF1935" s="2"/>
    </row>
    <row r="1936" spans="3:84">
      <c r="C1936" s="2"/>
      <c r="AD1936" s="502"/>
      <c r="AE1936" s="911"/>
      <c r="AF1936" s="502"/>
      <c r="AH1936" s="898"/>
      <c r="AI1936" s="502"/>
      <c r="AJ1936" s="502"/>
      <c r="AL1936" s="434"/>
      <c r="AM1936" s="436"/>
      <c r="AN1936" s="434"/>
      <c r="AO1936" s="434"/>
      <c r="AP1936" s="556"/>
      <c r="AQ1936" s="556"/>
      <c r="AR1936" s="556"/>
      <c r="CF1936" s="2"/>
    </row>
    <row r="1937" spans="3:84">
      <c r="C1937" s="2"/>
      <c r="AD1937" s="502"/>
      <c r="AE1937" s="911"/>
      <c r="AF1937" s="502"/>
      <c r="AH1937" s="898"/>
      <c r="AI1937" s="502"/>
      <c r="AJ1937" s="502"/>
      <c r="AL1937" s="434"/>
      <c r="AM1937" s="436"/>
      <c r="AN1937" s="434"/>
      <c r="AO1937" s="434"/>
      <c r="AP1937" s="556"/>
      <c r="AQ1937" s="556"/>
      <c r="AR1937" s="556"/>
      <c r="CF1937" s="2"/>
    </row>
    <row r="1938" spans="3:84">
      <c r="C1938" s="2"/>
      <c r="AD1938" s="502"/>
      <c r="AE1938" s="911"/>
      <c r="AF1938" s="502"/>
      <c r="AH1938" s="898"/>
      <c r="AI1938" s="502"/>
      <c r="AJ1938" s="502"/>
      <c r="AL1938" s="434"/>
      <c r="AM1938" s="436"/>
      <c r="AN1938" s="434"/>
      <c r="AO1938" s="434"/>
      <c r="AP1938" s="556"/>
      <c r="AQ1938" s="556"/>
      <c r="AR1938" s="556"/>
      <c r="CF1938" s="2"/>
    </row>
    <row r="1939" spans="3:84">
      <c r="C1939" s="2"/>
      <c r="AD1939" s="502"/>
      <c r="AE1939" s="911"/>
      <c r="AF1939" s="502"/>
      <c r="AH1939" s="898"/>
      <c r="AI1939" s="502"/>
      <c r="AJ1939" s="502"/>
      <c r="AL1939" s="434"/>
      <c r="AM1939" s="436"/>
      <c r="AN1939" s="434"/>
      <c r="AO1939" s="434"/>
      <c r="AP1939" s="556"/>
      <c r="AQ1939" s="556"/>
      <c r="AR1939" s="556"/>
      <c r="CF1939" s="2"/>
    </row>
    <row r="1940" spans="3:84">
      <c r="C1940" s="2"/>
      <c r="AD1940" s="502"/>
      <c r="AE1940" s="911"/>
      <c r="AF1940" s="502"/>
      <c r="AH1940" s="898"/>
      <c r="AI1940" s="502"/>
      <c r="AJ1940" s="502"/>
      <c r="AL1940" s="434"/>
      <c r="AM1940" s="436"/>
      <c r="AN1940" s="434"/>
      <c r="AO1940" s="434"/>
      <c r="AP1940" s="556"/>
      <c r="AQ1940" s="556"/>
      <c r="AR1940" s="556"/>
      <c r="CF1940" s="2"/>
    </row>
    <row r="1941" spans="3:84">
      <c r="C1941" s="2"/>
      <c r="AD1941" s="502"/>
      <c r="AE1941" s="911"/>
      <c r="AF1941" s="502"/>
      <c r="AH1941" s="898"/>
      <c r="AI1941" s="502"/>
      <c r="AJ1941" s="502"/>
      <c r="AL1941" s="434"/>
      <c r="AM1941" s="436"/>
      <c r="AN1941" s="434"/>
      <c r="AO1941" s="434"/>
      <c r="AP1941" s="556"/>
      <c r="AQ1941" s="556"/>
      <c r="AR1941" s="556"/>
      <c r="CF1941" s="2"/>
    </row>
    <row r="1942" spans="3:84">
      <c r="C1942" s="2"/>
      <c r="AD1942" s="502"/>
      <c r="AE1942" s="911"/>
      <c r="AF1942" s="502"/>
      <c r="AH1942" s="898"/>
      <c r="AI1942" s="502"/>
      <c r="AJ1942" s="502"/>
      <c r="AL1942" s="434"/>
      <c r="AM1942" s="436"/>
      <c r="AN1942" s="434"/>
      <c r="AO1942" s="434"/>
      <c r="AP1942" s="556"/>
      <c r="AQ1942" s="556"/>
      <c r="AR1942" s="556"/>
      <c r="CF1942" s="2"/>
    </row>
    <row r="1943" spans="3:84">
      <c r="C1943" s="2"/>
      <c r="AD1943" s="502"/>
      <c r="AE1943" s="911"/>
      <c r="AF1943" s="502"/>
      <c r="AH1943" s="898"/>
      <c r="AI1943" s="502"/>
      <c r="AJ1943" s="502"/>
      <c r="AL1943" s="434"/>
      <c r="AM1943" s="436"/>
      <c r="AN1943" s="434"/>
      <c r="AO1943" s="434"/>
      <c r="AP1943" s="556"/>
      <c r="AQ1943" s="556"/>
      <c r="AR1943" s="556"/>
      <c r="CF1943" s="2"/>
    </row>
    <row r="1944" spans="3:84">
      <c r="C1944" s="2"/>
      <c r="AD1944" s="502"/>
      <c r="AE1944" s="911"/>
      <c r="AF1944" s="502"/>
      <c r="AH1944" s="898"/>
      <c r="AI1944" s="502"/>
      <c r="AJ1944" s="502"/>
      <c r="AL1944" s="434"/>
      <c r="AM1944" s="436"/>
      <c r="AN1944" s="434"/>
      <c r="AO1944" s="434"/>
      <c r="AP1944" s="556"/>
      <c r="AQ1944" s="556"/>
      <c r="AR1944" s="556"/>
      <c r="CF1944" s="2"/>
    </row>
    <row r="1945" spans="3:84">
      <c r="C1945" s="2"/>
      <c r="AD1945" s="502"/>
      <c r="AE1945" s="911"/>
      <c r="AF1945" s="502"/>
      <c r="AH1945" s="898"/>
      <c r="AI1945" s="502"/>
      <c r="AJ1945" s="502"/>
      <c r="AL1945" s="434"/>
      <c r="AM1945" s="436"/>
      <c r="AN1945" s="434"/>
      <c r="AO1945" s="434"/>
      <c r="AP1945" s="556"/>
      <c r="AQ1945" s="556"/>
      <c r="AR1945" s="556"/>
      <c r="CF1945" s="2"/>
    </row>
    <row r="1946" spans="3:84">
      <c r="C1946" s="2"/>
      <c r="AD1946" s="502"/>
      <c r="AE1946" s="911"/>
      <c r="AF1946" s="502"/>
      <c r="AH1946" s="898"/>
      <c r="AI1946" s="502"/>
      <c r="AJ1946" s="502"/>
      <c r="AL1946" s="434"/>
      <c r="AM1946" s="436"/>
      <c r="AN1946" s="434"/>
      <c r="AO1946" s="434"/>
      <c r="AP1946" s="556"/>
      <c r="AQ1946" s="556"/>
      <c r="AR1946" s="556"/>
      <c r="CF1946" s="2"/>
    </row>
    <row r="1947" spans="3:84">
      <c r="C1947" s="2"/>
      <c r="AD1947" s="502"/>
      <c r="AE1947" s="911"/>
      <c r="AF1947" s="502"/>
      <c r="AH1947" s="898"/>
      <c r="AI1947" s="502"/>
      <c r="AJ1947" s="502"/>
      <c r="AL1947" s="434"/>
      <c r="AM1947" s="436"/>
      <c r="AN1947" s="434"/>
      <c r="AO1947" s="434"/>
      <c r="AP1947" s="556"/>
      <c r="AQ1947" s="556"/>
      <c r="AR1947" s="556"/>
      <c r="CF1947" s="2"/>
    </row>
    <row r="1948" spans="3:84">
      <c r="C1948" s="2"/>
      <c r="AD1948" s="502"/>
      <c r="AE1948" s="911"/>
      <c r="AF1948" s="502"/>
      <c r="AH1948" s="898"/>
      <c r="AI1948" s="502"/>
      <c r="AJ1948" s="502"/>
      <c r="AL1948" s="434"/>
      <c r="AM1948" s="436"/>
      <c r="AN1948" s="434"/>
      <c r="AO1948" s="434"/>
      <c r="AP1948" s="556"/>
      <c r="AQ1948" s="556"/>
      <c r="AR1948" s="556"/>
      <c r="CF1948" s="2"/>
    </row>
    <row r="1949" spans="3:84">
      <c r="C1949" s="2"/>
      <c r="AD1949" s="502"/>
      <c r="AE1949" s="911"/>
      <c r="AF1949" s="502"/>
      <c r="AH1949" s="898"/>
      <c r="AI1949" s="502"/>
      <c r="AJ1949" s="502"/>
      <c r="AL1949" s="434"/>
      <c r="AM1949" s="436"/>
      <c r="AN1949" s="434"/>
      <c r="AO1949" s="434"/>
      <c r="AP1949" s="556"/>
      <c r="AQ1949" s="556"/>
      <c r="AR1949" s="556"/>
      <c r="CF1949" s="2"/>
    </row>
    <row r="1950" spans="3:84">
      <c r="C1950" s="2"/>
      <c r="AD1950" s="502"/>
      <c r="AE1950" s="911"/>
      <c r="AF1950" s="502"/>
      <c r="AH1950" s="898"/>
      <c r="AI1950" s="502"/>
      <c r="AJ1950" s="502"/>
      <c r="AL1950" s="434"/>
      <c r="AM1950" s="436"/>
      <c r="AN1950" s="434"/>
      <c r="AO1950" s="434"/>
      <c r="AP1950" s="556"/>
      <c r="AQ1950" s="556"/>
      <c r="AR1950" s="556"/>
      <c r="CF1950" s="2"/>
    </row>
    <row r="1951" spans="3:84">
      <c r="C1951" s="2"/>
      <c r="AD1951" s="502"/>
      <c r="AE1951" s="911"/>
      <c r="AF1951" s="502"/>
      <c r="AH1951" s="898"/>
      <c r="AI1951" s="502"/>
      <c r="AJ1951" s="502"/>
      <c r="AL1951" s="434"/>
      <c r="AM1951" s="436"/>
      <c r="AN1951" s="434"/>
      <c r="AO1951" s="434"/>
      <c r="AP1951" s="556"/>
      <c r="AQ1951" s="556"/>
      <c r="AR1951" s="556"/>
      <c r="CF1951" s="2"/>
    </row>
    <row r="1952" spans="3:84">
      <c r="C1952" s="2"/>
      <c r="AD1952" s="502"/>
      <c r="AE1952" s="911"/>
      <c r="AF1952" s="502"/>
      <c r="AH1952" s="898"/>
      <c r="AI1952" s="502"/>
      <c r="AJ1952" s="502"/>
      <c r="AL1952" s="434"/>
      <c r="AM1952" s="436"/>
      <c r="AN1952" s="434"/>
      <c r="AO1952" s="434"/>
      <c r="AP1952" s="556"/>
      <c r="AQ1952" s="556"/>
      <c r="AR1952" s="556"/>
      <c r="CF1952" s="2"/>
    </row>
    <row r="1953" spans="3:84">
      <c r="C1953" s="2"/>
      <c r="AD1953" s="502"/>
      <c r="AE1953" s="911"/>
      <c r="AF1953" s="502"/>
      <c r="AH1953" s="898"/>
      <c r="AI1953" s="502"/>
      <c r="AJ1953" s="502"/>
      <c r="AL1953" s="434"/>
      <c r="AM1953" s="436"/>
      <c r="AN1953" s="434"/>
      <c r="AO1953" s="434"/>
      <c r="AP1953" s="556"/>
      <c r="AQ1953" s="556"/>
      <c r="AR1953" s="556"/>
      <c r="CF1953" s="2"/>
    </row>
    <row r="1954" spans="3:84">
      <c r="C1954" s="2"/>
      <c r="AD1954" s="502"/>
      <c r="AE1954" s="911"/>
      <c r="AF1954" s="502"/>
      <c r="AH1954" s="898"/>
      <c r="AI1954" s="502"/>
      <c r="AJ1954" s="502"/>
      <c r="AL1954" s="434"/>
      <c r="AM1954" s="436"/>
      <c r="AN1954" s="434"/>
      <c r="AO1954" s="434"/>
      <c r="AP1954" s="556"/>
      <c r="AQ1954" s="556"/>
      <c r="AR1954" s="556"/>
      <c r="CF1954" s="2"/>
    </row>
    <row r="1955" spans="3:84">
      <c r="C1955" s="2"/>
      <c r="AD1955" s="502"/>
      <c r="AE1955" s="911"/>
      <c r="AF1955" s="502"/>
      <c r="AH1955" s="898"/>
      <c r="AI1955" s="502"/>
      <c r="AJ1955" s="502"/>
      <c r="AL1955" s="434"/>
      <c r="AM1955" s="436"/>
      <c r="AN1955" s="434"/>
      <c r="AO1955" s="434"/>
      <c r="AP1955" s="556"/>
      <c r="AQ1955" s="556"/>
      <c r="AR1955" s="556"/>
      <c r="CF1955" s="2"/>
    </row>
    <row r="1956" spans="3:84">
      <c r="C1956" s="2"/>
      <c r="AD1956" s="502"/>
      <c r="AE1956" s="911"/>
      <c r="AF1956" s="502"/>
      <c r="AH1956" s="898"/>
      <c r="AI1956" s="502"/>
      <c r="AJ1956" s="502"/>
      <c r="AL1956" s="434"/>
      <c r="AM1956" s="436"/>
      <c r="AN1956" s="434"/>
      <c r="AO1956" s="434"/>
      <c r="AP1956" s="556"/>
      <c r="AQ1956" s="556"/>
      <c r="AR1956" s="556"/>
      <c r="CF1956" s="2"/>
    </row>
    <row r="1957" spans="3:84">
      <c r="C1957" s="2"/>
      <c r="AD1957" s="502"/>
      <c r="AE1957" s="911"/>
      <c r="AF1957" s="502"/>
      <c r="AH1957" s="898"/>
      <c r="AI1957" s="502"/>
      <c r="AJ1957" s="502"/>
      <c r="AL1957" s="434"/>
      <c r="AM1957" s="436"/>
      <c r="AN1957" s="434"/>
      <c r="AO1957" s="434"/>
      <c r="AP1957" s="556"/>
      <c r="AQ1957" s="556"/>
      <c r="AR1957" s="556"/>
      <c r="CF1957" s="2"/>
    </row>
    <row r="1958" spans="3:84">
      <c r="C1958" s="2"/>
      <c r="AD1958" s="502"/>
      <c r="AE1958" s="911"/>
      <c r="AF1958" s="502"/>
      <c r="AH1958" s="898"/>
      <c r="AI1958" s="502"/>
      <c r="AJ1958" s="502"/>
      <c r="AL1958" s="434"/>
      <c r="AM1958" s="436"/>
      <c r="AN1958" s="434"/>
      <c r="AO1958" s="434"/>
      <c r="AP1958" s="556"/>
      <c r="AQ1958" s="556"/>
      <c r="AR1958" s="556"/>
      <c r="CF1958" s="2"/>
    </row>
    <row r="1959" spans="3:84">
      <c r="C1959" s="2"/>
      <c r="AD1959" s="502"/>
      <c r="AE1959" s="911"/>
      <c r="AF1959" s="502"/>
      <c r="AH1959" s="898"/>
      <c r="AI1959" s="502"/>
      <c r="AJ1959" s="502"/>
      <c r="AL1959" s="434"/>
      <c r="AM1959" s="436"/>
      <c r="AN1959" s="434"/>
      <c r="AO1959" s="434"/>
      <c r="AP1959" s="556"/>
      <c r="AQ1959" s="556"/>
      <c r="AR1959" s="556"/>
      <c r="CF1959" s="2"/>
    </row>
    <row r="1960" spans="3:84">
      <c r="C1960" s="2"/>
      <c r="AD1960" s="502"/>
      <c r="AE1960" s="911"/>
      <c r="AF1960" s="502"/>
      <c r="AH1960" s="898"/>
      <c r="AI1960" s="502"/>
      <c r="AJ1960" s="502"/>
      <c r="AL1960" s="434"/>
      <c r="AM1960" s="436"/>
      <c r="AN1960" s="434"/>
      <c r="AO1960" s="434"/>
      <c r="AP1960" s="556"/>
      <c r="AQ1960" s="556"/>
      <c r="AR1960" s="556"/>
      <c r="CF1960" s="2"/>
    </row>
    <row r="1961" spans="3:84">
      <c r="C1961" s="2"/>
      <c r="AD1961" s="502"/>
      <c r="AE1961" s="911"/>
      <c r="AF1961" s="502"/>
      <c r="AH1961" s="898"/>
      <c r="AI1961" s="502"/>
      <c r="AJ1961" s="502"/>
      <c r="AL1961" s="434"/>
      <c r="AM1961" s="436"/>
      <c r="AN1961" s="434"/>
      <c r="AO1961" s="434"/>
      <c r="AP1961" s="556"/>
      <c r="AQ1961" s="556"/>
      <c r="AR1961" s="556"/>
      <c r="CF1961" s="2"/>
    </row>
    <row r="1962" spans="3:84">
      <c r="C1962" s="2"/>
      <c r="AD1962" s="502"/>
      <c r="AE1962" s="911"/>
      <c r="AF1962" s="502"/>
      <c r="AH1962" s="898"/>
      <c r="AI1962" s="502"/>
      <c r="AJ1962" s="502"/>
      <c r="AL1962" s="434"/>
      <c r="AM1962" s="436"/>
      <c r="AN1962" s="434"/>
      <c r="AO1962" s="434"/>
      <c r="AP1962" s="556"/>
      <c r="AQ1962" s="556"/>
      <c r="AR1962" s="556"/>
      <c r="CF1962" s="2"/>
    </row>
    <row r="1963" spans="3:84">
      <c r="C1963" s="2"/>
      <c r="AD1963" s="502"/>
      <c r="AE1963" s="911"/>
      <c r="AF1963" s="502"/>
      <c r="AH1963" s="898"/>
      <c r="AI1963" s="502"/>
      <c r="AJ1963" s="502"/>
      <c r="AL1963" s="434"/>
      <c r="AM1963" s="436"/>
      <c r="AN1963" s="434"/>
      <c r="AO1963" s="434"/>
      <c r="AP1963" s="556"/>
      <c r="AQ1963" s="556"/>
      <c r="AR1963" s="556"/>
      <c r="CF1963" s="2"/>
    </row>
    <row r="1964" spans="3:84">
      <c r="C1964" s="2"/>
      <c r="AD1964" s="502"/>
      <c r="AE1964" s="911"/>
      <c r="AF1964" s="502"/>
      <c r="AH1964" s="898"/>
      <c r="AI1964" s="502"/>
      <c r="AJ1964" s="502"/>
      <c r="AL1964" s="434"/>
      <c r="AM1964" s="436"/>
      <c r="AN1964" s="434"/>
      <c r="AO1964" s="434"/>
      <c r="AP1964" s="556"/>
      <c r="AQ1964" s="556"/>
      <c r="AR1964" s="556"/>
      <c r="CF1964" s="2"/>
    </row>
    <row r="1965" spans="3:84">
      <c r="C1965" s="2"/>
      <c r="AD1965" s="502"/>
      <c r="AE1965" s="911"/>
      <c r="AF1965" s="502"/>
      <c r="AH1965" s="898"/>
      <c r="AI1965" s="502"/>
      <c r="AJ1965" s="502"/>
      <c r="AL1965" s="434"/>
      <c r="AM1965" s="436"/>
      <c r="AN1965" s="434"/>
      <c r="AO1965" s="434"/>
      <c r="AP1965" s="556"/>
      <c r="AQ1965" s="556"/>
      <c r="AR1965" s="556"/>
      <c r="CF1965" s="2"/>
    </row>
    <row r="1966" spans="3:84">
      <c r="C1966" s="2"/>
      <c r="AD1966" s="502"/>
      <c r="AE1966" s="911"/>
      <c r="AF1966" s="502"/>
      <c r="AH1966" s="898"/>
      <c r="AI1966" s="502"/>
      <c r="AJ1966" s="502"/>
      <c r="AL1966" s="434"/>
      <c r="AM1966" s="436"/>
      <c r="AN1966" s="434"/>
      <c r="AO1966" s="434"/>
      <c r="AP1966" s="556"/>
      <c r="AQ1966" s="556"/>
      <c r="AR1966" s="556"/>
      <c r="CF1966" s="2"/>
    </row>
    <row r="1967" spans="3:84">
      <c r="C1967" s="2"/>
      <c r="AD1967" s="502"/>
      <c r="AE1967" s="911"/>
      <c r="AF1967" s="502"/>
      <c r="AH1967" s="898"/>
      <c r="AI1967" s="502"/>
      <c r="AJ1967" s="502"/>
      <c r="AL1967" s="434"/>
      <c r="AM1967" s="436"/>
      <c r="AN1967" s="434"/>
      <c r="AO1967" s="434"/>
      <c r="AP1967" s="556"/>
      <c r="AQ1967" s="556"/>
      <c r="AR1967" s="556"/>
      <c r="CF1967" s="2"/>
    </row>
    <row r="1968" spans="3:84">
      <c r="C1968" s="2"/>
      <c r="AD1968" s="502"/>
      <c r="AE1968" s="911"/>
      <c r="AF1968" s="502"/>
      <c r="AH1968" s="898"/>
      <c r="AI1968" s="502"/>
      <c r="AJ1968" s="502"/>
      <c r="AL1968" s="434"/>
      <c r="AM1968" s="436"/>
      <c r="AN1968" s="434"/>
      <c r="AO1968" s="434"/>
      <c r="AP1968" s="556"/>
      <c r="AQ1968" s="556"/>
      <c r="AR1968" s="556"/>
      <c r="CF1968" s="2"/>
    </row>
    <row r="1969" spans="3:84">
      <c r="C1969" s="2"/>
      <c r="AD1969" s="502"/>
      <c r="AE1969" s="911"/>
      <c r="AF1969" s="502"/>
      <c r="AH1969" s="898"/>
      <c r="AI1969" s="502"/>
      <c r="AJ1969" s="502"/>
      <c r="AL1969" s="434"/>
      <c r="AM1969" s="436"/>
      <c r="AN1969" s="434"/>
      <c r="AO1969" s="434"/>
      <c r="AP1969" s="556"/>
      <c r="AQ1969" s="556"/>
      <c r="AR1969" s="556"/>
      <c r="CF1969" s="2"/>
    </row>
    <row r="1970" spans="3:84">
      <c r="C1970" s="2"/>
      <c r="AD1970" s="502"/>
      <c r="AE1970" s="911"/>
      <c r="AF1970" s="502"/>
      <c r="AH1970" s="898"/>
      <c r="AI1970" s="502"/>
      <c r="AJ1970" s="502"/>
      <c r="AL1970" s="434"/>
      <c r="AM1970" s="436"/>
      <c r="AN1970" s="434"/>
      <c r="AO1970" s="434"/>
      <c r="AP1970" s="556"/>
      <c r="AQ1970" s="556"/>
      <c r="AR1970" s="556"/>
      <c r="CF1970" s="2"/>
    </row>
    <row r="1971" spans="3:84">
      <c r="C1971" s="2"/>
      <c r="AD1971" s="502"/>
      <c r="AE1971" s="911"/>
      <c r="AF1971" s="502"/>
      <c r="AH1971" s="898"/>
      <c r="AI1971" s="502"/>
      <c r="AJ1971" s="502"/>
      <c r="AL1971" s="434"/>
      <c r="AM1971" s="436"/>
      <c r="AN1971" s="434"/>
      <c r="AO1971" s="434"/>
      <c r="AP1971" s="556"/>
      <c r="AQ1971" s="556"/>
      <c r="AR1971" s="556"/>
      <c r="CF1971" s="2"/>
    </row>
    <row r="1972" spans="3:84">
      <c r="C1972" s="2"/>
      <c r="AD1972" s="502"/>
      <c r="AE1972" s="911"/>
      <c r="AF1972" s="502"/>
      <c r="AH1972" s="898"/>
      <c r="AI1972" s="502"/>
      <c r="AJ1972" s="502"/>
      <c r="AL1972" s="434"/>
      <c r="AM1972" s="436"/>
      <c r="AN1972" s="434"/>
      <c r="AO1972" s="434"/>
      <c r="AP1972" s="556"/>
      <c r="AQ1972" s="556"/>
      <c r="AR1972" s="556"/>
      <c r="CF1972" s="2"/>
    </row>
    <row r="1973" spans="3:84">
      <c r="C1973" s="2"/>
      <c r="AD1973" s="502"/>
      <c r="AE1973" s="911"/>
      <c r="AF1973" s="502"/>
      <c r="AH1973" s="898"/>
      <c r="AI1973" s="502"/>
      <c r="AJ1973" s="502"/>
      <c r="AL1973" s="434"/>
      <c r="AM1973" s="436"/>
      <c r="AN1973" s="434"/>
      <c r="AO1973" s="434"/>
      <c r="AP1973" s="556"/>
      <c r="AQ1973" s="556"/>
      <c r="AR1973" s="556"/>
      <c r="CF1973" s="2"/>
    </row>
    <row r="1974" spans="3:84">
      <c r="C1974" s="2"/>
      <c r="AD1974" s="502"/>
      <c r="AE1974" s="911"/>
      <c r="AF1974" s="502"/>
      <c r="AH1974" s="898"/>
      <c r="AI1974" s="502"/>
      <c r="AJ1974" s="502"/>
      <c r="AL1974" s="434"/>
      <c r="AM1974" s="436"/>
      <c r="AN1974" s="434"/>
      <c r="AO1974" s="434"/>
      <c r="AP1974" s="556"/>
      <c r="AQ1974" s="556"/>
      <c r="AR1974" s="556"/>
      <c r="CF1974" s="2"/>
    </row>
    <row r="1975" spans="3:84">
      <c r="C1975" s="2"/>
      <c r="AD1975" s="502"/>
      <c r="AE1975" s="911"/>
      <c r="AF1975" s="502"/>
      <c r="AH1975" s="898"/>
      <c r="AI1975" s="502"/>
      <c r="AJ1975" s="502"/>
      <c r="AL1975" s="434"/>
      <c r="AM1975" s="436"/>
      <c r="AN1975" s="434"/>
      <c r="AO1975" s="434"/>
      <c r="AP1975" s="556"/>
      <c r="AQ1975" s="556"/>
      <c r="AR1975" s="556"/>
      <c r="CF1975" s="2"/>
    </row>
    <row r="1976" spans="3:84">
      <c r="C1976" s="2"/>
      <c r="AD1976" s="502"/>
      <c r="AE1976" s="911"/>
      <c r="AF1976" s="502"/>
      <c r="AH1976" s="898"/>
      <c r="AI1976" s="502"/>
      <c r="AJ1976" s="502"/>
      <c r="AL1976" s="434"/>
      <c r="AM1976" s="436"/>
      <c r="AN1976" s="434"/>
      <c r="AO1976" s="434"/>
      <c r="AP1976" s="556"/>
      <c r="AQ1976" s="556"/>
      <c r="AR1976" s="556"/>
      <c r="CF1976" s="2"/>
    </row>
    <row r="1977" spans="3:84">
      <c r="C1977" s="2"/>
      <c r="AD1977" s="502"/>
      <c r="AE1977" s="911"/>
      <c r="AF1977" s="502"/>
      <c r="AH1977" s="898"/>
      <c r="AI1977" s="502"/>
      <c r="AJ1977" s="502"/>
      <c r="AL1977" s="434"/>
      <c r="AM1977" s="436"/>
      <c r="AN1977" s="434"/>
      <c r="AO1977" s="434"/>
      <c r="AP1977" s="556"/>
      <c r="AQ1977" s="556"/>
      <c r="AR1977" s="556"/>
      <c r="CF1977" s="2"/>
    </row>
    <row r="1978" spans="3:84">
      <c r="C1978" s="2"/>
      <c r="AD1978" s="502"/>
      <c r="AE1978" s="911"/>
      <c r="AF1978" s="502"/>
      <c r="AH1978" s="898"/>
      <c r="AI1978" s="502"/>
      <c r="AJ1978" s="502"/>
      <c r="AL1978" s="434"/>
      <c r="AM1978" s="436"/>
      <c r="AN1978" s="434"/>
      <c r="AO1978" s="434"/>
      <c r="AP1978" s="556"/>
      <c r="AQ1978" s="556"/>
      <c r="AR1978" s="556"/>
      <c r="CF1978" s="2"/>
    </row>
    <row r="1979" spans="3:84">
      <c r="C1979" s="2"/>
      <c r="AD1979" s="502"/>
      <c r="AE1979" s="911"/>
      <c r="AF1979" s="502"/>
      <c r="AH1979" s="898"/>
      <c r="AI1979" s="502"/>
      <c r="AJ1979" s="502"/>
      <c r="AL1979" s="434"/>
      <c r="AM1979" s="436"/>
      <c r="AN1979" s="434"/>
      <c r="AO1979" s="434"/>
      <c r="AP1979" s="556"/>
      <c r="AQ1979" s="556"/>
      <c r="AR1979" s="556"/>
      <c r="CF1979" s="2"/>
    </row>
    <row r="1980" spans="3:84">
      <c r="C1980" s="2"/>
      <c r="AD1980" s="502"/>
      <c r="AE1980" s="911"/>
      <c r="AF1980" s="502"/>
      <c r="AH1980" s="898"/>
      <c r="AI1980" s="502"/>
      <c r="AJ1980" s="502"/>
      <c r="AL1980" s="434"/>
      <c r="AM1980" s="436"/>
      <c r="AN1980" s="434"/>
      <c r="AO1980" s="434"/>
      <c r="AP1980" s="556"/>
      <c r="AQ1980" s="556"/>
      <c r="AR1980" s="556"/>
      <c r="CF1980" s="2"/>
    </row>
    <row r="1981" spans="3:84">
      <c r="C1981" s="2"/>
      <c r="AD1981" s="502"/>
      <c r="AE1981" s="911"/>
      <c r="AF1981" s="502"/>
      <c r="AH1981" s="898"/>
      <c r="AI1981" s="502"/>
      <c r="AJ1981" s="502"/>
      <c r="AL1981" s="434"/>
      <c r="AM1981" s="436"/>
      <c r="AN1981" s="434"/>
      <c r="AO1981" s="434"/>
      <c r="AP1981" s="556"/>
      <c r="AQ1981" s="556"/>
      <c r="AR1981" s="556"/>
      <c r="CF1981" s="2"/>
    </row>
    <row r="1982" spans="3:84">
      <c r="C1982" s="2"/>
      <c r="AD1982" s="502"/>
      <c r="AE1982" s="911"/>
      <c r="AF1982" s="502"/>
      <c r="AH1982" s="898"/>
      <c r="AI1982" s="502"/>
      <c r="AJ1982" s="502"/>
      <c r="AL1982" s="434"/>
      <c r="AM1982" s="436"/>
      <c r="AN1982" s="434"/>
      <c r="AO1982" s="434"/>
      <c r="AP1982" s="556"/>
      <c r="AQ1982" s="556"/>
      <c r="AR1982" s="556"/>
      <c r="CF1982" s="2"/>
    </row>
    <row r="1983" spans="3:84">
      <c r="C1983" s="2"/>
      <c r="AD1983" s="502"/>
      <c r="AE1983" s="911"/>
      <c r="AF1983" s="502"/>
      <c r="AH1983" s="898"/>
      <c r="AI1983" s="502"/>
      <c r="AJ1983" s="502"/>
      <c r="AL1983" s="434"/>
      <c r="AM1983" s="436"/>
      <c r="AN1983" s="434"/>
      <c r="AO1983" s="434"/>
      <c r="AP1983" s="556"/>
      <c r="AQ1983" s="556"/>
      <c r="AR1983" s="556"/>
      <c r="CF1983" s="2"/>
    </row>
    <row r="1984" spans="3:84">
      <c r="C1984" s="2"/>
      <c r="AD1984" s="502"/>
      <c r="AE1984" s="911"/>
      <c r="AF1984" s="502"/>
      <c r="AH1984" s="898"/>
      <c r="AI1984" s="502"/>
      <c r="AJ1984" s="502"/>
      <c r="AL1984" s="434"/>
      <c r="AM1984" s="436"/>
      <c r="AN1984" s="434"/>
      <c r="AO1984" s="434"/>
      <c r="AP1984" s="556"/>
      <c r="AQ1984" s="556"/>
      <c r="AR1984" s="556"/>
      <c r="CF1984" s="2"/>
    </row>
    <row r="1985" spans="3:84">
      <c r="C1985" s="2"/>
      <c r="AD1985" s="502"/>
      <c r="AE1985" s="911"/>
      <c r="AF1985" s="502"/>
      <c r="AH1985" s="898"/>
      <c r="AI1985" s="502"/>
      <c r="AJ1985" s="502"/>
      <c r="AL1985" s="434"/>
      <c r="AM1985" s="436"/>
      <c r="AN1985" s="434"/>
      <c r="AO1985" s="434"/>
      <c r="AP1985" s="556"/>
      <c r="AQ1985" s="556"/>
      <c r="AR1985" s="556"/>
      <c r="CF1985" s="2"/>
    </row>
    <row r="1986" spans="3:84">
      <c r="C1986" s="2"/>
      <c r="AD1986" s="502"/>
      <c r="AE1986" s="911"/>
      <c r="AF1986" s="502"/>
      <c r="AH1986" s="898"/>
      <c r="AI1986" s="502"/>
      <c r="AJ1986" s="502"/>
      <c r="AL1986" s="434"/>
      <c r="AM1986" s="436"/>
      <c r="AN1986" s="434"/>
      <c r="AO1986" s="434"/>
      <c r="AP1986" s="556"/>
      <c r="AQ1986" s="556"/>
      <c r="AR1986" s="556"/>
      <c r="CF1986" s="2"/>
    </row>
    <row r="1987" spans="3:84">
      <c r="C1987" s="2"/>
      <c r="AD1987" s="502"/>
      <c r="AE1987" s="911"/>
      <c r="AF1987" s="502"/>
      <c r="AH1987" s="898"/>
      <c r="AI1987" s="502"/>
      <c r="AJ1987" s="502"/>
      <c r="AL1987" s="434"/>
      <c r="AM1987" s="436"/>
      <c r="AN1987" s="434"/>
      <c r="AO1987" s="434"/>
      <c r="AP1987" s="556"/>
      <c r="AQ1987" s="556"/>
      <c r="AR1987" s="556"/>
      <c r="CF1987" s="2"/>
    </row>
    <row r="1988" spans="3:84">
      <c r="C1988" s="2"/>
      <c r="AD1988" s="502"/>
      <c r="AE1988" s="911"/>
      <c r="AF1988" s="502"/>
      <c r="AH1988" s="898"/>
      <c r="AI1988" s="502"/>
      <c r="AJ1988" s="502"/>
      <c r="AL1988" s="434"/>
      <c r="AM1988" s="436"/>
      <c r="AN1988" s="434"/>
      <c r="AO1988" s="434"/>
      <c r="AP1988" s="556"/>
      <c r="AQ1988" s="556"/>
      <c r="AR1988" s="556"/>
      <c r="CF1988" s="2"/>
    </row>
    <row r="1989" spans="3:84">
      <c r="C1989" s="2"/>
      <c r="AD1989" s="502"/>
      <c r="AE1989" s="911"/>
      <c r="AF1989" s="502"/>
      <c r="AH1989" s="898"/>
      <c r="AI1989" s="502"/>
      <c r="AJ1989" s="502"/>
      <c r="AL1989" s="434"/>
      <c r="AM1989" s="436"/>
      <c r="AN1989" s="434"/>
      <c r="AO1989" s="434"/>
      <c r="AP1989" s="556"/>
      <c r="AQ1989" s="556"/>
      <c r="AR1989" s="556"/>
      <c r="CF1989" s="2"/>
    </row>
    <row r="1990" spans="3:84">
      <c r="C1990" s="2"/>
      <c r="AD1990" s="502"/>
      <c r="AE1990" s="911"/>
      <c r="AF1990" s="502"/>
      <c r="AH1990" s="898"/>
      <c r="AI1990" s="502"/>
      <c r="AJ1990" s="502"/>
      <c r="AL1990" s="434"/>
      <c r="AM1990" s="436"/>
      <c r="AN1990" s="434"/>
      <c r="AO1990" s="434"/>
      <c r="AP1990" s="556"/>
      <c r="AQ1990" s="556"/>
      <c r="AR1990" s="556"/>
      <c r="CF1990" s="2"/>
    </row>
    <row r="1991" spans="3:84">
      <c r="C1991" s="2"/>
      <c r="AD1991" s="502"/>
      <c r="AE1991" s="911"/>
      <c r="AF1991" s="502"/>
      <c r="AH1991" s="898"/>
      <c r="AI1991" s="502"/>
      <c r="AJ1991" s="502"/>
      <c r="AL1991" s="434"/>
      <c r="AM1991" s="436"/>
      <c r="AN1991" s="434"/>
      <c r="AO1991" s="434"/>
      <c r="AP1991" s="556"/>
      <c r="AQ1991" s="556"/>
      <c r="AR1991" s="556"/>
      <c r="CF1991" s="2"/>
    </row>
    <row r="1992" spans="3:84">
      <c r="C1992" s="2"/>
      <c r="AD1992" s="502"/>
      <c r="AE1992" s="911"/>
      <c r="AF1992" s="502"/>
      <c r="AH1992" s="898"/>
      <c r="AI1992" s="502"/>
      <c r="AJ1992" s="502"/>
      <c r="AL1992" s="434"/>
      <c r="AM1992" s="436"/>
      <c r="AN1992" s="434"/>
      <c r="AO1992" s="434"/>
      <c r="AP1992" s="556"/>
      <c r="AQ1992" s="556"/>
      <c r="AR1992" s="556"/>
      <c r="CF1992" s="2"/>
    </row>
    <row r="1993" spans="3:84">
      <c r="C1993" s="2"/>
      <c r="AD1993" s="502"/>
      <c r="AE1993" s="911"/>
      <c r="AF1993" s="502"/>
      <c r="AH1993" s="898"/>
      <c r="AI1993" s="502"/>
      <c r="AJ1993" s="502"/>
      <c r="AL1993" s="434"/>
      <c r="AM1993" s="436"/>
      <c r="AN1993" s="434"/>
      <c r="AO1993" s="434"/>
      <c r="AP1993" s="556"/>
      <c r="AQ1993" s="556"/>
      <c r="AR1993" s="556"/>
      <c r="CF1993" s="2"/>
    </row>
    <row r="1994" spans="3:84">
      <c r="C1994" s="2"/>
      <c r="AD1994" s="502"/>
      <c r="AE1994" s="911"/>
      <c r="AF1994" s="502"/>
      <c r="AH1994" s="898"/>
      <c r="AI1994" s="502"/>
      <c r="AJ1994" s="502"/>
      <c r="AL1994" s="434"/>
      <c r="AM1994" s="436"/>
      <c r="AN1994" s="434"/>
      <c r="AO1994" s="434"/>
      <c r="AP1994" s="556"/>
      <c r="AQ1994" s="556"/>
      <c r="AR1994" s="556"/>
      <c r="CF1994" s="2"/>
    </row>
    <row r="1995" spans="3:84">
      <c r="C1995" s="2"/>
      <c r="AD1995" s="502"/>
      <c r="AE1995" s="911"/>
      <c r="AF1995" s="502"/>
      <c r="AH1995" s="898"/>
      <c r="AI1995" s="502"/>
      <c r="AJ1995" s="502"/>
      <c r="AL1995" s="434"/>
      <c r="AM1995" s="436"/>
      <c r="AN1995" s="434"/>
      <c r="AO1995" s="434"/>
      <c r="AP1995" s="556"/>
      <c r="AQ1995" s="556"/>
      <c r="AR1995" s="556"/>
      <c r="CF1995" s="2"/>
    </row>
    <row r="1996" spans="3:84">
      <c r="C1996" s="2"/>
      <c r="AD1996" s="502"/>
      <c r="AE1996" s="911"/>
      <c r="AF1996" s="502"/>
      <c r="AH1996" s="898"/>
      <c r="AI1996" s="502"/>
      <c r="AJ1996" s="502"/>
      <c r="AL1996" s="434"/>
      <c r="AM1996" s="436"/>
      <c r="AN1996" s="434"/>
      <c r="AO1996" s="434"/>
      <c r="AP1996" s="556"/>
      <c r="AQ1996" s="556"/>
      <c r="AR1996" s="556"/>
      <c r="CF1996" s="2"/>
    </row>
    <row r="1997" spans="3:84">
      <c r="C1997" s="2"/>
      <c r="AD1997" s="502"/>
      <c r="AE1997" s="911"/>
      <c r="AF1997" s="502"/>
      <c r="AH1997" s="898"/>
      <c r="AI1997" s="502"/>
      <c r="AJ1997" s="502"/>
      <c r="AL1997" s="434"/>
      <c r="AM1997" s="436"/>
      <c r="AN1997" s="434"/>
      <c r="AO1997" s="434"/>
      <c r="AP1997" s="556"/>
      <c r="AQ1997" s="556"/>
      <c r="AR1997" s="556"/>
      <c r="CF1997" s="2"/>
    </row>
    <row r="1998" spans="3:84">
      <c r="C1998" s="2"/>
      <c r="AD1998" s="502"/>
      <c r="AE1998" s="911"/>
      <c r="AF1998" s="502"/>
      <c r="AH1998" s="898"/>
      <c r="AI1998" s="502"/>
      <c r="AJ1998" s="502"/>
      <c r="AL1998" s="434"/>
      <c r="AM1998" s="436"/>
      <c r="AN1998" s="434"/>
      <c r="AO1998" s="434"/>
      <c r="AP1998" s="556"/>
      <c r="AQ1998" s="556"/>
      <c r="AR1998" s="556"/>
      <c r="CF1998" s="2"/>
    </row>
    <row r="1999" spans="3:84">
      <c r="C1999" s="2"/>
      <c r="AD1999" s="502"/>
      <c r="AE1999" s="911"/>
      <c r="AF1999" s="502"/>
      <c r="AH1999" s="898"/>
      <c r="AI1999" s="502"/>
      <c r="AJ1999" s="502"/>
      <c r="AL1999" s="434"/>
      <c r="AM1999" s="436"/>
      <c r="AN1999" s="434"/>
      <c r="AO1999" s="434"/>
      <c r="AP1999" s="556"/>
      <c r="AQ1999" s="556"/>
      <c r="AR1999" s="556"/>
      <c r="CF1999" s="2"/>
    </row>
    <row r="2000" spans="3:84">
      <c r="C2000" s="2"/>
      <c r="AD2000" s="502"/>
      <c r="AE2000" s="911"/>
      <c r="AF2000" s="502"/>
      <c r="AH2000" s="898"/>
      <c r="AI2000" s="502"/>
      <c r="AJ2000" s="502"/>
      <c r="AL2000" s="434"/>
      <c r="AM2000" s="436"/>
      <c r="AN2000" s="434"/>
      <c r="AO2000" s="434"/>
      <c r="AP2000" s="556"/>
      <c r="AQ2000" s="556"/>
      <c r="AR2000" s="556"/>
      <c r="CF2000" s="2"/>
    </row>
    <row r="2001" spans="3:84">
      <c r="C2001" s="2"/>
      <c r="AD2001" s="502"/>
      <c r="AE2001" s="911"/>
      <c r="AF2001" s="502"/>
      <c r="AH2001" s="898"/>
      <c r="AI2001" s="502"/>
      <c r="AJ2001" s="502"/>
      <c r="AL2001" s="434"/>
      <c r="AM2001" s="436"/>
      <c r="AN2001" s="434"/>
      <c r="AO2001" s="434"/>
      <c r="AP2001" s="556"/>
      <c r="AQ2001" s="556"/>
      <c r="AR2001" s="556"/>
      <c r="CF2001" s="2"/>
    </row>
    <row r="2002" spans="3:84">
      <c r="C2002" s="2"/>
      <c r="AD2002" s="502"/>
      <c r="AE2002" s="911"/>
      <c r="AF2002" s="502"/>
      <c r="AH2002" s="898"/>
      <c r="AI2002" s="502"/>
      <c r="AJ2002" s="502"/>
      <c r="AL2002" s="434"/>
      <c r="AM2002" s="436"/>
      <c r="AN2002" s="434"/>
      <c r="AO2002" s="434"/>
      <c r="AP2002" s="556"/>
      <c r="AQ2002" s="556"/>
      <c r="AR2002" s="556"/>
      <c r="CF2002" s="2"/>
    </row>
    <row r="2003" spans="3:84">
      <c r="C2003" s="2"/>
      <c r="AD2003" s="502"/>
      <c r="AE2003" s="911"/>
      <c r="AF2003" s="502"/>
      <c r="AH2003" s="898"/>
      <c r="AI2003" s="502"/>
      <c r="AJ2003" s="502"/>
      <c r="AL2003" s="434"/>
      <c r="AM2003" s="436"/>
      <c r="AN2003" s="434"/>
      <c r="AO2003" s="434"/>
      <c r="AP2003" s="556"/>
      <c r="AQ2003" s="556"/>
      <c r="AR2003" s="556"/>
      <c r="CF2003" s="2"/>
    </row>
    <row r="2004" spans="3:84">
      <c r="C2004" s="2"/>
      <c r="AD2004" s="502"/>
      <c r="AE2004" s="911"/>
      <c r="AF2004" s="502"/>
      <c r="AH2004" s="898"/>
      <c r="AI2004" s="502"/>
      <c r="AJ2004" s="502"/>
      <c r="AL2004" s="434"/>
      <c r="AM2004" s="436"/>
      <c r="AN2004" s="434"/>
      <c r="AO2004" s="434"/>
      <c r="AP2004" s="556"/>
      <c r="AQ2004" s="556"/>
      <c r="AR2004" s="556"/>
      <c r="CF2004" s="2"/>
    </row>
    <row r="2005" spans="3:84">
      <c r="C2005" s="2"/>
      <c r="AD2005" s="502"/>
      <c r="AE2005" s="911"/>
      <c r="AF2005" s="502"/>
      <c r="AH2005" s="898"/>
      <c r="AI2005" s="502"/>
      <c r="AJ2005" s="502"/>
      <c r="AL2005" s="434"/>
      <c r="AM2005" s="436"/>
      <c r="AN2005" s="434"/>
      <c r="AO2005" s="434"/>
      <c r="AP2005" s="556"/>
      <c r="AQ2005" s="556"/>
      <c r="AR2005" s="556"/>
      <c r="CF2005" s="2"/>
    </row>
    <row r="2006" spans="3:84">
      <c r="C2006" s="2"/>
      <c r="AD2006" s="502"/>
      <c r="AE2006" s="911"/>
      <c r="AF2006" s="502"/>
      <c r="AH2006" s="898"/>
      <c r="AI2006" s="502"/>
      <c r="AJ2006" s="502"/>
      <c r="AL2006" s="434"/>
      <c r="AM2006" s="436"/>
      <c r="AN2006" s="434"/>
      <c r="AO2006" s="434"/>
      <c r="AP2006" s="556"/>
      <c r="AQ2006" s="556"/>
      <c r="AR2006" s="556"/>
      <c r="CF2006" s="2"/>
    </row>
    <row r="2007" spans="3:84">
      <c r="C2007" s="2"/>
      <c r="AD2007" s="502"/>
      <c r="AE2007" s="911"/>
      <c r="AF2007" s="502"/>
      <c r="AH2007" s="898"/>
      <c r="AI2007" s="502"/>
      <c r="AJ2007" s="502"/>
      <c r="AL2007" s="434"/>
      <c r="AM2007" s="436"/>
      <c r="AN2007" s="434"/>
      <c r="AO2007" s="434"/>
      <c r="AP2007" s="556"/>
      <c r="AQ2007" s="556"/>
      <c r="AR2007" s="556"/>
      <c r="CF2007" s="2"/>
    </row>
    <row r="2008" spans="3:84">
      <c r="C2008" s="2"/>
      <c r="AD2008" s="502"/>
      <c r="AE2008" s="911"/>
      <c r="AF2008" s="502"/>
      <c r="AH2008" s="898"/>
      <c r="AI2008" s="502"/>
      <c r="AJ2008" s="502"/>
      <c r="AL2008" s="434"/>
      <c r="AM2008" s="436"/>
      <c r="AN2008" s="434"/>
      <c r="AO2008" s="434"/>
      <c r="AP2008" s="556"/>
      <c r="AQ2008" s="556"/>
      <c r="AR2008" s="556"/>
      <c r="CF2008" s="2"/>
    </row>
    <row r="2009" spans="3:84">
      <c r="C2009" s="2"/>
      <c r="AD2009" s="502"/>
      <c r="AE2009" s="911"/>
      <c r="AF2009" s="502"/>
      <c r="AH2009" s="898"/>
      <c r="AI2009" s="502"/>
      <c r="AJ2009" s="502"/>
      <c r="AL2009" s="434"/>
      <c r="AM2009" s="436"/>
      <c r="AN2009" s="434"/>
      <c r="AO2009" s="434"/>
      <c r="AP2009" s="556"/>
      <c r="AQ2009" s="556"/>
      <c r="AR2009" s="556"/>
      <c r="CF2009" s="2"/>
    </row>
    <row r="2010" spans="3:84">
      <c r="C2010" s="2"/>
      <c r="AD2010" s="502"/>
      <c r="AE2010" s="911"/>
      <c r="AF2010" s="502"/>
      <c r="AH2010" s="898"/>
      <c r="AI2010" s="502"/>
      <c r="AJ2010" s="502"/>
      <c r="AL2010" s="434"/>
      <c r="AM2010" s="436"/>
      <c r="AN2010" s="434"/>
      <c r="AO2010" s="434"/>
      <c r="AP2010" s="556"/>
      <c r="AQ2010" s="556"/>
      <c r="AR2010" s="556"/>
      <c r="CF2010" s="2"/>
    </row>
    <row r="2011" spans="3:84">
      <c r="C2011" s="2"/>
      <c r="AD2011" s="502"/>
      <c r="AE2011" s="911"/>
      <c r="AF2011" s="502"/>
      <c r="AH2011" s="898"/>
      <c r="AI2011" s="502"/>
      <c r="AJ2011" s="502"/>
      <c r="AL2011" s="434"/>
      <c r="AM2011" s="436"/>
      <c r="AN2011" s="434"/>
      <c r="AO2011" s="434"/>
      <c r="AP2011" s="556"/>
      <c r="AQ2011" s="556"/>
      <c r="AR2011" s="556"/>
      <c r="CF2011" s="2"/>
    </row>
    <row r="2012" spans="3:84">
      <c r="C2012" s="2"/>
      <c r="AD2012" s="502"/>
      <c r="AE2012" s="911"/>
      <c r="AF2012" s="502"/>
      <c r="AH2012" s="898"/>
      <c r="AI2012" s="502"/>
      <c r="AJ2012" s="502"/>
      <c r="AL2012" s="434"/>
      <c r="AM2012" s="436"/>
      <c r="AN2012" s="434"/>
      <c r="AO2012" s="434"/>
      <c r="AP2012" s="556"/>
      <c r="AQ2012" s="556"/>
      <c r="AR2012" s="556"/>
      <c r="CF2012" s="2"/>
    </row>
    <row r="2013" spans="3:84">
      <c r="C2013" s="2"/>
      <c r="AD2013" s="502"/>
      <c r="AE2013" s="911"/>
      <c r="AF2013" s="502"/>
      <c r="AH2013" s="898"/>
      <c r="AI2013" s="502"/>
      <c r="AJ2013" s="502"/>
      <c r="AL2013" s="434"/>
      <c r="AM2013" s="436"/>
      <c r="AN2013" s="434"/>
      <c r="AO2013" s="434"/>
      <c r="AP2013" s="556"/>
      <c r="AQ2013" s="556"/>
      <c r="AR2013" s="556"/>
      <c r="CF2013" s="2"/>
    </row>
    <row r="2014" spans="3:84">
      <c r="C2014" s="2"/>
      <c r="AD2014" s="502"/>
      <c r="AE2014" s="911"/>
      <c r="AF2014" s="502"/>
      <c r="AH2014" s="898"/>
      <c r="AI2014" s="502"/>
      <c r="AJ2014" s="502"/>
      <c r="AL2014" s="434"/>
      <c r="AM2014" s="436"/>
      <c r="AN2014" s="434"/>
      <c r="AO2014" s="434"/>
      <c r="AP2014" s="556"/>
      <c r="AQ2014" s="556"/>
      <c r="AR2014" s="556"/>
      <c r="CF2014" s="2"/>
    </row>
    <row r="2015" spans="3:84">
      <c r="C2015" s="2"/>
      <c r="AD2015" s="502"/>
      <c r="AE2015" s="911"/>
      <c r="AF2015" s="502"/>
      <c r="AH2015" s="898"/>
      <c r="AI2015" s="502"/>
      <c r="AJ2015" s="502"/>
      <c r="AL2015" s="434"/>
      <c r="AM2015" s="436"/>
      <c r="AN2015" s="434"/>
      <c r="AO2015" s="434"/>
      <c r="AP2015" s="556"/>
      <c r="AQ2015" s="556"/>
      <c r="AR2015" s="556"/>
      <c r="CF2015" s="2"/>
    </row>
    <row r="2016" spans="3:84">
      <c r="C2016" s="2"/>
      <c r="AD2016" s="502"/>
      <c r="AE2016" s="911"/>
      <c r="AF2016" s="502"/>
      <c r="AH2016" s="898"/>
      <c r="AI2016" s="502"/>
      <c r="AJ2016" s="502"/>
      <c r="AL2016" s="434"/>
      <c r="AM2016" s="436"/>
      <c r="AN2016" s="434"/>
      <c r="AO2016" s="434"/>
      <c r="AP2016" s="556"/>
      <c r="AQ2016" s="556"/>
      <c r="AR2016" s="556"/>
      <c r="CF2016" s="2"/>
    </row>
    <row r="2017" spans="3:84">
      <c r="C2017" s="2"/>
      <c r="AD2017" s="502"/>
      <c r="AE2017" s="911"/>
      <c r="AF2017" s="502"/>
      <c r="AH2017" s="898"/>
      <c r="AI2017" s="502"/>
      <c r="AJ2017" s="502"/>
      <c r="AL2017" s="434"/>
      <c r="AM2017" s="436"/>
      <c r="AN2017" s="434"/>
      <c r="AO2017" s="434"/>
      <c r="AP2017" s="556"/>
      <c r="AQ2017" s="556"/>
      <c r="AR2017" s="556"/>
      <c r="CF2017" s="2"/>
    </row>
    <row r="2018" spans="3:84">
      <c r="C2018" s="2"/>
      <c r="AD2018" s="502"/>
      <c r="AE2018" s="911"/>
      <c r="AF2018" s="502"/>
      <c r="AH2018" s="898"/>
      <c r="AI2018" s="502"/>
      <c r="AJ2018" s="502"/>
      <c r="AL2018" s="434"/>
      <c r="AM2018" s="436"/>
      <c r="AN2018" s="434"/>
      <c r="AO2018" s="434"/>
      <c r="AP2018" s="556"/>
      <c r="AQ2018" s="556"/>
      <c r="AR2018" s="556"/>
      <c r="CF2018" s="2"/>
    </row>
    <row r="2019" spans="3:84">
      <c r="C2019" s="2"/>
      <c r="AD2019" s="502"/>
      <c r="AE2019" s="911"/>
      <c r="AF2019" s="502"/>
      <c r="AH2019" s="898"/>
      <c r="AI2019" s="502"/>
      <c r="AJ2019" s="502"/>
      <c r="AL2019" s="434"/>
      <c r="AM2019" s="436"/>
      <c r="AN2019" s="434"/>
      <c r="AO2019" s="434"/>
      <c r="AP2019" s="556"/>
      <c r="AQ2019" s="556"/>
      <c r="AR2019" s="556"/>
      <c r="CF2019" s="2"/>
    </row>
    <row r="2020" spans="3:84">
      <c r="C2020" s="2"/>
      <c r="AD2020" s="502"/>
      <c r="AE2020" s="911"/>
      <c r="AF2020" s="502"/>
      <c r="AH2020" s="898"/>
      <c r="AI2020" s="502"/>
      <c r="AJ2020" s="502"/>
      <c r="AL2020" s="434"/>
      <c r="AM2020" s="436"/>
      <c r="AN2020" s="434"/>
      <c r="AO2020" s="434"/>
      <c r="AP2020" s="556"/>
      <c r="AQ2020" s="556"/>
      <c r="AR2020" s="556"/>
      <c r="CF2020" s="2"/>
    </row>
    <row r="2021" spans="3:84">
      <c r="C2021" s="2"/>
      <c r="AD2021" s="502"/>
      <c r="AE2021" s="911"/>
      <c r="AF2021" s="502"/>
      <c r="AH2021" s="898"/>
      <c r="AI2021" s="502"/>
      <c r="AJ2021" s="502"/>
      <c r="AL2021" s="434"/>
      <c r="AM2021" s="436"/>
      <c r="AN2021" s="434"/>
      <c r="AO2021" s="434"/>
      <c r="AP2021" s="556"/>
      <c r="AQ2021" s="556"/>
      <c r="AR2021" s="556"/>
      <c r="CF2021" s="2"/>
    </row>
    <row r="2022" spans="3:84">
      <c r="C2022" s="2"/>
      <c r="AD2022" s="502"/>
      <c r="AE2022" s="911"/>
      <c r="AF2022" s="502"/>
      <c r="AH2022" s="898"/>
      <c r="AI2022" s="502"/>
      <c r="AJ2022" s="502"/>
      <c r="AL2022" s="434"/>
      <c r="AM2022" s="436"/>
      <c r="AN2022" s="434"/>
      <c r="AO2022" s="434"/>
      <c r="AP2022" s="556"/>
      <c r="AQ2022" s="556"/>
      <c r="AR2022" s="556"/>
      <c r="CF2022" s="2"/>
    </row>
    <row r="2023" spans="3:84">
      <c r="C2023" s="2"/>
      <c r="AD2023" s="502"/>
      <c r="AE2023" s="911"/>
      <c r="AF2023" s="502"/>
      <c r="AH2023" s="898"/>
      <c r="AI2023" s="502"/>
      <c r="AJ2023" s="502"/>
      <c r="AL2023" s="434"/>
      <c r="AM2023" s="436"/>
      <c r="AN2023" s="434"/>
      <c r="AO2023" s="434"/>
      <c r="AP2023" s="556"/>
      <c r="AQ2023" s="556"/>
      <c r="AR2023" s="556"/>
      <c r="CF2023" s="2"/>
    </row>
    <row r="2024" spans="3:84">
      <c r="C2024" s="2"/>
      <c r="AD2024" s="502"/>
      <c r="AE2024" s="911"/>
      <c r="AF2024" s="502"/>
      <c r="AH2024" s="898"/>
      <c r="AI2024" s="502"/>
      <c r="AJ2024" s="502"/>
      <c r="AL2024" s="434"/>
      <c r="AM2024" s="436"/>
      <c r="AN2024" s="434"/>
      <c r="AO2024" s="434"/>
      <c r="AP2024" s="556"/>
      <c r="AQ2024" s="556"/>
      <c r="AR2024" s="556"/>
      <c r="CF2024" s="2"/>
    </row>
    <row r="2025" spans="3:84">
      <c r="C2025" s="2"/>
      <c r="AD2025" s="502"/>
      <c r="AE2025" s="911"/>
      <c r="AF2025" s="502"/>
      <c r="AH2025" s="898"/>
      <c r="AI2025" s="502"/>
      <c r="AJ2025" s="502"/>
      <c r="AL2025" s="434"/>
      <c r="AM2025" s="436"/>
      <c r="AN2025" s="434"/>
      <c r="AO2025" s="434"/>
      <c r="AP2025" s="556"/>
      <c r="AQ2025" s="556"/>
      <c r="AR2025" s="556"/>
      <c r="CF2025" s="2"/>
    </row>
    <row r="2026" spans="3:84">
      <c r="C2026" s="2"/>
      <c r="AD2026" s="502"/>
      <c r="AE2026" s="911"/>
      <c r="AF2026" s="502"/>
      <c r="AH2026" s="898"/>
      <c r="AI2026" s="502"/>
      <c r="AJ2026" s="502"/>
      <c r="AL2026" s="434"/>
      <c r="AM2026" s="436"/>
      <c r="AN2026" s="434"/>
      <c r="AO2026" s="434"/>
      <c r="AP2026" s="556"/>
      <c r="AQ2026" s="556"/>
      <c r="AR2026" s="556"/>
      <c r="CF2026" s="2"/>
    </row>
    <row r="2027" spans="3:84">
      <c r="C2027" s="2"/>
      <c r="AD2027" s="502"/>
      <c r="AE2027" s="911"/>
      <c r="AF2027" s="502"/>
      <c r="AH2027" s="898"/>
      <c r="AI2027" s="502"/>
      <c r="AJ2027" s="502"/>
      <c r="AL2027" s="434"/>
      <c r="AM2027" s="436"/>
      <c r="AN2027" s="434"/>
      <c r="AO2027" s="434"/>
      <c r="AP2027" s="556"/>
      <c r="AQ2027" s="556"/>
      <c r="AR2027" s="556"/>
      <c r="CF2027" s="2"/>
    </row>
    <row r="2028" spans="3:84">
      <c r="C2028" s="2"/>
      <c r="AD2028" s="502"/>
      <c r="AE2028" s="911"/>
      <c r="AF2028" s="502"/>
      <c r="AH2028" s="898"/>
      <c r="AI2028" s="502"/>
      <c r="AJ2028" s="502"/>
      <c r="AL2028" s="434"/>
      <c r="AM2028" s="436"/>
      <c r="AN2028" s="434"/>
      <c r="AO2028" s="434"/>
      <c r="AP2028" s="556"/>
      <c r="AQ2028" s="556"/>
      <c r="AR2028" s="556"/>
      <c r="CF2028" s="2"/>
    </row>
    <row r="2029" spans="3:84">
      <c r="C2029" s="2"/>
      <c r="AD2029" s="502"/>
      <c r="AE2029" s="911"/>
      <c r="AF2029" s="502"/>
      <c r="AH2029" s="898"/>
      <c r="AI2029" s="502"/>
      <c r="AJ2029" s="502"/>
      <c r="AL2029" s="434"/>
      <c r="AM2029" s="436"/>
      <c r="AN2029" s="434"/>
      <c r="AO2029" s="434"/>
      <c r="AP2029" s="556"/>
      <c r="AQ2029" s="556"/>
      <c r="AR2029" s="556"/>
      <c r="CF2029" s="2"/>
    </row>
    <row r="2030" spans="3:84">
      <c r="C2030" s="2"/>
      <c r="AD2030" s="502"/>
      <c r="AE2030" s="911"/>
      <c r="AF2030" s="502"/>
      <c r="AH2030" s="898"/>
      <c r="AI2030" s="502"/>
      <c r="AJ2030" s="502"/>
      <c r="AL2030" s="434"/>
      <c r="AM2030" s="436"/>
      <c r="AN2030" s="434"/>
      <c r="AO2030" s="434"/>
      <c r="AP2030" s="556"/>
      <c r="AQ2030" s="556"/>
      <c r="AR2030" s="556"/>
      <c r="CF2030" s="2"/>
    </row>
    <row r="2031" spans="3:84">
      <c r="C2031" s="2"/>
      <c r="AD2031" s="502"/>
      <c r="AE2031" s="911"/>
      <c r="AF2031" s="502"/>
      <c r="AH2031" s="898"/>
      <c r="AI2031" s="502"/>
      <c r="AJ2031" s="502"/>
      <c r="AL2031" s="434"/>
      <c r="AM2031" s="436"/>
      <c r="AN2031" s="434"/>
      <c r="AO2031" s="434"/>
      <c r="AP2031" s="556"/>
      <c r="AQ2031" s="556"/>
      <c r="AR2031" s="556"/>
      <c r="CF2031" s="2"/>
    </row>
    <row r="2032" spans="3:84">
      <c r="C2032" s="2"/>
      <c r="AD2032" s="502"/>
      <c r="AE2032" s="911"/>
      <c r="AF2032" s="502"/>
      <c r="AH2032" s="898"/>
      <c r="AI2032" s="502"/>
      <c r="AJ2032" s="502"/>
      <c r="AL2032" s="434"/>
      <c r="AM2032" s="436"/>
      <c r="AN2032" s="434"/>
      <c r="AO2032" s="434"/>
      <c r="AP2032" s="556"/>
      <c r="AQ2032" s="556"/>
      <c r="AR2032" s="556"/>
      <c r="CF2032" s="2"/>
    </row>
    <row r="2033" spans="3:84">
      <c r="C2033" s="2"/>
      <c r="AD2033" s="502"/>
      <c r="AE2033" s="911"/>
      <c r="AF2033" s="502"/>
      <c r="AH2033" s="898"/>
      <c r="AI2033" s="502"/>
      <c r="AJ2033" s="502"/>
      <c r="AL2033" s="434"/>
      <c r="AM2033" s="436"/>
      <c r="AN2033" s="434"/>
      <c r="AO2033" s="434"/>
      <c r="AP2033" s="556"/>
      <c r="AQ2033" s="556"/>
      <c r="AR2033" s="556"/>
      <c r="CF2033" s="2"/>
    </row>
    <row r="2034" spans="3:84">
      <c r="C2034" s="2"/>
      <c r="AD2034" s="502"/>
      <c r="AE2034" s="911"/>
      <c r="AF2034" s="502"/>
      <c r="AH2034" s="898"/>
      <c r="AI2034" s="502"/>
      <c r="AJ2034" s="502"/>
      <c r="AL2034" s="434"/>
      <c r="AM2034" s="436"/>
      <c r="AN2034" s="434"/>
      <c r="AO2034" s="434"/>
      <c r="AP2034" s="556"/>
      <c r="AQ2034" s="556"/>
      <c r="AR2034" s="556"/>
      <c r="CF2034" s="2"/>
    </row>
    <row r="2035" spans="3:84">
      <c r="C2035" s="2"/>
      <c r="AD2035" s="502"/>
      <c r="AE2035" s="911"/>
      <c r="AF2035" s="502"/>
      <c r="AH2035" s="898"/>
      <c r="AI2035" s="502"/>
      <c r="AJ2035" s="502"/>
      <c r="AL2035" s="434"/>
      <c r="AM2035" s="436"/>
      <c r="AN2035" s="434"/>
      <c r="AO2035" s="434"/>
      <c r="AP2035" s="556"/>
      <c r="AQ2035" s="556"/>
      <c r="AR2035" s="556"/>
      <c r="CF2035" s="2"/>
    </row>
    <row r="2036" spans="3:84">
      <c r="C2036" s="2"/>
      <c r="AD2036" s="502"/>
      <c r="AE2036" s="911"/>
      <c r="AF2036" s="502"/>
      <c r="AH2036" s="898"/>
      <c r="AI2036" s="502"/>
      <c r="AJ2036" s="502"/>
      <c r="AL2036" s="434"/>
      <c r="AM2036" s="436"/>
      <c r="AN2036" s="434"/>
      <c r="AO2036" s="434"/>
      <c r="AP2036" s="556"/>
      <c r="AQ2036" s="556"/>
      <c r="AR2036" s="556"/>
      <c r="CF2036" s="2"/>
    </row>
    <row r="2037" spans="3:84">
      <c r="C2037" s="2"/>
      <c r="AD2037" s="502"/>
      <c r="AE2037" s="911"/>
      <c r="AF2037" s="502"/>
      <c r="AH2037" s="898"/>
      <c r="AI2037" s="502"/>
      <c r="AJ2037" s="502"/>
      <c r="AL2037" s="434"/>
      <c r="AM2037" s="436"/>
      <c r="AN2037" s="434"/>
      <c r="AO2037" s="434"/>
      <c r="AP2037" s="556"/>
      <c r="AQ2037" s="556"/>
      <c r="AR2037" s="556"/>
      <c r="CF2037" s="2"/>
    </row>
    <row r="2038" spans="3:84">
      <c r="C2038" s="2"/>
      <c r="AD2038" s="502"/>
      <c r="AE2038" s="911"/>
      <c r="AF2038" s="502"/>
      <c r="AH2038" s="898"/>
      <c r="AI2038" s="502"/>
      <c r="AJ2038" s="502"/>
      <c r="AL2038" s="434"/>
      <c r="AM2038" s="436"/>
      <c r="AN2038" s="434"/>
      <c r="AO2038" s="434"/>
      <c r="AP2038" s="556"/>
      <c r="AQ2038" s="556"/>
      <c r="AR2038" s="556"/>
      <c r="CF2038" s="2"/>
    </row>
    <row r="2039" spans="3:84">
      <c r="C2039" s="2"/>
      <c r="AD2039" s="502"/>
      <c r="AE2039" s="911"/>
      <c r="AF2039" s="502"/>
      <c r="AH2039" s="898"/>
      <c r="AI2039" s="502"/>
      <c r="AJ2039" s="502"/>
      <c r="AL2039" s="434"/>
      <c r="AM2039" s="436"/>
      <c r="AN2039" s="434"/>
      <c r="AO2039" s="434"/>
      <c r="AP2039" s="556"/>
      <c r="AQ2039" s="556"/>
      <c r="AR2039" s="556"/>
      <c r="CF2039" s="2"/>
    </row>
    <row r="2040" spans="3:84">
      <c r="C2040" s="2"/>
      <c r="AD2040" s="502"/>
      <c r="AE2040" s="911"/>
      <c r="AF2040" s="502"/>
      <c r="AH2040" s="898"/>
      <c r="AI2040" s="502"/>
      <c r="AJ2040" s="502"/>
      <c r="AL2040" s="434"/>
      <c r="AM2040" s="436"/>
      <c r="AN2040" s="434"/>
      <c r="AO2040" s="434"/>
      <c r="AP2040" s="556"/>
      <c r="AQ2040" s="556"/>
      <c r="AR2040" s="556"/>
      <c r="CF2040" s="2"/>
    </row>
    <row r="2041" spans="3:84">
      <c r="C2041" s="2"/>
      <c r="AD2041" s="502"/>
      <c r="AE2041" s="911"/>
      <c r="AF2041" s="502"/>
      <c r="AH2041" s="898"/>
      <c r="AI2041" s="502"/>
      <c r="AJ2041" s="502"/>
      <c r="AL2041" s="434"/>
      <c r="AM2041" s="436"/>
      <c r="AN2041" s="434"/>
      <c r="AO2041" s="434"/>
      <c r="AP2041" s="556"/>
      <c r="AQ2041" s="556"/>
      <c r="AR2041" s="556"/>
      <c r="CF2041" s="2"/>
    </row>
    <row r="2042" spans="3:84">
      <c r="C2042" s="2"/>
      <c r="AD2042" s="502"/>
      <c r="AE2042" s="911"/>
      <c r="AF2042" s="502"/>
      <c r="AH2042" s="898"/>
      <c r="AI2042" s="502"/>
      <c r="AJ2042" s="502"/>
      <c r="AL2042" s="434"/>
      <c r="AM2042" s="436"/>
      <c r="AN2042" s="434"/>
      <c r="AO2042" s="434"/>
      <c r="AP2042" s="556"/>
      <c r="AQ2042" s="556"/>
      <c r="AR2042" s="556"/>
      <c r="CF2042" s="2"/>
    </row>
    <row r="2043" spans="3:84">
      <c r="C2043" s="2"/>
      <c r="AD2043" s="502"/>
      <c r="AE2043" s="911"/>
      <c r="AF2043" s="502"/>
      <c r="AH2043" s="898"/>
      <c r="AI2043" s="502"/>
      <c r="AJ2043" s="502"/>
      <c r="AL2043" s="434"/>
      <c r="AM2043" s="436"/>
      <c r="AN2043" s="434"/>
      <c r="AO2043" s="434"/>
      <c r="AP2043" s="556"/>
      <c r="AQ2043" s="556"/>
      <c r="AR2043" s="556"/>
      <c r="CF2043" s="2"/>
    </row>
    <row r="2044" spans="3:84">
      <c r="C2044" s="2"/>
      <c r="AD2044" s="502"/>
      <c r="AE2044" s="911"/>
      <c r="AF2044" s="502"/>
      <c r="AH2044" s="898"/>
      <c r="AI2044" s="502"/>
      <c r="AJ2044" s="502"/>
      <c r="AL2044" s="434"/>
      <c r="AM2044" s="436"/>
      <c r="AN2044" s="434"/>
      <c r="AO2044" s="434"/>
      <c r="AP2044" s="556"/>
      <c r="AQ2044" s="556"/>
      <c r="AR2044" s="556"/>
      <c r="CF2044" s="2"/>
    </row>
    <row r="2045" spans="3:84">
      <c r="C2045" s="2"/>
      <c r="AD2045" s="502"/>
      <c r="AE2045" s="911"/>
      <c r="AF2045" s="502"/>
      <c r="AH2045" s="898"/>
      <c r="AI2045" s="502"/>
      <c r="AJ2045" s="502"/>
      <c r="AL2045" s="434"/>
      <c r="AM2045" s="436"/>
      <c r="AN2045" s="434"/>
      <c r="AO2045" s="434"/>
      <c r="AP2045" s="556"/>
      <c r="AQ2045" s="556"/>
      <c r="AR2045" s="556"/>
      <c r="CF2045" s="2"/>
    </row>
    <row r="2046" spans="3:84">
      <c r="C2046" s="2"/>
      <c r="AD2046" s="502"/>
      <c r="AE2046" s="911"/>
      <c r="AF2046" s="502"/>
      <c r="AH2046" s="898"/>
      <c r="AI2046" s="502"/>
      <c r="AJ2046" s="502"/>
      <c r="AL2046" s="434"/>
      <c r="AM2046" s="436"/>
      <c r="AN2046" s="434"/>
      <c r="AO2046" s="434"/>
      <c r="AP2046" s="556"/>
      <c r="AQ2046" s="556"/>
      <c r="AR2046" s="556"/>
      <c r="CF2046" s="2"/>
    </row>
    <row r="2047" spans="3:84">
      <c r="C2047" s="2"/>
      <c r="AD2047" s="502"/>
      <c r="AE2047" s="911"/>
      <c r="AF2047" s="502"/>
      <c r="AH2047" s="898"/>
      <c r="AI2047" s="502"/>
      <c r="AJ2047" s="502"/>
      <c r="AL2047" s="434"/>
      <c r="AM2047" s="436"/>
      <c r="AN2047" s="434"/>
      <c r="AO2047" s="434"/>
      <c r="AP2047" s="556"/>
      <c r="AQ2047" s="556"/>
      <c r="AR2047" s="556"/>
      <c r="CF2047" s="2"/>
    </row>
    <row r="2048" spans="3:84">
      <c r="C2048" s="2"/>
      <c r="AD2048" s="502"/>
      <c r="AE2048" s="911"/>
      <c r="AF2048" s="502"/>
      <c r="AH2048" s="898"/>
      <c r="AI2048" s="502"/>
      <c r="AJ2048" s="502"/>
      <c r="AL2048" s="434"/>
      <c r="AM2048" s="436"/>
      <c r="AN2048" s="434"/>
      <c r="AO2048" s="434"/>
      <c r="AP2048" s="556"/>
      <c r="AQ2048" s="556"/>
      <c r="AR2048" s="556"/>
      <c r="CF2048" s="2"/>
    </row>
    <row r="2049" spans="3:84">
      <c r="C2049" s="2"/>
      <c r="AD2049" s="502"/>
      <c r="AE2049" s="911"/>
      <c r="AF2049" s="502"/>
      <c r="AH2049" s="898"/>
      <c r="AI2049" s="502"/>
      <c r="AJ2049" s="502"/>
      <c r="AL2049" s="434"/>
      <c r="AM2049" s="436"/>
      <c r="AN2049" s="434"/>
      <c r="AO2049" s="434"/>
      <c r="AP2049" s="556"/>
      <c r="AQ2049" s="556"/>
      <c r="AR2049" s="556"/>
      <c r="CF2049" s="2"/>
    </row>
    <row r="2050" spans="3:84">
      <c r="C2050" s="2"/>
      <c r="AD2050" s="502"/>
      <c r="AE2050" s="911"/>
      <c r="AF2050" s="502"/>
      <c r="AH2050" s="898"/>
      <c r="AI2050" s="502"/>
      <c r="AJ2050" s="502"/>
      <c r="AL2050" s="434"/>
      <c r="AM2050" s="436"/>
      <c r="AN2050" s="434"/>
      <c r="AO2050" s="434"/>
      <c r="AP2050" s="556"/>
      <c r="AQ2050" s="556"/>
      <c r="AR2050" s="556"/>
      <c r="CF2050" s="2"/>
    </row>
    <row r="2051" spans="3:84">
      <c r="C2051" s="2"/>
      <c r="AD2051" s="502"/>
      <c r="AE2051" s="911"/>
      <c r="AF2051" s="502"/>
      <c r="AH2051" s="898"/>
      <c r="AI2051" s="502"/>
      <c r="AJ2051" s="502"/>
      <c r="AL2051" s="434"/>
      <c r="AM2051" s="436"/>
      <c r="AN2051" s="434"/>
      <c r="AO2051" s="434"/>
      <c r="AP2051" s="556"/>
      <c r="AQ2051" s="556"/>
      <c r="AR2051" s="556"/>
      <c r="CF2051" s="2"/>
    </row>
    <row r="2052" spans="3:84">
      <c r="C2052" s="2"/>
      <c r="AD2052" s="502"/>
      <c r="AE2052" s="911"/>
      <c r="AF2052" s="502"/>
      <c r="AH2052" s="898"/>
      <c r="AI2052" s="502"/>
      <c r="AJ2052" s="502"/>
      <c r="AL2052" s="434"/>
      <c r="AM2052" s="436"/>
      <c r="AN2052" s="434"/>
      <c r="AO2052" s="434"/>
      <c r="AP2052" s="556"/>
      <c r="AQ2052" s="556"/>
      <c r="AR2052" s="556"/>
      <c r="CF2052" s="2"/>
    </row>
    <row r="2053" spans="3:84">
      <c r="C2053" s="2"/>
      <c r="AD2053" s="502"/>
      <c r="AE2053" s="911"/>
      <c r="AF2053" s="502"/>
      <c r="AH2053" s="898"/>
      <c r="AI2053" s="502"/>
      <c r="AJ2053" s="502"/>
      <c r="AL2053" s="434"/>
      <c r="AM2053" s="436"/>
      <c r="AN2053" s="434"/>
      <c r="AO2053" s="434"/>
      <c r="AP2053" s="556"/>
      <c r="AQ2053" s="556"/>
      <c r="AR2053" s="556"/>
      <c r="CF2053" s="2"/>
    </row>
    <row r="2054" spans="3:84">
      <c r="C2054" s="2"/>
      <c r="AD2054" s="502"/>
      <c r="AE2054" s="911"/>
      <c r="AF2054" s="502"/>
      <c r="AH2054" s="898"/>
      <c r="AI2054" s="502"/>
      <c r="AJ2054" s="502"/>
      <c r="AL2054" s="434"/>
      <c r="AM2054" s="436"/>
      <c r="AN2054" s="434"/>
      <c r="AO2054" s="434"/>
      <c r="AP2054" s="556"/>
      <c r="AQ2054" s="556"/>
      <c r="AR2054" s="556"/>
      <c r="CF2054" s="2"/>
    </row>
    <row r="2055" spans="3:84">
      <c r="C2055" s="2"/>
      <c r="AD2055" s="502"/>
      <c r="AE2055" s="911"/>
      <c r="AF2055" s="502"/>
      <c r="AH2055" s="898"/>
      <c r="AI2055" s="502"/>
      <c r="AJ2055" s="502"/>
      <c r="AL2055" s="434"/>
      <c r="AM2055" s="436"/>
      <c r="AN2055" s="434"/>
      <c r="AO2055" s="434"/>
      <c r="AP2055" s="556"/>
      <c r="AQ2055" s="556"/>
      <c r="AR2055" s="556"/>
      <c r="CF2055" s="2"/>
    </row>
    <row r="2056" spans="3:84">
      <c r="C2056" s="2"/>
      <c r="AD2056" s="502"/>
      <c r="AE2056" s="911"/>
      <c r="AF2056" s="502"/>
      <c r="AH2056" s="898"/>
      <c r="AI2056" s="502"/>
      <c r="AJ2056" s="502"/>
      <c r="AL2056" s="434"/>
      <c r="AM2056" s="436"/>
      <c r="AN2056" s="434"/>
      <c r="AO2056" s="434"/>
      <c r="AP2056" s="556"/>
      <c r="AQ2056" s="556"/>
      <c r="AR2056" s="556"/>
      <c r="CF2056" s="2"/>
    </row>
    <row r="2057" spans="3:84">
      <c r="C2057" s="2"/>
      <c r="AD2057" s="502"/>
      <c r="AE2057" s="911"/>
      <c r="AF2057" s="502"/>
      <c r="AH2057" s="898"/>
      <c r="AI2057" s="502"/>
      <c r="AJ2057" s="502"/>
      <c r="AL2057" s="434"/>
      <c r="AM2057" s="436"/>
      <c r="AN2057" s="434"/>
      <c r="AO2057" s="434"/>
      <c r="AP2057" s="556"/>
      <c r="AQ2057" s="556"/>
      <c r="AR2057" s="556"/>
      <c r="CF2057" s="2"/>
    </row>
    <row r="2058" spans="3:84">
      <c r="C2058" s="2"/>
      <c r="AD2058" s="502"/>
      <c r="AE2058" s="911"/>
      <c r="AF2058" s="502"/>
      <c r="AH2058" s="898"/>
      <c r="AI2058" s="502"/>
      <c r="AJ2058" s="502"/>
      <c r="AL2058" s="434"/>
      <c r="AM2058" s="436"/>
      <c r="AN2058" s="434"/>
      <c r="AO2058" s="434"/>
      <c r="AP2058" s="556"/>
      <c r="AQ2058" s="556"/>
      <c r="AR2058" s="556"/>
      <c r="CF2058" s="2"/>
    </row>
    <row r="2059" spans="3:84">
      <c r="C2059" s="2"/>
      <c r="AD2059" s="502"/>
      <c r="AE2059" s="911"/>
      <c r="AF2059" s="502"/>
      <c r="AH2059" s="898"/>
      <c r="AI2059" s="502"/>
      <c r="AJ2059" s="502"/>
      <c r="AL2059" s="434"/>
      <c r="AM2059" s="436"/>
      <c r="AN2059" s="434"/>
      <c r="AO2059" s="434"/>
      <c r="AP2059" s="556"/>
      <c r="AQ2059" s="556"/>
      <c r="AR2059" s="556"/>
      <c r="CF2059" s="2"/>
    </row>
    <row r="2060" spans="3:84">
      <c r="C2060" s="2"/>
      <c r="AD2060" s="502"/>
      <c r="AE2060" s="911"/>
      <c r="AF2060" s="502"/>
      <c r="AH2060" s="898"/>
      <c r="AI2060" s="502"/>
      <c r="AJ2060" s="502"/>
      <c r="AL2060" s="434"/>
      <c r="AM2060" s="436"/>
      <c r="AN2060" s="434"/>
      <c r="AO2060" s="434"/>
      <c r="AP2060" s="556"/>
      <c r="AQ2060" s="556"/>
      <c r="AR2060" s="556"/>
      <c r="CF2060" s="2"/>
    </row>
    <row r="2061" spans="3:84">
      <c r="C2061" s="2"/>
      <c r="AD2061" s="502"/>
      <c r="AE2061" s="911"/>
      <c r="AF2061" s="502"/>
      <c r="AH2061" s="898"/>
      <c r="AI2061" s="502"/>
      <c r="AJ2061" s="502"/>
      <c r="AL2061" s="434"/>
      <c r="AM2061" s="436"/>
      <c r="AN2061" s="434"/>
      <c r="AO2061" s="434"/>
      <c r="AP2061" s="556"/>
      <c r="AQ2061" s="556"/>
      <c r="AR2061" s="556"/>
      <c r="CF2061" s="2"/>
    </row>
    <row r="2062" spans="3:84">
      <c r="C2062" s="2"/>
      <c r="AD2062" s="502"/>
      <c r="AE2062" s="911"/>
      <c r="AF2062" s="502"/>
      <c r="AH2062" s="898"/>
      <c r="AI2062" s="502"/>
      <c r="AJ2062" s="502"/>
      <c r="AL2062" s="434"/>
      <c r="AM2062" s="436"/>
      <c r="AN2062" s="434"/>
      <c r="AO2062" s="434"/>
      <c r="AP2062" s="556"/>
      <c r="AQ2062" s="556"/>
      <c r="AR2062" s="556"/>
      <c r="CF2062" s="2"/>
    </row>
    <row r="2063" spans="3:84">
      <c r="C2063" s="2"/>
      <c r="AD2063" s="502"/>
      <c r="AE2063" s="911"/>
      <c r="AF2063" s="502"/>
      <c r="AH2063" s="898"/>
      <c r="AI2063" s="502"/>
      <c r="AJ2063" s="502"/>
      <c r="AL2063" s="434"/>
      <c r="AM2063" s="436"/>
      <c r="AN2063" s="434"/>
      <c r="AO2063" s="434"/>
      <c r="AP2063" s="556"/>
      <c r="AQ2063" s="556"/>
      <c r="AR2063" s="556"/>
      <c r="CF2063" s="2"/>
    </row>
    <row r="2064" spans="3:84">
      <c r="C2064" s="2"/>
      <c r="AD2064" s="502"/>
      <c r="AE2064" s="911"/>
      <c r="AF2064" s="502"/>
      <c r="AH2064" s="898"/>
      <c r="AI2064" s="502"/>
      <c r="AJ2064" s="502"/>
      <c r="AL2064" s="434"/>
      <c r="AM2064" s="436"/>
      <c r="AN2064" s="434"/>
      <c r="AO2064" s="434"/>
      <c r="AP2064" s="556"/>
      <c r="AQ2064" s="556"/>
      <c r="AR2064" s="556"/>
      <c r="CF2064" s="2"/>
    </row>
    <row r="2065" spans="3:84">
      <c r="C2065" s="2"/>
      <c r="AD2065" s="502"/>
      <c r="AE2065" s="911"/>
      <c r="AF2065" s="502"/>
      <c r="AH2065" s="898"/>
      <c r="AI2065" s="502"/>
      <c r="AJ2065" s="502"/>
      <c r="AL2065" s="434"/>
      <c r="AM2065" s="436"/>
      <c r="AN2065" s="434"/>
      <c r="AO2065" s="434"/>
      <c r="AP2065" s="556"/>
      <c r="AQ2065" s="556"/>
      <c r="AR2065" s="556"/>
      <c r="CF2065" s="2"/>
    </row>
    <row r="2066" spans="3:84">
      <c r="C2066" s="2"/>
      <c r="AD2066" s="502"/>
      <c r="AE2066" s="911"/>
      <c r="AF2066" s="502"/>
      <c r="AH2066" s="898"/>
      <c r="AI2066" s="502"/>
      <c r="AJ2066" s="502"/>
      <c r="AL2066" s="434"/>
      <c r="AM2066" s="436"/>
      <c r="AN2066" s="434"/>
      <c r="AO2066" s="434"/>
      <c r="AP2066" s="556"/>
      <c r="AQ2066" s="556"/>
      <c r="AR2066" s="556"/>
      <c r="CF2066" s="2"/>
    </row>
    <row r="2067" spans="3:84">
      <c r="C2067" s="2"/>
      <c r="AD2067" s="502"/>
      <c r="AE2067" s="911"/>
      <c r="AF2067" s="502"/>
      <c r="AH2067" s="898"/>
      <c r="AI2067" s="502"/>
      <c r="AJ2067" s="502"/>
      <c r="AL2067" s="434"/>
      <c r="AM2067" s="436"/>
      <c r="AN2067" s="434"/>
      <c r="AO2067" s="434"/>
      <c r="AP2067" s="556"/>
      <c r="AQ2067" s="556"/>
      <c r="AR2067" s="556"/>
      <c r="CF2067" s="2"/>
    </row>
    <row r="2068" spans="3:84">
      <c r="C2068" s="2"/>
      <c r="AD2068" s="502"/>
      <c r="AE2068" s="911"/>
      <c r="AF2068" s="502"/>
      <c r="AH2068" s="898"/>
      <c r="AI2068" s="502"/>
      <c r="AJ2068" s="502"/>
      <c r="AL2068" s="434"/>
      <c r="AM2068" s="436"/>
      <c r="AN2068" s="434"/>
      <c r="AO2068" s="434"/>
      <c r="AP2068" s="556"/>
      <c r="AQ2068" s="556"/>
      <c r="AR2068" s="556"/>
      <c r="CF2068" s="2"/>
    </row>
    <row r="2069" spans="3:84">
      <c r="C2069" s="2"/>
      <c r="AD2069" s="502"/>
      <c r="AE2069" s="911"/>
      <c r="AF2069" s="502"/>
      <c r="AH2069" s="898"/>
      <c r="AI2069" s="502"/>
      <c r="AJ2069" s="502"/>
      <c r="AL2069" s="434"/>
      <c r="AM2069" s="436"/>
      <c r="AN2069" s="434"/>
      <c r="AO2069" s="434"/>
      <c r="AP2069" s="556"/>
      <c r="AQ2069" s="556"/>
      <c r="AR2069" s="556"/>
      <c r="CF2069" s="2"/>
    </row>
    <row r="2070" spans="3:84">
      <c r="C2070" s="2"/>
      <c r="AD2070" s="502"/>
      <c r="AE2070" s="911"/>
      <c r="AF2070" s="502"/>
      <c r="AH2070" s="898"/>
      <c r="AI2070" s="502"/>
      <c r="AJ2070" s="502"/>
      <c r="AL2070" s="434"/>
      <c r="AM2070" s="436"/>
      <c r="AN2070" s="434"/>
      <c r="AO2070" s="434"/>
      <c r="AP2070" s="556"/>
      <c r="AQ2070" s="556"/>
      <c r="AR2070" s="556"/>
      <c r="CF2070" s="2"/>
    </row>
    <row r="2071" spans="3:84">
      <c r="C2071" s="2"/>
      <c r="AD2071" s="502"/>
      <c r="AE2071" s="911"/>
      <c r="AF2071" s="502"/>
      <c r="AH2071" s="898"/>
      <c r="AI2071" s="502"/>
      <c r="AJ2071" s="502"/>
      <c r="AL2071" s="434"/>
      <c r="AM2071" s="436"/>
      <c r="AN2071" s="434"/>
      <c r="AO2071" s="434"/>
      <c r="AP2071" s="556"/>
      <c r="AQ2071" s="556"/>
      <c r="AR2071" s="556"/>
      <c r="CF2071" s="2"/>
    </row>
    <row r="2072" spans="3:84">
      <c r="C2072" s="2"/>
      <c r="AD2072" s="502"/>
      <c r="AE2072" s="911"/>
      <c r="AF2072" s="502"/>
      <c r="AH2072" s="898"/>
      <c r="AI2072" s="502"/>
      <c r="AJ2072" s="502"/>
      <c r="AL2072" s="434"/>
      <c r="AM2072" s="436"/>
      <c r="AN2072" s="434"/>
      <c r="AO2072" s="434"/>
      <c r="AP2072" s="556"/>
      <c r="AQ2072" s="556"/>
      <c r="AR2072" s="556"/>
      <c r="CF2072" s="2"/>
    </row>
    <row r="2073" spans="3:84">
      <c r="C2073" s="2"/>
      <c r="AD2073" s="502"/>
      <c r="AE2073" s="911"/>
      <c r="AF2073" s="502"/>
      <c r="AH2073" s="898"/>
      <c r="AI2073" s="502"/>
      <c r="AJ2073" s="502"/>
      <c r="AL2073" s="434"/>
      <c r="AM2073" s="436"/>
      <c r="AN2073" s="434"/>
      <c r="AO2073" s="434"/>
      <c r="AP2073" s="556"/>
      <c r="AQ2073" s="556"/>
      <c r="AR2073" s="556"/>
      <c r="CF2073" s="2"/>
    </row>
    <row r="2074" spans="3:84">
      <c r="C2074" s="2"/>
      <c r="AD2074" s="502"/>
      <c r="AE2074" s="911"/>
      <c r="AF2074" s="502"/>
      <c r="AH2074" s="898"/>
      <c r="AI2074" s="502"/>
      <c r="AJ2074" s="502"/>
      <c r="AL2074" s="434"/>
      <c r="AM2074" s="436"/>
      <c r="AN2074" s="434"/>
      <c r="AO2074" s="434"/>
      <c r="AP2074" s="556"/>
      <c r="AQ2074" s="556"/>
      <c r="AR2074" s="556"/>
      <c r="CF2074" s="2"/>
    </row>
    <row r="2075" spans="3:84">
      <c r="C2075" s="2"/>
      <c r="AD2075" s="502"/>
      <c r="AE2075" s="911"/>
      <c r="AF2075" s="502"/>
      <c r="AH2075" s="898"/>
      <c r="AI2075" s="502"/>
      <c r="AJ2075" s="502"/>
      <c r="AL2075" s="434"/>
      <c r="AM2075" s="436"/>
      <c r="AN2075" s="434"/>
      <c r="AO2075" s="434"/>
      <c r="AP2075" s="556"/>
      <c r="AQ2075" s="556"/>
      <c r="AR2075" s="556"/>
      <c r="CF2075" s="2"/>
    </row>
    <row r="2076" spans="3:84">
      <c r="C2076" s="2"/>
      <c r="AD2076" s="502"/>
      <c r="AE2076" s="911"/>
      <c r="AF2076" s="502"/>
      <c r="AH2076" s="898"/>
      <c r="AI2076" s="502"/>
      <c r="AJ2076" s="502"/>
      <c r="AL2076" s="434"/>
      <c r="AM2076" s="436"/>
      <c r="AN2076" s="434"/>
      <c r="AO2076" s="434"/>
      <c r="AP2076" s="556"/>
      <c r="AQ2076" s="556"/>
      <c r="AR2076" s="556"/>
      <c r="CF2076" s="2"/>
    </row>
    <row r="2077" spans="3:84">
      <c r="C2077" s="2"/>
      <c r="AD2077" s="502"/>
      <c r="AE2077" s="911"/>
      <c r="AF2077" s="502"/>
      <c r="AH2077" s="898"/>
      <c r="AI2077" s="502"/>
      <c r="AJ2077" s="502"/>
      <c r="AL2077" s="434"/>
      <c r="AM2077" s="436"/>
      <c r="AN2077" s="434"/>
      <c r="AO2077" s="434"/>
      <c r="AP2077" s="556"/>
      <c r="AQ2077" s="556"/>
      <c r="AR2077" s="556"/>
      <c r="CF2077" s="2"/>
    </row>
    <row r="2078" spans="3:84">
      <c r="C2078" s="2"/>
      <c r="AD2078" s="502"/>
      <c r="AE2078" s="911"/>
      <c r="AF2078" s="502"/>
      <c r="AH2078" s="898"/>
      <c r="AI2078" s="502"/>
      <c r="AJ2078" s="502"/>
      <c r="AL2078" s="434"/>
      <c r="AM2078" s="436"/>
      <c r="AN2078" s="434"/>
      <c r="AO2078" s="434"/>
      <c r="AP2078" s="556"/>
      <c r="AQ2078" s="556"/>
      <c r="AR2078" s="556"/>
      <c r="CF2078" s="2"/>
    </row>
    <row r="2079" spans="3:84">
      <c r="C2079" s="2"/>
      <c r="AD2079" s="502"/>
      <c r="AE2079" s="911"/>
      <c r="AF2079" s="502"/>
      <c r="AH2079" s="898"/>
      <c r="AI2079" s="502"/>
      <c r="AJ2079" s="502"/>
      <c r="AL2079" s="434"/>
      <c r="AM2079" s="436"/>
      <c r="AN2079" s="434"/>
      <c r="AO2079" s="434"/>
      <c r="AP2079" s="556"/>
      <c r="AQ2079" s="556"/>
      <c r="AR2079" s="556"/>
      <c r="CF2079" s="2"/>
    </row>
    <row r="2080" spans="3:84">
      <c r="C2080" s="2"/>
      <c r="AD2080" s="502"/>
      <c r="AE2080" s="911"/>
      <c r="AF2080" s="502"/>
      <c r="AH2080" s="898"/>
      <c r="AI2080" s="502"/>
      <c r="AJ2080" s="502"/>
      <c r="AL2080" s="434"/>
      <c r="AM2080" s="436"/>
      <c r="AN2080" s="434"/>
      <c r="AO2080" s="434"/>
      <c r="AP2080" s="556"/>
      <c r="AQ2080" s="556"/>
      <c r="AR2080" s="556"/>
      <c r="CF2080" s="2"/>
    </row>
    <row r="2081" spans="3:84">
      <c r="C2081" s="2"/>
      <c r="AD2081" s="502"/>
      <c r="AE2081" s="911"/>
      <c r="AF2081" s="502"/>
      <c r="AH2081" s="898"/>
      <c r="AI2081" s="502"/>
      <c r="AJ2081" s="502"/>
      <c r="AL2081" s="434"/>
      <c r="AM2081" s="436"/>
      <c r="AN2081" s="434"/>
      <c r="AO2081" s="434"/>
      <c r="AP2081" s="556"/>
      <c r="AQ2081" s="556"/>
      <c r="AR2081" s="556"/>
      <c r="CF2081" s="2"/>
    </row>
    <row r="2082" spans="3:84">
      <c r="C2082" s="2"/>
      <c r="AD2082" s="502"/>
      <c r="AE2082" s="911"/>
      <c r="AF2082" s="502"/>
      <c r="AH2082" s="898"/>
      <c r="AI2082" s="502"/>
      <c r="AJ2082" s="502"/>
      <c r="AL2082" s="434"/>
      <c r="AM2082" s="436"/>
      <c r="AN2082" s="434"/>
      <c r="AO2082" s="434"/>
      <c r="AP2082" s="556"/>
      <c r="AQ2082" s="556"/>
      <c r="AR2082" s="556"/>
      <c r="CF2082" s="2"/>
    </row>
    <row r="2083" spans="3:84">
      <c r="C2083" s="2"/>
      <c r="AD2083" s="502"/>
      <c r="AE2083" s="911"/>
      <c r="AF2083" s="502"/>
      <c r="AH2083" s="898"/>
      <c r="AI2083" s="502"/>
      <c r="AJ2083" s="502"/>
      <c r="AL2083" s="434"/>
      <c r="AM2083" s="436"/>
      <c r="AN2083" s="434"/>
      <c r="AO2083" s="434"/>
      <c r="AP2083" s="556"/>
      <c r="AQ2083" s="556"/>
      <c r="AR2083" s="556"/>
      <c r="CF2083" s="2"/>
    </row>
    <row r="2084" spans="3:84">
      <c r="C2084" s="2"/>
      <c r="AD2084" s="502"/>
      <c r="AE2084" s="911"/>
      <c r="AF2084" s="502"/>
      <c r="AH2084" s="898"/>
      <c r="AI2084" s="502"/>
      <c r="AJ2084" s="502"/>
      <c r="AL2084" s="434"/>
      <c r="AM2084" s="436"/>
      <c r="AN2084" s="434"/>
      <c r="AO2084" s="434"/>
      <c r="AP2084" s="556"/>
      <c r="AQ2084" s="556"/>
      <c r="AR2084" s="556"/>
      <c r="CF2084" s="2"/>
    </row>
    <row r="2085" spans="3:84">
      <c r="C2085" s="2"/>
      <c r="AD2085" s="502"/>
      <c r="AE2085" s="911"/>
      <c r="AF2085" s="502"/>
      <c r="AH2085" s="898"/>
      <c r="AI2085" s="502"/>
      <c r="AJ2085" s="502"/>
      <c r="AL2085" s="434"/>
      <c r="AM2085" s="436"/>
      <c r="AN2085" s="434"/>
      <c r="AO2085" s="434"/>
      <c r="AP2085" s="556"/>
      <c r="AQ2085" s="556"/>
      <c r="AR2085" s="556"/>
      <c r="CF2085" s="2"/>
    </row>
    <row r="2086" spans="3:84">
      <c r="C2086" s="2"/>
      <c r="AD2086" s="502"/>
      <c r="AE2086" s="911"/>
      <c r="AF2086" s="502"/>
      <c r="AH2086" s="898"/>
      <c r="AI2086" s="502"/>
      <c r="AJ2086" s="502"/>
      <c r="AL2086" s="434"/>
      <c r="AM2086" s="436"/>
      <c r="AN2086" s="434"/>
      <c r="AO2086" s="434"/>
      <c r="AP2086" s="556"/>
      <c r="AQ2086" s="556"/>
      <c r="AR2086" s="556"/>
      <c r="CF2086" s="2"/>
    </row>
    <row r="2087" spans="3:84">
      <c r="C2087" s="2"/>
      <c r="AD2087" s="502"/>
      <c r="AE2087" s="911"/>
      <c r="AF2087" s="502"/>
      <c r="AH2087" s="898"/>
      <c r="AI2087" s="502"/>
      <c r="AJ2087" s="502"/>
      <c r="AL2087" s="434"/>
      <c r="AM2087" s="436"/>
      <c r="AN2087" s="434"/>
      <c r="AO2087" s="434"/>
      <c r="AP2087" s="556"/>
      <c r="AQ2087" s="556"/>
      <c r="AR2087" s="556"/>
      <c r="CF2087" s="2"/>
    </row>
    <row r="2088" spans="3:84">
      <c r="C2088" s="2"/>
      <c r="AD2088" s="502"/>
      <c r="AE2088" s="911"/>
      <c r="AF2088" s="502"/>
      <c r="AH2088" s="898"/>
      <c r="AI2088" s="502"/>
      <c r="AJ2088" s="502"/>
      <c r="AL2088" s="434"/>
      <c r="AM2088" s="436"/>
      <c r="AN2088" s="434"/>
      <c r="AO2088" s="434"/>
      <c r="AP2088" s="556"/>
      <c r="AQ2088" s="556"/>
      <c r="AR2088" s="556"/>
      <c r="CF2088" s="2"/>
    </row>
    <row r="2089" spans="3:84">
      <c r="C2089" s="2"/>
      <c r="AD2089" s="502"/>
      <c r="AE2089" s="911"/>
      <c r="AF2089" s="502"/>
      <c r="AH2089" s="898"/>
      <c r="AI2089" s="502"/>
      <c r="AJ2089" s="502"/>
      <c r="AL2089" s="434"/>
      <c r="AM2089" s="436"/>
      <c r="AN2089" s="434"/>
      <c r="AO2089" s="434"/>
      <c r="AP2089" s="556"/>
      <c r="AQ2089" s="556"/>
      <c r="AR2089" s="556"/>
      <c r="CF2089" s="2"/>
    </row>
    <row r="2090" spans="3:84">
      <c r="C2090" s="2"/>
      <c r="AD2090" s="502"/>
      <c r="AE2090" s="911"/>
      <c r="AF2090" s="502"/>
      <c r="AH2090" s="898"/>
      <c r="AI2090" s="502"/>
      <c r="AJ2090" s="502"/>
      <c r="AL2090" s="434"/>
      <c r="AM2090" s="436"/>
      <c r="AN2090" s="434"/>
      <c r="AO2090" s="434"/>
      <c r="AP2090" s="556"/>
      <c r="AQ2090" s="556"/>
      <c r="AR2090" s="556"/>
      <c r="CF2090" s="2"/>
    </row>
    <row r="2091" spans="3:84">
      <c r="C2091" s="2"/>
      <c r="AD2091" s="502"/>
      <c r="AE2091" s="911"/>
      <c r="AF2091" s="502"/>
      <c r="AH2091" s="898"/>
      <c r="AI2091" s="502"/>
      <c r="AJ2091" s="502"/>
      <c r="AL2091" s="434"/>
      <c r="AM2091" s="436"/>
      <c r="AN2091" s="434"/>
      <c r="AO2091" s="434"/>
      <c r="AP2091" s="556"/>
      <c r="AQ2091" s="556"/>
      <c r="AR2091" s="556"/>
      <c r="CF2091" s="2"/>
    </row>
    <row r="2092" spans="3:84">
      <c r="C2092" s="2"/>
      <c r="AD2092" s="502"/>
      <c r="AE2092" s="911"/>
      <c r="AF2092" s="502"/>
      <c r="AH2092" s="898"/>
      <c r="AI2092" s="502"/>
      <c r="AJ2092" s="502"/>
      <c r="AL2092" s="434"/>
      <c r="AM2092" s="436"/>
      <c r="AN2092" s="434"/>
      <c r="AO2092" s="434"/>
      <c r="AP2092" s="556"/>
      <c r="AQ2092" s="556"/>
      <c r="AR2092" s="556"/>
      <c r="CF2092" s="2"/>
    </row>
    <row r="2093" spans="3:84">
      <c r="C2093" s="2"/>
      <c r="AD2093" s="502"/>
      <c r="AE2093" s="911"/>
      <c r="AF2093" s="502"/>
      <c r="AH2093" s="898"/>
      <c r="AI2093" s="502"/>
      <c r="AJ2093" s="502"/>
      <c r="AL2093" s="434"/>
      <c r="AM2093" s="436"/>
      <c r="AN2093" s="434"/>
      <c r="AO2093" s="434"/>
      <c r="AP2093" s="556"/>
      <c r="AQ2093" s="556"/>
      <c r="AR2093" s="556"/>
      <c r="CF2093" s="2"/>
    </row>
    <row r="2094" spans="3:84">
      <c r="C2094" s="2"/>
      <c r="AD2094" s="502"/>
      <c r="AE2094" s="911"/>
      <c r="AF2094" s="502"/>
      <c r="AH2094" s="898"/>
      <c r="AI2094" s="502"/>
      <c r="AJ2094" s="502"/>
      <c r="AL2094" s="434"/>
      <c r="AM2094" s="436"/>
      <c r="AN2094" s="434"/>
      <c r="AO2094" s="434"/>
      <c r="AP2094" s="556"/>
      <c r="AQ2094" s="556"/>
      <c r="AR2094" s="556"/>
      <c r="CF2094" s="2"/>
    </row>
    <row r="2095" spans="3:84">
      <c r="C2095" s="2"/>
      <c r="AD2095" s="502"/>
      <c r="AE2095" s="911"/>
      <c r="AF2095" s="502"/>
      <c r="AH2095" s="898"/>
      <c r="AI2095" s="502"/>
      <c r="AJ2095" s="502"/>
      <c r="AL2095" s="434"/>
      <c r="AM2095" s="436"/>
      <c r="AN2095" s="434"/>
      <c r="AO2095" s="434"/>
      <c r="AP2095" s="556"/>
      <c r="AQ2095" s="556"/>
      <c r="AR2095" s="556"/>
      <c r="CF2095" s="2"/>
    </row>
    <row r="2096" spans="3:84">
      <c r="C2096" s="2"/>
      <c r="AD2096" s="502"/>
      <c r="AE2096" s="911"/>
      <c r="AF2096" s="502"/>
      <c r="AH2096" s="898"/>
      <c r="AI2096" s="502"/>
      <c r="AJ2096" s="502"/>
      <c r="AL2096" s="434"/>
      <c r="AM2096" s="436"/>
      <c r="AN2096" s="434"/>
      <c r="AO2096" s="434"/>
      <c r="AP2096" s="556"/>
      <c r="AQ2096" s="556"/>
      <c r="AR2096" s="556"/>
      <c r="CF2096" s="2"/>
    </row>
    <row r="2097" spans="3:84">
      <c r="C2097" s="2"/>
      <c r="AD2097" s="502"/>
      <c r="AE2097" s="911"/>
      <c r="AF2097" s="502"/>
      <c r="AH2097" s="898"/>
      <c r="AI2097" s="502"/>
      <c r="AJ2097" s="502"/>
      <c r="AL2097" s="434"/>
      <c r="AM2097" s="436"/>
      <c r="AN2097" s="434"/>
      <c r="AO2097" s="434"/>
      <c r="AP2097" s="556"/>
      <c r="AQ2097" s="556"/>
      <c r="AR2097" s="556"/>
      <c r="CF2097" s="2"/>
    </row>
    <row r="2098" spans="3:84">
      <c r="C2098" s="2"/>
      <c r="AD2098" s="502"/>
      <c r="AE2098" s="911"/>
      <c r="AF2098" s="502"/>
      <c r="AH2098" s="898"/>
      <c r="AI2098" s="502"/>
      <c r="AJ2098" s="502"/>
      <c r="AL2098" s="434"/>
      <c r="AM2098" s="436"/>
      <c r="AN2098" s="434"/>
      <c r="AO2098" s="434"/>
      <c r="AP2098" s="556"/>
      <c r="AQ2098" s="556"/>
      <c r="AR2098" s="556"/>
      <c r="CF2098" s="2"/>
    </row>
    <row r="2099" spans="3:84">
      <c r="C2099" s="2"/>
      <c r="AD2099" s="502"/>
      <c r="AE2099" s="911"/>
      <c r="AF2099" s="502"/>
      <c r="AH2099" s="898"/>
      <c r="AI2099" s="502"/>
      <c r="AJ2099" s="502"/>
      <c r="AL2099" s="434"/>
      <c r="AM2099" s="436"/>
      <c r="AN2099" s="434"/>
      <c r="AO2099" s="434"/>
      <c r="AP2099" s="556"/>
      <c r="AQ2099" s="556"/>
      <c r="AR2099" s="556"/>
      <c r="CF2099" s="2"/>
    </row>
    <row r="2100" spans="3:84">
      <c r="C2100" s="2"/>
      <c r="AD2100" s="502"/>
      <c r="AE2100" s="911"/>
      <c r="AF2100" s="502"/>
      <c r="AH2100" s="898"/>
      <c r="AI2100" s="502"/>
      <c r="AJ2100" s="502"/>
      <c r="AL2100" s="434"/>
      <c r="AM2100" s="436"/>
      <c r="AN2100" s="434"/>
      <c r="AO2100" s="434"/>
      <c r="AP2100" s="556"/>
      <c r="AQ2100" s="556"/>
      <c r="AR2100" s="556"/>
      <c r="CF2100" s="2"/>
    </row>
    <row r="2101" spans="3:84">
      <c r="C2101" s="2"/>
      <c r="AD2101" s="502"/>
      <c r="AE2101" s="911"/>
      <c r="AF2101" s="502"/>
      <c r="AH2101" s="898"/>
      <c r="AI2101" s="502"/>
      <c r="AJ2101" s="502"/>
      <c r="AL2101" s="434"/>
      <c r="AM2101" s="436"/>
      <c r="AN2101" s="434"/>
      <c r="AO2101" s="434"/>
      <c r="AP2101" s="556"/>
      <c r="AQ2101" s="556"/>
      <c r="AR2101" s="556"/>
      <c r="CF2101" s="2"/>
    </row>
    <row r="2102" spans="3:84">
      <c r="C2102" s="2"/>
      <c r="AD2102" s="502"/>
      <c r="AE2102" s="911"/>
      <c r="AF2102" s="502"/>
      <c r="AH2102" s="898"/>
      <c r="AI2102" s="502"/>
      <c r="AJ2102" s="502"/>
      <c r="AL2102" s="434"/>
      <c r="AM2102" s="436"/>
      <c r="AN2102" s="434"/>
      <c r="AO2102" s="434"/>
      <c r="AP2102" s="556"/>
      <c r="AQ2102" s="556"/>
      <c r="AR2102" s="556"/>
      <c r="CF2102" s="2"/>
    </row>
    <row r="2103" spans="3:84">
      <c r="C2103" s="2"/>
      <c r="AD2103" s="502"/>
      <c r="AE2103" s="911"/>
      <c r="AF2103" s="502"/>
      <c r="AH2103" s="898"/>
      <c r="AI2103" s="502"/>
      <c r="AJ2103" s="502"/>
      <c r="AL2103" s="434"/>
      <c r="AM2103" s="436"/>
      <c r="AN2103" s="434"/>
      <c r="AO2103" s="434"/>
      <c r="AP2103" s="556"/>
      <c r="AQ2103" s="556"/>
      <c r="AR2103" s="556"/>
      <c r="CF2103" s="2"/>
    </row>
    <row r="2104" spans="3:84">
      <c r="C2104" s="2"/>
      <c r="AD2104" s="502"/>
      <c r="AE2104" s="911"/>
      <c r="AF2104" s="502"/>
      <c r="AH2104" s="898"/>
      <c r="AI2104" s="502"/>
      <c r="AJ2104" s="502"/>
      <c r="AL2104" s="434"/>
      <c r="AM2104" s="436"/>
      <c r="AN2104" s="434"/>
      <c r="AO2104" s="434"/>
      <c r="AP2104" s="556"/>
      <c r="AQ2104" s="556"/>
      <c r="AR2104" s="556"/>
      <c r="CF2104" s="2"/>
    </row>
    <row r="2105" spans="3:84">
      <c r="C2105" s="2"/>
      <c r="AD2105" s="502"/>
      <c r="AE2105" s="911"/>
      <c r="AF2105" s="502"/>
      <c r="AH2105" s="898"/>
      <c r="AI2105" s="502"/>
      <c r="AJ2105" s="502"/>
      <c r="AL2105" s="434"/>
      <c r="AM2105" s="436"/>
      <c r="AN2105" s="434"/>
      <c r="AO2105" s="434"/>
      <c r="AP2105" s="556"/>
      <c r="AQ2105" s="556"/>
      <c r="AR2105" s="556"/>
      <c r="CF2105" s="2"/>
    </row>
    <row r="2106" spans="3:84">
      <c r="C2106" s="2"/>
      <c r="AD2106" s="502"/>
      <c r="AE2106" s="911"/>
      <c r="AF2106" s="502"/>
      <c r="AH2106" s="898"/>
      <c r="AI2106" s="502"/>
      <c r="AJ2106" s="502"/>
      <c r="AL2106" s="434"/>
      <c r="AM2106" s="436"/>
      <c r="AN2106" s="434"/>
      <c r="AO2106" s="434"/>
      <c r="AP2106" s="556"/>
      <c r="AQ2106" s="556"/>
      <c r="AR2106" s="556"/>
      <c r="CF2106" s="2"/>
    </row>
    <row r="2107" spans="3:84">
      <c r="C2107" s="2"/>
      <c r="AD2107" s="502"/>
      <c r="AE2107" s="911"/>
      <c r="AF2107" s="502"/>
      <c r="AH2107" s="898"/>
      <c r="AI2107" s="502"/>
      <c r="AJ2107" s="502"/>
      <c r="AL2107" s="434"/>
      <c r="AM2107" s="436"/>
      <c r="AN2107" s="434"/>
      <c r="AO2107" s="434"/>
      <c r="AP2107" s="556"/>
      <c r="AQ2107" s="556"/>
      <c r="AR2107" s="556"/>
      <c r="CF2107" s="2"/>
    </row>
    <row r="2108" spans="3:84">
      <c r="C2108" s="2"/>
      <c r="AD2108" s="502"/>
      <c r="AE2108" s="911"/>
      <c r="AF2108" s="502"/>
      <c r="AH2108" s="898"/>
      <c r="AI2108" s="502"/>
      <c r="AJ2108" s="502"/>
      <c r="AL2108" s="434"/>
      <c r="AM2108" s="436"/>
      <c r="AN2108" s="434"/>
      <c r="AO2108" s="434"/>
      <c r="AP2108" s="556"/>
      <c r="AQ2108" s="556"/>
      <c r="AR2108" s="556"/>
      <c r="CF2108" s="2"/>
    </row>
    <row r="2109" spans="3:84">
      <c r="C2109" s="2"/>
      <c r="AD2109" s="502"/>
      <c r="AE2109" s="911"/>
      <c r="AF2109" s="502"/>
      <c r="AH2109" s="898"/>
      <c r="AI2109" s="502"/>
      <c r="AJ2109" s="502"/>
      <c r="AL2109" s="434"/>
      <c r="AM2109" s="436"/>
      <c r="AN2109" s="434"/>
      <c r="AO2109" s="434"/>
      <c r="AP2109" s="556"/>
      <c r="AQ2109" s="556"/>
      <c r="AR2109" s="556"/>
      <c r="CF2109" s="2"/>
    </row>
    <row r="2110" spans="3:84">
      <c r="C2110" s="2"/>
      <c r="AD2110" s="502"/>
      <c r="AE2110" s="911"/>
      <c r="AF2110" s="502"/>
      <c r="AH2110" s="898"/>
      <c r="AI2110" s="502"/>
      <c r="AJ2110" s="502"/>
      <c r="AL2110" s="434"/>
      <c r="AM2110" s="436"/>
      <c r="AN2110" s="434"/>
      <c r="AO2110" s="434"/>
      <c r="AP2110" s="556"/>
      <c r="AQ2110" s="556"/>
      <c r="AR2110" s="556"/>
      <c r="CF2110" s="2"/>
    </row>
    <row r="2111" spans="3:84">
      <c r="C2111" s="2"/>
      <c r="AD2111" s="502"/>
      <c r="AE2111" s="911"/>
      <c r="AF2111" s="502"/>
      <c r="AH2111" s="898"/>
      <c r="AI2111" s="502"/>
      <c r="AJ2111" s="502"/>
      <c r="AL2111" s="434"/>
      <c r="AM2111" s="436"/>
      <c r="AN2111" s="434"/>
      <c r="AO2111" s="434"/>
      <c r="AP2111" s="556"/>
      <c r="AQ2111" s="556"/>
      <c r="AR2111" s="556"/>
      <c r="CF2111" s="2"/>
    </row>
    <row r="2112" spans="3:84">
      <c r="C2112" s="2"/>
      <c r="AD2112" s="502"/>
      <c r="AE2112" s="911"/>
      <c r="AF2112" s="502"/>
      <c r="AH2112" s="898"/>
      <c r="AI2112" s="502"/>
      <c r="AJ2112" s="502"/>
      <c r="AL2112" s="434"/>
      <c r="AM2112" s="436"/>
      <c r="AN2112" s="434"/>
      <c r="AO2112" s="434"/>
      <c r="AP2112" s="556"/>
      <c r="AQ2112" s="556"/>
      <c r="AR2112" s="556"/>
      <c r="CF2112" s="2"/>
    </row>
    <row r="2113" spans="3:84">
      <c r="C2113" s="2"/>
      <c r="AD2113" s="502"/>
      <c r="AE2113" s="911"/>
      <c r="AF2113" s="502"/>
      <c r="AH2113" s="898"/>
      <c r="AI2113" s="502"/>
      <c r="AJ2113" s="502"/>
      <c r="AL2113" s="434"/>
      <c r="AM2113" s="436"/>
      <c r="AN2113" s="434"/>
      <c r="AO2113" s="434"/>
      <c r="AP2113" s="556"/>
      <c r="AQ2113" s="556"/>
      <c r="AR2113" s="556"/>
      <c r="CF2113" s="2"/>
    </row>
    <row r="2114" spans="3:84">
      <c r="C2114" s="2"/>
      <c r="AD2114" s="502"/>
      <c r="AE2114" s="911"/>
      <c r="AF2114" s="502"/>
      <c r="AH2114" s="898"/>
      <c r="AI2114" s="502"/>
      <c r="AJ2114" s="502"/>
      <c r="AL2114" s="434"/>
      <c r="AM2114" s="436"/>
      <c r="AN2114" s="434"/>
      <c r="AO2114" s="434"/>
      <c r="AP2114" s="556"/>
      <c r="AQ2114" s="556"/>
      <c r="AR2114" s="556"/>
      <c r="CF2114" s="2"/>
    </row>
    <row r="2115" spans="3:84">
      <c r="C2115" s="2"/>
      <c r="AD2115" s="502"/>
      <c r="AE2115" s="911"/>
      <c r="AF2115" s="502"/>
      <c r="AH2115" s="898"/>
      <c r="AI2115" s="502"/>
      <c r="AJ2115" s="502"/>
      <c r="AL2115" s="434"/>
      <c r="AM2115" s="436"/>
      <c r="AN2115" s="434"/>
      <c r="AO2115" s="434"/>
      <c r="AP2115" s="556"/>
      <c r="AQ2115" s="556"/>
      <c r="AR2115" s="556"/>
      <c r="CF2115" s="2"/>
    </row>
    <row r="2116" spans="3:84">
      <c r="C2116" s="2"/>
      <c r="AD2116" s="502"/>
      <c r="AE2116" s="911"/>
      <c r="AF2116" s="502"/>
      <c r="AH2116" s="898"/>
      <c r="AI2116" s="502"/>
      <c r="AJ2116" s="502"/>
      <c r="AL2116" s="434"/>
      <c r="AM2116" s="436"/>
      <c r="AN2116" s="434"/>
      <c r="AO2116" s="434"/>
      <c r="AP2116" s="556"/>
      <c r="AQ2116" s="556"/>
      <c r="AR2116" s="556"/>
      <c r="CF2116" s="2"/>
    </row>
    <row r="2117" spans="3:84">
      <c r="C2117" s="2"/>
      <c r="AD2117" s="502"/>
      <c r="AE2117" s="911"/>
      <c r="AF2117" s="502"/>
      <c r="AH2117" s="898"/>
      <c r="AI2117" s="502"/>
      <c r="AJ2117" s="502"/>
      <c r="AL2117" s="434"/>
      <c r="AM2117" s="436"/>
      <c r="AN2117" s="434"/>
      <c r="AO2117" s="434"/>
      <c r="AP2117" s="556"/>
      <c r="AQ2117" s="556"/>
      <c r="AR2117" s="556"/>
      <c r="CF2117" s="2"/>
    </row>
    <row r="2118" spans="3:84">
      <c r="C2118" s="2"/>
      <c r="AD2118" s="502"/>
      <c r="AE2118" s="911"/>
      <c r="AF2118" s="502"/>
      <c r="AH2118" s="898"/>
      <c r="AI2118" s="502"/>
      <c r="AJ2118" s="502"/>
      <c r="AL2118" s="434"/>
      <c r="AM2118" s="436"/>
      <c r="AN2118" s="434"/>
      <c r="AO2118" s="434"/>
      <c r="AP2118" s="556"/>
      <c r="AQ2118" s="556"/>
      <c r="AR2118" s="556"/>
      <c r="CF2118" s="2"/>
    </row>
    <row r="2119" spans="3:84">
      <c r="C2119" s="2"/>
      <c r="AD2119" s="502"/>
      <c r="AE2119" s="911"/>
      <c r="AF2119" s="502"/>
      <c r="AH2119" s="898"/>
      <c r="AI2119" s="502"/>
      <c r="AJ2119" s="502"/>
      <c r="AL2119" s="434"/>
      <c r="AM2119" s="436"/>
      <c r="AN2119" s="434"/>
      <c r="AO2119" s="434"/>
      <c r="AP2119" s="556"/>
      <c r="AQ2119" s="556"/>
      <c r="AR2119" s="556"/>
      <c r="CF2119" s="2"/>
    </row>
    <row r="2120" spans="3:84">
      <c r="C2120" s="2"/>
      <c r="AD2120" s="502"/>
      <c r="AE2120" s="911"/>
      <c r="AF2120" s="502"/>
      <c r="AH2120" s="898"/>
      <c r="AI2120" s="502"/>
      <c r="AJ2120" s="502"/>
      <c r="AL2120" s="434"/>
      <c r="AM2120" s="436"/>
      <c r="AN2120" s="434"/>
      <c r="AO2120" s="434"/>
      <c r="AP2120" s="556"/>
      <c r="AQ2120" s="556"/>
      <c r="AR2120" s="556"/>
      <c r="CF2120" s="2"/>
    </row>
    <row r="2121" spans="3:84">
      <c r="C2121" s="2"/>
      <c r="AD2121" s="502"/>
      <c r="AE2121" s="911"/>
      <c r="AF2121" s="502"/>
      <c r="AH2121" s="898"/>
      <c r="AI2121" s="502"/>
      <c r="AJ2121" s="502"/>
      <c r="AL2121" s="434"/>
      <c r="AM2121" s="436"/>
      <c r="AN2121" s="434"/>
      <c r="AO2121" s="434"/>
      <c r="AP2121" s="556"/>
      <c r="AQ2121" s="556"/>
      <c r="AR2121" s="556"/>
      <c r="CF2121" s="2"/>
    </row>
    <row r="2122" spans="3:84">
      <c r="C2122" s="2"/>
      <c r="AD2122" s="502"/>
      <c r="AE2122" s="911"/>
      <c r="AF2122" s="502"/>
      <c r="AH2122" s="898"/>
      <c r="AI2122" s="502"/>
      <c r="AJ2122" s="502"/>
      <c r="AL2122" s="434"/>
      <c r="AM2122" s="436"/>
      <c r="AN2122" s="434"/>
      <c r="AO2122" s="434"/>
      <c r="AP2122" s="556"/>
      <c r="AQ2122" s="556"/>
      <c r="AR2122" s="556"/>
      <c r="CF2122" s="2"/>
    </row>
    <row r="2123" spans="3:84">
      <c r="C2123" s="2"/>
      <c r="AD2123" s="502"/>
      <c r="AE2123" s="911"/>
      <c r="AF2123" s="502"/>
      <c r="AH2123" s="898"/>
      <c r="AI2123" s="502"/>
      <c r="AJ2123" s="502"/>
      <c r="AL2123" s="434"/>
      <c r="AM2123" s="436"/>
      <c r="AN2123" s="434"/>
      <c r="AO2123" s="434"/>
      <c r="AP2123" s="556"/>
      <c r="AQ2123" s="556"/>
      <c r="AR2123" s="556"/>
      <c r="CF2123" s="2"/>
    </row>
    <row r="2124" spans="3:84">
      <c r="C2124" s="2"/>
      <c r="AD2124" s="502"/>
      <c r="AE2124" s="911"/>
      <c r="AF2124" s="502"/>
      <c r="AH2124" s="898"/>
      <c r="AI2124" s="502"/>
      <c r="AJ2124" s="502"/>
      <c r="AL2124" s="434"/>
      <c r="AM2124" s="436"/>
      <c r="AN2124" s="434"/>
      <c r="AO2124" s="434"/>
      <c r="AP2124" s="556"/>
      <c r="AQ2124" s="556"/>
      <c r="AR2124" s="556"/>
      <c r="CF2124" s="2"/>
    </row>
    <row r="2125" spans="3:84">
      <c r="C2125" s="2"/>
      <c r="AD2125" s="502"/>
      <c r="AE2125" s="911"/>
      <c r="AF2125" s="502"/>
      <c r="AH2125" s="898"/>
      <c r="AI2125" s="502"/>
      <c r="AJ2125" s="502"/>
      <c r="AL2125" s="434"/>
      <c r="AM2125" s="436"/>
      <c r="AN2125" s="434"/>
      <c r="AO2125" s="434"/>
      <c r="AP2125" s="556"/>
      <c r="AQ2125" s="556"/>
      <c r="AR2125" s="556"/>
      <c r="CF2125" s="2"/>
    </row>
    <row r="2126" spans="3:84">
      <c r="C2126" s="2"/>
      <c r="AD2126" s="502"/>
      <c r="AE2126" s="911"/>
      <c r="AF2126" s="502"/>
      <c r="AH2126" s="898"/>
      <c r="AI2126" s="502"/>
      <c r="AJ2126" s="502"/>
      <c r="AL2126" s="434"/>
      <c r="AM2126" s="436"/>
      <c r="AN2126" s="434"/>
      <c r="AO2126" s="434"/>
      <c r="AP2126" s="556"/>
      <c r="AQ2126" s="556"/>
      <c r="AR2126" s="556"/>
      <c r="CF2126" s="2"/>
    </row>
    <row r="2127" spans="3:84">
      <c r="C2127" s="2"/>
      <c r="AD2127" s="502"/>
      <c r="AE2127" s="911"/>
      <c r="AF2127" s="502"/>
      <c r="AH2127" s="898"/>
      <c r="AI2127" s="502"/>
      <c r="AJ2127" s="502"/>
      <c r="AL2127" s="434"/>
      <c r="AM2127" s="436"/>
      <c r="AN2127" s="434"/>
      <c r="AO2127" s="434"/>
      <c r="AP2127" s="556"/>
      <c r="AQ2127" s="556"/>
      <c r="AR2127" s="556"/>
      <c r="CF2127" s="2"/>
    </row>
    <row r="2128" spans="3:84">
      <c r="C2128" s="2"/>
      <c r="AD2128" s="502"/>
      <c r="AE2128" s="911"/>
      <c r="AF2128" s="502"/>
      <c r="AH2128" s="898"/>
      <c r="AI2128" s="502"/>
      <c r="AJ2128" s="502"/>
      <c r="AL2128" s="434"/>
      <c r="AM2128" s="436"/>
      <c r="AN2128" s="434"/>
      <c r="AO2128" s="434"/>
      <c r="AP2128" s="556"/>
      <c r="AQ2128" s="556"/>
      <c r="AR2128" s="556"/>
      <c r="CF2128" s="2"/>
    </row>
    <row r="2129" spans="3:84">
      <c r="C2129" s="2"/>
      <c r="AD2129" s="502"/>
      <c r="AE2129" s="911"/>
      <c r="AF2129" s="502"/>
      <c r="AH2129" s="898"/>
      <c r="AI2129" s="502"/>
      <c r="AJ2129" s="502"/>
      <c r="AL2129" s="434"/>
      <c r="AM2129" s="436"/>
      <c r="AN2129" s="434"/>
      <c r="AO2129" s="434"/>
      <c r="AP2129" s="556"/>
      <c r="AQ2129" s="556"/>
      <c r="AR2129" s="556"/>
      <c r="CF2129" s="2"/>
    </row>
    <row r="2130" spans="3:84">
      <c r="C2130" s="2"/>
      <c r="AD2130" s="502"/>
      <c r="AE2130" s="911"/>
      <c r="AF2130" s="502"/>
      <c r="AH2130" s="898"/>
      <c r="AI2130" s="502"/>
      <c r="AJ2130" s="502"/>
      <c r="AL2130" s="434"/>
      <c r="AM2130" s="436"/>
      <c r="AN2130" s="434"/>
      <c r="AO2130" s="434"/>
      <c r="AP2130" s="556"/>
      <c r="AQ2130" s="556"/>
      <c r="AR2130" s="556"/>
      <c r="CF2130" s="2"/>
    </row>
    <row r="2131" spans="3:84">
      <c r="C2131" s="2"/>
      <c r="AD2131" s="502"/>
      <c r="AE2131" s="911"/>
      <c r="AF2131" s="502"/>
      <c r="AH2131" s="898"/>
      <c r="AI2131" s="502"/>
      <c r="AJ2131" s="502"/>
      <c r="AL2131" s="434"/>
      <c r="AM2131" s="436"/>
      <c r="AN2131" s="434"/>
      <c r="AO2131" s="434"/>
      <c r="AP2131" s="556"/>
      <c r="AQ2131" s="556"/>
      <c r="AR2131" s="556"/>
      <c r="CF2131" s="2"/>
    </row>
    <row r="2132" spans="3:84">
      <c r="C2132" s="2"/>
      <c r="AD2132" s="502"/>
      <c r="AE2132" s="911"/>
      <c r="AF2132" s="502"/>
      <c r="AH2132" s="898"/>
      <c r="AI2132" s="502"/>
      <c r="AJ2132" s="502"/>
      <c r="AL2132" s="434"/>
      <c r="AM2132" s="436"/>
      <c r="AN2132" s="434"/>
      <c r="AO2132" s="434"/>
      <c r="AP2132" s="556"/>
      <c r="AQ2132" s="556"/>
      <c r="AR2132" s="556"/>
      <c r="CF2132" s="2"/>
    </row>
    <row r="2133" spans="3:84">
      <c r="C2133" s="2"/>
      <c r="AD2133" s="502"/>
      <c r="AE2133" s="911"/>
      <c r="AF2133" s="502"/>
      <c r="AH2133" s="898"/>
      <c r="AI2133" s="502"/>
      <c r="AJ2133" s="502"/>
      <c r="AL2133" s="434"/>
      <c r="AM2133" s="436"/>
      <c r="AN2133" s="434"/>
      <c r="AO2133" s="434"/>
      <c r="AP2133" s="556"/>
      <c r="AQ2133" s="556"/>
      <c r="AR2133" s="556"/>
      <c r="CF2133" s="2"/>
    </row>
    <row r="2134" spans="3:84">
      <c r="C2134" s="2"/>
      <c r="AD2134" s="502"/>
      <c r="AE2134" s="911"/>
      <c r="AF2134" s="502"/>
      <c r="AH2134" s="898"/>
      <c r="AI2134" s="502"/>
      <c r="AJ2134" s="502"/>
      <c r="AL2134" s="434"/>
      <c r="AM2134" s="436"/>
      <c r="AN2134" s="434"/>
      <c r="AO2134" s="434"/>
      <c r="AP2134" s="556"/>
      <c r="AQ2134" s="556"/>
      <c r="AR2134" s="556"/>
      <c r="CF2134" s="2"/>
    </row>
    <row r="2135" spans="3:84">
      <c r="C2135" s="2"/>
      <c r="AD2135" s="502"/>
      <c r="AE2135" s="911"/>
      <c r="AF2135" s="502"/>
      <c r="AH2135" s="898"/>
      <c r="AI2135" s="502"/>
      <c r="AJ2135" s="502"/>
      <c r="AL2135" s="434"/>
      <c r="AM2135" s="436"/>
      <c r="AN2135" s="434"/>
      <c r="AO2135" s="434"/>
      <c r="AP2135" s="556"/>
      <c r="AQ2135" s="556"/>
      <c r="AR2135" s="556"/>
      <c r="CF2135" s="2"/>
    </row>
    <row r="2136" spans="3:84">
      <c r="C2136" s="2"/>
      <c r="AD2136" s="502"/>
      <c r="AE2136" s="911"/>
      <c r="AF2136" s="502"/>
      <c r="AH2136" s="898"/>
      <c r="AI2136" s="502"/>
      <c r="AJ2136" s="502"/>
      <c r="AL2136" s="434"/>
      <c r="AM2136" s="436"/>
      <c r="AN2136" s="434"/>
      <c r="AO2136" s="434"/>
      <c r="AP2136" s="556"/>
      <c r="AQ2136" s="556"/>
      <c r="AR2136" s="556"/>
      <c r="CF2136" s="2"/>
    </row>
    <row r="2137" spans="3:84">
      <c r="C2137" s="2"/>
      <c r="AD2137" s="502"/>
      <c r="AE2137" s="911"/>
      <c r="AF2137" s="502"/>
      <c r="AH2137" s="898"/>
      <c r="AI2137" s="502"/>
      <c r="AJ2137" s="502"/>
      <c r="AL2137" s="434"/>
      <c r="AM2137" s="436"/>
      <c r="AN2137" s="434"/>
      <c r="AO2137" s="434"/>
      <c r="AP2137" s="556"/>
      <c r="AQ2137" s="556"/>
      <c r="AR2137" s="556"/>
      <c r="CF2137" s="2"/>
    </row>
    <row r="2138" spans="3:84">
      <c r="C2138" s="2"/>
      <c r="AD2138" s="502"/>
      <c r="AE2138" s="911"/>
      <c r="AF2138" s="502"/>
      <c r="AH2138" s="898"/>
      <c r="AI2138" s="502"/>
      <c r="AJ2138" s="502"/>
      <c r="AL2138" s="434"/>
      <c r="AM2138" s="436"/>
      <c r="AN2138" s="434"/>
      <c r="AO2138" s="434"/>
      <c r="AP2138" s="556"/>
      <c r="AQ2138" s="556"/>
      <c r="AR2138" s="556"/>
      <c r="CF2138" s="2"/>
    </row>
    <row r="2139" spans="3:84">
      <c r="C2139" s="2"/>
      <c r="AD2139" s="502"/>
      <c r="AE2139" s="911"/>
      <c r="AF2139" s="502"/>
      <c r="AH2139" s="898"/>
      <c r="AI2139" s="502"/>
      <c r="AJ2139" s="502"/>
      <c r="AL2139" s="434"/>
      <c r="AM2139" s="436"/>
      <c r="AN2139" s="434"/>
      <c r="AO2139" s="434"/>
      <c r="AP2139" s="556"/>
      <c r="AQ2139" s="556"/>
      <c r="AR2139" s="556"/>
      <c r="CF2139" s="2"/>
    </row>
    <row r="2140" spans="3:84">
      <c r="C2140" s="2"/>
      <c r="AD2140" s="502"/>
      <c r="AE2140" s="911"/>
      <c r="AF2140" s="502"/>
      <c r="AH2140" s="898"/>
      <c r="AI2140" s="502"/>
      <c r="AJ2140" s="502"/>
      <c r="AL2140" s="434"/>
      <c r="AM2140" s="436"/>
      <c r="AN2140" s="434"/>
      <c r="AO2140" s="434"/>
      <c r="AP2140" s="556"/>
      <c r="AQ2140" s="556"/>
      <c r="AR2140" s="556"/>
      <c r="CF2140" s="2"/>
    </row>
    <row r="2141" spans="3:84">
      <c r="C2141" s="2"/>
      <c r="AD2141" s="502"/>
      <c r="AE2141" s="911"/>
      <c r="AF2141" s="502"/>
      <c r="AH2141" s="898"/>
      <c r="AI2141" s="502"/>
      <c r="AJ2141" s="502"/>
      <c r="AL2141" s="434"/>
      <c r="AM2141" s="436"/>
      <c r="AN2141" s="434"/>
      <c r="AO2141" s="434"/>
      <c r="AP2141" s="556"/>
      <c r="AQ2141" s="556"/>
      <c r="AR2141" s="556"/>
      <c r="CF2141" s="2"/>
    </row>
    <row r="2142" spans="3:84">
      <c r="C2142" s="2"/>
      <c r="AD2142" s="502"/>
      <c r="AE2142" s="911"/>
      <c r="AF2142" s="502"/>
      <c r="AH2142" s="898"/>
      <c r="AI2142" s="502"/>
      <c r="AJ2142" s="502"/>
      <c r="AL2142" s="434"/>
      <c r="AM2142" s="436"/>
      <c r="AN2142" s="434"/>
      <c r="AO2142" s="434"/>
      <c r="AP2142" s="556"/>
      <c r="AQ2142" s="556"/>
      <c r="AR2142" s="556"/>
      <c r="CF2142" s="2"/>
    </row>
    <row r="2143" spans="3:84">
      <c r="C2143" s="2"/>
      <c r="AD2143" s="502"/>
      <c r="AE2143" s="911"/>
      <c r="AF2143" s="502"/>
      <c r="AH2143" s="898"/>
      <c r="AI2143" s="502"/>
      <c r="AJ2143" s="502"/>
      <c r="AL2143" s="434"/>
      <c r="AM2143" s="436"/>
      <c r="AN2143" s="434"/>
      <c r="AO2143" s="434"/>
      <c r="AP2143" s="556"/>
      <c r="AQ2143" s="556"/>
      <c r="AR2143" s="556"/>
      <c r="CF2143" s="2"/>
    </row>
    <row r="2144" spans="3:84">
      <c r="C2144" s="2"/>
      <c r="AD2144" s="502"/>
      <c r="AE2144" s="911"/>
      <c r="AF2144" s="502"/>
      <c r="AH2144" s="898"/>
      <c r="AI2144" s="502"/>
      <c r="AJ2144" s="502"/>
      <c r="AL2144" s="434"/>
      <c r="AM2144" s="436"/>
      <c r="AN2144" s="434"/>
      <c r="AO2144" s="434"/>
      <c r="AP2144" s="556"/>
      <c r="AQ2144" s="556"/>
      <c r="AR2144" s="556"/>
      <c r="CF2144" s="2"/>
    </row>
    <row r="2145" spans="3:84">
      <c r="C2145" s="2"/>
      <c r="AD2145" s="502"/>
      <c r="AE2145" s="911"/>
      <c r="AF2145" s="502"/>
      <c r="AH2145" s="898"/>
      <c r="AI2145" s="502"/>
      <c r="AJ2145" s="502"/>
      <c r="AL2145" s="434"/>
      <c r="AM2145" s="436"/>
      <c r="AN2145" s="434"/>
      <c r="AO2145" s="434"/>
      <c r="AP2145" s="556"/>
      <c r="AQ2145" s="556"/>
      <c r="AR2145" s="556"/>
      <c r="CF2145" s="2"/>
    </row>
    <row r="2146" spans="3:84">
      <c r="C2146" s="2"/>
      <c r="AD2146" s="502"/>
      <c r="AE2146" s="911"/>
      <c r="AF2146" s="502"/>
      <c r="AH2146" s="898"/>
      <c r="AI2146" s="502"/>
      <c r="AJ2146" s="502"/>
      <c r="AL2146" s="434"/>
      <c r="AM2146" s="436"/>
      <c r="AN2146" s="434"/>
      <c r="AO2146" s="434"/>
      <c r="AP2146" s="556"/>
      <c r="AQ2146" s="556"/>
      <c r="AR2146" s="556"/>
      <c r="CF2146" s="2"/>
    </row>
    <row r="2147" spans="3:84">
      <c r="C2147" s="2"/>
      <c r="AD2147" s="502"/>
      <c r="AE2147" s="911"/>
      <c r="AF2147" s="502"/>
      <c r="AH2147" s="898"/>
      <c r="AI2147" s="502"/>
      <c r="AJ2147" s="502"/>
      <c r="AL2147" s="434"/>
      <c r="AM2147" s="436"/>
      <c r="AN2147" s="434"/>
      <c r="AO2147" s="434"/>
      <c r="AP2147" s="556"/>
      <c r="AQ2147" s="556"/>
      <c r="AR2147" s="556"/>
      <c r="CF2147" s="2"/>
    </row>
    <row r="2148" spans="3:84">
      <c r="C2148" s="2"/>
      <c r="AD2148" s="502"/>
      <c r="AE2148" s="911"/>
      <c r="AF2148" s="502"/>
      <c r="AH2148" s="898"/>
      <c r="AI2148" s="502"/>
      <c r="AJ2148" s="502"/>
      <c r="AL2148" s="434"/>
      <c r="AM2148" s="436"/>
      <c r="AN2148" s="434"/>
      <c r="AO2148" s="434"/>
      <c r="AP2148" s="556"/>
      <c r="AQ2148" s="556"/>
      <c r="AR2148" s="556"/>
      <c r="CF2148" s="2"/>
    </row>
    <row r="2149" spans="3:84">
      <c r="C2149" s="2"/>
      <c r="AD2149" s="502"/>
      <c r="AE2149" s="911"/>
      <c r="AF2149" s="502"/>
      <c r="AH2149" s="898"/>
      <c r="AI2149" s="502"/>
      <c r="AJ2149" s="502"/>
      <c r="AL2149" s="434"/>
      <c r="AM2149" s="436"/>
      <c r="AN2149" s="434"/>
      <c r="AO2149" s="434"/>
      <c r="AP2149" s="556"/>
      <c r="AQ2149" s="556"/>
      <c r="AR2149" s="556"/>
      <c r="CF2149" s="2"/>
    </row>
    <row r="2150" spans="3:84">
      <c r="C2150" s="2"/>
      <c r="AD2150" s="502"/>
      <c r="AE2150" s="911"/>
      <c r="AF2150" s="502"/>
      <c r="AH2150" s="898"/>
      <c r="AI2150" s="502"/>
      <c r="AJ2150" s="502"/>
      <c r="AL2150" s="434"/>
      <c r="AM2150" s="436"/>
      <c r="AN2150" s="434"/>
      <c r="AO2150" s="434"/>
      <c r="AP2150" s="556"/>
      <c r="AQ2150" s="556"/>
      <c r="AR2150" s="556"/>
      <c r="CF2150" s="2"/>
    </row>
    <row r="2151" spans="3:84">
      <c r="C2151" s="2"/>
      <c r="AD2151" s="502"/>
      <c r="AE2151" s="911"/>
      <c r="AF2151" s="502"/>
      <c r="AH2151" s="898"/>
      <c r="AI2151" s="502"/>
      <c r="AJ2151" s="502"/>
      <c r="AL2151" s="434"/>
      <c r="AM2151" s="436"/>
      <c r="AN2151" s="434"/>
      <c r="AO2151" s="434"/>
      <c r="AP2151" s="556"/>
      <c r="AQ2151" s="556"/>
      <c r="AR2151" s="556"/>
      <c r="CF2151" s="2"/>
    </row>
    <row r="2152" spans="3:84">
      <c r="C2152" s="2"/>
      <c r="AD2152" s="502"/>
      <c r="AE2152" s="911"/>
      <c r="AF2152" s="502"/>
      <c r="AH2152" s="898"/>
      <c r="AI2152" s="502"/>
      <c r="AJ2152" s="502"/>
      <c r="AL2152" s="434"/>
      <c r="AM2152" s="436"/>
      <c r="AN2152" s="434"/>
      <c r="AO2152" s="434"/>
      <c r="AP2152" s="556"/>
      <c r="AQ2152" s="556"/>
      <c r="AR2152" s="556"/>
      <c r="CF2152" s="2"/>
    </row>
    <row r="2153" spans="3:84">
      <c r="C2153" s="2"/>
      <c r="AD2153" s="502"/>
      <c r="AE2153" s="911"/>
      <c r="AF2153" s="502"/>
      <c r="AH2153" s="898"/>
      <c r="AI2153" s="502"/>
      <c r="AJ2153" s="502"/>
      <c r="AL2153" s="434"/>
      <c r="AM2153" s="436"/>
      <c r="AN2153" s="434"/>
      <c r="AO2153" s="434"/>
      <c r="AP2153" s="556"/>
      <c r="AQ2153" s="556"/>
      <c r="AR2153" s="556"/>
      <c r="CF2153" s="2"/>
    </row>
    <row r="2154" spans="3:84">
      <c r="C2154" s="2"/>
      <c r="AD2154" s="502"/>
      <c r="AE2154" s="911"/>
      <c r="AF2154" s="502"/>
      <c r="AH2154" s="898"/>
      <c r="AI2154" s="502"/>
      <c r="AJ2154" s="502"/>
      <c r="AL2154" s="434"/>
      <c r="AM2154" s="436"/>
      <c r="AN2154" s="434"/>
      <c r="AO2154" s="434"/>
      <c r="AP2154" s="556"/>
      <c r="AQ2154" s="556"/>
      <c r="AR2154" s="556"/>
      <c r="CF2154" s="2"/>
    </row>
    <row r="2155" spans="3:84">
      <c r="C2155" s="2"/>
      <c r="AD2155" s="502"/>
      <c r="AE2155" s="911"/>
      <c r="AF2155" s="502"/>
      <c r="AH2155" s="898"/>
      <c r="AI2155" s="502"/>
      <c r="AJ2155" s="502"/>
      <c r="AL2155" s="434"/>
      <c r="AM2155" s="436"/>
      <c r="AN2155" s="434"/>
      <c r="AO2155" s="434"/>
      <c r="AP2155" s="556"/>
      <c r="AQ2155" s="556"/>
      <c r="AR2155" s="556"/>
      <c r="CF2155" s="2"/>
    </row>
    <row r="2156" spans="3:84">
      <c r="C2156" s="2"/>
      <c r="AD2156" s="502"/>
      <c r="AE2156" s="911"/>
      <c r="AF2156" s="502"/>
      <c r="AH2156" s="898"/>
      <c r="AI2156" s="502"/>
      <c r="AJ2156" s="502"/>
      <c r="AL2156" s="434"/>
      <c r="AM2156" s="436"/>
      <c r="AN2156" s="434"/>
      <c r="AO2156" s="434"/>
      <c r="AP2156" s="556"/>
      <c r="AQ2156" s="556"/>
      <c r="AR2156" s="556"/>
      <c r="CF2156" s="2"/>
    </row>
    <row r="2157" spans="3:84">
      <c r="C2157" s="2"/>
      <c r="AD2157" s="502"/>
      <c r="AE2157" s="911"/>
      <c r="AF2157" s="502"/>
      <c r="AH2157" s="898"/>
      <c r="AI2157" s="502"/>
      <c r="AJ2157" s="502"/>
      <c r="AL2157" s="434"/>
      <c r="AM2157" s="436"/>
      <c r="AN2157" s="434"/>
      <c r="AO2157" s="434"/>
      <c r="AP2157" s="556"/>
      <c r="AQ2157" s="556"/>
      <c r="AR2157" s="556"/>
      <c r="CF2157" s="2"/>
    </row>
    <row r="2158" spans="3:84">
      <c r="C2158" s="2"/>
      <c r="AD2158" s="502"/>
      <c r="AE2158" s="911"/>
      <c r="AF2158" s="502"/>
      <c r="AH2158" s="898"/>
      <c r="AI2158" s="502"/>
      <c r="AJ2158" s="502"/>
      <c r="AL2158" s="434"/>
      <c r="AM2158" s="436"/>
      <c r="AN2158" s="434"/>
      <c r="AO2158" s="434"/>
      <c r="AP2158" s="556"/>
      <c r="AQ2158" s="556"/>
      <c r="AR2158" s="556"/>
      <c r="CF2158" s="2"/>
    </row>
    <row r="2159" spans="3:84">
      <c r="C2159" s="2"/>
      <c r="AD2159" s="502"/>
      <c r="AE2159" s="911"/>
      <c r="AF2159" s="502"/>
      <c r="AH2159" s="898"/>
      <c r="AI2159" s="502"/>
      <c r="AJ2159" s="502"/>
      <c r="AL2159" s="434"/>
      <c r="AM2159" s="436"/>
      <c r="AN2159" s="434"/>
      <c r="AO2159" s="434"/>
      <c r="AP2159" s="556"/>
      <c r="AQ2159" s="556"/>
      <c r="AR2159" s="556"/>
      <c r="CF2159" s="2"/>
    </row>
    <row r="2160" spans="3:84">
      <c r="C2160" s="2"/>
      <c r="AD2160" s="502"/>
      <c r="AE2160" s="911"/>
      <c r="AF2160" s="502"/>
      <c r="AH2160" s="898"/>
      <c r="AI2160" s="502"/>
      <c r="AJ2160" s="502"/>
      <c r="AL2160" s="434"/>
      <c r="AM2160" s="436"/>
      <c r="AN2160" s="434"/>
      <c r="AO2160" s="434"/>
      <c r="AP2160" s="556"/>
      <c r="AQ2160" s="556"/>
      <c r="AR2160" s="556"/>
      <c r="CF2160" s="2"/>
    </row>
    <row r="2161" spans="3:84">
      <c r="C2161" s="2"/>
      <c r="AD2161" s="502"/>
      <c r="AE2161" s="911"/>
      <c r="AF2161" s="502"/>
      <c r="AH2161" s="898"/>
      <c r="AI2161" s="502"/>
      <c r="AJ2161" s="502"/>
      <c r="AL2161" s="434"/>
      <c r="AM2161" s="436"/>
      <c r="AN2161" s="434"/>
      <c r="AO2161" s="434"/>
      <c r="AP2161" s="556"/>
      <c r="AQ2161" s="556"/>
      <c r="AR2161" s="556"/>
      <c r="CF2161" s="2"/>
    </row>
    <row r="2162" spans="3:84">
      <c r="C2162" s="2"/>
      <c r="AD2162" s="502"/>
      <c r="AE2162" s="911"/>
      <c r="AF2162" s="502"/>
      <c r="AH2162" s="898"/>
      <c r="AI2162" s="502"/>
      <c r="AJ2162" s="502"/>
      <c r="AL2162" s="434"/>
      <c r="AM2162" s="436"/>
      <c r="AN2162" s="434"/>
      <c r="AO2162" s="434"/>
      <c r="AP2162" s="556"/>
      <c r="AQ2162" s="556"/>
      <c r="AR2162" s="556"/>
      <c r="CF2162" s="2"/>
    </row>
    <row r="2163" spans="3:84">
      <c r="C2163" s="2"/>
      <c r="AD2163" s="502"/>
      <c r="AE2163" s="911"/>
      <c r="AF2163" s="502"/>
      <c r="AH2163" s="898"/>
      <c r="AI2163" s="502"/>
      <c r="AJ2163" s="502"/>
      <c r="AL2163" s="434"/>
      <c r="AM2163" s="436"/>
      <c r="AN2163" s="434"/>
      <c r="AO2163" s="434"/>
      <c r="AP2163" s="556"/>
      <c r="AQ2163" s="556"/>
      <c r="AR2163" s="556"/>
      <c r="CF2163" s="2"/>
    </row>
    <row r="2164" spans="3:84">
      <c r="C2164" s="2"/>
      <c r="AD2164" s="502"/>
      <c r="AE2164" s="911"/>
      <c r="AF2164" s="502"/>
      <c r="AH2164" s="898"/>
      <c r="AI2164" s="502"/>
      <c r="AJ2164" s="502"/>
      <c r="AL2164" s="434"/>
      <c r="AM2164" s="436"/>
      <c r="AN2164" s="434"/>
      <c r="AO2164" s="434"/>
      <c r="AP2164" s="556"/>
      <c r="AQ2164" s="556"/>
      <c r="AR2164" s="556"/>
      <c r="CF2164" s="2"/>
    </row>
    <row r="2165" spans="3:84">
      <c r="C2165" s="2"/>
      <c r="AD2165" s="502"/>
      <c r="AE2165" s="911"/>
      <c r="AF2165" s="502"/>
      <c r="AH2165" s="898"/>
      <c r="AI2165" s="502"/>
      <c r="AJ2165" s="502"/>
      <c r="AL2165" s="434"/>
      <c r="AM2165" s="436"/>
      <c r="AN2165" s="434"/>
      <c r="AO2165" s="434"/>
      <c r="AP2165" s="556"/>
      <c r="AQ2165" s="556"/>
      <c r="AR2165" s="556"/>
      <c r="CF2165" s="2"/>
    </row>
    <row r="2166" spans="3:84">
      <c r="C2166" s="2"/>
      <c r="AD2166" s="502"/>
      <c r="AE2166" s="911"/>
      <c r="AF2166" s="502"/>
      <c r="AH2166" s="898"/>
      <c r="AI2166" s="502"/>
      <c r="AJ2166" s="502"/>
      <c r="AL2166" s="434"/>
      <c r="AM2166" s="436"/>
      <c r="AN2166" s="434"/>
      <c r="AO2166" s="434"/>
      <c r="AP2166" s="556"/>
      <c r="AQ2166" s="556"/>
      <c r="AR2166" s="556"/>
      <c r="CF2166" s="2"/>
    </row>
    <row r="2167" spans="3:84">
      <c r="C2167" s="2"/>
      <c r="AD2167" s="502"/>
      <c r="AE2167" s="911"/>
      <c r="AF2167" s="502"/>
      <c r="AH2167" s="898"/>
      <c r="AI2167" s="502"/>
      <c r="AJ2167" s="502"/>
      <c r="AL2167" s="434"/>
      <c r="AM2167" s="436"/>
      <c r="AN2167" s="434"/>
      <c r="AO2167" s="434"/>
      <c r="AP2167" s="556"/>
      <c r="AQ2167" s="556"/>
      <c r="AR2167" s="556"/>
      <c r="CF2167" s="2"/>
    </row>
    <row r="2168" spans="3:84">
      <c r="C2168" s="2"/>
      <c r="AD2168" s="502"/>
      <c r="AE2168" s="911"/>
      <c r="AF2168" s="502"/>
      <c r="AH2168" s="898"/>
      <c r="AI2168" s="502"/>
      <c r="AJ2168" s="502"/>
      <c r="AL2168" s="434"/>
      <c r="AM2168" s="436"/>
      <c r="AN2168" s="434"/>
      <c r="AO2168" s="434"/>
      <c r="AP2168" s="556"/>
      <c r="AQ2168" s="556"/>
      <c r="AR2168" s="556"/>
      <c r="CF2168" s="2"/>
    </row>
    <row r="2169" spans="3:84">
      <c r="C2169" s="2"/>
      <c r="AD2169" s="502"/>
      <c r="AE2169" s="911"/>
      <c r="AF2169" s="502"/>
      <c r="AH2169" s="898"/>
      <c r="AI2169" s="502"/>
      <c r="AJ2169" s="502"/>
      <c r="AL2169" s="434"/>
      <c r="AM2169" s="436"/>
      <c r="AN2169" s="434"/>
      <c r="AO2169" s="434"/>
      <c r="AP2169" s="556"/>
      <c r="AQ2169" s="556"/>
      <c r="AR2169" s="556"/>
      <c r="CF2169" s="2"/>
    </row>
    <row r="2170" spans="3:84">
      <c r="C2170" s="2"/>
      <c r="AD2170" s="502"/>
      <c r="AE2170" s="911"/>
      <c r="AF2170" s="502"/>
      <c r="AH2170" s="898"/>
      <c r="AI2170" s="502"/>
      <c r="AJ2170" s="502"/>
      <c r="AL2170" s="434"/>
      <c r="AM2170" s="436"/>
      <c r="AN2170" s="434"/>
      <c r="AO2170" s="434"/>
      <c r="AP2170" s="556"/>
      <c r="AQ2170" s="556"/>
      <c r="AR2170" s="556"/>
      <c r="CF2170" s="2"/>
    </row>
    <row r="2171" spans="3:84">
      <c r="C2171" s="2"/>
      <c r="AD2171" s="502"/>
      <c r="AE2171" s="911"/>
      <c r="AF2171" s="502"/>
      <c r="AH2171" s="898"/>
      <c r="AI2171" s="502"/>
      <c r="AJ2171" s="502"/>
      <c r="AL2171" s="434"/>
      <c r="AM2171" s="436"/>
      <c r="AN2171" s="434"/>
      <c r="AO2171" s="434"/>
      <c r="AP2171" s="556"/>
      <c r="AQ2171" s="556"/>
      <c r="AR2171" s="556"/>
      <c r="CF2171" s="2"/>
    </row>
    <row r="2172" spans="3:84">
      <c r="C2172" s="2"/>
      <c r="AD2172" s="502"/>
      <c r="AE2172" s="911"/>
      <c r="AF2172" s="502"/>
      <c r="AH2172" s="898"/>
      <c r="AI2172" s="502"/>
      <c r="AJ2172" s="502"/>
      <c r="AL2172" s="434"/>
      <c r="AM2172" s="436"/>
      <c r="AN2172" s="434"/>
      <c r="AO2172" s="434"/>
      <c r="AP2172" s="556"/>
      <c r="AQ2172" s="556"/>
      <c r="AR2172" s="556"/>
      <c r="CF2172" s="2"/>
    </row>
    <row r="2173" spans="3:84">
      <c r="C2173" s="2"/>
      <c r="AD2173" s="502"/>
      <c r="AE2173" s="911"/>
      <c r="AF2173" s="502"/>
      <c r="AH2173" s="898"/>
      <c r="AI2173" s="502"/>
      <c r="AJ2173" s="502"/>
      <c r="AL2173" s="434"/>
      <c r="AM2173" s="436"/>
      <c r="AN2173" s="434"/>
      <c r="AO2173" s="434"/>
      <c r="AP2173" s="556"/>
      <c r="AQ2173" s="556"/>
      <c r="AR2173" s="556"/>
      <c r="CF2173" s="2"/>
    </row>
    <row r="2174" spans="3:84">
      <c r="C2174" s="2"/>
      <c r="AD2174" s="502"/>
      <c r="AE2174" s="911"/>
      <c r="AF2174" s="502"/>
      <c r="AH2174" s="898"/>
      <c r="AI2174" s="502"/>
      <c r="AJ2174" s="502"/>
      <c r="AL2174" s="434"/>
      <c r="AM2174" s="436"/>
      <c r="AN2174" s="434"/>
      <c r="AO2174" s="434"/>
      <c r="AP2174" s="556"/>
      <c r="AQ2174" s="556"/>
      <c r="AR2174" s="556"/>
      <c r="CF2174" s="2"/>
    </row>
    <row r="2175" spans="3:84">
      <c r="C2175" s="2"/>
      <c r="AD2175" s="502"/>
      <c r="AE2175" s="911"/>
      <c r="AF2175" s="502"/>
      <c r="AH2175" s="898"/>
      <c r="AI2175" s="502"/>
      <c r="AJ2175" s="502"/>
      <c r="AL2175" s="434"/>
      <c r="AM2175" s="436"/>
      <c r="AN2175" s="434"/>
      <c r="AO2175" s="434"/>
      <c r="AP2175" s="556"/>
      <c r="AQ2175" s="556"/>
      <c r="AR2175" s="556"/>
      <c r="CF2175" s="2"/>
    </row>
    <row r="2176" spans="3:84">
      <c r="C2176" s="2"/>
      <c r="AD2176" s="502"/>
      <c r="AE2176" s="911"/>
      <c r="AF2176" s="502"/>
      <c r="AH2176" s="898"/>
      <c r="AI2176" s="502"/>
      <c r="AJ2176" s="502"/>
      <c r="AL2176" s="434"/>
      <c r="AM2176" s="436"/>
      <c r="AN2176" s="434"/>
      <c r="AO2176" s="434"/>
      <c r="AP2176" s="556"/>
      <c r="AQ2176" s="556"/>
      <c r="AR2176" s="556"/>
      <c r="CF2176" s="2"/>
    </row>
    <row r="2177" spans="3:84">
      <c r="C2177" s="2"/>
      <c r="AD2177" s="502"/>
      <c r="AE2177" s="911"/>
      <c r="AF2177" s="502"/>
      <c r="AH2177" s="898"/>
      <c r="AI2177" s="502"/>
      <c r="AJ2177" s="502"/>
      <c r="AL2177" s="434"/>
      <c r="AM2177" s="436"/>
      <c r="AN2177" s="434"/>
      <c r="AO2177" s="434"/>
      <c r="AP2177" s="556"/>
      <c r="AQ2177" s="556"/>
      <c r="AR2177" s="556"/>
      <c r="CF2177" s="2"/>
    </row>
    <row r="2178" spans="3:84">
      <c r="C2178" s="2"/>
      <c r="AD2178" s="502"/>
      <c r="AE2178" s="911"/>
      <c r="AF2178" s="502"/>
      <c r="AH2178" s="898"/>
      <c r="AI2178" s="502"/>
      <c r="AJ2178" s="502"/>
      <c r="AL2178" s="434"/>
      <c r="AM2178" s="436"/>
      <c r="AN2178" s="434"/>
      <c r="AO2178" s="434"/>
      <c r="AP2178" s="556"/>
      <c r="AQ2178" s="556"/>
      <c r="AR2178" s="556"/>
      <c r="CF2178" s="2"/>
    </row>
    <row r="2179" spans="3:84">
      <c r="C2179" s="2"/>
      <c r="AD2179" s="502"/>
      <c r="AE2179" s="911"/>
      <c r="AF2179" s="502"/>
      <c r="AH2179" s="898"/>
      <c r="AI2179" s="502"/>
      <c r="AJ2179" s="502"/>
      <c r="AL2179" s="434"/>
      <c r="AM2179" s="436"/>
      <c r="AN2179" s="434"/>
      <c r="AO2179" s="434"/>
      <c r="AP2179" s="556"/>
      <c r="AQ2179" s="556"/>
      <c r="AR2179" s="556"/>
      <c r="CF2179" s="2"/>
    </row>
    <row r="2180" spans="3:84">
      <c r="C2180" s="2"/>
      <c r="AD2180" s="502"/>
      <c r="AE2180" s="911"/>
      <c r="AF2180" s="502"/>
      <c r="AH2180" s="898"/>
      <c r="AI2180" s="502"/>
      <c r="AJ2180" s="502"/>
      <c r="AL2180" s="434"/>
      <c r="AM2180" s="436"/>
      <c r="AN2180" s="434"/>
      <c r="AO2180" s="434"/>
      <c r="AP2180" s="556"/>
      <c r="AQ2180" s="556"/>
      <c r="AR2180" s="556"/>
      <c r="CF2180" s="2"/>
    </row>
    <row r="2181" spans="3:84">
      <c r="C2181" s="2"/>
      <c r="AD2181" s="502"/>
      <c r="AE2181" s="911"/>
      <c r="AF2181" s="502"/>
      <c r="AH2181" s="898"/>
      <c r="AI2181" s="502"/>
      <c r="AJ2181" s="502"/>
      <c r="AL2181" s="434"/>
      <c r="AM2181" s="436"/>
      <c r="AN2181" s="434"/>
      <c r="AO2181" s="434"/>
      <c r="AP2181" s="556"/>
      <c r="AQ2181" s="556"/>
      <c r="AR2181" s="556"/>
      <c r="CF2181" s="2"/>
    </row>
    <row r="2182" spans="3:84">
      <c r="C2182" s="2"/>
      <c r="AD2182" s="502"/>
      <c r="AE2182" s="911"/>
      <c r="AF2182" s="502"/>
      <c r="AH2182" s="898"/>
      <c r="AI2182" s="502"/>
      <c r="AJ2182" s="502"/>
      <c r="AL2182" s="434"/>
      <c r="AM2182" s="436"/>
      <c r="AN2182" s="434"/>
      <c r="AO2182" s="434"/>
      <c r="AP2182" s="556"/>
      <c r="AQ2182" s="556"/>
      <c r="AR2182" s="556"/>
      <c r="CF2182" s="2"/>
    </row>
    <row r="2183" spans="3:84">
      <c r="C2183" s="2"/>
      <c r="AD2183" s="502"/>
      <c r="AE2183" s="911"/>
      <c r="AF2183" s="502"/>
      <c r="AH2183" s="898"/>
      <c r="AI2183" s="502"/>
      <c r="AJ2183" s="502"/>
      <c r="AL2183" s="434"/>
      <c r="AM2183" s="436"/>
      <c r="AN2183" s="434"/>
      <c r="AO2183" s="434"/>
      <c r="AP2183" s="556"/>
      <c r="AQ2183" s="556"/>
      <c r="AR2183" s="556"/>
      <c r="CF2183" s="2"/>
    </row>
    <row r="2184" spans="3:84">
      <c r="C2184" s="2"/>
      <c r="AD2184" s="502"/>
      <c r="AE2184" s="911"/>
      <c r="AF2184" s="502"/>
      <c r="AH2184" s="898"/>
      <c r="AI2184" s="502"/>
      <c r="AJ2184" s="502"/>
      <c r="AL2184" s="434"/>
      <c r="AM2184" s="436"/>
      <c r="AN2184" s="434"/>
      <c r="AO2184" s="434"/>
      <c r="AP2184" s="556"/>
      <c r="AQ2184" s="556"/>
      <c r="AR2184" s="556"/>
      <c r="CF2184" s="2"/>
    </row>
    <row r="2185" spans="3:84">
      <c r="C2185" s="2"/>
      <c r="AD2185" s="502"/>
      <c r="AE2185" s="911"/>
      <c r="AF2185" s="502"/>
      <c r="AH2185" s="898"/>
      <c r="AI2185" s="502"/>
      <c r="AJ2185" s="502"/>
      <c r="AL2185" s="434"/>
      <c r="AM2185" s="436"/>
      <c r="AN2185" s="434"/>
      <c r="AO2185" s="434"/>
      <c r="AP2185" s="556"/>
      <c r="AQ2185" s="556"/>
      <c r="AR2185" s="556"/>
      <c r="CF2185" s="2"/>
    </row>
    <row r="2186" spans="3:84">
      <c r="C2186" s="2"/>
      <c r="AD2186" s="502"/>
      <c r="AE2186" s="911"/>
      <c r="AF2186" s="502"/>
      <c r="AH2186" s="898"/>
      <c r="AI2186" s="502"/>
      <c r="AJ2186" s="502"/>
      <c r="AL2186" s="434"/>
      <c r="AM2186" s="436"/>
      <c r="AN2186" s="434"/>
      <c r="AO2186" s="434"/>
      <c r="AP2186" s="556"/>
      <c r="AQ2186" s="556"/>
      <c r="AR2186" s="556"/>
      <c r="CF2186" s="2"/>
    </row>
    <row r="2187" spans="3:84">
      <c r="C2187" s="2"/>
      <c r="AD2187" s="502"/>
      <c r="AE2187" s="911"/>
      <c r="AF2187" s="502"/>
      <c r="AH2187" s="898"/>
      <c r="AI2187" s="502"/>
      <c r="AJ2187" s="502"/>
      <c r="AL2187" s="434"/>
      <c r="AM2187" s="436"/>
      <c r="AN2187" s="434"/>
      <c r="AO2187" s="434"/>
      <c r="AP2187" s="556"/>
      <c r="AQ2187" s="556"/>
      <c r="AR2187" s="556"/>
      <c r="CF2187" s="2"/>
    </row>
    <row r="2188" spans="3:84">
      <c r="C2188" s="2"/>
      <c r="AD2188" s="502"/>
      <c r="AE2188" s="911"/>
      <c r="AF2188" s="502"/>
      <c r="AH2188" s="898"/>
      <c r="AI2188" s="502"/>
      <c r="AJ2188" s="502"/>
      <c r="AL2188" s="434"/>
      <c r="AM2188" s="436"/>
      <c r="AN2188" s="434"/>
      <c r="AO2188" s="434"/>
      <c r="AP2188" s="556"/>
      <c r="AQ2188" s="556"/>
      <c r="AR2188" s="556"/>
      <c r="CF2188" s="2"/>
    </row>
    <row r="2189" spans="3:84">
      <c r="C2189" s="2"/>
      <c r="AD2189" s="502"/>
      <c r="AE2189" s="911"/>
      <c r="AF2189" s="502"/>
      <c r="AH2189" s="898"/>
      <c r="AI2189" s="502"/>
      <c r="AJ2189" s="502"/>
      <c r="AL2189" s="434"/>
      <c r="AM2189" s="436"/>
      <c r="AN2189" s="434"/>
      <c r="AO2189" s="434"/>
      <c r="AP2189" s="556"/>
      <c r="AQ2189" s="556"/>
      <c r="AR2189" s="556"/>
      <c r="CF2189" s="2"/>
    </row>
    <row r="2190" spans="3:84">
      <c r="C2190" s="2"/>
      <c r="AD2190" s="502"/>
      <c r="AE2190" s="911"/>
      <c r="AF2190" s="502"/>
      <c r="AH2190" s="898"/>
      <c r="AI2190" s="502"/>
      <c r="AJ2190" s="502"/>
      <c r="AL2190" s="434"/>
      <c r="AM2190" s="436"/>
      <c r="AN2190" s="434"/>
      <c r="AO2190" s="434"/>
      <c r="AP2190" s="556"/>
      <c r="AQ2190" s="556"/>
      <c r="AR2190" s="556"/>
      <c r="CF2190" s="2"/>
    </row>
    <row r="2191" spans="3:84">
      <c r="C2191" s="2"/>
      <c r="AD2191" s="502"/>
      <c r="AE2191" s="911"/>
      <c r="AF2191" s="502"/>
      <c r="AH2191" s="898"/>
      <c r="AI2191" s="502"/>
      <c r="AJ2191" s="502"/>
      <c r="AL2191" s="434"/>
      <c r="AM2191" s="436"/>
      <c r="AN2191" s="434"/>
      <c r="AO2191" s="434"/>
      <c r="AP2191" s="556"/>
      <c r="AQ2191" s="556"/>
      <c r="AR2191" s="556"/>
      <c r="CF2191" s="2"/>
    </row>
    <row r="2192" spans="3:84">
      <c r="C2192" s="2"/>
      <c r="AD2192" s="502"/>
      <c r="AE2192" s="911"/>
      <c r="AF2192" s="502"/>
      <c r="AH2192" s="898"/>
      <c r="AI2192" s="502"/>
      <c r="AJ2192" s="502"/>
      <c r="AL2192" s="434"/>
      <c r="AM2192" s="436"/>
      <c r="AN2192" s="434"/>
      <c r="AO2192" s="434"/>
      <c r="AP2192" s="556"/>
      <c r="AQ2192" s="556"/>
      <c r="AR2192" s="556"/>
      <c r="CF2192" s="2"/>
    </row>
    <row r="2193" spans="3:84">
      <c r="C2193" s="2"/>
      <c r="AD2193" s="502"/>
      <c r="AE2193" s="911"/>
      <c r="AF2193" s="502"/>
      <c r="AH2193" s="898"/>
      <c r="AI2193" s="502"/>
      <c r="AJ2193" s="502"/>
      <c r="AL2193" s="434"/>
      <c r="AM2193" s="436"/>
      <c r="AN2193" s="434"/>
      <c r="AO2193" s="434"/>
      <c r="AP2193" s="556"/>
      <c r="AQ2193" s="556"/>
      <c r="AR2193" s="556"/>
      <c r="CF2193" s="2"/>
    </row>
    <row r="2194" spans="3:84">
      <c r="C2194" s="2"/>
      <c r="AD2194" s="502"/>
      <c r="AE2194" s="911"/>
      <c r="AF2194" s="502"/>
      <c r="AH2194" s="898"/>
      <c r="AI2194" s="502"/>
      <c r="AJ2194" s="502"/>
      <c r="AL2194" s="434"/>
      <c r="AM2194" s="436"/>
      <c r="AN2194" s="434"/>
      <c r="AO2194" s="434"/>
      <c r="AP2194" s="556"/>
      <c r="AQ2194" s="556"/>
      <c r="AR2194" s="556"/>
      <c r="CF2194" s="2"/>
    </row>
    <row r="2195" spans="3:84">
      <c r="C2195" s="2"/>
      <c r="AD2195" s="502"/>
      <c r="AE2195" s="911"/>
      <c r="AF2195" s="502"/>
      <c r="AH2195" s="898"/>
      <c r="AI2195" s="502"/>
      <c r="AJ2195" s="502"/>
      <c r="AL2195" s="434"/>
      <c r="AM2195" s="436"/>
      <c r="AN2195" s="434"/>
      <c r="AO2195" s="434"/>
      <c r="AP2195" s="556"/>
      <c r="AQ2195" s="556"/>
      <c r="AR2195" s="556"/>
      <c r="CF2195" s="2"/>
    </row>
    <row r="2196" spans="3:84">
      <c r="C2196" s="2"/>
      <c r="AD2196" s="502"/>
      <c r="AE2196" s="911"/>
      <c r="AF2196" s="502"/>
      <c r="AH2196" s="898"/>
      <c r="AI2196" s="502"/>
      <c r="AJ2196" s="502"/>
      <c r="AL2196" s="434"/>
      <c r="AM2196" s="436"/>
      <c r="AN2196" s="434"/>
      <c r="AO2196" s="434"/>
      <c r="AP2196" s="556"/>
      <c r="AQ2196" s="556"/>
      <c r="AR2196" s="556"/>
      <c r="CF2196" s="2"/>
    </row>
    <row r="2197" spans="3:84">
      <c r="C2197" s="2"/>
      <c r="AD2197" s="502"/>
      <c r="AE2197" s="911"/>
      <c r="AF2197" s="502"/>
      <c r="AH2197" s="898"/>
      <c r="AI2197" s="502"/>
      <c r="AJ2197" s="502"/>
      <c r="AL2197" s="434"/>
      <c r="AM2197" s="436"/>
      <c r="AN2197" s="434"/>
      <c r="AO2197" s="434"/>
      <c r="AP2197" s="556"/>
      <c r="AQ2197" s="556"/>
      <c r="AR2197" s="556"/>
      <c r="CF2197" s="2"/>
    </row>
    <row r="2198" spans="3:84">
      <c r="C2198" s="2"/>
      <c r="AD2198" s="502"/>
      <c r="AE2198" s="911"/>
      <c r="AF2198" s="502"/>
      <c r="AH2198" s="898"/>
      <c r="AI2198" s="502"/>
      <c r="AJ2198" s="502"/>
      <c r="AL2198" s="434"/>
      <c r="AM2198" s="436"/>
      <c r="AN2198" s="434"/>
      <c r="AO2198" s="434"/>
      <c r="AP2198" s="556"/>
      <c r="AQ2198" s="556"/>
      <c r="AR2198" s="556"/>
      <c r="CF2198" s="2"/>
    </row>
    <row r="2199" spans="3:84">
      <c r="C2199" s="2"/>
      <c r="AD2199" s="502"/>
      <c r="AE2199" s="911"/>
      <c r="AF2199" s="502"/>
      <c r="AH2199" s="898"/>
      <c r="AI2199" s="502"/>
      <c r="AJ2199" s="502"/>
      <c r="AL2199" s="434"/>
      <c r="AM2199" s="436"/>
      <c r="AN2199" s="434"/>
      <c r="AO2199" s="434"/>
      <c r="AP2199" s="556"/>
      <c r="AQ2199" s="556"/>
      <c r="AR2199" s="556"/>
      <c r="CF2199" s="2"/>
    </row>
    <row r="2200" spans="3:84">
      <c r="C2200" s="2"/>
      <c r="AD2200" s="502"/>
      <c r="AE2200" s="911"/>
      <c r="AF2200" s="502"/>
      <c r="AH2200" s="898"/>
      <c r="AI2200" s="502"/>
      <c r="AJ2200" s="502"/>
      <c r="AL2200" s="434"/>
      <c r="AM2200" s="436"/>
      <c r="AN2200" s="434"/>
      <c r="AO2200" s="434"/>
      <c r="AP2200" s="556"/>
      <c r="AQ2200" s="556"/>
      <c r="AR2200" s="556"/>
      <c r="CF2200" s="2"/>
    </row>
    <row r="2201" spans="3:84">
      <c r="C2201" s="2"/>
      <c r="AD2201" s="502"/>
      <c r="AE2201" s="911"/>
      <c r="AF2201" s="502"/>
      <c r="AH2201" s="898"/>
      <c r="AI2201" s="502"/>
      <c r="AJ2201" s="502"/>
      <c r="AL2201" s="434"/>
      <c r="AM2201" s="436"/>
      <c r="AN2201" s="434"/>
      <c r="AO2201" s="434"/>
      <c r="AP2201" s="556"/>
      <c r="AQ2201" s="556"/>
      <c r="AR2201" s="556"/>
      <c r="CF2201" s="2"/>
    </row>
    <row r="2202" spans="3:84">
      <c r="C2202" s="2"/>
      <c r="AD2202" s="502"/>
      <c r="AE2202" s="911"/>
      <c r="AF2202" s="502"/>
      <c r="AH2202" s="898"/>
      <c r="AI2202" s="502"/>
      <c r="AJ2202" s="502"/>
      <c r="AL2202" s="434"/>
      <c r="AM2202" s="436"/>
      <c r="AN2202" s="434"/>
      <c r="AO2202" s="434"/>
      <c r="AP2202" s="556"/>
      <c r="AQ2202" s="556"/>
      <c r="AR2202" s="556"/>
      <c r="CF2202" s="2"/>
    </row>
    <row r="2203" spans="3:84">
      <c r="C2203" s="2"/>
      <c r="AD2203" s="502"/>
      <c r="AE2203" s="911"/>
      <c r="AF2203" s="502"/>
      <c r="AH2203" s="898"/>
      <c r="AI2203" s="502"/>
      <c r="AJ2203" s="502"/>
      <c r="AL2203" s="434"/>
      <c r="AM2203" s="436"/>
      <c r="AN2203" s="434"/>
      <c r="AO2203" s="434"/>
      <c r="AP2203" s="556"/>
      <c r="AQ2203" s="556"/>
      <c r="AR2203" s="556"/>
      <c r="CF2203" s="2"/>
    </row>
    <row r="2204" spans="3:84">
      <c r="C2204" s="2"/>
      <c r="AD2204" s="502"/>
      <c r="AE2204" s="911"/>
      <c r="AF2204" s="502"/>
      <c r="AH2204" s="898"/>
      <c r="AI2204" s="502"/>
      <c r="AJ2204" s="502"/>
      <c r="AL2204" s="434"/>
      <c r="AM2204" s="436"/>
      <c r="AN2204" s="434"/>
      <c r="AO2204" s="434"/>
      <c r="AP2204" s="556"/>
      <c r="AQ2204" s="556"/>
      <c r="AR2204" s="556"/>
      <c r="CF2204" s="2"/>
    </row>
    <row r="2205" spans="3:84">
      <c r="C2205" s="2"/>
      <c r="AD2205" s="502"/>
      <c r="AE2205" s="911"/>
      <c r="AF2205" s="502"/>
      <c r="AH2205" s="898"/>
      <c r="AI2205" s="502"/>
      <c r="AJ2205" s="502"/>
      <c r="AL2205" s="434"/>
      <c r="AM2205" s="436"/>
      <c r="AN2205" s="434"/>
      <c r="AO2205" s="434"/>
      <c r="AP2205" s="556"/>
      <c r="AQ2205" s="556"/>
      <c r="AR2205" s="556"/>
      <c r="CF2205" s="2"/>
    </row>
    <row r="2206" spans="3:84">
      <c r="C2206" s="2"/>
      <c r="AD2206" s="502"/>
      <c r="AE2206" s="911"/>
      <c r="AF2206" s="502"/>
      <c r="AH2206" s="898"/>
      <c r="AI2206" s="502"/>
      <c r="AJ2206" s="502"/>
      <c r="AL2206" s="434"/>
      <c r="AM2206" s="436"/>
      <c r="AN2206" s="434"/>
      <c r="AO2206" s="434"/>
      <c r="AP2206" s="556"/>
      <c r="AQ2206" s="556"/>
      <c r="AR2206" s="556"/>
      <c r="CF2206" s="2"/>
    </row>
    <row r="2207" spans="3:84">
      <c r="C2207" s="2"/>
      <c r="AD2207" s="502"/>
      <c r="AE2207" s="911"/>
      <c r="AF2207" s="502"/>
      <c r="AH2207" s="898"/>
      <c r="AI2207" s="502"/>
      <c r="AJ2207" s="502"/>
      <c r="AL2207" s="434"/>
      <c r="AM2207" s="436"/>
      <c r="AN2207" s="434"/>
      <c r="AO2207" s="434"/>
      <c r="AP2207" s="556"/>
      <c r="AQ2207" s="556"/>
      <c r="AR2207" s="556"/>
      <c r="CF2207" s="2"/>
    </row>
    <row r="2208" spans="3:84">
      <c r="C2208" s="2"/>
      <c r="AD2208" s="502"/>
      <c r="AE2208" s="911"/>
      <c r="AF2208" s="502"/>
      <c r="AH2208" s="898"/>
      <c r="AI2208" s="502"/>
      <c r="AJ2208" s="502"/>
      <c r="AL2208" s="434"/>
      <c r="AM2208" s="436"/>
      <c r="AN2208" s="434"/>
      <c r="AO2208" s="434"/>
      <c r="AP2208" s="556"/>
      <c r="AQ2208" s="556"/>
      <c r="AR2208" s="556"/>
      <c r="CF2208" s="2"/>
    </row>
    <row r="2209" spans="3:84">
      <c r="C2209" s="2"/>
      <c r="AD2209" s="502"/>
      <c r="AE2209" s="911"/>
      <c r="AF2209" s="502"/>
      <c r="AH2209" s="898"/>
      <c r="AI2209" s="502"/>
      <c r="AJ2209" s="502"/>
      <c r="AL2209" s="434"/>
      <c r="AM2209" s="436"/>
      <c r="AN2209" s="434"/>
      <c r="AO2209" s="434"/>
      <c r="AP2209" s="556"/>
      <c r="AQ2209" s="556"/>
      <c r="AR2209" s="556"/>
      <c r="CF2209" s="2"/>
    </row>
    <row r="2210" spans="3:84">
      <c r="C2210" s="2"/>
      <c r="AD2210" s="502"/>
      <c r="AE2210" s="911"/>
      <c r="AF2210" s="502"/>
      <c r="AH2210" s="898"/>
      <c r="AI2210" s="502"/>
      <c r="AJ2210" s="502"/>
      <c r="AL2210" s="434"/>
      <c r="AM2210" s="436"/>
      <c r="AN2210" s="434"/>
      <c r="AO2210" s="434"/>
      <c r="AP2210" s="556"/>
      <c r="AQ2210" s="556"/>
      <c r="AR2210" s="556"/>
      <c r="CF2210" s="2"/>
    </row>
    <row r="2211" spans="3:84">
      <c r="C2211" s="2"/>
      <c r="AD2211" s="502"/>
      <c r="AE2211" s="911"/>
      <c r="AF2211" s="502"/>
      <c r="AH2211" s="898"/>
      <c r="AI2211" s="502"/>
      <c r="AJ2211" s="502"/>
      <c r="AL2211" s="434"/>
      <c r="AM2211" s="436"/>
      <c r="AN2211" s="434"/>
      <c r="AO2211" s="434"/>
      <c r="AP2211" s="556"/>
      <c r="AQ2211" s="556"/>
      <c r="AR2211" s="556"/>
      <c r="CF2211" s="2"/>
    </row>
    <row r="2212" spans="3:84">
      <c r="C2212" s="2"/>
      <c r="AD2212" s="502"/>
      <c r="AE2212" s="911"/>
      <c r="AF2212" s="502"/>
      <c r="AH2212" s="898"/>
      <c r="AI2212" s="502"/>
      <c r="AJ2212" s="502"/>
      <c r="AL2212" s="434"/>
      <c r="AM2212" s="436"/>
      <c r="AN2212" s="434"/>
      <c r="AO2212" s="434"/>
      <c r="AP2212" s="556"/>
      <c r="AQ2212" s="556"/>
      <c r="AR2212" s="556"/>
      <c r="CF2212" s="2"/>
    </row>
    <row r="2213" spans="3:84">
      <c r="C2213" s="2"/>
      <c r="AD2213" s="502"/>
      <c r="AE2213" s="911"/>
      <c r="AF2213" s="502"/>
      <c r="AH2213" s="898"/>
      <c r="AI2213" s="502"/>
      <c r="AJ2213" s="502"/>
      <c r="AL2213" s="434"/>
      <c r="AM2213" s="436"/>
      <c r="AN2213" s="434"/>
      <c r="AO2213" s="434"/>
      <c r="AP2213" s="556"/>
      <c r="AQ2213" s="556"/>
      <c r="AR2213" s="556"/>
      <c r="CF2213" s="2"/>
    </row>
    <row r="2214" spans="3:84">
      <c r="C2214" s="2"/>
      <c r="AD2214" s="502"/>
      <c r="AE2214" s="911"/>
      <c r="AF2214" s="502"/>
      <c r="AH2214" s="898"/>
      <c r="AI2214" s="502"/>
      <c r="AJ2214" s="502"/>
      <c r="AL2214" s="434"/>
      <c r="AM2214" s="436"/>
      <c r="AN2214" s="434"/>
      <c r="AO2214" s="434"/>
      <c r="AP2214" s="556"/>
      <c r="AQ2214" s="556"/>
      <c r="AR2214" s="556"/>
      <c r="CF2214" s="2"/>
    </row>
    <row r="2215" spans="3:84">
      <c r="C2215" s="2"/>
      <c r="AD2215" s="502"/>
      <c r="AE2215" s="911"/>
      <c r="AF2215" s="502"/>
      <c r="AH2215" s="898"/>
      <c r="AI2215" s="502"/>
      <c r="AJ2215" s="502"/>
      <c r="AL2215" s="434"/>
      <c r="AM2215" s="436"/>
      <c r="AN2215" s="434"/>
      <c r="AO2215" s="434"/>
      <c r="AP2215" s="556"/>
      <c r="AQ2215" s="556"/>
      <c r="AR2215" s="556"/>
      <c r="CF2215" s="2"/>
    </row>
    <row r="2216" spans="3:84">
      <c r="C2216" s="2"/>
      <c r="AD2216" s="502"/>
      <c r="AE2216" s="911"/>
      <c r="AF2216" s="502"/>
      <c r="AH2216" s="898"/>
      <c r="AI2216" s="502"/>
      <c r="AJ2216" s="502"/>
      <c r="AL2216" s="434"/>
      <c r="AM2216" s="436"/>
      <c r="AN2216" s="434"/>
      <c r="AO2216" s="434"/>
      <c r="AP2216" s="556"/>
      <c r="AQ2216" s="556"/>
      <c r="AR2216" s="556"/>
      <c r="CF2216" s="2"/>
    </row>
    <row r="2217" spans="3:84">
      <c r="C2217" s="2"/>
      <c r="AD2217" s="502"/>
      <c r="AE2217" s="911"/>
      <c r="AF2217" s="502"/>
      <c r="AH2217" s="898"/>
      <c r="AI2217" s="502"/>
      <c r="AJ2217" s="502"/>
      <c r="AL2217" s="434"/>
      <c r="AM2217" s="436"/>
      <c r="AN2217" s="434"/>
      <c r="AO2217" s="434"/>
      <c r="AP2217" s="556"/>
      <c r="AQ2217" s="556"/>
      <c r="AR2217" s="556"/>
      <c r="CF2217" s="2"/>
    </row>
    <row r="2218" spans="3:84">
      <c r="C2218" s="2"/>
      <c r="AD2218" s="502"/>
      <c r="AE2218" s="911"/>
      <c r="AF2218" s="502"/>
      <c r="AH2218" s="898"/>
      <c r="AI2218" s="502"/>
      <c r="AJ2218" s="502"/>
      <c r="AL2218" s="434"/>
      <c r="AM2218" s="436"/>
      <c r="AN2218" s="434"/>
      <c r="AO2218" s="434"/>
      <c r="AP2218" s="556"/>
      <c r="AQ2218" s="556"/>
      <c r="AR2218" s="556"/>
      <c r="CF2218" s="2"/>
    </row>
    <row r="2219" spans="3:84">
      <c r="C2219" s="2"/>
      <c r="AD2219" s="502"/>
      <c r="AE2219" s="911"/>
      <c r="AF2219" s="502"/>
      <c r="AH2219" s="898"/>
      <c r="AI2219" s="502"/>
      <c r="AJ2219" s="502"/>
      <c r="AL2219" s="434"/>
      <c r="AM2219" s="436"/>
      <c r="AN2219" s="434"/>
      <c r="AO2219" s="434"/>
      <c r="AP2219" s="556"/>
      <c r="AQ2219" s="556"/>
      <c r="AR2219" s="556"/>
      <c r="CF2219" s="2"/>
    </row>
    <row r="2220" spans="3:84">
      <c r="C2220" s="2"/>
      <c r="AD2220" s="502"/>
      <c r="AE2220" s="911"/>
      <c r="AF2220" s="502"/>
      <c r="AH2220" s="898"/>
      <c r="AI2220" s="502"/>
      <c r="AJ2220" s="502"/>
      <c r="AL2220" s="434"/>
      <c r="AM2220" s="436"/>
      <c r="AN2220" s="434"/>
      <c r="AO2220" s="434"/>
      <c r="AP2220" s="556"/>
      <c r="AQ2220" s="556"/>
      <c r="AR2220" s="556"/>
      <c r="CF2220" s="2"/>
    </row>
    <row r="2221" spans="3:84">
      <c r="C2221" s="2"/>
      <c r="AD2221" s="502"/>
      <c r="AE2221" s="911"/>
      <c r="AF2221" s="502"/>
      <c r="AH2221" s="898"/>
      <c r="AI2221" s="502"/>
      <c r="AJ2221" s="502"/>
      <c r="AL2221" s="434"/>
      <c r="AM2221" s="436"/>
      <c r="AN2221" s="434"/>
      <c r="AO2221" s="434"/>
      <c r="AP2221" s="556"/>
      <c r="AQ2221" s="556"/>
      <c r="AR2221" s="556"/>
      <c r="CF2221" s="2"/>
    </row>
    <row r="2222" spans="3:84">
      <c r="C2222" s="2"/>
      <c r="AD2222" s="502"/>
      <c r="AE2222" s="911"/>
      <c r="AF2222" s="502"/>
      <c r="AH2222" s="898"/>
      <c r="AI2222" s="502"/>
      <c r="AJ2222" s="502"/>
      <c r="AL2222" s="434"/>
      <c r="AM2222" s="436"/>
      <c r="AN2222" s="434"/>
      <c r="AO2222" s="434"/>
      <c r="AP2222" s="556"/>
      <c r="AQ2222" s="556"/>
      <c r="AR2222" s="556"/>
      <c r="CF2222" s="2"/>
    </row>
    <row r="2223" spans="3:84">
      <c r="C2223" s="2"/>
      <c r="AD2223" s="502"/>
      <c r="AE2223" s="911"/>
      <c r="AF2223" s="502"/>
      <c r="AH2223" s="898"/>
      <c r="AI2223" s="502"/>
      <c r="AJ2223" s="502"/>
      <c r="AL2223" s="434"/>
      <c r="AM2223" s="436"/>
      <c r="AN2223" s="434"/>
      <c r="AO2223" s="434"/>
      <c r="AP2223" s="556"/>
      <c r="AQ2223" s="556"/>
      <c r="AR2223" s="556"/>
      <c r="CF2223" s="2"/>
    </row>
    <row r="2224" spans="3:84">
      <c r="C2224" s="2"/>
      <c r="AD2224" s="502"/>
      <c r="AE2224" s="911"/>
      <c r="AF2224" s="502"/>
      <c r="AH2224" s="898"/>
      <c r="AI2224" s="502"/>
      <c r="AJ2224" s="502"/>
      <c r="AL2224" s="434"/>
      <c r="AM2224" s="436"/>
      <c r="AN2224" s="434"/>
      <c r="AO2224" s="434"/>
      <c r="AP2224" s="556"/>
      <c r="AQ2224" s="556"/>
      <c r="AR2224" s="556"/>
      <c r="CF2224" s="2"/>
    </row>
    <row r="2225" spans="3:84">
      <c r="C2225" s="2"/>
      <c r="AD2225" s="502"/>
      <c r="AE2225" s="911"/>
      <c r="AF2225" s="502"/>
      <c r="AH2225" s="898"/>
      <c r="AI2225" s="502"/>
      <c r="AJ2225" s="502"/>
      <c r="AL2225" s="434"/>
      <c r="AM2225" s="436"/>
      <c r="AN2225" s="434"/>
      <c r="AO2225" s="434"/>
      <c r="AP2225" s="556"/>
      <c r="AQ2225" s="556"/>
      <c r="AR2225" s="556"/>
      <c r="CF2225" s="2"/>
    </row>
    <row r="2226" spans="3:84">
      <c r="C2226" s="2"/>
      <c r="AD2226" s="502"/>
      <c r="AE2226" s="911"/>
      <c r="AF2226" s="502"/>
      <c r="AH2226" s="898"/>
      <c r="AI2226" s="502"/>
      <c r="AJ2226" s="502"/>
      <c r="AL2226" s="434"/>
      <c r="AM2226" s="436"/>
      <c r="AN2226" s="434"/>
      <c r="AO2226" s="434"/>
      <c r="AP2226" s="556"/>
      <c r="AQ2226" s="556"/>
      <c r="AR2226" s="556"/>
      <c r="CF2226" s="2"/>
    </row>
    <row r="2227" spans="3:84">
      <c r="C2227" s="2"/>
      <c r="AD2227" s="502"/>
      <c r="AE2227" s="911"/>
      <c r="AF2227" s="502"/>
      <c r="AH2227" s="898"/>
      <c r="AI2227" s="502"/>
      <c r="AJ2227" s="502"/>
      <c r="AL2227" s="434"/>
      <c r="AM2227" s="436"/>
      <c r="AN2227" s="434"/>
      <c r="AO2227" s="434"/>
      <c r="AP2227" s="556"/>
      <c r="AQ2227" s="556"/>
      <c r="AR2227" s="556"/>
      <c r="CF2227" s="2"/>
    </row>
    <row r="2228" spans="3:84">
      <c r="C2228" s="2"/>
      <c r="AD2228" s="502"/>
      <c r="AE2228" s="911"/>
      <c r="AF2228" s="502"/>
      <c r="AH2228" s="898"/>
      <c r="AI2228" s="502"/>
      <c r="AJ2228" s="502"/>
      <c r="AL2228" s="434"/>
      <c r="AM2228" s="436"/>
      <c r="AN2228" s="434"/>
      <c r="AO2228" s="434"/>
      <c r="AP2228" s="556"/>
      <c r="AQ2228" s="556"/>
      <c r="AR2228" s="556"/>
      <c r="CF2228" s="2"/>
    </row>
    <row r="2229" spans="3:84">
      <c r="C2229" s="2"/>
      <c r="AD2229" s="502"/>
      <c r="AE2229" s="911"/>
      <c r="AF2229" s="502"/>
      <c r="AH2229" s="898"/>
      <c r="AI2229" s="502"/>
      <c r="AJ2229" s="502"/>
      <c r="AL2229" s="434"/>
      <c r="AM2229" s="436"/>
      <c r="AN2229" s="434"/>
      <c r="AO2229" s="434"/>
      <c r="AP2229" s="556"/>
      <c r="AQ2229" s="556"/>
      <c r="AR2229" s="556"/>
      <c r="CF2229" s="2"/>
    </row>
    <row r="2230" spans="3:84">
      <c r="C2230" s="2"/>
      <c r="AD2230" s="502"/>
      <c r="AE2230" s="911"/>
      <c r="AF2230" s="502"/>
      <c r="AH2230" s="898"/>
      <c r="AI2230" s="502"/>
      <c r="AJ2230" s="502"/>
      <c r="AL2230" s="434"/>
      <c r="AM2230" s="436"/>
      <c r="AN2230" s="434"/>
      <c r="AO2230" s="434"/>
      <c r="AP2230" s="556"/>
      <c r="AQ2230" s="556"/>
      <c r="AR2230" s="556"/>
      <c r="CF2230" s="2"/>
    </row>
    <row r="2231" spans="3:84">
      <c r="C2231" s="2"/>
      <c r="AD2231" s="502"/>
      <c r="AE2231" s="911"/>
      <c r="AF2231" s="502"/>
      <c r="AH2231" s="898"/>
      <c r="AI2231" s="502"/>
      <c r="AJ2231" s="502"/>
      <c r="AL2231" s="434"/>
      <c r="AM2231" s="436"/>
      <c r="AN2231" s="434"/>
      <c r="AO2231" s="434"/>
      <c r="AP2231" s="556"/>
      <c r="AQ2231" s="556"/>
      <c r="AR2231" s="556"/>
      <c r="CF2231" s="2"/>
    </row>
    <row r="2232" spans="3:84">
      <c r="C2232" s="2"/>
      <c r="AD2232" s="502"/>
      <c r="AE2232" s="911"/>
      <c r="AF2232" s="502"/>
      <c r="AH2232" s="898"/>
      <c r="AI2232" s="502"/>
      <c r="AJ2232" s="502"/>
      <c r="AL2232" s="434"/>
      <c r="AM2232" s="436"/>
      <c r="AN2232" s="434"/>
      <c r="AO2232" s="434"/>
      <c r="AP2232" s="556"/>
      <c r="AQ2232" s="556"/>
      <c r="AR2232" s="556"/>
      <c r="CF2232" s="2"/>
    </row>
    <row r="2233" spans="3:84">
      <c r="C2233" s="2"/>
      <c r="AD2233" s="502"/>
      <c r="AE2233" s="911"/>
      <c r="AF2233" s="502"/>
      <c r="AH2233" s="898"/>
      <c r="AI2233" s="502"/>
      <c r="AJ2233" s="502"/>
      <c r="AL2233" s="434"/>
      <c r="AM2233" s="436"/>
      <c r="AN2233" s="434"/>
      <c r="AO2233" s="434"/>
      <c r="AP2233" s="556"/>
      <c r="AQ2233" s="556"/>
      <c r="AR2233" s="556"/>
      <c r="CF2233" s="2"/>
    </row>
    <row r="2234" spans="3:84">
      <c r="C2234" s="2"/>
      <c r="AD2234" s="502"/>
      <c r="AE2234" s="911"/>
      <c r="AF2234" s="502"/>
      <c r="AH2234" s="898"/>
      <c r="AI2234" s="502"/>
      <c r="AJ2234" s="502"/>
      <c r="AL2234" s="434"/>
      <c r="AM2234" s="436"/>
      <c r="AN2234" s="434"/>
      <c r="AO2234" s="434"/>
      <c r="AP2234" s="556"/>
      <c r="AQ2234" s="556"/>
      <c r="AR2234" s="556"/>
      <c r="CF2234" s="2"/>
    </row>
    <row r="2235" spans="3:84">
      <c r="C2235" s="2"/>
      <c r="AD2235" s="502"/>
      <c r="AE2235" s="911"/>
      <c r="AF2235" s="502"/>
      <c r="AH2235" s="898"/>
      <c r="AI2235" s="502"/>
      <c r="AJ2235" s="502"/>
      <c r="AL2235" s="434"/>
      <c r="AM2235" s="436"/>
      <c r="AN2235" s="434"/>
      <c r="AO2235" s="434"/>
      <c r="AP2235" s="556"/>
      <c r="AQ2235" s="556"/>
      <c r="AR2235" s="556"/>
      <c r="CF2235" s="2"/>
    </row>
    <row r="2236" spans="3:84">
      <c r="C2236" s="2"/>
      <c r="AD2236" s="502"/>
      <c r="AE2236" s="911"/>
      <c r="AF2236" s="502"/>
      <c r="AH2236" s="898"/>
      <c r="AI2236" s="502"/>
      <c r="AJ2236" s="502"/>
      <c r="AL2236" s="434"/>
      <c r="AM2236" s="436"/>
      <c r="AN2236" s="434"/>
      <c r="AO2236" s="434"/>
      <c r="AP2236" s="556"/>
      <c r="AQ2236" s="556"/>
      <c r="AR2236" s="556"/>
      <c r="CF2236" s="2"/>
    </row>
    <row r="2237" spans="3:84">
      <c r="C2237" s="2"/>
      <c r="AD2237" s="502"/>
      <c r="AE2237" s="911"/>
      <c r="AF2237" s="502"/>
      <c r="AH2237" s="898"/>
      <c r="AI2237" s="502"/>
      <c r="AJ2237" s="502"/>
      <c r="AL2237" s="434"/>
      <c r="AM2237" s="436"/>
      <c r="AN2237" s="434"/>
      <c r="AO2237" s="434"/>
      <c r="AP2237" s="556"/>
      <c r="AQ2237" s="556"/>
      <c r="AR2237" s="556"/>
      <c r="CF2237" s="2"/>
    </row>
    <row r="2238" spans="3:84">
      <c r="C2238" s="2"/>
      <c r="AD2238" s="502"/>
      <c r="AE2238" s="911"/>
      <c r="AF2238" s="502"/>
      <c r="AH2238" s="898"/>
      <c r="AI2238" s="502"/>
      <c r="AJ2238" s="502"/>
      <c r="AL2238" s="434"/>
      <c r="AM2238" s="436"/>
      <c r="AN2238" s="434"/>
      <c r="AO2238" s="434"/>
      <c r="AP2238" s="556"/>
      <c r="AQ2238" s="556"/>
      <c r="AR2238" s="556"/>
      <c r="CF2238" s="2"/>
    </row>
    <row r="2239" spans="3:84">
      <c r="C2239" s="2"/>
      <c r="AD2239" s="502"/>
      <c r="AE2239" s="911"/>
      <c r="AF2239" s="502"/>
      <c r="AH2239" s="898"/>
      <c r="AI2239" s="502"/>
      <c r="AJ2239" s="502"/>
      <c r="AL2239" s="434"/>
      <c r="AM2239" s="436"/>
      <c r="AN2239" s="434"/>
      <c r="AO2239" s="434"/>
      <c r="AP2239" s="556"/>
      <c r="AQ2239" s="556"/>
      <c r="AR2239" s="556"/>
      <c r="CF2239" s="2"/>
    </row>
    <row r="2240" spans="3:84">
      <c r="C2240" s="2"/>
      <c r="AD2240" s="502"/>
      <c r="AE2240" s="911"/>
      <c r="AF2240" s="502"/>
      <c r="AH2240" s="898"/>
      <c r="AI2240" s="502"/>
      <c r="AJ2240" s="502"/>
      <c r="AL2240" s="434"/>
      <c r="AM2240" s="436"/>
      <c r="AN2240" s="434"/>
      <c r="AO2240" s="434"/>
      <c r="AP2240" s="556"/>
      <c r="AQ2240" s="556"/>
      <c r="AR2240" s="556"/>
      <c r="CF2240" s="2"/>
    </row>
    <row r="2241" spans="3:84">
      <c r="C2241" s="2"/>
      <c r="AD2241" s="502"/>
      <c r="AE2241" s="911"/>
      <c r="AF2241" s="502"/>
      <c r="AH2241" s="898"/>
      <c r="AI2241" s="502"/>
      <c r="AJ2241" s="502"/>
      <c r="AL2241" s="434"/>
      <c r="AM2241" s="436"/>
      <c r="AN2241" s="434"/>
      <c r="AO2241" s="434"/>
      <c r="AP2241" s="556"/>
      <c r="AQ2241" s="556"/>
      <c r="AR2241" s="556"/>
      <c r="CF2241" s="2"/>
    </row>
    <row r="2242" spans="3:84">
      <c r="C2242" s="2"/>
      <c r="AD2242" s="502"/>
      <c r="AE2242" s="911"/>
      <c r="AF2242" s="502"/>
      <c r="AH2242" s="898"/>
      <c r="AI2242" s="502"/>
      <c r="AJ2242" s="502"/>
      <c r="AL2242" s="434"/>
      <c r="AM2242" s="436"/>
      <c r="AN2242" s="434"/>
      <c r="AO2242" s="434"/>
      <c r="AP2242" s="556"/>
      <c r="AQ2242" s="556"/>
      <c r="AR2242" s="556"/>
      <c r="CF2242" s="2"/>
    </row>
    <row r="2243" spans="3:84">
      <c r="C2243" s="2"/>
      <c r="AD2243" s="502"/>
      <c r="AE2243" s="911"/>
      <c r="AF2243" s="502"/>
      <c r="AH2243" s="898"/>
      <c r="AI2243" s="502"/>
      <c r="AJ2243" s="502"/>
      <c r="AL2243" s="434"/>
      <c r="AM2243" s="436"/>
      <c r="AN2243" s="434"/>
      <c r="AO2243" s="434"/>
      <c r="AP2243" s="556"/>
      <c r="AQ2243" s="556"/>
      <c r="AR2243" s="556"/>
      <c r="CF2243" s="2"/>
    </row>
    <row r="2244" spans="3:84">
      <c r="C2244" s="2"/>
      <c r="AD2244" s="502"/>
      <c r="AE2244" s="911"/>
      <c r="AF2244" s="502"/>
      <c r="AH2244" s="898"/>
      <c r="AI2244" s="502"/>
      <c r="AJ2244" s="502"/>
      <c r="AL2244" s="434"/>
      <c r="AM2244" s="436"/>
      <c r="AN2244" s="434"/>
      <c r="AO2244" s="434"/>
      <c r="AP2244" s="556"/>
      <c r="AQ2244" s="556"/>
      <c r="AR2244" s="556"/>
      <c r="CF2244" s="2"/>
    </row>
    <row r="2245" spans="3:84">
      <c r="C2245" s="2"/>
      <c r="AD2245" s="502"/>
      <c r="AE2245" s="911"/>
      <c r="AF2245" s="502"/>
      <c r="AH2245" s="898"/>
      <c r="AI2245" s="502"/>
      <c r="AJ2245" s="502"/>
      <c r="AL2245" s="434"/>
      <c r="AM2245" s="436"/>
      <c r="AN2245" s="434"/>
      <c r="AO2245" s="434"/>
      <c r="AP2245" s="556"/>
      <c r="AQ2245" s="556"/>
      <c r="AR2245" s="556"/>
      <c r="CF2245" s="2"/>
    </row>
    <row r="2246" spans="3:84">
      <c r="C2246" s="2"/>
      <c r="AD2246" s="502"/>
      <c r="AE2246" s="911"/>
      <c r="AF2246" s="502"/>
      <c r="AH2246" s="898"/>
      <c r="AI2246" s="502"/>
      <c r="AJ2246" s="502"/>
      <c r="AL2246" s="434"/>
      <c r="AM2246" s="436"/>
      <c r="AN2246" s="434"/>
      <c r="AO2246" s="434"/>
      <c r="AP2246" s="556"/>
      <c r="AQ2246" s="556"/>
      <c r="AR2246" s="556"/>
      <c r="CF2246" s="2"/>
    </row>
    <row r="2247" spans="3:84">
      <c r="C2247" s="2"/>
      <c r="AD2247" s="502"/>
      <c r="AE2247" s="911"/>
      <c r="AF2247" s="502"/>
      <c r="AH2247" s="898"/>
      <c r="AI2247" s="502"/>
      <c r="AJ2247" s="502"/>
      <c r="AL2247" s="434"/>
      <c r="AM2247" s="436"/>
      <c r="AN2247" s="434"/>
      <c r="AO2247" s="434"/>
      <c r="AP2247" s="556"/>
      <c r="AQ2247" s="556"/>
      <c r="AR2247" s="556"/>
      <c r="CF2247" s="2"/>
    </row>
    <row r="2248" spans="3:84">
      <c r="C2248" s="2"/>
      <c r="AD2248" s="502"/>
      <c r="AE2248" s="911"/>
      <c r="AF2248" s="502"/>
      <c r="AH2248" s="898"/>
      <c r="AI2248" s="502"/>
      <c r="AJ2248" s="502"/>
      <c r="AL2248" s="434"/>
      <c r="AM2248" s="436"/>
      <c r="AN2248" s="434"/>
      <c r="AO2248" s="434"/>
      <c r="AP2248" s="556"/>
      <c r="AQ2248" s="556"/>
      <c r="AR2248" s="556"/>
      <c r="CF2248" s="2"/>
    </row>
    <row r="2249" spans="3:84">
      <c r="C2249" s="2"/>
      <c r="AD2249" s="502"/>
      <c r="AE2249" s="911"/>
      <c r="AF2249" s="502"/>
      <c r="AH2249" s="898"/>
      <c r="AI2249" s="502"/>
      <c r="AJ2249" s="502"/>
      <c r="AL2249" s="434"/>
      <c r="AM2249" s="436"/>
      <c r="AN2249" s="434"/>
      <c r="AO2249" s="434"/>
      <c r="AP2249" s="556"/>
      <c r="AQ2249" s="556"/>
      <c r="AR2249" s="556"/>
      <c r="CF2249" s="2"/>
    </row>
    <row r="2250" spans="3:84">
      <c r="C2250" s="2"/>
      <c r="AD2250" s="502"/>
      <c r="AE2250" s="911"/>
      <c r="AF2250" s="502"/>
      <c r="AH2250" s="898"/>
      <c r="AI2250" s="502"/>
      <c r="AJ2250" s="502"/>
      <c r="AL2250" s="434"/>
      <c r="AM2250" s="436"/>
      <c r="AN2250" s="434"/>
      <c r="AO2250" s="434"/>
      <c r="AP2250" s="556"/>
      <c r="AQ2250" s="556"/>
      <c r="AR2250" s="556"/>
      <c r="CF2250" s="2"/>
    </row>
    <row r="2251" spans="3:84">
      <c r="C2251" s="2"/>
      <c r="AD2251" s="502"/>
      <c r="AE2251" s="911"/>
      <c r="AF2251" s="502"/>
      <c r="AH2251" s="898"/>
      <c r="AI2251" s="502"/>
      <c r="AJ2251" s="502"/>
      <c r="AL2251" s="434"/>
      <c r="AM2251" s="436"/>
      <c r="AN2251" s="434"/>
      <c r="AO2251" s="434"/>
      <c r="AP2251" s="556"/>
      <c r="AQ2251" s="556"/>
      <c r="AR2251" s="556"/>
      <c r="CF2251" s="2"/>
    </row>
    <row r="2252" spans="3:84">
      <c r="C2252" s="2"/>
      <c r="AD2252" s="502"/>
      <c r="AE2252" s="911"/>
      <c r="AF2252" s="502"/>
      <c r="AH2252" s="898"/>
      <c r="AI2252" s="502"/>
      <c r="AJ2252" s="502"/>
      <c r="AL2252" s="434"/>
      <c r="AM2252" s="436"/>
      <c r="AN2252" s="434"/>
      <c r="AO2252" s="434"/>
      <c r="AP2252" s="556"/>
      <c r="AQ2252" s="556"/>
      <c r="AR2252" s="556"/>
      <c r="CF2252" s="2"/>
    </row>
    <row r="2253" spans="3:84">
      <c r="C2253" s="2"/>
      <c r="AD2253" s="502"/>
      <c r="AE2253" s="911"/>
      <c r="AF2253" s="502"/>
      <c r="AH2253" s="898"/>
      <c r="AI2253" s="502"/>
      <c r="AJ2253" s="502"/>
      <c r="AL2253" s="434"/>
      <c r="AM2253" s="436"/>
      <c r="AN2253" s="434"/>
      <c r="AO2253" s="434"/>
      <c r="AP2253" s="556"/>
      <c r="AQ2253" s="556"/>
      <c r="AR2253" s="556"/>
      <c r="CF2253" s="2"/>
    </row>
    <row r="2254" spans="3:84">
      <c r="C2254" s="2"/>
      <c r="AD2254" s="502"/>
      <c r="AE2254" s="911"/>
      <c r="AF2254" s="502"/>
      <c r="AH2254" s="898"/>
      <c r="AI2254" s="502"/>
      <c r="AJ2254" s="502"/>
      <c r="AL2254" s="434"/>
      <c r="AM2254" s="436"/>
      <c r="AN2254" s="434"/>
      <c r="AO2254" s="434"/>
      <c r="AP2254" s="556"/>
      <c r="AQ2254" s="556"/>
      <c r="AR2254" s="556"/>
      <c r="CF2254" s="2"/>
    </row>
    <row r="2255" spans="3:84">
      <c r="C2255" s="2"/>
      <c r="AD2255" s="502"/>
      <c r="AE2255" s="911"/>
      <c r="AF2255" s="502"/>
      <c r="AH2255" s="898"/>
      <c r="AI2255" s="502"/>
      <c r="AJ2255" s="502"/>
      <c r="AL2255" s="434"/>
      <c r="AM2255" s="436"/>
      <c r="AN2255" s="434"/>
      <c r="AO2255" s="434"/>
      <c r="AP2255" s="556"/>
      <c r="AQ2255" s="556"/>
      <c r="AR2255" s="556"/>
      <c r="CF2255" s="2"/>
    </row>
    <row r="2256" spans="3:84">
      <c r="C2256" s="2"/>
      <c r="AD2256" s="502"/>
      <c r="AE2256" s="911"/>
      <c r="AF2256" s="502"/>
      <c r="AH2256" s="898"/>
      <c r="AI2256" s="502"/>
      <c r="AJ2256" s="502"/>
      <c r="AL2256" s="434"/>
      <c r="AM2256" s="436"/>
      <c r="AN2256" s="434"/>
      <c r="AO2256" s="434"/>
      <c r="AP2256" s="556"/>
      <c r="AQ2256" s="556"/>
      <c r="AR2256" s="556"/>
      <c r="CF2256" s="2"/>
    </row>
    <row r="2257" spans="3:84">
      <c r="C2257" s="2"/>
      <c r="AD2257" s="502"/>
      <c r="AE2257" s="911"/>
      <c r="AF2257" s="502"/>
      <c r="AH2257" s="898"/>
      <c r="AI2257" s="502"/>
      <c r="AJ2257" s="502"/>
      <c r="AL2257" s="434"/>
      <c r="AM2257" s="436"/>
      <c r="AN2257" s="434"/>
      <c r="AO2257" s="434"/>
      <c r="AP2257" s="556"/>
      <c r="AQ2257" s="556"/>
      <c r="AR2257" s="556"/>
      <c r="CF2257" s="2"/>
    </row>
    <row r="2258" spans="3:84">
      <c r="C2258" s="2"/>
      <c r="AD2258" s="502"/>
      <c r="AE2258" s="911"/>
      <c r="AF2258" s="502"/>
      <c r="AH2258" s="898"/>
      <c r="AI2258" s="502"/>
      <c r="AJ2258" s="502"/>
      <c r="AL2258" s="434"/>
      <c r="AM2258" s="436"/>
      <c r="AN2258" s="434"/>
      <c r="AO2258" s="434"/>
      <c r="AP2258" s="556"/>
      <c r="AQ2258" s="556"/>
      <c r="AR2258" s="556"/>
      <c r="CF2258" s="2"/>
    </row>
    <row r="2259" spans="3:84">
      <c r="C2259" s="2"/>
      <c r="AD2259" s="502"/>
      <c r="AE2259" s="911"/>
      <c r="AF2259" s="502"/>
      <c r="AH2259" s="898"/>
      <c r="AI2259" s="502"/>
      <c r="AJ2259" s="502"/>
      <c r="AL2259" s="434"/>
      <c r="AM2259" s="436"/>
      <c r="AN2259" s="434"/>
      <c r="AO2259" s="434"/>
      <c r="AP2259" s="556"/>
      <c r="AQ2259" s="556"/>
      <c r="AR2259" s="556"/>
      <c r="CF2259" s="2"/>
    </row>
    <row r="2260" spans="3:84">
      <c r="C2260" s="2"/>
      <c r="AD2260" s="502"/>
      <c r="AE2260" s="911"/>
      <c r="AF2260" s="502"/>
      <c r="AH2260" s="898"/>
      <c r="AI2260" s="502"/>
      <c r="AJ2260" s="502"/>
      <c r="AL2260" s="434"/>
      <c r="AM2260" s="436"/>
      <c r="AN2260" s="434"/>
      <c r="AO2260" s="434"/>
      <c r="AP2260" s="556"/>
      <c r="AQ2260" s="556"/>
      <c r="AR2260" s="556"/>
      <c r="CF2260" s="2"/>
    </row>
    <row r="2261" spans="3:84">
      <c r="C2261" s="2"/>
      <c r="AD2261" s="502"/>
      <c r="AE2261" s="911"/>
      <c r="AF2261" s="502"/>
      <c r="AH2261" s="898"/>
      <c r="AI2261" s="502"/>
      <c r="AJ2261" s="502"/>
      <c r="AL2261" s="434"/>
      <c r="AM2261" s="436"/>
      <c r="AN2261" s="434"/>
      <c r="AO2261" s="434"/>
      <c r="AP2261" s="556"/>
      <c r="AQ2261" s="556"/>
      <c r="AR2261" s="556"/>
      <c r="CF2261" s="2"/>
    </row>
    <row r="2262" spans="3:84">
      <c r="C2262" s="2"/>
      <c r="AD2262" s="502"/>
      <c r="AE2262" s="911"/>
      <c r="AF2262" s="502"/>
      <c r="AH2262" s="898"/>
      <c r="AI2262" s="502"/>
      <c r="AJ2262" s="502"/>
      <c r="AL2262" s="434"/>
      <c r="AM2262" s="436"/>
      <c r="AN2262" s="434"/>
      <c r="AO2262" s="434"/>
      <c r="AP2262" s="556"/>
      <c r="AQ2262" s="556"/>
      <c r="AR2262" s="556"/>
      <c r="CF2262" s="2"/>
    </row>
    <row r="2263" spans="3:84">
      <c r="C2263" s="2"/>
      <c r="AD2263" s="502"/>
      <c r="AE2263" s="911"/>
      <c r="AF2263" s="502"/>
      <c r="AH2263" s="898"/>
      <c r="AI2263" s="502"/>
      <c r="AJ2263" s="502"/>
      <c r="AL2263" s="434"/>
      <c r="AM2263" s="436"/>
      <c r="AN2263" s="434"/>
      <c r="AO2263" s="434"/>
      <c r="AP2263" s="556"/>
      <c r="AQ2263" s="556"/>
      <c r="AR2263" s="556"/>
      <c r="CF2263" s="2"/>
    </row>
    <row r="2264" spans="3:84">
      <c r="C2264" s="2"/>
      <c r="AD2264" s="502"/>
      <c r="AE2264" s="911"/>
      <c r="AF2264" s="502"/>
      <c r="AH2264" s="898"/>
      <c r="AI2264" s="502"/>
      <c r="AJ2264" s="502"/>
      <c r="AL2264" s="434"/>
      <c r="AM2264" s="436"/>
      <c r="AN2264" s="434"/>
      <c r="AO2264" s="434"/>
      <c r="AP2264" s="556"/>
      <c r="AQ2264" s="556"/>
      <c r="AR2264" s="556"/>
      <c r="CF2264" s="2"/>
    </row>
    <row r="2265" spans="3:84">
      <c r="C2265" s="2"/>
      <c r="AD2265" s="502"/>
      <c r="AE2265" s="911"/>
      <c r="AF2265" s="502"/>
      <c r="AH2265" s="898"/>
      <c r="AI2265" s="502"/>
      <c r="AJ2265" s="502"/>
      <c r="AL2265" s="434"/>
      <c r="AM2265" s="436"/>
      <c r="AN2265" s="434"/>
      <c r="AO2265" s="434"/>
      <c r="AP2265" s="556"/>
      <c r="AQ2265" s="556"/>
      <c r="AR2265" s="556"/>
      <c r="CF2265" s="2"/>
    </row>
    <row r="2266" spans="3:84">
      <c r="C2266" s="2"/>
      <c r="AD2266" s="502"/>
      <c r="AE2266" s="911"/>
      <c r="AF2266" s="502"/>
      <c r="AH2266" s="898"/>
      <c r="AI2266" s="502"/>
      <c r="AJ2266" s="502"/>
      <c r="AL2266" s="434"/>
      <c r="AM2266" s="436"/>
      <c r="AN2266" s="434"/>
      <c r="AO2266" s="434"/>
      <c r="AP2266" s="556"/>
      <c r="AQ2266" s="556"/>
      <c r="AR2266" s="556"/>
      <c r="CF2266" s="2"/>
    </row>
    <row r="2267" spans="3:84">
      <c r="C2267" s="2"/>
      <c r="AD2267" s="502"/>
      <c r="AE2267" s="911"/>
      <c r="AF2267" s="502"/>
      <c r="AH2267" s="898"/>
      <c r="AI2267" s="502"/>
      <c r="AJ2267" s="502"/>
      <c r="AL2267" s="434"/>
      <c r="AM2267" s="436"/>
      <c r="AN2267" s="434"/>
      <c r="AO2267" s="434"/>
      <c r="AP2267" s="556"/>
      <c r="AQ2267" s="556"/>
      <c r="AR2267" s="556"/>
      <c r="CF2267" s="2"/>
    </row>
    <row r="2268" spans="3:84">
      <c r="C2268" s="2"/>
      <c r="AD2268" s="502"/>
      <c r="AE2268" s="911"/>
      <c r="AF2268" s="502"/>
      <c r="AH2268" s="898"/>
      <c r="AI2268" s="502"/>
      <c r="AJ2268" s="502"/>
      <c r="AL2268" s="434"/>
      <c r="AM2268" s="436"/>
      <c r="AN2268" s="434"/>
      <c r="AO2268" s="434"/>
      <c r="AP2268" s="556"/>
      <c r="AQ2268" s="556"/>
      <c r="AR2268" s="556"/>
      <c r="CF2268" s="2"/>
    </row>
    <row r="2269" spans="3:84">
      <c r="C2269" s="2"/>
      <c r="AD2269" s="502"/>
      <c r="AE2269" s="911"/>
      <c r="AF2269" s="502"/>
      <c r="AH2269" s="898"/>
      <c r="AI2269" s="502"/>
      <c r="AJ2269" s="502"/>
      <c r="AL2269" s="434"/>
      <c r="AM2269" s="436"/>
      <c r="AN2269" s="434"/>
      <c r="AO2269" s="434"/>
      <c r="AP2269" s="556"/>
      <c r="AQ2269" s="556"/>
      <c r="AR2269" s="556"/>
      <c r="CF2269" s="2"/>
    </row>
    <row r="2270" spans="3:84">
      <c r="C2270" s="2"/>
      <c r="AD2270" s="502"/>
      <c r="AE2270" s="911"/>
      <c r="AF2270" s="502"/>
      <c r="AH2270" s="898"/>
      <c r="AI2270" s="502"/>
      <c r="AJ2270" s="502"/>
      <c r="AL2270" s="434"/>
      <c r="AM2270" s="436"/>
      <c r="AN2270" s="434"/>
      <c r="AO2270" s="434"/>
      <c r="AP2270" s="556"/>
      <c r="AQ2270" s="556"/>
      <c r="AR2270" s="556"/>
      <c r="CF2270" s="2"/>
    </row>
    <row r="2271" spans="3:84">
      <c r="C2271" s="2"/>
      <c r="AD2271" s="502"/>
      <c r="AE2271" s="911"/>
      <c r="AF2271" s="502"/>
      <c r="AH2271" s="898"/>
      <c r="AI2271" s="502"/>
      <c r="AJ2271" s="502"/>
      <c r="AL2271" s="434"/>
      <c r="AM2271" s="436"/>
      <c r="AN2271" s="434"/>
      <c r="AO2271" s="434"/>
      <c r="AP2271" s="556"/>
      <c r="AQ2271" s="556"/>
      <c r="AR2271" s="556"/>
      <c r="CF2271" s="2"/>
    </row>
    <row r="2272" spans="3:84">
      <c r="C2272" s="2"/>
      <c r="AD2272" s="502"/>
      <c r="AE2272" s="911"/>
      <c r="AF2272" s="502"/>
      <c r="AH2272" s="898"/>
      <c r="AI2272" s="502"/>
      <c r="AJ2272" s="502"/>
      <c r="AL2272" s="434"/>
      <c r="AM2272" s="436"/>
      <c r="AN2272" s="434"/>
      <c r="AO2272" s="434"/>
      <c r="AP2272" s="556"/>
      <c r="AQ2272" s="556"/>
      <c r="AR2272" s="556"/>
      <c r="CF2272" s="2"/>
    </row>
    <row r="2273" spans="3:84">
      <c r="C2273" s="2"/>
      <c r="AD2273" s="502"/>
      <c r="AE2273" s="911"/>
      <c r="AF2273" s="502"/>
      <c r="AH2273" s="898"/>
      <c r="AI2273" s="502"/>
      <c r="AJ2273" s="502"/>
      <c r="AL2273" s="434"/>
      <c r="AM2273" s="436"/>
      <c r="AN2273" s="434"/>
      <c r="AO2273" s="434"/>
      <c r="AP2273" s="556"/>
      <c r="AQ2273" s="556"/>
      <c r="AR2273" s="556"/>
      <c r="CF2273" s="2"/>
    </row>
    <row r="2274" spans="3:84">
      <c r="C2274" s="2"/>
      <c r="AD2274" s="502"/>
      <c r="AE2274" s="911"/>
      <c r="AF2274" s="502"/>
      <c r="AH2274" s="898"/>
      <c r="AI2274" s="502"/>
      <c r="AJ2274" s="502"/>
      <c r="AL2274" s="434"/>
      <c r="AM2274" s="436"/>
      <c r="AN2274" s="434"/>
      <c r="AO2274" s="434"/>
      <c r="AP2274" s="556"/>
      <c r="AQ2274" s="556"/>
      <c r="AR2274" s="556"/>
      <c r="CF2274" s="2"/>
    </row>
    <row r="2275" spans="3:84">
      <c r="C2275" s="2"/>
      <c r="AD2275" s="502"/>
      <c r="AE2275" s="911"/>
      <c r="AF2275" s="502"/>
      <c r="AH2275" s="898"/>
      <c r="AI2275" s="502"/>
      <c r="AJ2275" s="502"/>
      <c r="AL2275" s="434"/>
      <c r="AM2275" s="436"/>
      <c r="AN2275" s="434"/>
      <c r="AO2275" s="434"/>
      <c r="AP2275" s="556"/>
      <c r="AQ2275" s="556"/>
      <c r="AR2275" s="556"/>
      <c r="CF2275" s="2"/>
    </row>
    <row r="2276" spans="3:84">
      <c r="C2276" s="2"/>
      <c r="AD2276" s="502"/>
      <c r="AE2276" s="911"/>
      <c r="AF2276" s="502"/>
      <c r="AH2276" s="898"/>
      <c r="AI2276" s="502"/>
      <c r="AJ2276" s="502"/>
      <c r="AL2276" s="434"/>
      <c r="AM2276" s="436"/>
      <c r="AN2276" s="434"/>
      <c r="AO2276" s="434"/>
      <c r="AP2276" s="556"/>
      <c r="AQ2276" s="556"/>
      <c r="AR2276" s="556"/>
      <c r="CF2276" s="2"/>
    </row>
    <row r="2277" spans="3:84">
      <c r="C2277" s="2"/>
      <c r="AD2277" s="502"/>
      <c r="AE2277" s="911"/>
      <c r="AF2277" s="502"/>
      <c r="AH2277" s="898"/>
      <c r="AI2277" s="502"/>
      <c r="AJ2277" s="502"/>
      <c r="AL2277" s="434"/>
      <c r="AM2277" s="436"/>
      <c r="AN2277" s="434"/>
      <c r="AO2277" s="434"/>
      <c r="AP2277" s="556"/>
      <c r="AQ2277" s="556"/>
      <c r="AR2277" s="556"/>
      <c r="CF2277" s="2"/>
    </row>
    <row r="2278" spans="3:84">
      <c r="C2278" s="2"/>
      <c r="AD2278" s="502"/>
      <c r="AE2278" s="911"/>
      <c r="AF2278" s="502"/>
      <c r="AH2278" s="898"/>
      <c r="AI2278" s="502"/>
      <c r="AJ2278" s="502"/>
      <c r="AL2278" s="434"/>
      <c r="AM2278" s="436"/>
      <c r="AN2278" s="434"/>
      <c r="AO2278" s="434"/>
      <c r="AP2278" s="556"/>
      <c r="AQ2278" s="556"/>
      <c r="AR2278" s="556"/>
      <c r="CF2278" s="2"/>
    </row>
    <row r="2279" spans="3:84">
      <c r="C2279" s="2"/>
      <c r="AD2279" s="502"/>
      <c r="AE2279" s="911"/>
      <c r="AF2279" s="502"/>
      <c r="AH2279" s="898"/>
      <c r="AI2279" s="502"/>
      <c r="AJ2279" s="502"/>
      <c r="AL2279" s="434"/>
      <c r="AM2279" s="436"/>
      <c r="AN2279" s="434"/>
      <c r="AO2279" s="434"/>
      <c r="AP2279" s="556"/>
      <c r="AQ2279" s="556"/>
      <c r="AR2279" s="556"/>
      <c r="CF2279" s="2"/>
    </row>
    <row r="2280" spans="3:84">
      <c r="C2280" s="2"/>
      <c r="AD2280" s="502"/>
      <c r="AE2280" s="911"/>
      <c r="AF2280" s="502"/>
      <c r="AH2280" s="898"/>
      <c r="AI2280" s="502"/>
      <c r="AJ2280" s="502"/>
      <c r="AL2280" s="434"/>
      <c r="AM2280" s="436"/>
      <c r="AN2280" s="434"/>
      <c r="AO2280" s="434"/>
      <c r="AP2280" s="556"/>
      <c r="AQ2280" s="556"/>
      <c r="AR2280" s="556"/>
      <c r="CF2280" s="2"/>
    </row>
    <row r="2281" spans="3:84">
      <c r="C2281" s="2"/>
      <c r="AD2281" s="502"/>
      <c r="AE2281" s="911"/>
      <c r="AF2281" s="502"/>
      <c r="AH2281" s="898"/>
      <c r="AI2281" s="502"/>
      <c r="AJ2281" s="502"/>
      <c r="AL2281" s="434"/>
      <c r="AM2281" s="436"/>
      <c r="AN2281" s="434"/>
      <c r="AO2281" s="434"/>
      <c r="AP2281" s="556"/>
      <c r="AQ2281" s="556"/>
      <c r="AR2281" s="556"/>
      <c r="CF2281" s="2"/>
    </row>
    <row r="2282" spans="3:84">
      <c r="C2282" s="2"/>
      <c r="AD2282" s="502"/>
      <c r="AE2282" s="911"/>
      <c r="AF2282" s="502"/>
      <c r="AH2282" s="898"/>
      <c r="AI2282" s="502"/>
      <c r="AJ2282" s="502"/>
      <c r="AL2282" s="434"/>
      <c r="AM2282" s="436"/>
      <c r="AN2282" s="434"/>
      <c r="AO2282" s="434"/>
      <c r="AP2282" s="556"/>
      <c r="AQ2282" s="556"/>
      <c r="AR2282" s="556"/>
      <c r="CF2282" s="2"/>
    </row>
    <row r="2283" spans="3:84">
      <c r="C2283" s="2"/>
      <c r="AD2283" s="502"/>
      <c r="AE2283" s="911"/>
      <c r="AF2283" s="502"/>
      <c r="AH2283" s="898"/>
      <c r="AI2283" s="502"/>
      <c r="AJ2283" s="502"/>
      <c r="AL2283" s="434"/>
      <c r="AM2283" s="436"/>
      <c r="AN2283" s="434"/>
      <c r="AO2283" s="434"/>
      <c r="AP2283" s="556"/>
      <c r="AQ2283" s="556"/>
      <c r="AR2283" s="556"/>
      <c r="CF2283" s="2"/>
    </row>
    <row r="2284" spans="3:84">
      <c r="C2284" s="2"/>
      <c r="AD2284" s="502"/>
      <c r="AE2284" s="911"/>
      <c r="AF2284" s="502"/>
      <c r="AH2284" s="898"/>
      <c r="AI2284" s="502"/>
      <c r="AJ2284" s="502"/>
      <c r="AL2284" s="434"/>
      <c r="AM2284" s="436"/>
      <c r="AN2284" s="434"/>
      <c r="AO2284" s="434"/>
      <c r="AP2284" s="556"/>
      <c r="AQ2284" s="556"/>
      <c r="AR2284" s="556"/>
      <c r="CF2284" s="2"/>
    </row>
    <row r="2285" spans="3:84">
      <c r="C2285" s="2"/>
      <c r="AD2285" s="502"/>
      <c r="AE2285" s="911"/>
      <c r="AF2285" s="502"/>
      <c r="AH2285" s="898"/>
      <c r="AI2285" s="502"/>
      <c r="AJ2285" s="502"/>
      <c r="AL2285" s="434"/>
      <c r="AM2285" s="436"/>
      <c r="AN2285" s="434"/>
      <c r="AO2285" s="434"/>
      <c r="AP2285" s="556"/>
      <c r="AQ2285" s="556"/>
      <c r="AR2285" s="556"/>
      <c r="CF2285" s="2"/>
    </row>
    <row r="2286" spans="3:84">
      <c r="C2286" s="2"/>
      <c r="AD2286" s="502"/>
      <c r="AE2286" s="911"/>
      <c r="AF2286" s="502"/>
      <c r="AH2286" s="898"/>
      <c r="AI2286" s="502"/>
      <c r="AJ2286" s="502"/>
      <c r="AL2286" s="434"/>
      <c r="AM2286" s="436"/>
      <c r="AN2286" s="434"/>
      <c r="AO2286" s="434"/>
      <c r="AP2286" s="556"/>
      <c r="AQ2286" s="556"/>
      <c r="AR2286" s="556"/>
      <c r="CF2286" s="2"/>
    </row>
    <row r="2287" spans="3:84">
      <c r="C2287" s="2"/>
      <c r="AD2287" s="502"/>
      <c r="AE2287" s="911"/>
      <c r="AF2287" s="502"/>
      <c r="AH2287" s="898"/>
      <c r="AI2287" s="502"/>
      <c r="AJ2287" s="502"/>
      <c r="AL2287" s="434"/>
      <c r="AM2287" s="436"/>
      <c r="AN2287" s="434"/>
      <c r="AO2287" s="434"/>
      <c r="AP2287" s="556"/>
      <c r="AQ2287" s="556"/>
      <c r="AR2287" s="556"/>
      <c r="CF2287" s="2"/>
    </row>
    <row r="2288" spans="3:84">
      <c r="C2288" s="2"/>
      <c r="AD2288" s="502"/>
      <c r="AE2288" s="911"/>
      <c r="AF2288" s="502"/>
      <c r="AH2288" s="898"/>
      <c r="AI2288" s="502"/>
      <c r="AJ2288" s="502"/>
      <c r="AL2288" s="434"/>
      <c r="AM2288" s="436"/>
      <c r="AN2288" s="434"/>
      <c r="AO2288" s="434"/>
      <c r="AP2288" s="556"/>
      <c r="AQ2288" s="556"/>
      <c r="AR2288" s="556"/>
      <c r="CF2288" s="2"/>
    </row>
    <row r="2289" spans="3:84">
      <c r="C2289" s="2"/>
      <c r="AD2289" s="502"/>
      <c r="AE2289" s="911"/>
      <c r="AF2289" s="502"/>
      <c r="AH2289" s="898"/>
      <c r="AI2289" s="502"/>
      <c r="AJ2289" s="502"/>
      <c r="AL2289" s="434"/>
      <c r="AM2289" s="436"/>
      <c r="AN2289" s="434"/>
      <c r="AO2289" s="434"/>
      <c r="AP2289" s="556"/>
      <c r="AQ2289" s="556"/>
      <c r="AR2289" s="556"/>
      <c r="CF2289" s="2"/>
    </row>
    <row r="2290" spans="3:84">
      <c r="C2290" s="2"/>
      <c r="AD2290" s="502"/>
      <c r="AE2290" s="911"/>
      <c r="AF2290" s="502"/>
      <c r="AH2290" s="898"/>
      <c r="AI2290" s="502"/>
      <c r="AJ2290" s="502"/>
      <c r="AL2290" s="434"/>
      <c r="AM2290" s="436"/>
      <c r="AN2290" s="434"/>
      <c r="AO2290" s="434"/>
      <c r="AP2290" s="556"/>
      <c r="AQ2290" s="556"/>
      <c r="AR2290" s="556"/>
      <c r="CF2290" s="2"/>
    </row>
    <row r="2291" spans="3:84">
      <c r="C2291" s="2"/>
      <c r="AD2291" s="502"/>
      <c r="AE2291" s="911"/>
      <c r="AF2291" s="502"/>
      <c r="AH2291" s="898"/>
      <c r="AI2291" s="502"/>
      <c r="AJ2291" s="502"/>
      <c r="AL2291" s="434"/>
      <c r="AM2291" s="436"/>
      <c r="AN2291" s="434"/>
      <c r="AO2291" s="434"/>
      <c r="AP2291" s="556"/>
      <c r="AQ2291" s="556"/>
      <c r="AR2291" s="556"/>
      <c r="CF2291" s="2"/>
    </row>
    <row r="2292" spans="3:84">
      <c r="C2292" s="2"/>
      <c r="AD2292" s="502"/>
      <c r="AE2292" s="911"/>
      <c r="AF2292" s="502"/>
      <c r="AH2292" s="898"/>
      <c r="AI2292" s="502"/>
      <c r="AJ2292" s="502"/>
      <c r="AL2292" s="434"/>
      <c r="AM2292" s="436"/>
      <c r="AN2292" s="434"/>
      <c r="AO2292" s="434"/>
      <c r="AP2292" s="556"/>
      <c r="AQ2292" s="556"/>
      <c r="AR2292" s="556"/>
      <c r="CF2292" s="2"/>
    </row>
    <row r="2293" spans="3:84">
      <c r="C2293" s="2"/>
      <c r="AD2293" s="502"/>
      <c r="AE2293" s="911"/>
      <c r="AF2293" s="502"/>
      <c r="AH2293" s="898"/>
      <c r="AI2293" s="502"/>
      <c r="AJ2293" s="502"/>
      <c r="AL2293" s="434"/>
      <c r="AM2293" s="436"/>
      <c r="AN2293" s="434"/>
      <c r="AO2293" s="434"/>
      <c r="AP2293" s="556"/>
      <c r="AQ2293" s="556"/>
      <c r="AR2293" s="556"/>
      <c r="CF2293" s="2"/>
    </row>
    <row r="2294" spans="3:84">
      <c r="C2294" s="2"/>
      <c r="AD2294" s="502"/>
      <c r="AE2294" s="911"/>
      <c r="AF2294" s="502"/>
      <c r="AH2294" s="898"/>
      <c r="AI2294" s="502"/>
      <c r="AJ2294" s="502"/>
      <c r="AL2294" s="434"/>
      <c r="AM2294" s="436"/>
      <c r="AN2294" s="434"/>
      <c r="AO2294" s="434"/>
      <c r="AP2294" s="556"/>
      <c r="AQ2294" s="556"/>
      <c r="AR2294" s="556"/>
      <c r="CF2294" s="2"/>
    </row>
    <row r="2295" spans="3:84">
      <c r="C2295" s="2"/>
      <c r="AD2295" s="502"/>
      <c r="AE2295" s="911"/>
      <c r="AF2295" s="502"/>
      <c r="AH2295" s="898"/>
      <c r="AI2295" s="502"/>
      <c r="AJ2295" s="502"/>
      <c r="AL2295" s="434"/>
      <c r="AM2295" s="436"/>
      <c r="AN2295" s="434"/>
      <c r="AO2295" s="434"/>
      <c r="AP2295" s="556"/>
      <c r="AQ2295" s="556"/>
      <c r="AR2295" s="556"/>
      <c r="CF2295" s="2"/>
    </row>
    <row r="2296" spans="3:84">
      <c r="C2296" s="2"/>
      <c r="AD2296" s="502"/>
      <c r="AE2296" s="911"/>
      <c r="AF2296" s="502"/>
      <c r="AH2296" s="898"/>
      <c r="AI2296" s="502"/>
      <c r="AJ2296" s="502"/>
      <c r="AL2296" s="434"/>
      <c r="AM2296" s="436"/>
      <c r="AN2296" s="434"/>
      <c r="AO2296" s="434"/>
      <c r="AP2296" s="556"/>
      <c r="AQ2296" s="556"/>
      <c r="AR2296" s="556"/>
      <c r="CF2296" s="2"/>
    </row>
    <row r="2297" spans="3:84">
      <c r="C2297" s="2"/>
      <c r="AD2297" s="502"/>
      <c r="AE2297" s="911"/>
      <c r="AF2297" s="502"/>
      <c r="AH2297" s="898"/>
      <c r="AI2297" s="502"/>
      <c r="AJ2297" s="502"/>
      <c r="AL2297" s="434"/>
      <c r="AM2297" s="436"/>
      <c r="AN2297" s="434"/>
      <c r="AO2297" s="434"/>
      <c r="AP2297" s="556"/>
      <c r="AQ2297" s="556"/>
      <c r="AR2297" s="556"/>
      <c r="CF2297" s="2"/>
    </row>
    <row r="2298" spans="3:84">
      <c r="C2298" s="2"/>
      <c r="AD2298" s="502"/>
      <c r="AE2298" s="911"/>
      <c r="AF2298" s="502"/>
      <c r="AH2298" s="898"/>
      <c r="AI2298" s="502"/>
      <c r="AJ2298" s="502"/>
      <c r="AL2298" s="434"/>
      <c r="AM2298" s="436"/>
      <c r="AN2298" s="434"/>
      <c r="AO2298" s="434"/>
      <c r="AP2298" s="556"/>
      <c r="AQ2298" s="556"/>
      <c r="AR2298" s="556"/>
      <c r="CF2298" s="2"/>
    </row>
    <row r="2299" spans="3:84">
      <c r="C2299" s="2"/>
      <c r="AD2299" s="502"/>
      <c r="AE2299" s="911"/>
      <c r="AF2299" s="502"/>
      <c r="AH2299" s="898"/>
      <c r="AI2299" s="502"/>
      <c r="AJ2299" s="502"/>
      <c r="AL2299" s="434"/>
      <c r="AM2299" s="436"/>
      <c r="AN2299" s="434"/>
      <c r="AO2299" s="434"/>
      <c r="AP2299" s="556"/>
      <c r="AQ2299" s="556"/>
      <c r="AR2299" s="556"/>
      <c r="CF2299" s="2"/>
    </row>
    <row r="2300" spans="3:84">
      <c r="C2300" s="2"/>
      <c r="AD2300" s="502"/>
      <c r="AE2300" s="911"/>
      <c r="AF2300" s="502"/>
      <c r="AH2300" s="898"/>
      <c r="AI2300" s="502"/>
      <c r="AJ2300" s="502"/>
      <c r="AL2300" s="434"/>
      <c r="AM2300" s="436"/>
      <c r="AN2300" s="434"/>
      <c r="AO2300" s="434"/>
      <c r="AP2300" s="556"/>
      <c r="AQ2300" s="556"/>
      <c r="AR2300" s="556"/>
      <c r="CF2300" s="2"/>
    </row>
    <row r="2301" spans="3:84">
      <c r="C2301" s="2"/>
      <c r="AD2301" s="502"/>
      <c r="AE2301" s="911"/>
      <c r="AF2301" s="502"/>
      <c r="AH2301" s="898"/>
      <c r="AI2301" s="502"/>
      <c r="AJ2301" s="502"/>
      <c r="AL2301" s="434"/>
      <c r="AM2301" s="436"/>
      <c r="AN2301" s="434"/>
      <c r="AO2301" s="434"/>
      <c r="AP2301" s="556"/>
      <c r="AQ2301" s="556"/>
      <c r="AR2301" s="556"/>
      <c r="CF2301" s="2"/>
    </row>
    <row r="2302" spans="3:84">
      <c r="C2302" s="2"/>
      <c r="AD2302" s="502"/>
      <c r="AE2302" s="911"/>
      <c r="AF2302" s="502"/>
      <c r="AH2302" s="898"/>
      <c r="AI2302" s="502"/>
      <c r="AJ2302" s="502"/>
      <c r="AL2302" s="434"/>
      <c r="AM2302" s="436"/>
      <c r="AN2302" s="434"/>
      <c r="AO2302" s="434"/>
      <c r="AP2302" s="556"/>
      <c r="AQ2302" s="556"/>
      <c r="AR2302" s="556"/>
      <c r="CF2302" s="2"/>
    </row>
    <row r="2303" spans="3:84">
      <c r="C2303" s="2"/>
      <c r="AD2303" s="502"/>
      <c r="AE2303" s="911"/>
      <c r="AF2303" s="502"/>
      <c r="AH2303" s="898"/>
      <c r="AI2303" s="502"/>
      <c r="AJ2303" s="502"/>
      <c r="AL2303" s="434"/>
      <c r="AM2303" s="436"/>
      <c r="AN2303" s="434"/>
      <c r="AO2303" s="434"/>
      <c r="AP2303" s="556"/>
      <c r="AQ2303" s="556"/>
      <c r="AR2303" s="556"/>
      <c r="CF2303" s="2"/>
    </row>
    <row r="2304" spans="3:84">
      <c r="C2304" s="2"/>
      <c r="AD2304" s="502"/>
      <c r="AE2304" s="911"/>
      <c r="AF2304" s="502"/>
      <c r="AH2304" s="898"/>
      <c r="AI2304" s="502"/>
      <c r="AJ2304" s="502"/>
      <c r="AL2304" s="434"/>
      <c r="AM2304" s="436"/>
      <c r="AN2304" s="434"/>
      <c r="AO2304" s="434"/>
      <c r="AP2304" s="556"/>
      <c r="AQ2304" s="556"/>
      <c r="AR2304" s="556"/>
      <c r="CF2304" s="2"/>
    </row>
    <row r="2305" spans="3:84">
      <c r="C2305" s="2"/>
      <c r="AD2305" s="502"/>
      <c r="AE2305" s="911"/>
      <c r="AF2305" s="502"/>
      <c r="AH2305" s="898"/>
      <c r="AI2305" s="502"/>
      <c r="AJ2305" s="502"/>
      <c r="AL2305" s="434"/>
      <c r="AM2305" s="436"/>
      <c r="AN2305" s="434"/>
      <c r="AO2305" s="434"/>
      <c r="AP2305" s="556"/>
      <c r="AQ2305" s="556"/>
      <c r="AR2305" s="556"/>
      <c r="CF2305" s="2"/>
    </row>
    <row r="2306" spans="3:84">
      <c r="C2306" s="2"/>
      <c r="AD2306" s="502"/>
      <c r="AE2306" s="911"/>
      <c r="AF2306" s="502"/>
      <c r="AH2306" s="898"/>
      <c r="AI2306" s="502"/>
      <c r="AJ2306" s="502"/>
      <c r="AL2306" s="434"/>
      <c r="AM2306" s="436"/>
      <c r="AN2306" s="434"/>
      <c r="AO2306" s="434"/>
      <c r="AP2306" s="556"/>
      <c r="AQ2306" s="556"/>
      <c r="AR2306" s="556"/>
      <c r="CF2306" s="2"/>
    </row>
    <row r="2307" spans="3:84">
      <c r="C2307" s="2"/>
      <c r="AD2307" s="502"/>
      <c r="AE2307" s="911"/>
      <c r="AF2307" s="502"/>
      <c r="AH2307" s="898"/>
      <c r="AI2307" s="502"/>
      <c r="AJ2307" s="502"/>
      <c r="AL2307" s="434"/>
      <c r="AM2307" s="436"/>
      <c r="AN2307" s="434"/>
      <c r="AO2307" s="434"/>
      <c r="AP2307" s="556"/>
      <c r="AQ2307" s="556"/>
      <c r="AR2307" s="556"/>
      <c r="CF2307" s="2"/>
    </row>
    <row r="2308" spans="3:84">
      <c r="C2308" s="2"/>
      <c r="AD2308" s="502"/>
      <c r="AE2308" s="911"/>
      <c r="AF2308" s="502"/>
      <c r="AH2308" s="898"/>
      <c r="AI2308" s="502"/>
      <c r="AJ2308" s="502"/>
      <c r="AL2308" s="434"/>
      <c r="AM2308" s="436"/>
      <c r="AN2308" s="434"/>
      <c r="AO2308" s="434"/>
      <c r="AP2308" s="556"/>
      <c r="AQ2308" s="556"/>
      <c r="AR2308" s="556"/>
      <c r="CF2308" s="2"/>
    </row>
    <row r="2309" spans="3:84">
      <c r="C2309" s="2"/>
      <c r="AD2309" s="502"/>
      <c r="AE2309" s="911"/>
      <c r="AF2309" s="502"/>
      <c r="AH2309" s="898"/>
      <c r="AI2309" s="502"/>
      <c r="AJ2309" s="502"/>
      <c r="AL2309" s="434"/>
      <c r="AM2309" s="436"/>
      <c r="AN2309" s="434"/>
      <c r="AO2309" s="434"/>
      <c r="AP2309" s="556"/>
      <c r="AQ2309" s="556"/>
      <c r="AR2309" s="556"/>
      <c r="CF2309" s="2"/>
    </row>
    <row r="2310" spans="3:84">
      <c r="C2310" s="2"/>
      <c r="AD2310" s="502"/>
      <c r="AE2310" s="911"/>
      <c r="AF2310" s="502"/>
      <c r="AH2310" s="898"/>
      <c r="AI2310" s="502"/>
      <c r="AJ2310" s="502"/>
      <c r="AL2310" s="434"/>
      <c r="AM2310" s="436"/>
      <c r="AN2310" s="434"/>
      <c r="AO2310" s="434"/>
      <c r="AP2310" s="556"/>
      <c r="AQ2310" s="556"/>
      <c r="AR2310" s="556"/>
      <c r="CF2310" s="2"/>
    </row>
    <row r="2311" spans="3:84">
      <c r="C2311" s="2"/>
      <c r="AD2311" s="502"/>
      <c r="AE2311" s="911"/>
      <c r="AF2311" s="502"/>
      <c r="AH2311" s="898"/>
      <c r="AI2311" s="502"/>
      <c r="AJ2311" s="502"/>
      <c r="AL2311" s="434"/>
      <c r="AM2311" s="436"/>
      <c r="AN2311" s="434"/>
      <c r="AO2311" s="434"/>
      <c r="AP2311" s="556"/>
      <c r="AQ2311" s="556"/>
      <c r="AR2311" s="556"/>
      <c r="CF2311" s="2"/>
    </row>
    <row r="2312" spans="3:84">
      <c r="C2312" s="2"/>
      <c r="AD2312" s="502"/>
      <c r="AE2312" s="911"/>
      <c r="AF2312" s="502"/>
      <c r="AH2312" s="898"/>
      <c r="AI2312" s="502"/>
      <c r="AJ2312" s="502"/>
      <c r="AL2312" s="434"/>
      <c r="AM2312" s="436"/>
      <c r="AN2312" s="434"/>
      <c r="AO2312" s="434"/>
      <c r="AP2312" s="556"/>
      <c r="AQ2312" s="556"/>
      <c r="AR2312" s="556"/>
      <c r="CF2312" s="2"/>
    </row>
    <row r="2313" spans="3:84">
      <c r="C2313" s="2"/>
      <c r="AD2313" s="502"/>
      <c r="AE2313" s="911"/>
      <c r="AF2313" s="502"/>
      <c r="AH2313" s="898"/>
      <c r="AI2313" s="502"/>
      <c r="AJ2313" s="502"/>
      <c r="AL2313" s="434"/>
      <c r="AM2313" s="436"/>
      <c r="AN2313" s="434"/>
      <c r="AO2313" s="434"/>
      <c r="AP2313" s="556"/>
      <c r="AQ2313" s="556"/>
      <c r="AR2313" s="556"/>
      <c r="CF2313" s="2"/>
    </row>
    <row r="2314" spans="3:84">
      <c r="C2314" s="2"/>
      <c r="AD2314" s="502"/>
      <c r="AE2314" s="911"/>
      <c r="AF2314" s="502"/>
      <c r="AH2314" s="898"/>
      <c r="AI2314" s="502"/>
      <c r="AJ2314" s="502"/>
      <c r="AL2314" s="434"/>
      <c r="AM2314" s="436"/>
      <c r="AN2314" s="434"/>
      <c r="AO2314" s="434"/>
      <c r="AP2314" s="556"/>
      <c r="AQ2314" s="556"/>
      <c r="AR2314" s="556"/>
      <c r="CF2314" s="2"/>
    </row>
    <row r="2315" spans="3:84">
      <c r="C2315" s="2"/>
      <c r="AD2315" s="502"/>
      <c r="AE2315" s="911"/>
      <c r="AF2315" s="502"/>
      <c r="AH2315" s="898"/>
      <c r="AI2315" s="502"/>
      <c r="AJ2315" s="502"/>
      <c r="AL2315" s="434"/>
      <c r="AM2315" s="436"/>
      <c r="AN2315" s="434"/>
      <c r="AO2315" s="434"/>
      <c r="AP2315" s="556"/>
      <c r="AQ2315" s="556"/>
      <c r="AR2315" s="556"/>
      <c r="CF2315" s="2"/>
    </row>
    <row r="2316" spans="3:84">
      <c r="C2316" s="2"/>
      <c r="AD2316" s="502"/>
      <c r="AE2316" s="911"/>
      <c r="AF2316" s="502"/>
      <c r="AH2316" s="898"/>
      <c r="AI2316" s="502"/>
      <c r="AJ2316" s="502"/>
      <c r="AL2316" s="434"/>
      <c r="AM2316" s="436"/>
      <c r="AN2316" s="434"/>
      <c r="AO2316" s="434"/>
      <c r="AP2316" s="556"/>
      <c r="AQ2316" s="556"/>
      <c r="AR2316" s="556"/>
      <c r="CF2316" s="2"/>
    </row>
    <row r="2317" spans="3:84">
      <c r="C2317" s="2"/>
      <c r="AD2317" s="502"/>
      <c r="AE2317" s="911"/>
      <c r="AF2317" s="502"/>
      <c r="AH2317" s="898"/>
      <c r="AI2317" s="502"/>
      <c r="AJ2317" s="502"/>
      <c r="AL2317" s="434"/>
      <c r="AM2317" s="436"/>
      <c r="AN2317" s="434"/>
      <c r="AO2317" s="434"/>
      <c r="AP2317" s="556"/>
      <c r="AQ2317" s="556"/>
      <c r="AR2317" s="556"/>
      <c r="CF2317" s="2"/>
    </row>
    <row r="2318" spans="3:84">
      <c r="C2318" s="2"/>
      <c r="AD2318" s="502"/>
      <c r="AE2318" s="911"/>
      <c r="AF2318" s="502"/>
      <c r="AH2318" s="898"/>
      <c r="AI2318" s="502"/>
      <c r="AJ2318" s="502"/>
      <c r="AL2318" s="434"/>
      <c r="AM2318" s="436"/>
      <c r="AN2318" s="434"/>
      <c r="AO2318" s="434"/>
      <c r="AP2318" s="556"/>
      <c r="AQ2318" s="556"/>
      <c r="AR2318" s="556"/>
      <c r="CF2318" s="2"/>
    </row>
    <row r="2319" spans="3:84">
      <c r="C2319" s="2"/>
      <c r="AD2319" s="502"/>
      <c r="AE2319" s="911"/>
      <c r="AF2319" s="502"/>
      <c r="AH2319" s="898"/>
      <c r="AI2319" s="502"/>
      <c r="AJ2319" s="502"/>
      <c r="AL2319" s="434"/>
      <c r="AM2319" s="436"/>
      <c r="AN2319" s="434"/>
      <c r="AO2319" s="434"/>
      <c r="AP2319" s="556"/>
      <c r="AQ2319" s="556"/>
      <c r="AR2319" s="556"/>
      <c r="CF2319" s="2"/>
    </row>
    <row r="2320" spans="3:84">
      <c r="C2320" s="2"/>
      <c r="AD2320" s="502"/>
      <c r="AE2320" s="911"/>
      <c r="AF2320" s="502"/>
      <c r="AH2320" s="898"/>
      <c r="AI2320" s="502"/>
      <c r="AJ2320" s="502"/>
      <c r="AL2320" s="434"/>
      <c r="AM2320" s="436"/>
      <c r="AN2320" s="434"/>
      <c r="AO2320" s="434"/>
      <c r="AP2320" s="556"/>
      <c r="AQ2320" s="556"/>
      <c r="AR2320" s="556"/>
      <c r="CF2320" s="2"/>
    </row>
    <row r="2321" spans="3:84">
      <c r="C2321" s="2"/>
      <c r="AD2321" s="502"/>
      <c r="AE2321" s="911"/>
      <c r="AF2321" s="502"/>
      <c r="AH2321" s="898"/>
      <c r="AI2321" s="502"/>
      <c r="AJ2321" s="502"/>
      <c r="AL2321" s="434"/>
      <c r="AM2321" s="436"/>
      <c r="AN2321" s="434"/>
      <c r="AO2321" s="434"/>
      <c r="AP2321" s="556"/>
      <c r="AQ2321" s="556"/>
      <c r="AR2321" s="556"/>
      <c r="CF2321" s="2"/>
    </row>
    <row r="2322" spans="3:84">
      <c r="C2322" s="2"/>
      <c r="AD2322" s="502"/>
      <c r="AE2322" s="911"/>
      <c r="AF2322" s="502"/>
      <c r="AH2322" s="898"/>
      <c r="AI2322" s="502"/>
      <c r="AJ2322" s="502"/>
      <c r="AL2322" s="434"/>
      <c r="AM2322" s="436"/>
      <c r="AN2322" s="434"/>
      <c r="AO2322" s="434"/>
      <c r="AP2322" s="556"/>
      <c r="AQ2322" s="556"/>
      <c r="AR2322" s="556"/>
      <c r="CF2322" s="2"/>
    </row>
    <row r="2323" spans="3:84">
      <c r="C2323" s="2"/>
      <c r="AD2323" s="502"/>
      <c r="AE2323" s="911"/>
      <c r="AF2323" s="502"/>
      <c r="AH2323" s="898"/>
      <c r="AI2323" s="502"/>
      <c r="AJ2323" s="502"/>
      <c r="AL2323" s="434"/>
      <c r="AM2323" s="436"/>
      <c r="AN2323" s="434"/>
      <c r="AO2323" s="434"/>
      <c r="AP2323" s="556"/>
      <c r="AQ2323" s="556"/>
      <c r="AR2323" s="556"/>
      <c r="CF2323" s="2"/>
    </row>
    <row r="2324" spans="3:84">
      <c r="C2324" s="2"/>
      <c r="AD2324" s="502"/>
      <c r="AE2324" s="911"/>
      <c r="AF2324" s="502"/>
      <c r="AH2324" s="898"/>
      <c r="AI2324" s="502"/>
      <c r="AJ2324" s="502"/>
      <c r="AL2324" s="434"/>
      <c r="AM2324" s="436"/>
      <c r="AN2324" s="434"/>
      <c r="AO2324" s="434"/>
      <c r="AP2324" s="556"/>
      <c r="AQ2324" s="556"/>
      <c r="AR2324" s="556"/>
      <c r="CF2324" s="2"/>
    </row>
    <row r="2325" spans="3:84">
      <c r="C2325" s="2"/>
      <c r="AD2325" s="502"/>
      <c r="AE2325" s="911"/>
      <c r="AF2325" s="502"/>
      <c r="AH2325" s="898"/>
      <c r="AI2325" s="502"/>
      <c r="AJ2325" s="502"/>
      <c r="AL2325" s="434"/>
      <c r="AM2325" s="436"/>
      <c r="AN2325" s="434"/>
      <c r="AO2325" s="434"/>
      <c r="AP2325" s="556"/>
      <c r="AQ2325" s="556"/>
      <c r="AR2325" s="556"/>
      <c r="CF2325" s="2"/>
    </row>
    <row r="2326" spans="3:84">
      <c r="C2326" s="2"/>
      <c r="AD2326" s="502"/>
      <c r="AE2326" s="911"/>
      <c r="AF2326" s="502"/>
      <c r="AH2326" s="898"/>
      <c r="AI2326" s="502"/>
      <c r="AJ2326" s="502"/>
      <c r="AL2326" s="434"/>
      <c r="AM2326" s="436"/>
      <c r="AN2326" s="434"/>
      <c r="AO2326" s="434"/>
      <c r="AP2326" s="556"/>
      <c r="AQ2326" s="556"/>
      <c r="AR2326" s="556"/>
      <c r="CF2326" s="2"/>
    </row>
    <row r="2327" spans="3:84">
      <c r="C2327" s="2"/>
      <c r="AD2327" s="502"/>
      <c r="AE2327" s="911"/>
      <c r="AF2327" s="502"/>
      <c r="AH2327" s="898"/>
      <c r="AI2327" s="502"/>
      <c r="AJ2327" s="502"/>
      <c r="AL2327" s="434"/>
      <c r="AM2327" s="436"/>
      <c r="AN2327" s="434"/>
      <c r="AO2327" s="434"/>
      <c r="AP2327" s="556"/>
      <c r="AQ2327" s="556"/>
      <c r="AR2327" s="556"/>
      <c r="CF2327" s="2"/>
    </row>
    <row r="2328" spans="3:84">
      <c r="C2328" s="2"/>
      <c r="AD2328" s="502"/>
      <c r="AE2328" s="911"/>
      <c r="AF2328" s="502"/>
      <c r="AH2328" s="898"/>
      <c r="AI2328" s="502"/>
      <c r="AJ2328" s="502"/>
      <c r="AL2328" s="434"/>
      <c r="AM2328" s="436"/>
      <c r="AN2328" s="434"/>
      <c r="AO2328" s="434"/>
      <c r="AP2328" s="556"/>
      <c r="AQ2328" s="556"/>
      <c r="AR2328" s="556"/>
      <c r="CF2328" s="2"/>
    </row>
    <row r="2329" spans="3:84">
      <c r="C2329" s="2"/>
      <c r="AD2329" s="502"/>
      <c r="AE2329" s="911"/>
      <c r="AF2329" s="502"/>
      <c r="AH2329" s="898"/>
      <c r="AI2329" s="502"/>
      <c r="AJ2329" s="502"/>
      <c r="AL2329" s="434"/>
      <c r="AM2329" s="436"/>
      <c r="AN2329" s="434"/>
      <c r="AO2329" s="434"/>
      <c r="AP2329" s="556"/>
      <c r="AQ2329" s="556"/>
      <c r="AR2329" s="556"/>
      <c r="CF2329" s="2"/>
    </row>
    <row r="2330" spans="3:84">
      <c r="C2330" s="2"/>
      <c r="AD2330" s="502"/>
      <c r="AE2330" s="911"/>
      <c r="AF2330" s="502"/>
      <c r="AH2330" s="898"/>
      <c r="AI2330" s="502"/>
      <c r="AJ2330" s="502"/>
      <c r="AL2330" s="434"/>
      <c r="AM2330" s="436"/>
      <c r="AN2330" s="434"/>
      <c r="AO2330" s="434"/>
      <c r="AP2330" s="556"/>
      <c r="AQ2330" s="556"/>
      <c r="AR2330" s="556"/>
      <c r="CF2330" s="2"/>
    </row>
    <row r="2331" spans="3:84">
      <c r="C2331" s="2"/>
      <c r="AD2331" s="502"/>
      <c r="AE2331" s="911"/>
      <c r="AF2331" s="502"/>
      <c r="AH2331" s="898"/>
      <c r="AI2331" s="502"/>
      <c r="AJ2331" s="502"/>
      <c r="AL2331" s="434"/>
      <c r="AM2331" s="436"/>
      <c r="AN2331" s="434"/>
      <c r="AO2331" s="434"/>
      <c r="AP2331" s="556"/>
      <c r="AQ2331" s="556"/>
      <c r="AR2331" s="556"/>
      <c r="CF2331" s="2"/>
    </row>
    <row r="2332" spans="3:84">
      <c r="C2332" s="2"/>
      <c r="AD2332" s="502"/>
      <c r="AE2332" s="911"/>
      <c r="AF2332" s="502"/>
      <c r="AH2332" s="898"/>
      <c r="AI2332" s="502"/>
      <c r="AJ2332" s="502"/>
      <c r="AL2332" s="434"/>
      <c r="AM2332" s="436"/>
      <c r="AN2332" s="434"/>
      <c r="AO2332" s="434"/>
      <c r="AP2332" s="556"/>
      <c r="AQ2332" s="556"/>
      <c r="AR2332" s="556"/>
      <c r="CF2332" s="2"/>
    </row>
    <row r="2333" spans="3:84">
      <c r="C2333" s="2"/>
      <c r="AD2333" s="502"/>
      <c r="AE2333" s="911"/>
      <c r="AF2333" s="502"/>
      <c r="AH2333" s="898"/>
      <c r="AI2333" s="502"/>
      <c r="AJ2333" s="502"/>
      <c r="AL2333" s="434"/>
      <c r="AM2333" s="436"/>
      <c r="AN2333" s="434"/>
      <c r="AO2333" s="434"/>
      <c r="AP2333" s="556"/>
      <c r="AQ2333" s="556"/>
      <c r="AR2333" s="556"/>
      <c r="CF2333" s="2"/>
    </row>
    <row r="2334" spans="3:84">
      <c r="C2334" s="2"/>
      <c r="AD2334" s="502"/>
      <c r="AE2334" s="911"/>
      <c r="AF2334" s="502"/>
      <c r="AH2334" s="898"/>
      <c r="AI2334" s="502"/>
      <c r="AJ2334" s="502"/>
      <c r="AL2334" s="434"/>
      <c r="AM2334" s="436"/>
      <c r="AN2334" s="434"/>
      <c r="AO2334" s="434"/>
      <c r="AP2334" s="556"/>
      <c r="AQ2334" s="556"/>
      <c r="AR2334" s="556"/>
      <c r="CF2334" s="2"/>
    </row>
    <row r="2335" spans="3:84">
      <c r="C2335" s="2"/>
      <c r="AD2335" s="502"/>
      <c r="AE2335" s="911"/>
      <c r="AF2335" s="502"/>
      <c r="AH2335" s="898"/>
      <c r="AI2335" s="502"/>
      <c r="AJ2335" s="502"/>
      <c r="AL2335" s="434"/>
      <c r="AM2335" s="436"/>
      <c r="AN2335" s="434"/>
      <c r="AO2335" s="434"/>
      <c r="AP2335" s="556"/>
      <c r="AQ2335" s="556"/>
      <c r="AR2335" s="556"/>
      <c r="CF2335" s="2"/>
    </row>
    <row r="2336" spans="3:84">
      <c r="C2336" s="2"/>
      <c r="AD2336" s="502"/>
      <c r="AE2336" s="911"/>
      <c r="AF2336" s="502"/>
      <c r="AH2336" s="898"/>
      <c r="AI2336" s="502"/>
      <c r="AJ2336" s="502"/>
      <c r="AL2336" s="434"/>
      <c r="AM2336" s="436"/>
      <c r="AN2336" s="434"/>
      <c r="AO2336" s="434"/>
      <c r="AP2336" s="556"/>
      <c r="AQ2336" s="556"/>
      <c r="AR2336" s="556"/>
      <c r="CF2336" s="2"/>
    </row>
    <row r="2337" spans="3:84">
      <c r="C2337" s="2"/>
      <c r="AD2337" s="502"/>
      <c r="AE2337" s="911"/>
      <c r="AF2337" s="502"/>
      <c r="AH2337" s="898"/>
      <c r="AI2337" s="502"/>
      <c r="AJ2337" s="502"/>
      <c r="AL2337" s="434"/>
      <c r="AM2337" s="436"/>
      <c r="AN2337" s="434"/>
      <c r="AO2337" s="434"/>
      <c r="AP2337" s="556"/>
      <c r="AQ2337" s="556"/>
      <c r="AR2337" s="556"/>
      <c r="CF2337" s="2"/>
    </row>
    <row r="2338" spans="3:84">
      <c r="C2338" s="2"/>
      <c r="AD2338" s="502"/>
      <c r="AE2338" s="911"/>
      <c r="AF2338" s="502"/>
      <c r="AH2338" s="898"/>
      <c r="AI2338" s="502"/>
      <c r="AJ2338" s="502"/>
      <c r="AL2338" s="434"/>
      <c r="AM2338" s="436"/>
      <c r="AN2338" s="434"/>
      <c r="AO2338" s="434"/>
      <c r="AP2338" s="556"/>
      <c r="AQ2338" s="556"/>
      <c r="AR2338" s="556"/>
      <c r="CF2338" s="2"/>
    </row>
    <row r="2339" spans="3:84">
      <c r="C2339" s="2"/>
      <c r="AD2339" s="502"/>
      <c r="AE2339" s="911"/>
      <c r="AF2339" s="502"/>
      <c r="AH2339" s="898"/>
      <c r="AI2339" s="502"/>
      <c r="AJ2339" s="502"/>
      <c r="AL2339" s="434"/>
      <c r="AM2339" s="436"/>
      <c r="AN2339" s="434"/>
      <c r="AO2339" s="434"/>
      <c r="AP2339" s="556"/>
      <c r="AQ2339" s="556"/>
      <c r="AR2339" s="556"/>
      <c r="CF2339" s="2"/>
    </row>
    <row r="2340" spans="3:84">
      <c r="C2340" s="2"/>
      <c r="AD2340" s="502"/>
      <c r="AE2340" s="911"/>
      <c r="AF2340" s="502"/>
      <c r="AH2340" s="898"/>
      <c r="AI2340" s="502"/>
      <c r="AJ2340" s="502"/>
      <c r="AL2340" s="434"/>
      <c r="AM2340" s="436"/>
      <c r="AN2340" s="434"/>
      <c r="AO2340" s="434"/>
      <c r="AP2340" s="556"/>
      <c r="AQ2340" s="556"/>
      <c r="AR2340" s="556"/>
      <c r="CF2340" s="2"/>
    </row>
    <row r="2341" spans="3:84">
      <c r="C2341" s="2"/>
      <c r="AD2341" s="502"/>
      <c r="AE2341" s="911"/>
      <c r="AF2341" s="502"/>
      <c r="AH2341" s="898"/>
      <c r="AI2341" s="502"/>
      <c r="AJ2341" s="502"/>
      <c r="AL2341" s="434"/>
      <c r="AM2341" s="436"/>
      <c r="AN2341" s="434"/>
      <c r="AO2341" s="434"/>
      <c r="AP2341" s="556"/>
      <c r="AQ2341" s="556"/>
      <c r="AR2341" s="556"/>
      <c r="CF2341" s="2"/>
    </row>
    <row r="2342" spans="3:84">
      <c r="C2342" s="2"/>
      <c r="AD2342" s="502"/>
      <c r="AE2342" s="911"/>
      <c r="AF2342" s="502"/>
      <c r="AH2342" s="898"/>
      <c r="AI2342" s="502"/>
      <c r="AJ2342" s="502"/>
      <c r="AL2342" s="434"/>
      <c r="AM2342" s="436"/>
      <c r="AN2342" s="434"/>
      <c r="AO2342" s="434"/>
      <c r="AP2342" s="556"/>
      <c r="AQ2342" s="556"/>
      <c r="AR2342" s="556"/>
      <c r="CF2342" s="2"/>
    </row>
    <row r="2343" spans="3:84">
      <c r="C2343" s="2"/>
      <c r="AD2343" s="502"/>
      <c r="AE2343" s="911"/>
      <c r="AF2343" s="502"/>
      <c r="AH2343" s="898"/>
      <c r="AI2343" s="502"/>
      <c r="AJ2343" s="502"/>
      <c r="AL2343" s="434"/>
      <c r="AM2343" s="436"/>
      <c r="AN2343" s="434"/>
      <c r="AO2343" s="434"/>
      <c r="AP2343" s="556"/>
      <c r="AQ2343" s="556"/>
      <c r="AR2343" s="556"/>
      <c r="CF2343" s="2"/>
    </row>
    <row r="2344" spans="3:84">
      <c r="C2344" s="2"/>
      <c r="AD2344" s="502"/>
      <c r="AE2344" s="911"/>
      <c r="AF2344" s="502"/>
      <c r="AH2344" s="898"/>
      <c r="AI2344" s="502"/>
      <c r="AJ2344" s="502"/>
      <c r="AL2344" s="434"/>
      <c r="AM2344" s="436"/>
      <c r="AN2344" s="434"/>
      <c r="AO2344" s="434"/>
      <c r="AP2344" s="556"/>
      <c r="AQ2344" s="556"/>
      <c r="AR2344" s="556"/>
      <c r="CF2344" s="2"/>
    </row>
    <row r="2345" spans="3:84">
      <c r="C2345" s="2"/>
      <c r="AD2345" s="502"/>
      <c r="AE2345" s="911"/>
      <c r="AF2345" s="502"/>
      <c r="AH2345" s="898"/>
      <c r="AI2345" s="502"/>
      <c r="AJ2345" s="502"/>
      <c r="AL2345" s="434"/>
      <c r="AM2345" s="436"/>
      <c r="AN2345" s="434"/>
      <c r="AO2345" s="434"/>
      <c r="AP2345" s="556"/>
      <c r="AQ2345" s="556"/>
      <c r="AR2345" s="556"/>
      <c r="CF2345" s="2"/>
    </row>
    <row r="2346" spans="3:84">
      <c r="C2346" s="2"/>
      <c r="AD2346" s="502"/>
      <c r="AE2346" s="911"/>
      <c r="AF2346" s="502"/>
      <c r="AH2346" s="898"/>
      <c r="AI2346" s="502"/>
      <c r="AJ2346" s="502"/>
      <c r="AL2346" s="434"/>
      <c r="AM2346" s="436"/>
      <c r="AN2346" s="434"/>
      <c r="AO2346" s="434"/>
      <c r="AP2346" s="556"/>
      <c r="AQ2346" s="556"/>
      <c r="AR2346" s="556"/>
      <c r="CF2346" s="2"/>
    </row>
    <row r="2347" spans="3:84">
      <c r="C2347" s="2"/>
      <c r="AD2347" s="502"/>
      <c r="AE2347" s="911"/>
      <c r="AF2347" s="502"/>
      <c r="AH2347" s="898"/>
      <c r="AI2347" s="502"/>
      <c r="AJ2347" s="502"/>
      <c r="AL2347" s="434"/>
      <c r="AM2347" s="436"/>
      <c r="AN2347" s="434"/>
      <c r="AO2347" s="434"/>
      <c r="AP2347" s="556"/>
      <c r="AQ2347" s="556"/>
      <c r="AR2347" s="556"/>
      <c r="CF2347" s="2"/>
    </row>
    <row r="2348" spans="3:84">
      <c r="C2348" s="2"/>
      <c r="AD2348" s="502"/>
      <c r="AE2348" s="911"/>
      <c r="AF2348" s="502"/>
      <c r="AH2348" s="898"/>
      <c r="AI2348" s="502"/>
      <c r="AJ2348" s="502"/>
      <c r="AL2348" s="434"/>
      <c r="AM2348" s="436"/>
      <c r="AN2348" s="434"/>
      <c r="AO2348" s="434"/>
      <c r="AP2348" s="556"/>
      <c r="AQ2348" s="556"/>
      <c r="AR2348" s="556"/>
      <c r="CF2348" s="2"/>
    </row>
    <row r="2349" spans="3:84">
      <c r="C2349" s="2"/>
      <c r="AD2349" s="502"/>
      <c r="AE2349" s="911"/>
      <c r="AF2349" s="502"/>
      <c r="AH2349" s="898"/>
      <c r="AI2349" s="502"/>
      <c r="AJ2349" s="502"/>
      <c r="AL2349" s="434"/>
      <c r="AM2349" s="436"/>
      <c r="AN2349" s="434"/>
      <c r="AO2349" s="434"/>
      <c r="AP2349" s="556"/>
      <c r="AQ2349" s="556"/>
      <c r="AR2349" s="556"/>
      <c r="CF2349" s="2"/>
    </row>
    <row r="2350" spans="3:84">
      <c r="C2350" s="2"/>
      <c r="AD2350" s="502"/>
      <c r="AE2350" s="911"/>
      <c r="AF2350" s="502"/>
      <c r="AH2350" s="898"/>
      <c r="AI2350" s="502"/>
      <c r="AJ2350" s="502"/>
      <c r="AL2350" s="434"/>
      <c r="AM2350" s="436"/>
      <c r="AN2350" s="434"/>
      <c r="AO2350" s="434"/>
      <c r="AP2350" s="556"/>
      <c r="AQ2350" s="556"/>
      <c r="AR2350" s="556"/>
      <c r="CF2350" s="2"/>
    </row>
    <row r="2351" spans="3:84">
      <c r="C2351" s="2"/>
      <c r="AD2351" s="502"/>
      <c r="AE2351" s="911"/>
      <c r="AF2351" s="502"/>
      <c r="AH2351" s="898"/>
      <c r="AI2351" s="502"/>
      <c r="AJ2351" s="502"/>
      <c r="AL2351" s="434"/>
      <c r="AM2351" s="436"/>
      <c r="AN2351" s="434"/>
      <c r="AO2351" s="434"/>
      <c r="AP2351" s="556"/>
      <c r="AQ2351" s="556"/>
      <c r="AR2351" s="556"/>
      <c r="CF2351" s="2"/>
    </row>
    <row r="2352" spans="3:84">
      <c r="C2352" s="2"/>
      <c r="AD2352" s="502"/>
      <c r="AE2352" s="911"/>
      <c r="AF2352" s="502"/>
      <c r="AH2352" s="898"/>
      <c r="AI2352" s="502"/>
      <c r="AJ2352" s="502"/>
      <c r="AL2352" s="434"/>
      <c r="AM2352" s="436"/>
      <c r="AN2352" s="434"/>
      <c r="AO2352" s="434"/>
      <c r="AP2352" s="556"/>
      <c r="AQ2352" s="556"/>
      <c r="AR2352" s="556"/>
      <c r="CF2352" s="2"/>
    </row>
    <row r="2353" spans="3:84">
      <c r="C2353" s="2"/>
      <c r="AD2353" s="502"/>
      <c r="AE2353" s="911"/>
      <c r="AF2353" s="502"/>
      <c r="AH2353" s="898"/>
      <c r="AI2353" s="502"/>
      <c r="AJ2353" s="502"/>
      <c r="AL2353" s="434"/>
      <c r="AM2353" s="436"/>
      <c r="AN2353" s="434"/>
      <c r="AO2353" s="434"/>
      <c r="AP2353" s="556"/>
      <c r="AQ2353" s="556"/>
      <c r="AR2353" s="556"/>
      <c r="CF2353" s="2"/>
    </row>
    <row r="2354" spans="3:84">
      <c r="C2354" s="2"/>
      <c r="AD2354" s="502"/>
      <c r="AE2354" s="911"/>
      <c r="AF2354" s="502"/>
      <c r="AH2354" s="898"/>
      <c r="AI2354" s="502"/>
      <c r="AJ2354" s="502"/>
      <c r="AL2354" s="434"/>
      <c r="AM2354" s="436"/>
      <c r="AN2354" s="434"/>
      <c r="AO2354" s="434"/>
      <c r="AP2354" s="556"/>
      <c r="AQ2354" s="556"/>
      <c r="AR2354" s="556"/>
      <c r="CF2354" s="2"/>
    </row>
    <row r="2355" spans="3:84">
      <c r="C2355" s="2"/>
      <c r="AD2355" s="502"/>
      <c r="AE2355" s="911"/>
      <c r="AF2355" s="502"/>
      <c r="AH2355" s="898"/>
      <c r="AI2355" s="502"/>
      <c r="AJ2355" s="502"/>
      <c r="AL2355" s="434"/>
      <c r="AM2355" s="436"/>
      <c r="AN2355" s="434"/>
      <c r="AO2355" s="434"/>
      <c r="AP2355" s="556"/>
      <c r="AQ2355" s="556"/>
      <c r="AR2355" s="556"/>
      <c r="CF2355" s="2"/>
    </row>
    <row r="2356" spans="3:84">
      <c r="C2356" s="2"/>
      <c r="AD2356" s="502"/>
      <c r="AE2356" s="911"/>
      <c r="AF2356" s="502"/>
      <c r="AH2356" s="898"/>
      <c r="AI2356" s="502"/>
      <c r="AJ2356" s="502"/>
      <c r="AL2356" s="434"/>
      <c r="AM2356" s="436"/>
      <c r="AN2356" s="434"/>
      <c r="AO2356" s="434"/>
      <c r="AP2356" s="556"/>
      <c r="AQ2356" s="556"/>
      <c r="AR2356" s="556"/>
      <c r="CF2356" s="2"/>
    </row>
    <row r="2357" spans="3:84">
      <c r="C2357" s="2"/>
      <c r="AD2357" s="502"/>
      <c r="AE2357" s="911"/>
      <c r="AF2357" s="502"/>
      <c r="AH2357" s="898"/>
      <c r="AI2357" s="502"/>
      <c r="AJ2357" s="502"/>
      <c r="AL2357" s="434"/>
      <c r="AM2357" s="436"/>
      <c r="AN2357" s="434"/>
      <c r="AO2357" s="434"/>
      <c r="AP2357" s="556"/>
      <c r="AQ2357" s="556"/>
      <c r="AR2357" s="556"/>
      <c r="CF2357" s="2"/>
    </row>
    <row r="2358" spans="3:84">
      <c r="C2358" s="2"/>
      <c r="AD2358" s="502"/>
      <c r="AE2358" s="911"/>
      <c r="AF2358" s="502"/>
      <c r="AH2358" s="898"/>
      <c r="AI2358" s="502"/>
      <c r="AJ2358" s="502"/>
      <c r="AL2358" s="434"/>
      <c r="AM2358" s="436"/>
      <c r="AN2358" s="434"/>
      <c r="AO2358" s="434"/>
      <c r="AP2358" s="556"/>
      <c r="AQ2358" s="556"/>
      <c r="AR2358" s="556"/>
      <c r="CF2358" s="2"/>
    </row>
    <row r="2359" spans="3:84">
      <c r="C2359" s="2"/>
      <c r="AD2359" s="502"/>
      <c r="AE2359" s="911"/>
      <c r="AF2359" s="502"/>
      <c r="AH2359" s="898"/>
      <c r="AI2359" s="502"/>
      <c r="AJ2359" s="502"/>
      <c r="AL2359" s="434"/>
      <c r="AM2359" s="436"/>
      <c r="AN2359" s="434"/>
      <c r="AO2359" s="434"/>
      <c r="AP2359" s="556"/>
      <c r="AQ2359" s="556"/>
      <c r="AR2359" s="556"/>
      <c r="CF2359" s="2"/>
    </row>
    <row r="2360" spans="3:84">
      <c r="C2360" s="2"/>
      <c r="AD2360" s="502"/>
      <c r="AE2360" s="911"/>
      <c r="AF2360" s="502"/>
      <c r="AH2360" s="898"/>
      <c r="AI2360" s="502"/>
      <c r="AJ2360" s="502"/>
      <c r="AL2360" s="434"/>
      <c r="AM2360" s="436"/>
      <c r="AN2360" s="434"/>
      <c r="AO2360" s="434"/>
      <c r="AP2360" s="556"/>
      <c r="AQ2360" s="556"/>
      <c r="AR2360" s="556"/>
      <c r="CF2360" s="2"/>
    </row>
    <row r="2361" spans="3:84">
      <c r="C2361" s="2"/>
      <c r="AD2361" s="502"/>
      <c r="AE2361" s="911"/>
      <c r="AF2361" s="502"/>
      <c r="AH2361" s="898"/>
      <c r="AI2361" s="502"/>
      <c r="AJ2361" s="502"/>
      <c r="AL2361" s="434"/>
      <c r="AM2361" s="436"/>
      <c r="AN2361" s="434"/>
      <c r="AO2361" s="434"/>
      <c r="AP2361" s="556"/>
      <c r="AQ2361" s="556"/>
      <c r="AR2361" s="556"/>
      <c r="CF2361" s="2"/>
    </row>
    <row r="2362" spans="3:84">
      <c r="C2362" s="2"/>
      <c r="AD2362" s="502"/>
      <c r="AE2362" s="911"/>
      <c r="AF2362" s="502"/>
      <c r="AH2362" s="898"/>
      <c r="AI2362" s="502"/>
      <c r="AJ2362" s="502"/>
      <c r="AL2362" s="434"/>
      <c r="AM2362" s="436"/>
      <c r="AN2362" s="434"/>
      <c r="AO2362" s="434"/>
      <c r="AP2362" s="556"/>
      <c r="AQ2362" s="556"/>
      <c r="AR2362" s="556"/>
      <c r="CF2362" s="2"/>
    </row>
    <row r="2363" spans="3:84">
      <c r="C2363" s="2"/>
      <c r="AD2363" s="502"/>
      <c r="AE2363" s="911"/>
      <c r="AF2363" s="502"/>
      <c r="AH2363" s="898"/>
      <c r="AI2363" s="502"/>
      <c r="AJ2363" s="502"/>
      <c r="AL2363" s="434"/>
      <c r="AM2363" s="436"/>
      <c r="AN2363" s="434"/>
      <c r="AO2363" s="434"/>
      <c r="AP2363" s="556"/>
      <c r="AQ2363" s="556"/>
      <c r="AR2363" s="556"/>
      <c r="CF2363" s="2"/>
    </row>
    <row r="2364" spans="3:84">
      <c r="C2364" s="2"/>
      <c r="AD2364" s="502"/>
      <c r="AE2364" s="911"/>
      <c r="AF2364" s="502"/>
      <c r="AH2364" s="898"/>
      <c r="AI2364" s="502"/>
      <c r="AJ2364" s="502"/>
      <c r="AL2364" s="434"/>
      <c r="AM2364" s="436"/>
      <c r="AN2364" s="434"/>
      <c r="AO2364" s="434"/>
      <c r="AP2364" s="556"/>
      <c r="AQ2364" s="556"/>
      <c r="AR2364" s="556"/>
      <c r="CF2364" s="2"/>
    </row>
    <row r="2365" spans="3:84">
      <c r="C2365" s="2"/>
      <c r="AD2365" s="502"/>
      <c r="AE2365" s="911"/>
      <c r="AF2365" s="502"/>
      <c r="AH2365" s="898"/>
      <c r="AI2365" s="502"/>
      <c r="AJ2365" s="502"/>
      <c r="AL2365" s="434"/>
      <c r="AM2365" s="436"/>
      <c r="AN2365" s="434"/>
      <c r="AO2365" s="434"/>
      <c r="AP2365" s="556"/>
      <c r="AQ2365" s="556"/>
      <c r="AR2365" s="556"/>
      <c r="CF2365" s="2"/>
    </row>
    <row r="2366" spans="3:84">
      <c r="C2366" s="2"/>
      <c r="AD2366" s="502"/>
      <c r="AE2366" s="911"/>
      <c r="AF2366" s="502"/>
      <c r="AH2366" s="898"/>
      <c r="AI2366" s="502"/>
      <c r="AJ2366" s="502"/>
      <c r="AL2366" s="434"/>
      <c r="AM2366" s="436"/>
      <c r="AN2366" s="434"/>
      <c r="AO2366" s="434"/>
      <c r="AP2366" s="556"/>
      <c r="AQ2366" s="556"/>
      <c r="AR2366" s="556"/>
      <c r="CF2366" s="2"/>
    </row>
    <row r="2367" spans="3:84">
      <c r="C2367" s="2"/>
      <c r="AD2367" s="502"/>
      <c r="AE2367" s="911"/>
      <c r="AF2367" s="502"/>
      <c r="AH2367" s="898"/>
      <c r="AI2367" s="502"/>
      <c r="AJ2367" s="502"/>
      <c r="AL2367" s="434"/>
      <c r="AM2367" s="436"/>
      <c r="AN2367" s="434"/>
      <c r="AO2367" s="434"/>
      <c r="AP2367" s="556"/>
      <c r="AQ2367" s="556"/>
      <c r="AR2367" s="556"/>
      <c r="CF2367" s="2"/>
    </row>
    <row r="2368" spans="3:84">
      <c r="C2368" s="2"/>
      <c r="AD2368" s="502"/>
      <c r="AE2368" s="911"/>
      <c r="AF2368" s="502"/>
      <c r="AH2368" s="898"/>
      <c r="AI2368" s="502"/>
      <c r="AJ2368" s="502"/>
      <c r="AL2368" s="434"/>
      <c r="AM2368" s="436"/>
      <c r="AN2368" s="434"/>
      <c r="AO2368" s="434"/>
      <c r="AP2368" s="556"/>
      <c r="AQ2368" s="556"/>
      <c r="AR2368" s="556"/>
      <c r="CF2368" s="2"/>
    </row>
    <row r="2369" spans="3:84">
      <c r="C2369" s="2"/>
      <c r="AD2369" s="502"/>
      <c r="AE2369" s="911"/>
      <c r="AF2369" s="502"/>
      <c r="AH2369" s="898"/>
      <c r="AI2369" s="502"/>
      <c r="AJ2369" s="502"/>
      <c r="AL2369" s="434"/>
      <c r="AM2369" s="436"/>
      <c r="AN2369" s="434"/>
      <c r="AO2369" s="434"/>
      <c r="AP2369" s="556"/>
      <c r="AQ2369" s="556"/>
      <c r="AR2369" s="556"/>
      <c r="CF2369" s="2"/>
    </row>
    <row r="2370" spans="3:84">
      <c r="C2370" s="2"/>
      <c r="AD2370" s="502"/>
      <c r="AE2370" s="911"/>
      <c r="AF2370" s="502"/>
      <c r="AH2370" s="898"/>
      <c r="AI2370" s="502"/>
      <c r="AJ2370" s="502"/>
      <c r="AL2370" s="434"/>
      <c r="AM2370" s="436"/>
      <c r="AN2370" s="434"/>
      <c r="AO2370" s="434"/>
      <c r="AP2370" s="556"/>
      <c r="AQ2370" s="556"/>
      <c r="AR2370" s="556"/>
      <c r="CF2370" s="2"/>
    </row>
    <row r="2371" spans="3:84">
      <c r="C2371" s="2"/>
      <c r="AD2371" s="502"/>
      <c r="AE2371" s="911"/>
      <c r="AF2371" s="502"/>
      <c r="AH2371" s="898"/>
      <c r="AI2371" s="502"/>
      <c r="AJ2371" s="502"/>
      <c r="AL2371" s="434"/>
      <c r="AM2371" s="436"/>
      <c r="AN2371" s="434"/>
      <c r="AO2371" s="434"/>
      <c r="AP2371" s="556"/>
      <c r="AQ2371" s="556"/>
      <c r="AR2371" s="556"/>
      <c r="CF2371" s="2"/>
    </row>
    <row r="2372" spans="3:84">
      <c r="C2372" s="2"/>
      <c r="AD2372" s="502"/>
      <c r="AE2372" s="911"/>
      <c r="AF2372" s="502"/>
      <c r="AH2372" s="898"/>
      <c r="AI2372" s="502"/>
      <c r="AJ2372" s="502"/>
      <c r="AL2372" s="434"/>
      <c r="AM2372" s="436"/>
      <c r="AN2372" s="434"/>
      <c r="AO2372" s="434"/>
      <c r="AP2372" s="556"/>
      <c r="AQ2372" s="556"/>
      <c r="AR2372" s="556"/>
      <c r="CF2372" s="2"/>
    </row>
    <row r="2373" spans="3:84">
      <c r="C2373" s="2"/>
      <c r="AD2373" s="502"/>
      <c r="AE2373" s="911"/>
      <c r="AF2373" s="502"/>
      <c r="AH2373" s="898"/>
      <c r="AI2373" s="502"/>
      <c r="AJ2373" s="502"/>
      <c r="AL2373" s="434"/>
      <c r="AM2373" s="436"/>
      <c r="AN2373" s="434"/>
      <c r="AO2373" s="434"/>
      <c r="AP2373" s="556"/>
      <c r="AQ2373" s="556"/>
      <c r="AR2373" s="556"/>
      <c r="CF2373" s="2"/>
    </row>
    <row r="2374" spans="3:84">
      <c r="C2374" s="2"/>
      <c r="AD2374" s="502"/>
      <c r="AE2374" s="911"/>
      <c r="AF2374" s="502"/>
      <c r="AH2374" s="898"/>
      <c r="AI2374" s="502"/>
      <c r="AJ2374" s="502"/>
      <c r="AL2374" s="434"/>
      <c r="AM2374" s="436"/>
      <c r="AN2374" s="434"/>
      <c r="AO2374" s="434"/>
      <c r="AP2374" s="556"/>
      <c r="AQ2374" s="556"/>
      <c r="AR2374" s="556"/>
      <c r="CF2374" s="2"/>
    </row>
    <row r="2375" spans="3:84">
      <c r="C2375" s="2"/>
      <c r="AD2375" s="502"/>
      <c r="AE2375" s="911"/>
      <c r="AF2375" s="502"/>
      <c r="AH2375" s="898"/>
      <c r="AI2375" s="502"/>
      <c r="AJ2375" s="502"/>
      <c r="AL2375" s="434"/>
      <c r="AM2375" s="436"/>
      <c r="AN2375" s="434"/>
      <c r="AO2375" s="434"/>
      <c r="AP2375" s="556"/>
      <c r="AQ2375" s="556"/>
      <c r="AR2375" s="556"/>
      <c r="CF2375" s="2"/>
    </row>
    <row r="2376" spans="3:84">
      <c r="C2376" s="2"/>
      <c r="AD2376" s="502"/>
      <c r="AE2376" s="911"/>
      <c r="AF2376" s="502"/>
      <c r="AH2376" s="898"/>
      <c r="AI2376" s="502"/>
      <c r="AJ2376" s="502"/>
      <c r="AL2376" s="434"/>
      <c r="AM2376" s="436"/>
      <c r="AN2376" s="434"/>
      <c r="AO2376" s="434"/>
      <c r="AP2376" s="556"/>
      <c r="AQ2376" s="556"/>
      <c r="AR2376" s="556"/>
      <c r="CF2376" s="2"/>
    </row>
    <row r="2377" spans="3:84">
      <c r="C2377" s="2"/>
      <c r="AD2377" s="502"/>
      <c r="AE2377" s="911"/>
      <c r="AF2377" s="502"/>
      <c r="AH2377" s="898"/>
      <c r="AI2377" s="502"/>
      <c r="AJ2377" s="502"/>
      <c r="AL2377" s="434"/>
      <c r="AM2377" s="436"/>
      <c r="AN2377" s="434"/>
      <c r="AO2377" s="434"/>
      <c r="AP2377" s="556"/>
      <c r="AQ2377" s="556"/>
      <c r="AR2377" s="556"/>
      <c r="CF2377" s="2"/>
    </row>
    <row r="2378" spans="3:84">
      <c r="C2378" s="2"/>
      <c r="AD2378" s="502"/>
      <c r="AE2378" s="911"/>
      <c r="AF2378" s="502"/>
      <c r="AH2378" s="898"/>
      <c r="AI2378" s="502"/>
      <c r="AJ2378" s="502"/>
      <c r="AL2378" s="434"/>
      <c r="AM2378" s="436"/>
      <c r="AN2378" s="434"/>
      <c r="AO2378" s="434"/>
      <c r="AP2378" s="556"/>
      <c r="AQ2378" s="556"/>
      <c r="AR2378" s="556"/>
      <c r="CF2378" s="2"/>
    </row>
    <row r="2379" spans="3:84">
      <c r="C2379" s="2"/>
      <c r="AD2379" s="502"/>
      <c r="AE2379" s="911"/>
      <c r="AF2379" s="502"/>
      <c r="AH2379" s="898"/>
      <c r="AI2379" s="502"/>
      <c r="AJ2379" s="502"/>
      <c r="AL2379" s="434"/>
      <c r="AM2379" s="436"/>
      <c r="AN2379" s="434"/>
      <c r="AO2379" s="434"/>
      <c r="AP2379" s="556"/>
      <c r="AQ2379" s="556"/>
      <c r="AR2379" s="556"/>
      <c r="CF2379" s="2"/>
    </row>
    <row r="2380" spans="3:84">
      <c r="C2380" s="2"/>
      <c r="AD2380" s="502"/>
      <c r="AE2380" s="911"/>
      <c r="AF2380" s="502"/>
      <c r="AH2380" s="898"/>
      <c r="AI2380" s="502"/>
      <c r="AJ2380" s="502"/>
      <c r="AL2380" s="434"/>
      <c r="AM2380" s="436"/>
      <c r="AN2380" s="434"/>
      <c r="AO2380" s="434"/>
      <c r="AP2380" s="556"/>
      <c r="AQ2380" s="556"/>
      <c r="AR2380" s="556"/>
      <c r="CF2380" s="2"/>
    </row>
    <row r="2381" spans="3:84">
      <c r="C2381" s="2"/>
      <c r="AD2381" s="502"/>
      <c r="AE2381" s="911"/>
      <c r="AF2381" s="502"/>
      <c r="AH2381" s="898"/>
      <c r="AI2381" s="502"/>
      <c r="AJ2381" s="502"/>
      <c r="AL2381" s="434"/>
      <c r="AM2381" s="436"/>
      <c r="AN2381" s="434"/>
      <c r="AO2381" s="434"/>
      <c r="AP2381" s="556"/>
      <c r="AQ2381" s="556"/>
      <c r="AR2381" s="556"/>
      <c r="CF2381" s="2"/>
    </row>
    <row r="2382" spans="3:84">
      <c r="C2382" s="2"/>
      <c r="AD2382" s="502"/>
      <c r="AE2382" s="911"/>
      <c r="AF2382" s="502"/>
      <c r="AH2382" s="898"/>
      <c r="AI2382" s="502"/>
      <c r="AJ2382" s="502"/>
      <c r="AL2382" s="434"/>
      <c r="AM2382" s="436"/>
      <c r="AN2382" s="434"/>
      <c r="AO2382" s="434"/>
      <c r="AP2382" s="556"/>
      <c r="AQ2382" s="556"/>
      <c r="AR2382" s="556"/>
      <c r="CF2382" s="2"/>
    </row>
    <row r="2383" spans="3:84">
      <c r="C2383" s="2"/>
      <c r="AD2383" s="502"/>
      <c r="AE2383" s="911"/>
      <c r="AF2383" s="502"/>
      <c r="AH2383" s="898"/>
      <c r="AI2383" s="502"/>
      <c r="AJ2383" s="502"/>
      <c r="AL2383" s="434"/>
      <c r="AM2383" s="436"/>
      <c r="AN2383" s="434"/>
      <c r="AO2383" s="434"/>
      <c r="AP2383" s="556"/>
      <c r="AQ2383" s="556"/>
      <c r="AR2383" s="556"/>
      <c r="CF2383" s="2"/>
    </row>
    <row r="2384" spans="3:84">
      <c r="C2384" s="2"/>
      <c r="AD2384" s="502"/>
      <c r="AE2384" s="911"/>
      <c r="AF2384" s="502"/>
      <c r="AH2384" s="898"/>
      <c r="AI2384" s="502"/>
      <c r="AJ2384" s="502"/>
      <c r="AL2384" s="434"/>
      <c r="AM2384" s="436"/>
      <c r="AN2384" s="434"/>
      <c r="AO2384" s="434"/>
      <c r="AP2384" s="556"/>
      <c r="AQ2384" s="556"/>
      <c r="AR2384" s="556"/>
      <c r="CF2384" s="2"/>
    </row>
    <row r="2385" spans="3:84">
      <c r="C2385" s="2"/>
      <c r="AD2385" s="502"/>
      <c r="AE2385" s="911"/>
      <c r="AF2385" s="502"/>
      <c r="AH2385" s="898"/>
      <c r="AI2385" s="502"/>
      <c r="AJ2385" s="502"/>
      <c r="AL2385" s="434"/>
      <c r="AM2385" s="436"/>
      <c r="AN2385" s="434"/>
      <c r="AO2385" s="434"/>
      <c r="AP2385" s="556"/>
      <c r="AQ2385" s="556"/>
      <c r="AR2385" s="556"/>
      <c r="CF2385" s="2"/>
    </row>
    <row r="2386" spans="3:84">
      <c r="C2386" s="2"/>
      <c r="AD2386" s="502"/>
      <c r="AE2386" s="911"/>
      <c r="AF2386" s="502"/>
      <c r="AH2386" s="898"/>
      <c r="AI2386" s="502"/>
      <c r="AJ2386" s="502"/>
      <c r="AL2386" s="434"/>
      <c r="AM2386" s="436"/>
      <c r="AN2386" s="434"/>
      <c r="AO2386" s="434"/>
      <c r="AP2386" s="556"/>
      <c r="AQ2386" s="556"/>
      <c r="AR2386" s="556"/>
      <c r="CF2386" s="2"/>
    </row>
    <row r="2387" spans="3:84">
      <c r="C2387" s="2"/>
      <c r="AD2387" s="502"/>
      <c r="AE2387" s="911"/>
      <c r="AF2387" s="502"/>
      <c r="AH2387" s="898"/>
      <c r="AI2387" s="502"/>
      <c r="AJ2387" s="502"/>
      <c r="AL2387" s="434"/>
      <c r="AM2387" s="436"/>
      <c r="AN2387" s="434"/>
      <c r="AO2387" s="434"/>
      <c r="AP2387" s="556"/>
      <c r="AQ2387" s="556"/>
      <c r="AR2387" s="556"/>
      <c r="CF2387" s="2"/>
    </row>
    <row r="2388" spans="3:84">
      <c r="C2388" s="2"/>
      <c r="AD2388" s="502"/>
      <c r="AE2388" s="911"/>
      <c r="AF2388" s="502"/>
      <c r="AH2388" s="898"/>
      <c r="AI2388" s="502"/>
      <c r="AJ2388" s="502"/>
      <c r="AL2388" s="434"/>
      <c r="AM2388" s="436"/>
      <c r="AN2388" s="434"/>
      <c r="AO2388" s="434"/>
      <c r="AP2388" s="556"/>
      <c r="AQ2388" s="556"/>
      <c r="AR2388" s="556"/>
      <c r="CF2388" s="2"/>
    </row>
    <row r="2389" spans="3:84">
      <c r="C2389" s="2"/>
      <c r="AD2389" s="502"/>
      <c r="AE2389" s="911"/>
      <c r="AF2389" s="502"/>
      <c r="AH2389" s="898"/>
      <c r="AI2389" s="502"/>
      <c r="AJ2389" s="502"/>
      <c r="AL2389" s="434"/>
      <c r="AM2389" s="436"/>
      <c r="AN2389" s="434"/>
      <c r="AO2389" s="434"/>
      <c r="AP2389" s="556"/>
      <c r="AQ2389" s="556"/>
      <c r="AR2389" s="556"/>
      <c r="CF2389" s="2"/>
    </row>
    <row r="2390" spans="3:84">
      <c r="C2390" s="2"/>
      <c r="AD2390" s="502"/>
      <c r="AE2390" s="911"/>
      <c r="AF2390" s="502"/>
      <c r="AH2390" s="898"/>
      <c r="AI2390" s="502"/>
      <c r="AJ2390" s="502"/>
      <c r="AL2390" s="434"/>
      <c r="AM2390" s="436"/>
      <c r="AN2390" s="434"/>
      <c r="AO2390" s="434"/>
      <c r="AP2390" s="556"/>
      <c r="AQ2390" s="556"/>
      <c r="AR2390" s="556"/>
      <c r="CF2390" s="2"/>
    </row>
    <row r="2391" spans="3:84">
      <c r="C2391" s="2"/>
      <c r="AD2391" s="502"/>
      <c r="AE2391" s="911"/>
      <c r="AF2391" s="502"/>
      <c r="AH2391" s="898"/>
      <c r="AI2391" s="502"/>
      <c r="AJ2391" s="502"/>
      <c r="AL2391" s="434"/>
      <c r="AM2391" s="436"/>
      <c r="AN2391" s="434"/>
      <c r="AO2391" s="434"/>
      <c r="AP2391" s="556"/>
      <c r="AQ2391" s="556"/>
      <c r="AR2391" s="556"/>
      <c r="CF2391" s="2"/>
    </row>
    <row r="2392" spans="3:84">
      <c r="C2392" s="2"/>
      <c r="AD2392" s="502"/>
      <c r="AE2392" s="911"/>
      <c r="AF2392" s="502"/>
      <c r="AH2392" s="898"/>
      <c r="AI2392" s="502"/>
      <c r="AJ2392" s="502"/>
      <c r="AL2392" s="434"/>
      <c r="AM2392" s="436"/>
      <c r="AN2392" s="434"/>
      <c r="AO2392" s="434"/>
      <c r="AP2392" s="556"/>
      <c r="AQ2392" s="556"/>
      <c r="AR2392" s="556"/>
      <c r="CF2392" s="2"/>
    </row>
    <row r="2393" spans="3:84">
      <c r="C2393" s="2"/>
      <c r="AD2393" s="502"/>
      <c r="AE2393" s="911"/>
      <c r="AF2393" s="502"/>
      <c r="AH2393" s="898"/>
      <c r="AI2393" s="502"/>
      <c r="AJ2393" s="502"/>
      <c r="AL2393" s="434"/>
      <c r="AM2393" s="436"/>
      <c r="AN2393" s="434"/>
      <c r="AO2393" s="434"/>
      <c r="AP2393" s="556"/>
      <c r="AQ2393" s="556"/>
      <c r="AR2393" s="556"/>
      <c r="CF2393" s="2"/>
    </row>
    <row r="2394" spans="3:84">
      <c r="C2394" s="2"/>
      <c r="AD2394" s="502"/>
      <c r="AE2394" s="911"/>
      <c r="AF2394" s="502"/>
      <c r="AH2394" s="898"/>
      <c r="AI2394" s="502"/>
      <c r="AJ2394" s="502"/>
      <c r="AL2394" s="434"/>
      <c r="AM2394" s="436"/>
      <c r="AN2394" s="434"/>
      <c r="AO2394" s="434"/>
      <c r="AP2394" s="556"/>
      <c r="AQ2394" s="556"/>
      <c r="AR2394" s="556"/>
      <c r="CF2394" s="2"/>
    </row>
    <row r="2395" spans="3:84">
      <c r="C2395" s="2"/>
      <c r="AD2395" s="502"/>
      <c r="AE2395" s="911"/>
      <c r="AF2395" s="502"/>
      <c r="AH2395" s="898"/>
      <c r="AI2395" s="502"/>
      <c r="AJ2395" s="502"/>
      <c r="AL2395" s="434"/>
      <c r="AM2395" s="436"/>
      <c r="AN2395" s="434"/>
      <c r="AO2395" s="434"/>
      <c r="AP2395" s="556"/>
      <c r="AQ2395" s="556"/>
      <c r="AR2395" s="556"/>
      <c r="CF2395" s="2"/>
    </row>
    <row r="2396" spans="3:84">
      <c r="C2396" s="2"/>
      <c r="AD2396" s="502"/>
      <c r="AE2396" s="911"/>
      <c r="AF2396" s="502"/>
      <c r="AH2396" s="898"/>
      <c r="AI2396" s="502"/>
      <c r="AJ2396" s="502"/>
      <c r="AL2396" s="434"/>
      <c r="AM2396" s="436"/>
      <c r="AN2396" s="434"/>
      <c r="AO2396" s="434"/>
      <c r="AP2396" s="556"/>
      <c r="AQ2396" s="556"/>
      <c r="AR2396" s="556"/>
      <c r="CF2396" s="2"/>
    </row>
    <row r="2397" spans="3:84">
      <c r="C2397" s="2"/>
      <c r="AD2397" s="502"/>
      <c r="AE2397" s="911"/>
      <c r="AF2397" s="502"/>
      <c r="AH2397" s="898"/>
      <c r="AI2397" s="502"/>
      <c r="AJ2397" s="502"/>
      <c r="AL2397" s="434"/>
      <c r="AM2397" s="436"/>
      <c r="AN2397" s="434"/>
      <c r="AO2397" s="434"/>
      <c r="AP2397" s="556"/>
      <c r="AQ2397" s="556"/>
      <c r="AR2397" s="556"/>
      <c r="CF2397" s="2"/>
    </row>
    <row r="2398" spans="3:84">
      <c r="C2398" s="2"/>
      <c r="AD2398" s="502"/>
      <c r="AE2398" s="911"/>
      <c r="AF2398" s="502"/>
      <c r="AH2398" s="898"/>
      <c r="AI2398" s="502"/>
      <c r="AJ2398" s="502"/>
      <c r="AL2398" s="434"/>
      <c r="AM2398" s="436"/>
      <c r="AN2398" s="434"/>
      <c r="AO2398" s="434"/>
      <c r="AP2398" s="556"/>
      <c r="AQ2398" s="556"/>
      <c r="AR2398" s="556"/>
      <c r="CF2398" s="2"/>
    </row>
    <row r="2399" spans="3:84">
      <c r="C2399" s="2"/>
      <c r="AD2399" s="502"/>
      <c r="AE2399" s="911"/>
      <c r="AF2399" s="502"/>
      <c r="AH2399" s="898"/>
      <c r="AI2399" s="502"/>
      <c r="AJ2399" s="502"/>
      <c r="AL2399" s="434"/>
      <c r="AM2399" s="436"/>
      <c r="AN2399" s="434"/>
      <c r="AO2399" s="434"/>
      <c r="AP2399" s="556"/>
      <c r="AQ2399" s="556"/>
      <c r="AR2399" s="556"/>
      <c r="CF2399" s="2"/>
    </row>
    <row r="2400" spans="3:84">
      <c r="C2400" s="2"/>
      <c r="AD2400" s="502"/>
      <c r="AE2400" s="911"/>
      <c r="AF2400" s="502"/>
      <c r="AH2400" s="898"/>
      <c r="AI2400" s="502"/>
      <c r="AJ2400" s="502"/>
      <c r="AL2400" s="434"/>
      <c r="AM2400" s="436"/>
      <c r="AN2400" s="434"/>
      <c r="AO2400" s="434"/>
      <c r="AP2400" s="556"/>
      <c r="AQ2400" s="556"/>
      <c r="AR2400" s="556"/>
      <c r="CF2400" s="2"/>
    </row>
    <row r="2401" spans="3:84">
      <c r="C2401" s="2"/>
      <c r="AD2401" s="502"/>
      <c r="AE2401" s="911"/>
      <c r="AF2401" s="502"/>
      <c r="AH2401" s="898"/>
      <c r="AI2401" s="502"/>
      <c r="AJ2401" s="502"/>
      <c r="AL2401" s="434"/>
      <c r="AM2401" s="436"/>
      <c r="AN2401" s="434"/>
      <c r="AO2401" s="434"/>
      <c r="AP2401" s="556"/>
      <c r="AQ2401" s="556"/>
      <c r="AR2401" s="556"/>
      <c r="CF2401" s="2"/>
    </row>
    <row r="2402" spans="3:84">
      <c r="C2402" s="2"/>
      <c r="AD2402" s="502"/>
      <c r="AE2402" s="911"/>
      <c r="AF2402" s="502"/>
      <c r="AH2402" s="898"/>
      <c r="AI2402" s="502"/>
      <c r="AJ2402" s="502"/>
      <c r="AL2402" s="434"/>
      <c r="AM2402" s="436"/>
      <c r="AN2402" s="434"/>
      <c r="AO2402" s="434"/>
      <c r="AP2402" s="556"/>
      <c r="AQ2402" s="556"/>
      <c r="AR2402" s="556"/>
      <c r="CF2402" s="2"/>
    </row>
    <row r="2403" spans="3:84">
      <c r="C2403" s="2"/>
      <c r="AD2403" s="502"/>
      <c r="AE2403" s="911"/>
      <c r="AF2403" s="502"/>
      <c r="AH2403" s="898"/>
      <c r="AI2403" s="502"/>
      <c r="AJ2403" s="502"/>
      <c r="AL2403" s="434"/>
      <c r="AM2403" s="436"/>
      <c r="AN2403" s="434"/>
      <c r="AO2403" s="434"/>
      <c r="AP2403" s="556"/>
      <c r="AQ2403" s="556"/>
      <c r="AR2403" s="556"/>
      <c r="CF2403" s="2"/>
    </row>
    <row r="2404" spans="3:84">
      <c r="C2404" s="2"/>
      <c r="AD2404" s="502"/>
      <c r="AE2404" s="911"/>
      <c r="AF2404" s="502"/>
      <c r="AH2404" s="898"/>
      <c r="AI2404" s="502"/>
      <c r="AJ2404" s="502"/>
      <c r="AL2404" s="434"/>
      <c r="AM2404" s="436"/>
      <c r="AN2404" s="434"/>
      <c r="AO2404" s="434"/>
      <c r="AP2404" s="556"/>
      <c r="AQ2404" s="556"/>
      <c r="AR2404" s="556"/>
      <c r="CF2404" s="2"/>
    </row>
    <row r="2405" spans="3:84">
      <c r="C2405" s="2"/>
      <c r="AD2405" s="502"/>
      <c r="AE2405" s="911"/>
      <c r="AF2405" s="502"/>
      <c r="AH2405" s="898"/>
      <c r="AI2405" s="502"/>
      <c r="AJ2405" s="502"/>
      <c r="AL2405" s="434"/>
      <c r="AM2405" s="436"/>
      <c r="AN2405" s="434"/>
      <c r="AO2405" s="434"/>
      <c r="AP2405" s="556"/>
      <c r="AQ2405" s="556"/>
      <c r="AR2405" s="556"/>
      <c r="CF2405" s="2"/>
    </row>
    <row r="2406" spans="3:84">
      <c r="C2406" s="2"/>
      <c r="AD2406" s="502"/>
      <c r="AE2406" s="911"/>
      <c r="AF2406" s="502"/>
      <c r="AH2406" s="898"/>
      <c r="AI2406" s="502"/>
      <c r="AJ2406" s="502"/>
      <c r="AL2406" s="434"/>
      <c r="AM2406" s="436"/>
      <c r="AN2406" s="434"/>
      <c r="AO2406" s="434"/>
      <c r="AP2406" s="556"/>
      <c r="AQ2406" s="556"/>
      <c r="AR2406" s="556"/>
      <c r="CF2406" s="2"/>
    </row>
    <row r="2407" spans="3:84">
      <c r="C2407" s="2"/>
      <c r="AD2407" s="502"/>
      <c r="AE2407" s="911"/>
      <c r="AF2407" s="502"/>
      <c r="AH2407" s="898"/>
      <c r="AI2407" s="502"/>
      <c r="AJ2407" s="502"/>
      <c r="AL2407" s="434"/>
      <c r="AM2407" s="436"/>
      <c r="AN2407" s="434"/>
      <c r="AO2407" s="434"/>
      <c r="AP2407" s="556"/>
      <c r="AQ2407" s="556"/>
      <c r="AR2407" s="556"/>
      <c r="CF2407" s="2"/>
    </row>
    <row r="2408" spans="3:84">
      <c r="C2408" s="2"/>
      <c r="AD2408" s="502"/>
      <c r="AE2408" s="911"/>
      <c r="AF2408" s="502"/>
      <c r="AH2408" s="898"/>
      <c r="AI2408" s="502"/>
      <c r="AJ2408" s="502"/>
      <c r="AL2408" s="434"/>
      <c r="AM2408" s="436"/>
      <c r="AN2408" s="434"/>
      <c r="AO2408" s="434"/>
      <c r="AP2408" s="556"/>
      <c r="AQ2408" s="556"/>
      <c r="AR2408" s="556"/>
      <c r="CF2408" s="2"/>
    </row>
    <row r="2409" spans="3:84">
      <c r="C2409" s="2"/>
      <c r="AD2409" s="502"/>
      <c r="AE2409" s="911"/>
      <c r="AF2409" s="502"/>
      <c r="AH2409" s="898"/>
      <c r="AI2409" s="502"/>
      <c r="AJ2409" s="502"/>
      <c r="AL2409" s="434"/>
      <c r="AM2409" s="436"/>
      <c r="AN2409" s="434"/>
      <c r="AO2409" s="434"/>
      <c r="AP2409" s="556"/>
      <c r="AQ2409" s="556"/>
      <c r="AR2409" s="556"/>
      <c r="CF2409" s="2"/>
    </row>
    <row r="2410" spans="3:84">
      <c r="C2410" s="2"/>
      <c r="AD2410" s="502"/>
      <c r="AE2410" s="911"/>
      <c r="AF2410" s="502"/>
      <c r="AH2410" s="898"/>
      <c r="AI2410" s="502"/>
      <c r="AJ2410" s="502"/>
      <c r="AL2410" s="434"/>
      <c r="AM2410" s="436"/>
      <c r="AN2410" s="434"/>
      <c r="AO2410" s="434"/>
      <c r="AP2410" s="556"/>
      <c r="AQ2410" s="556"/>
      <c r="AR2410" s="556"/>
      <c r="CF2410" s="2"/>
    </row>
    <row r="2411" spans="3:84">
      <c r="C2411" s="2"/>
      <c r="AD2411" s="502"/>
      <c r="AE2411" s="911"/>
      <c r="AF2411" s="502"/>
      <c r="AH2411" s="898"/>
      <c r="AI2411" s="502"/>
      <c r="AJ2411" s="502"/>
      <c r="AL2411" s="434"/>
      <c r="AM2411" s="436"/>
      <c r="AN2411" s="434"/>
      <c r="AO2411" s="434"/>
      <c r="AP2411" s="556"/>
      <c r="AQ2411" s="556"/>
      <c r="AR2411" s="556"/>
      <c r="CF2411" s="2"/>
    </row>
    <row r="2412" spans="3:84">
      <c r="C2412" s="2"/>
      <c r="AD2412" s="502"/>
      <c r="AE2412" s="911"/>
      <c r="AF2412" s="502"/>
      <c r="AH2412" s="898"/>
      <c r="AI2412" s="502"/>
      <c r="AJ2412" s="502"/>
      <c r="AL2412" s="434"/>
      <c r="AM2412" s="436"/>
      <c r="AN2412" s="434"/>
      <c r="AO2412" s="434"/>
      <c r="AP2412" s="556"/>
      <c r="AQ2412" s="556"/>
      <c r="AR2412" s="556"/>
      <c r="CF2412" s="2"/>
    </row>
    <row r="2413" spans="3:84">
      <c r="C2413" s="2"/>
      <c r="AD2413" s="502"/>
      <c r="AE2413" s="911"/>
      <c r="AF2413" s="502"/>
      <c r="AH2413" s="898"/>
      <c r="AI2413" s="502"/>
      <c r="AJ2413" s="502"/>
      <c r="AL2413" s="434"/>
      <c r="AM2413" s="436"/>
      <c r="AN2413" s="434"/>
      <c r="AO2413" s="434"/>
      <c r="AP2413" s="556"/>
      <c r="AQ2413" s="556"/>
      <c r="AR2413" s="556"/>
      <c r="CF2413" s="2"/>
    </row>
    <row r="2414" spans="3:84">
      <c r="C2414" s="2"/>
      <c r="AD2414" s="502"/>
      <c r="AE2414" s="911"/>
      <c r="AF2414" s="502"/>
      <c r="AH2414" s="898"/>
      <c r="AI2414" s="502"/>
      <c r="AJ2414" s="502"/>
      <c r="AL2414" s="434"/>
      <c r="AM2414" s="436"/>
      <c r="AN2414" s="434"/>
      <c r="AO2414" s="434"/>
      <c r="AP2414" s="556"/>
      <c r="AQ2414" s="556"/>
      <c r="AR2414" s="556"/>
      <c r="CF2414" s="2"/>
    </row>
    <row r="2415" spans="3:84">
      <c r="C2415" s="2"/>
      <c r="AD2415" s="502"/>
      <c r="AE2415" s="911"/>
      <c r="AF2415" s="502"/>
      <c r="AH2415" s="898"/>
      <c r="AI2415" s="502"/>
      <c r="AJ2415" s="502"/>
      <c r="AL2415" s="434"/>
      <c r="AM2415" s="436"/>
      <c r="AN2415" s="434"/>
      <c r="AO2415" s="434"/>
      <c r="AP2415" s="556"/>
      <c r="AQ2415" s="556"/>
      <c r="AR2415" s="556"/>
      <c r="CF2415" s="2"/>
    </row>
    <row r="2416" spans="3:84">
      <c r="C2416" s="2"/>
      <c r="AD2416" s="502"/>
      <c r="AE2416" s="911"/>
      <c r="AF2416" s="502"/>
      <c r="AH2416" s="898"/>
      <c r="AI2416" s="502"/>
      <c r="AJ2416" s="502"/>
      <c r="AL2416" s="434"/>
      <c r="AM2416" s="436"/>
      <c r="AN2416" s="434"/>
      <c r="AO2416" s="434"/>
      <c r="AP2416" s="556"/>
      <c r="AQ2416" s="556"/>
      <c r="AR2416" s="556"/>
      <c r="CF2416" s="2"/>
    </row>
    <row r="2417" spans="3:84">
      <c r="C2417" s="2"/>
      <c r="AD2417" s="502"/>
      <c r="AE2417" s="911"/>
      <c r="AF2417" s="502"/>
      <c r="AH2417" s="898"/>
      <c r="AI2417" s="502"/>
      <c r="AJ2417" s="502"/>
      <c r="AL2417" s="434"/>
      <c r="AM2417" s="436"/>
      <c r="AN2417" s="434"/>
      <c r="AO2417" s="434"/>
      <c r="AP2417" s="556"/>
      <c r="AQ2417" s="556"/>
      <c r="AR2417" s="556"/>
      <c r="CF2417" s="2"/>
    </row>
    <row r="2418" spans="3:84">
      <c r="C2418" s="2"/>
      <c r="AD2418" s="502"/>
      <c r="AE2418" s="911"/>
      <c r="AF2418" s="502"/>
      <c r="AH2418" s="898"/>
      <c r="AI2418" s="502"/>
      <c r="AJ2418" s="502"/>
      <c r="AL2418" s="434"/>
      <c r="AM2418" s="436"/>
      <c r="AN2418" s="434"/>
      <c r="AO2418" s="434"/>
      <c r="AP2418" s="556"/>
      <c r="AQ2418" s="556"/>
      <c r="AR2418" s="556"/>
      <c r="CF2418" s="2"/>
    </row>
    <row r="2419" spans="3:84">
      <c r="C2419" s="2"/>
      <c r="AD2419" s="502"/>
      <c r="AE2419" s="911"/>
      <c r="AF2419" s="502"/>
      <c r="AH2419" s="898"/>
      <c r="AI2419" s="502"/>
      <c r="AJ2419" s="502"/>
      <c r="AL2419" s="434"/>
      <c r="AM2419" s="436"/>
      <c r="AN2419" s="434"/>
      <c r="AO2419" s="434"/>
      <c r="AP2419" s="556"/>
      <c r="AQ2419" s="556"/>
      <c r="AR2419" s="556"/>
      <c r="CF2419" s="2"/>
    </row>
    <row r="2420" spans="3:84">
      <c r="C2420" s="2"/>
      <c r="AD2420" s="502"/>
      <c r="AE2420" s="911"/>
      <c r="AF2420" s="502"/>
      <c r="AH2420" s="898"/>
      <c r="AI2420" s="502"/>
      <c r="AJ2420" s="502"/>
      <c r="AL2420" s="434"/>
      <c r="AM2420" s="436"/>
      <c r="AN2420" s="434"/>
      <c r="AO2420" s="434"/>
      <c r="AP2420" s="556"/>
      <c r="AQ2420" s="556"/>
      <c r="AR2420" s="556"/>
      <c r="CF2420" s="2"/>
    </row>
    <row r="2421" spans="3:84">
      <c r="C2421" s="2"/>
      <c r="AD2421" s="502"/>
      <c r="AE2421" s="911"/>
      <c r="AF2421" s="502"/>
      <c r="AH2421" s="898"/>
      <c r="AI2421" s="502"/>
      <c r="AJ2421" s="502"/>
      <c r="AL2421" s="434"/>
      <c r="AM2421" s="436"/>
      <c r="AN2421" s="434"/>
      <c r="AO2421" s="434"/>
      <c r="AP2421" s="556"/>
      <c r="AQ2421" s="556"/>
      <c r="AR2421" s="556"/>
      <c r="CF2421" s="2"/>
    </row>
    <row r="2422" spans="3:84">
      <c r="C2422" s="2"/>
      <c r="AD2422" s="502"/>
      <c r="AE2422" s="911"/>
      <c r="AF2422" s="502"/>
      <c r="AH2422" s="898"/>
      <c r="AI2422" s="502"/>
      <c r="AJ2422" s="502"/>
      <c r="AL2422" s="434"/>
      <c r="AM2422" s="436"/>
      <c r="AN2422" s="434"/>
      <c r="AO2422" s="434"/>
      <c r="AP2422" s="556"/>
      <c r="AQ2422" s="556"/>
      <c r="AR2422" s="556"/>
      <c r="CF2422" s="2"/>
    </row>
    <row r="2423" spans="3:84">
      <c r="C2423" s="2"/>
      <c r="AD2423" s="502"/>
      <c r="AE2423" s="911"/>
      <c r="AF2423" s="502"/>
      <c r="AH2423" s="898"/>
      <c r="AI2423" s="502"/>
      <c r="AJ2423" s="502"/>
      <c r="AL2423" s="434"/>
      <c r="AM2423" s="436"/>
      <c r="AN2423" s="434"/>
      <c r="AO2423" s="434"/>
      <c r="AP2423" s="556"/>
      <c r="AQ2423" s="556"/>
      <c r="AR2423" s="556"/>
      <c r="CF2423" s="2"/>
    </row>
    <row r="2424" spans="3:84">
      <c r="C2424" s="2"/>
      <c r="AD2424" s="502"/>
      <c r="AE2424" s="911"/>
      <c r="AF2424" s="502"/>
      <c r="AH2424" s="898"/>
      <c r="AI2424" s="502"/>
      <c r="AJ2424" s="502"/>
      <c r="AL2424" s="434"/>
      <c r="AM2424" s="436"/>
      <c r="AN2424" s="434"/>
      <c r="AO2424" s="434"/>
      <c r="AP2424" s="556"/>
      <c r="AQ2424" s="556"/>
      <c r="AR2424" s="556"/>
      <c r="CF2424" s="2"/>
    </row>
    <row r="2425" spans="3:84">
      <c r="C2425" s="2"/>
      <c r="AD2425" s="502"/>
      <c r="AE2425" s="911"/>
      <c r="AF2425" s="502"/>
      <c r="AH2425" s="898"/>
      <c r="AI2425" s="502"/>
      <c r="AJ2425" s="502"/>
      <c r="AL2425" s="434"/>
      <c r="AM2425" s="436"/>
      <c r="AN2425" s="434"/>
      <c r="AO2425" s="434"/>
      <c r="AP2425" s="556"/>
      <c r="AQ2425" s="556"/>
      <c r="AR2425" s="556"/>
      <c r="CF2425" s="2"/>
    </row>
    <row r="2426" spans="3:84">
      <c r="C2426" s="2"/>
      <c r="AD2426" s="502"/>
      <c r="AE2426" s="911"/>
      <c r="AF2426" s="502"/>
      <c r="AH2426" s="898"/>
      <c r="AI2426" s="502"/>
      <c r="AJ2426" s="502"/>
      <c r="AL2426" s="434"/>
      <c r="AM2426" s="436"/>
      <c r="AN2426" s="434"/>
      <c r="AO2426" s="434"/>
      <c r="AP2426" s="556"/>
      <c r="AQ2426" s="556"/>
      <c r="AR2426" s="556"/>
      <c r="CF2426" s="2"/>
    </row>
    <row r="2427" spans="3:84">
      <c r="C2427" s="2"/>
      <c r="AD2427" s="502"/>
      <c r="AE2427" s="911"/>
      <c r="AF2427" s="502"/>
      <c r="AH2427" s="898"/>
      <c r="AI2427" s="502"/>
      <c r="AJ2427" s="502"/>
      <c r="AL2427" s="434"/>
      <c r="AM2427" s="436"/>
      <c r="AN2427" s="434"/>
      <c r="AO2427" s="434"/>
      <c r="AP2427" s="556"/>
      <c r="AQ2427" s="556"/>
      <c r="AR2427" s="556"/>
      <c r="CF2427" s="2"/>
    </row>
    <row r="2428" spans="3:84">
      <c r="C2428" s="2"/>
      <c r="AD2428" s="502"/>
      <c r="AE2428" s="911"/>
      <c r="AF2428" s="502"/>
      <c r="AH2428" s="898"/>
      <c r="AI2428" s="502"/>
      <c r="AJ2428" s="502"/>
      <c r="AL2428" s="434"/>
      <c r="AM2428" s="436"/>
      <c r="AN2428" s="434"/>
      <c r="AO2428" s="434"/>
      <c r="AP2428" s="556"/>
      <c r="AQ2428" s="556"/>
      <c r="AR2428" s="556"/>
      <c r="CF2428" s="2"/>
    </row>
    <row r="2429" spans="3:84">
      <c r="C2429" s="2"/>
      <c r="AD2429" s="502"/>
      <c r="AE2429" s="911"/>
      <c r="AF2429" s="502"/>
      <c r="AH2429" s="898"/>
      <c r="AI2429" s="502"/>
      <c r="AJ2429" s="502"/>
      <c r="AL2429" s="434"/>
      <c r="AM2429" s="436"/>
      <c r="AN2429" s="434"/>
      <c r="AO2429" s="434"/>
      <c r="AP2429" s="556"/>
      <c r="AQ2429" s="556"/>
      <c r="AR2429" s="556"/>
      <c r="CF2429" s="2"/>
    </row>
    <row r="2430" spans="3:84">
      <c r="C2430" s="2"/>
      <c r="AD2430" s="502"/>
      <c r="AE2430" s="911"/>
      <c r="AF2430" s="502"/>
      <c r="AH2430" s="898"/>
      <c r="AI2430" s="502"/>
      <c r="AJ2430" s="502"/>
      <c r="AL2430" s="434"/>
      <c r="AM2430" s="436"/>
      <c r="AN2430" s="434"/>
      <c r="AO2430" s="434"/>
      <c r="AP2430" s="556"/>
      <c r="AQ2430" s="556"/>
      <c r="AR2430" s="556"/>
      <c r="CF2430" s="2"/>
    </row>
    <row r="2431" spans="3:84">
      <c r="C2431" s="2"/>
      <c r="AD2431" s="502"/>
      <c r="AE2431" s="911"/>
      <c r="AF2431" s="502"/>
      <c r="AH2431" s="898"/>
      <c r="AI2431" s="502"/>
      <c r="AJ2431" s="502"/>
      <c r="AL2431" s="434"/>
      <c r="AM2431" s="436"/>
      <c r="AN2431" s="434"/>
      <c r="AO2431" s="434"/>
      <c r="AP2431" s="556"/>
      <c r="AQ2431" s="556"/>
      <c r="AR2431" s="556"/>
      <c r="CF2431" s="2"/>
    </row>
    <row r="2432" spans="3:84">
      <c r="C2432" s="2"/>
      <c r="AD2432" s="502"/>
      <c r="AE2432" s="911"/>
      <c r="AF2432" s="502"/>
      <c r="AH2432" s="898"/>
      <c r="AI2432" s="502"/>
      <c r="AJ2432" s="502"/>
      <c r="AL2432" s="434"/>
      <c r="AM2432" s="436"/>
      <c r="AN2432" s="434"/>
      <c r="AO2432" s="434"/>
      <c r="AP2432" s="556"/>
      <c r="AQ2432" s="556"/>
      <c r="AR2432" s="556"/>
      <c r="CF2432" s="2"/>
    </row>
    <row r="2433" spans="3:84">
      <c r="C2433" s="2"/>
      <c r="AD2433" s="502"/>
      <c r="AE2433" s="911"/>
      <c r="AF2433" s="502"/>
      <c r="AH2433" s="898"/>
      <c r="AI2433" s="502"/>
      <c r="AJ2433" s="502"/>
      <c r="AL2433" s="434"/>
      <c r="AM2433" s="436"/>
      <c r="AN2433" s="434"/>
      <c r="AO2433" s="434"/>
      <c r="AP2433" s="556"/>
      <c r="AQ2433" s="556"/>
      <c r="AR2433" s="556"/>
      <c r="CF2433" s="2"/>
    </row>
    <row r="2434" spans="3:84">
      <c r="C2434" s="2"/>
      <c r="AD2434" s="502"/>
      <c r="AE2434" s="911"/>
      <c r="AF2434" s="502"/>
      <c r="AH2434" s="898"/>
      <c r="AI2434" s="502"/>
      <c r="AJ2434" s="502"/>
      <c r="AL2434" s="434"/>
      <c r="AM2434" s="436"/>
      <c r="AN2434" s="434"/>
      <c r="AO2434" s="434"/>
      <c r="AP2434" s="556"/>
      <c r="AQ2434" s="556"/>
      <c r="AR2434" s="556"/>
      <c r="CF2434" s="2"/>
    </row>
    <row r="2435" spans="3:84">
      <c r="C2435" s="2"/>
      <c r="AD2435" s="502"/>
      <c r="AE2435" s="911"/>
      <c r="AF2435" s="502"/>
      <c r="AH2435" s="898"/>
      <c r="AI2435" s="502"/>
      <c r="AJ2435" s="502"/>
      <c r="AL2435" s="434"/>
      <c r="AM2435" s="436"/>
      <c r="AN2435" s="434"/>
      <c r="AO2435" s="434"/>
      <c r="AP2435" s="556"/>
      <c r="AQ2435" s="556"/>
      <c r="AR2435" s="556"/>
      <c r="CF2435" s="2"/>
    </row>
    <row r="2436" spans="3:84">
      <c r="C2436" s="2"/>
      <c r="AD2436" s="502"/>
      <c r="AE2436" s="911"/>
      <c r="AF2436" s="502"/>
      <c r="AH2436" s="898"/>
      <c r="AI2436" s="502"/>
      <c r="AJ2436" s="502"/>
      <c r="AL2436" s="434"/>
      <c r="AM2436" s="436"/>
      <c r="AN2436" s="434"/>
      <c r="AO2436" s="434"/>
      <c r="AP2436" s="556"/>
      <c r="AQ2436" s="556"/>
      <c r="AR2436" s="556"/>
      <c r="CF2436" s="2"/>
    </row>
    <row r="2437" spans="3:84">
      <c r="C2437" s="2"/>
      <c r="AD2437" s="502"/>
      <c r="AE2437" s="911"/>
      <c r="AF2437" s="502"/>
      <c r="AH2437" s="898"/>
      <c r="AI2437" s="502"/>
      <c r="AJ2437" s="502"/>
      <c r="AL2437" s="434"/>
      <c r="AM2437" s="436"/>
      <c r="AN2437" s="434"/>
      <c r="AO2437" s="434"/>
      <c r="AP2437" s="556"/>
      <c r="AQ2437" s="556"/>
      <c r="AR2437" s="556"/>
      <c r="CF2437" s="2"/>
    </row>
    <row r="2438" spans="3:84">
      <c r="C2438" s="2"/>
      <c r="AD2438" s="502"/>
      <c r="AE2438" s="911"/>
      <c r="AF2438" s="502"/>
      <c r="AH2438" s="898"/>
      <c r="AI2438" s="502"/>
      <c r="AJ2438" s="502"/>
      <c r="AL2438" s="434"/>
      <c r="AM2438" s="436"/>
      <c r="AN2438" s="434"/>
      <c r="AO2438" s="434"/>
      <c r="AP2438" s="556"/>
      <c r="AQ2438" s="556"/>
      <c r="AR2438" s="556"/>
      <c r="CF2438" s="2"/>
    </row>
    <row r="2439" spans="3:84">
      <c r="C2439" s="2"/>
      <c r="AD2439" s="502"/>
      <c r="AE2439" s="911"/>
      <c r="AF2439" s="502"/>
      <c r="AH2439" s="898"/>
      <c r="AI2439" s="502"/>
      <c r="AJ2439" s="502"/>
      <c r="AL2439" s="434"/>
      <c r="AM2439" s="436"/>
      <c r="AN2439" s="434"/>
      <c r="AO2439" s="434"/>
      <c r="AP2439" s="556"/>
      <c r="AQ2439" s="556"/>
      <c r="AR2439" s="556"/>
      <c r="CF2439" s="2"/>
    </row>
    <row r="2440" spans="3:84">
      <c r="C2440" s="2"/>
      <c r="AD2440" s="502"/>
      <c r="AE2440" s="911"/>
      <c r="AF2440" s="502"/>
      <c r="AH2440" s="898"/>
      <c r="AI2440" s="502"/>
      <c r="AJ2440" s="502"/>
      <c r="AL2440" s="434"/>
      <c r="AM2440" s="436"/>
      <c r="AN2440" s="434"/>
      <c r="AO2440" s="434"/>
      <c r="AP2440" s="556"/>
      <c r="AQ2440" s="556"/>
      <c r="AR2440" s="556"/>
      <c r="CF2440" s="2"/>
    </row>
    <row r="2441" spans="3:84">
      <c r="C2441" s="2"/>
      <c r="AD2441" s="502"/>
      <c r="AE2441" s="911"/>
      <c r="AF2441" s="502"/>
      <c r="AH2441" s="898"/>
      <c r="AI2441" s="502"/>
      <c r="AJ2441" s="502"/>
      <c r="AL2441" s="434"/>
      <c r="AM2441" s="436"/>
      <c r="AN2441" s="434"/>
      <c r="AO2441" s="434"/>
      <c r="AP2441" s="556"/>
      <c r="AQ2441" s="556"/>
      <c r="AR2441" s="556"/>
      <c r="CF2441" s="2"/>
    </row>
    <row r="2442" spans="3:84">
      <c r="C2442" s="2"/>
      <c r="AD2442" s="502"/>
      <c r="AE2442" s="911"/>
      <c r="AF2442" s="502"/>
      <c r="AH2442" s="898"/>
      <c r="AI2442" s="502"/>
      <c r="AJ2442" s="502"/>
      <c r="AL2442" s="434"/>
      <c r="AM2442" s="436"/>
      <c r="AN2442" s="434"/>
      <c r="AO2442" s="434"/>
      <c r="AP2442" s="556"/>
      <c r="AQ2442" s="556"/>
      <c r="AR2442" s="556"/>
      <c r="CF2442" s="2"/>
    </row>
    <row r="2443" spans="3:84">
      <c r="C2443" s="2"/>
      <c r="AD2443" s="502"/>
      <c r="AE2443" s="911"/>
      <c r="AF2443" s="502"/>
      <c r="AH2443" s="898"/>
      <c r="AI2443" s="502"/>
      <c r="AJ2443" s="502"/>
      <c r="AL2443" s="434"/>
      <c r="AM2443" s="436"/>
      <c r="AN2443" s="434"/>
      <c r="AO2443" s="434"/>
      <c r="AP2443" s="556"/>
      <c r="AQ2443" s="556"/>
      <c r="AR2443" s="556"/>
      <c r="CF2443" s="2"/>
    </row>
    <row r="2444" spans="3:84">
      <c r="C2444" s="2"/>
      <c r="AD2444" s="502"/>
      <c r="AE2444" s="911"/>
      <c r="AF2444" s="502"/>
      <c r="AH2444" s="898"/>
      <c r="AI2444" s="502"/>
      <c r="AJ2444" s="502"/>
      <c r="AL2444" s="434"/>
      <c r="AM2444" s="436"/>
      <c r="AN2444" s="434"/>
      <c r="AO2444" s="434"/>
      <c r="AP2444" s="556"/>
      <c r="AQ2444" s="556"/>
      <c r="AR2444" s="556"/>
      <c r="CF2444" s="2"/>
    </row>
    <row r="2445" spans="3:84">
      <c r="C2445" s="2"/>
      <c r="AD2445" s="502"/>
      <c r="AE2445" s="911"/>
      <c r="AF2445" s="502"/>
      <c r="AH2445" s="898"/>
      <c r="AI2445" s="502"/>
      <c r="AJ2445" s="502"/>
      <c r="AL2445" s="434"/>
      <c r="AM2445" s="436"/>
      <c r="AN2445" s="434"/>
      <c r="AO2445" s="434"/>
      <c r="AP2445" s="556"/>
      <c r="AQ2445" s="556"/>
      <c r="AR2445" s="556"/>
      <c r="CF2445" s="2"/>
    </row>
    <row r="2446" spans="3:84">
      <c r="C2446" s="2"/>
      <c r="AD2446" s="502"/>
      <c r="AE2446" s="911"/>
      <c r="AF2446" s="502"/>
      <c r="AH2446" s="898"/>
      <c r="AI2446" s="502"/>
      <c r="AJ2446" s="502"/>
      <c r="AL2446" s="434"/>
      <c r="AM2446" s="436"/>
      <c r="AN2446" s="434"/>
      <c r="AO2446" s="434"/>
      <c r="AP2446" s="556"/>
      <c r="AQ2446" s="556"/>
      <c r="AR2446" s="556"/>
      <c r="CF2446" s="2"/>
    </row>
    <row r="2447" spans="3:84">
      <c r="C2447" s="2"/>
      <c r="AD2447" s="502"/>
      <c r="AE2447" s="911"/>
      <c r="AF2447" s="502"/>
      <c r="AH2447" s="898"/>
      <c r="AI2447" s="502"/>
      <c r="AJ2447" s="502"/>
      <c r="AL2447" s="434"/>
      <c r="AM2447" s="436"/>
      <c r="AN2447" s="434"/>
      <c r="AO2447" s="434"/>
      <c r="AP2447" s="556"/>
      <c r="AQ2447" s="556"/>
      <c r="AR2447" s="556"/>
      <c r="CF2447" s="2"/>
    </row>
    <row r="2448" spans="3:84">
      <c r="C2448" s="2"/>
      <c r="AD2448" s="502"/>
      <c r="AE2448" s="911"/>
      <c r="AF2448" s="502"/>
      <c r="AH2448" s="898"/>
      <c r="AI2448" s="502"/>
      <c r="AJ2448" s="502"/>
      <c r="AL2448" s="434"/>
      <c r="AM2448" s="436"/>
      <c r="AN2448" s="434"/>
      <c r="AO2448" s="434"/>
      <c r="AP2448" s="556"/>
      <c r="AQ2448" s="556"/>
      <c r="AR2448" s="556"/>
      <c r="CF2448" s="2"/>
    </row>
    <row r="2449" spans="3:84">
      <c r="C2449" s="2"/>
      <c r="AD2449" s="502"/>
      <c r="AE2449" s="911"/>
      <c r="AF2449" s="502"/>
      <c r="AH2449" s="898"/>
      <c r="AI2449" s="502"/>
      <c r="AJ2449" s="502"/>
      <c r="AL2449" s="434"/>
      <c r="AM2449" s="436"/>
      <c r="AN2449" s="434"/>
      <c r="AO2449" s="434"/>
      <c r="AP2449" s="556"/>
      <c r="AQ2449" s="556"/>
      <c r="AR2449" s="556"/>
      <c r="CF2449" s="2"/>
    </row>
    <row r="2450" spans="3:84">
      <c r="C2450" s="2"/>
      <c r="AD2450" s="502"/>
      <c r="AE2450" s="911"/>
      <c r="AF2450" s="502"/>
      <c r="AH2450" s="898"/>
      <c r="AI2450" s="502"/>
      <c r="AJ2450" s="502"/>
      <c r="AL2450" s="434"/>
      <c r="AM2450" s="436"/>
      <c r="AN2450" s="434"/>
      <c r="AO2450" s="434"/>
      <c r="AP2450" s="556"/>
      <c r="AQ2450" s="556"/>
      <c r="AR2450" s="556"/>
      <c r="CF2450" s="2"/>
    </row>
    <row r="2451" spans="3:84">
      <c r="C2451" s="2"/>
      <c r="AD2451" s="502"/>
      <c r="AE2451" s="911"/>
      <c r="AF2451" s="502"/>
      <c r="AH2451" s="898"/>
      <c r="AI2451" s="502"/>
      <c r="AJ2451" s="502"/>
      <c r="AL2451" s="434"/>
      <c r="AM2451" s="436"/>
      <c r="AN2451" s="434"/>
      <c r="AO2451" s="434"/>
      <c r="AP2451" s="556"/>
      <c r="AQ2451" s="556"/>
      <c r="AR2451" s="556"/>
      <c r="CF2451" s="2"/>
    </row>
    <row r="2452" spans="3:84">
      <c r="C2452" s="2"/>
      <c r="AD2452" s="502"/>
      <c r="AE2452" s="911"/>
      <c r="AF2452" s="502"/>
      <c r="AH2452" s="898"/>
      <c r="AI2452" s="502"/>
      <c r="AJ2452" s="502"/>
      <c r="AL2452" s="434"/>
      <c r="AM2452" s="436"/>
      <c r="AN2452" s="434"/>
      <c r="AO2452" s="434"/>
      <c r="AP2452" s="556"/>
      <c r="AQ2452" s="556"/>
      <c r="AR2452" s="556"/>
      <c r="CF2452" s="2"/>
    </row>
    <row r="2453" spans="3:84">
      <c r="C2453" s="2"/>
      <c r="AD2453" s="502"/>
      <c r="AE2453" s="911"/>
      <c r="AF2453" s="502"/>
      <c r="AH2453" s="898"/>
      <c r="AI2453" s="502"/>
      <c r="AJ2453" s="502"/>
      <c r="AL2453" s="434"/>
      <c r="AM2453" s="436"/>
      <c r="AN2453" s="434"/>
      <c r="AO2453" s="434"/>
      <c r="AP2453" s="556"/>
      <c r="AQ2453" s="556"/>
      <c r="AR2453" s="556"/>
      <c r="CF2453" s="2"/>
    </row>
    <row r="2454" spans="3:84">
      <c r="C2454" s="2"/>
      <c r="AD2454" s="502"/>
      <c r="AE2454" s="911"/>
      <c r="AF2454" s="502"/>
      <c r="AH2454" s="898"/>
      <c r="AI2454" s="502"/>
      <c r="AJ2454" s="502"/>
      <c r="AL2454" s="434"/>
      <c r="AM2454" s="436"/>
      <c r="AN2454" s="434"/>
      <c r="AO2454" s="434"/>
      <c r="AP2454" s="556"/>
      <c r="AQ2454" s="556"/>
      <c r="AR2454" s="556"/>
      <c r="CF2454" s="2"/>
    </row>
    <row r="2455" spans="3:84">
      <c r="C2455" s="2"/>
      <c r="AD2455" s="502"/>
      <c r="AE2455" s="911"/>
      <c r="AF2455" s="502"/>
      <c r="AH2455" s="898"/>
      <c r="AI2455" s="502"/>
      <c r="AJ2455" s="502"/>
      <c r="AL2455" s="434"/>
      <c r="AM2455" s="436"/>
      <c r="AN2455" s="434"/>
      <c r="AO2455" s="434"/>
      <c r="AP2455" s="556"/>
      <c r="AQ2455" s="556"/>
      <c r="AR2455" s="556"/>
      <c r="CF2455" s="2"/>
    </row>
    <row r="2456" spans="3:84">
      <c r="C2456" s="2"/>
      <c r="AD2456" s="502"/>
      <c r="AE2456" s="911"/>
      <c r="AF2456" s="502"/>
      <c r="AH2456" s="898"/>
      <c r="AI2456" s="502"/>
      <c r="AJ2456" s="502"/>
      <c r="AL2456" s="434"/>
      <c r="AM2456" s="436"/>
      <c r="AN2456" s="434"/>
      <c r="AO2456" s="434"/>
      <c r="AP2456" s="556"/>
      <c r="AQ2456" s="556"/>
      <c r="AR2456" s="556"/>
      <c r="CF2456" s="2"/>
    </row>
    <row r="2457" spans="3:84">
      <c r="C2457" s="2"/>
      <c r="AD2457" s="502"/>
      <c r="AE2457" s="911"/>
      <c r="AF2457" s="502"/>
      <c r="AH2457" s="898"/>
      <c r="AI2457" s="502"/>
      <c r="AJ2457" s="502"/>
      <c r="AL2457" s="434"/>
      <c r="AM2457" s="436"/>
      <c r="AN2457" s="434"/>
      <c r="AO2457" s="434"/>
      <c r="AP2457" s="556"/>
      <c r="AQ2457" s="556"/>
      <c r="AR2457" s="556"/>
      <c r="CF2457" s="2"/>
    </row>
    <row r="2458" spans="3:84">
      <c r="C2458" s="2"/>
      <c r="AD2458" s="502"/>
      <c r="AE2458" s="911"/>
      <c r="AF2458" s="502"/>
      <c r="AH2458" s="898"/>
      <c r="AI2458" s="502"/>
      <c r="AJ2458" s="502"/>
      <c r="AL2458" s="434"/>
      <c r="AM2458" s="436"/>
      <c r="AN2458" s="434"/>
      <c r="AO2458" s="434"/>
      <c r="AP2458" s="556"/>
      <c r="AQ2458" s="556"/>
      <c r="AR2458" s="556"/>
      <c r="CF2458" s="2"/>
    </row>
    <row r="2459" spans="3:84">
      <c r="C2459" s="2"/>
      <c r="AD2459" s="502"/>
      <c r="AE2459" s="911"/>
      <c r="AF2459" s="502"/>
      <c r="AH2459" s="898"/>
      <c r="AI2459" s="502"/>
      <c r="AJ2459" s="502"/>
      <c r="AL2459" s="434"/>
      <c r="AM2459" s="436"/>
      <c r="AN2459" s="434"/>
      <c r="AO2459" s="434"/>
      <c r="AP2459" s="556"/>
      <c r="AQ2459" s="556"/>
      <c r="AR2459" s="556"/>
      <c r="CF2459" s="2"/>
    </row>
    <row r="2460" spans="3:84">
      <c r="C2460" s="2"/>
      <c r="AD2460" s="502"/>
      <c r="AE2460" s="911"/>
      <c r="AF2460" s="502"/>
      <c r="AH2460" s="898"/>
      <c r="AI2460" s="502"/>
      <c r="AJ2460" s="502"/>
      <c r="AL2460" s="434"/>
      <c r="AM2460" s="436"/>
      <c r="AN2460" s="434"/>
      <c r="AO2460" s="434"/>
      <c r="AP2460" s="556"/>
      <c r="AQ2460" s="556"/>
      <c r="AR2460" s="556"/>
      <c r="CF2460" s="2"/>
    </row>
    <row r="2461" spans="3:84">
      <c r="C2461" s="2"/>
      <c r="AD2461" s="502"/>
      <c r="AE2461" s="911"/>
      <c r="AF2461" s="502"/>
      <c r="AH2461" s="898"/>
      <c r="AI2461" s="502"/>
      <c r="AJ2461" s="502"/>
      <c r="AL2461" s="434"/>
      <c r="AM2461" s="436"/>
      <c r="AN2461" s="434"/>
      <c r="AO2461" s="434"/>
      <c r="AP2461" s="556"/>
      <c r="AQ2461" s="556"/>
      <c r="AR2461" s="556"/>
      <c r="CF2461" s="2"/>
    </row>
    <row r="2462" spans="3:84">
      <c r="C2462" s="2"/>
      <c r="AD2462" s="502"/>
      <c r="AE2462" s="911"/>
      <c r="AF2462" s="502"/>
      <c r="AH2462" s="898"/>
      <c r="AI2462" s="502"/>
      <c r="AJ2462" s="502"/>
      <c r="AL2462" s="434"/>
      <c r="AM2462" s="436"/>
      <c r="AN2462" s="434"/>
      <c r="AO2462" s="434"/>
      <c r="AP2462" s="556"/>
      <c r="AQ2462" s="556"/>
      <c r="AR2462" s="556"/>
      <c r="CF2462" s="2"/>
    </row>
    <row r="2463" spans="3:84">
      <c r="C2463" s="2"/>
      <c r="AD2463" s="502"/>
      <c r="AE2463" s="911"/>
      <c r="AF2463" s="502"/>
      <c r="AH2463" s="898"/>
      <c r="AI2463" s="502"/>
      <c r="AJ2463" s="502"/>
      <c r="AL2463" s="434"/>
      <c r="AM2463" s="436"/>
      <c r="AN2463" s="434"/>
      <c r="AO2463" s="434"/>
      <c r="AP2463" s="556"/>
      <c r="AQ2463" s="556"/>
      <c r="AR2463" s="556"/>
      <c r="CF2463" s="2"/>
    </row>
    <row r="2464" spans="3:84">
      <c r="C2464" s="2"/>
      <c r="AD2464" s="502"/>
      <c r="AE2464" s="911"/>
      <c r="AF2464" s="502"/>
      <c r="AH2464" s="898"/>
      <c r="AI2464" s="502"/>
      <c r="AJ2464" s="502"/>
      <c r="AL2464" s="434"/>
      <c r="AM2464" s="436"/>
      <c r="AN2464" s="434"/>
      <c r="AO2464" s="434"/>
      <c r="AP2464" s="556"/>
      <c r="AQ2464" s="556"/>
      <c r="AR2464" s="556"/>
      <c r="CF2464" s="2"/>
    </row>
    <row r="2465" spans="3:84">
      <c r="C2465" s="2"/>
      <c r="AD2465" s="502"/>
      <c r="AE2465" s="911"/>
      <c r="AF2465" s="502"/>
      <c r="AH2465" s="898"/>
      <c r="AI2465" s="502"/>
      <c r="AJ2465" s="502"/>
      <c r="AL2465" s="434"/>
      <c r="AM2465" s="436"/>
      <c r="AN2465" s="434"/>
      <c r="AO2465" s="434"/>
      <c r="AP2465" s="556"/>
      <c r="AQ2465" s="556"/>
      <c r="AR2465" s="556"/>
      <c r="CF2465" s="2"/>
    </row>
    <row r="2466" spans="3:84">
      <c r="C2466" s="2"/>
      <c r="AD2466" s="502"/>
      <c r="AE2466" s="911"/>
      <c r="AF2466" s="502"/>
      <c r="AH2466" s="898"/>
      <c r="AI2466" s="502"/>
      <c r="AJ2466" s="502"/>
      <c r="AL2466" s="434"/>
      <c r="AM2466" s="436"/>
      <c r="AN2466" s="434"/>
      <c r="AO2466" s="434"/>
      <c r="AP2466" s="556"/>
      <c r="AQ2466" s="556"/>
      <c r="AR2466" s="556"/>
      <c r="CF2466" s="2"/>
    </row>
    <row r="2467" spans="3:84">
      <c r="C2467" s="2"/>
      <c r="AD2467" s="502"/>
      <c r="AE2467" s="911"/>
      <c r="AF2467" s="502"/>
      <c r="AH2467" s="898"/>
      <c r="AI2467" s="502"/>
      <c r="AJ2467" s="502"/>
      <c r="AL2467" s="434"/>
      <c r="AM2467" s="436"/>
      <c r="AN2467" s="434"/>
      <c r="AO2467" s="434"/>
      <c r="AP2467" s="556"/>
      <c r="AQ2467" s="556"/>
      <c r="AR2467" s="556"/>
      <c r="CF2467" s="2"/>
    </row>
    <row r="2468" spans="3:84">
      <c r="C2468" s="2"/>
      <c r="AD2468" s="502"/>
      <c r="AE2468" s="911"/>
      <c r="AF2468" s="502"/>
      <c r="AH2468" s="898"/>
      <c r="AI2468" s="502"/>
      <c r="AJ2468" s="502"/>
      <c r="AL2468" s="434"/>
      <c r="AM2468" s="436"/>
      <c r="AN2468" s="434"/>
      <c r="AO2468" s="434"/>
      <c r="AP2468" s="556"/>
      <c r="AQ2468" s="556"/>
      <c r="AR2468" s="556"/>
      <c r="CF2468" s="2"/>
    </row>
    <row r="2469" spans="3:84">
      <c r="C2469" s="2"/>
      <c r="AD2469" s="502"/>
      <c r="AE2469" s="911"/>
      <c r="AF2469" s="502"/>
      <c r="AH2469" s="898"/>
      <c r="AI2469" s="502"/>
      <c r="AJ2469" s="502"/>
      <c r="AL2469" s="434"/>
      <c r="AM2469" s="436"/>
      <c r="AN2469" s="434"/>
      <c r="AO2469" s="434"/>
      <c r="AP2469" s="556"/>
      <c r="AQ2469" s="556"/>
      <c r="AR2469" s="556"/>
      <c r="CF2469" s="2"/>
    </row>
    <row r="2470" spans="3:84">
      <c r="C2470" s="2"/>
      <c r="AD2470" s="502"/>
      <c r="AE2470" s="911"/>
      <c r="AF2470" s="502"/>
      <c r="AH2470" s="898"/>
      <c r="AI2470" s="502"/>
      <c r="AJ2470" s="502"/>
      <c r="AL2470" s="434"/>
      <c r="AM2470" s="436"/>
      <c r="AN2470" s="434"/>
      <c r="AO2470" s="434"/>
      <c r="AP2470" s="556"/>
      <c r="AQ2470" s="556"/>
      <c r="AR2470" s="556"/>
      <c r="CF2470" s="2"/>
    </row>
    <row r="2471" spans="3:84">
      <c r="C2471" s="2"/>
      <c r="AD2471" s="502"/>
      <c r="AE2471" s="911"/>
      <c r="AF2471" s="502"/>
      <c r="AH2471" s="898"/>
      <c r="AI2471" s="502"/>
      <c r="AJ2471" s="502"/>
      <c r="AL2471" s="434"/>
      <c r="AM2471" s="436"/>
      <c r="AN2471" s="434"/>
      <c r="AO2471" s="434"/>
      <c r="AP2471" s="556"/>
      <c r="AQ2471" s="556"/>
      <c r="AR2471" s="556"/>
      <c r="CF2471" s="2"/>
    </row>
    <row r="2472" spans="3:84">
      <c r="C2472" s="2"/>
      <c r="AD2472" s="502"/>
      <c r="AE2472" s="911"/>
      <c r="AF2472" s="502"/>
      <c r="AH2472" s="898"/>
      <c r="AI2472" s="502"/>
      <c r="AJ2472" s="502"/>
      <c r="AL2472" s="434"/>
      <c r="AM2472" s="436"/>
      <c r="AN2472" s="434"/>
      <c r="AO2472" s="434"/>
      <c r="AP2472" s="556"/>
      <c r="AQ2472" s="556"/>
      <c r="AR2472" s="556"/>
      <c r="CF2472" s="2"/>
    </row>
    <row r="2473" spans="3:84">
      <c r="C2473" s="2"/>
      <c r="AD2473" s="502"/>
      <c r="AE2473" s="911"/>
      <c r="AF2473" s="502"/>
      <c r="AH2473" s="898"/>
      <c r="AI2473" s="502"/>
      <c r="AJ2473" s="502"/>
      <c r="AL2473" s="434"/>
      <c r="AM2473" s="436"/>
      <c r="AN2473" s="434"/>
      <c r="AO2473" s="434"/>
      <c r="AP2473" s="556"/>
      <c r="AQ2473" s="556"/>
      <c r="AR2473" s="556"/>
      <c r="CF2473" s="2"/>
    </row>
    <row r="2474" spans="3:84">
      <c r="C2474" s="2"/>
      <c r="AD2474" s="502"/>
      <c r="AE2474" s="911"/>
      <c r="AF2474" s="502"/>
      <c r="AH2474" s="898"/>
      <c r="AI2474" s="502"/>
      <c r="AJ2474" s="502"/>
      <c r="AL2474" s="434"/>
      <c r="AM2474" s="436"/>
      <c r="AN2474" s="434"/>
      <c r="AO2474" s="434"/>
      <c r="AP2474" s="556"/>
      <c r="AQ2474" s="556"/>
      <c r="AR2474" s="556"/>
      <c r="CF2474" s="2"/>
    </row>
    <row r="2475" spans="3:84">
      <c r="C2475" s="2"/>
      <c r="AD2475" s="502"/>
      <c r="AE2475" s="911"/>
      <c r="AF2475" s="502"/>
      <c r="AH2475" s="898"/>
      <c r="AI2475" s="502"/>
      <c r="AJ2475" s="502"/>
      <c r="AL2475" s="434"/>
      <c r="AM2475" s="436"/>
      <c r="AN2475" s="434"/>
      <c r="AO2475" s="434"/>
      <c r="AP2475" s="556"/>
      <c r="AQ2475" s="556"/>
      <c r="AR2475" s="556"/>
      <c r="CF2475" s="2"/>
    </row>
    <row r="2476" spans="3:84">
      <c r="C2476" s="2"/>
      <c r="AD2476" s="502"/>
      <c r="AE2476" s="911"/>
      <c r="AF2476" s="502"/>
      <c r="AH2476" s="898"/>
      <c r="AI2476" s="502"/>
      <c r="AJ2476" s="502"/>
      <c r="AL2476" s="434"/>
      <c r="AM2476" s="436"/>
      <c r="AN2476" s="434"/>
      <c r="AO2476" s="434"/>
      <c r="AP2476" s="556"/>
      <c r="AQ2476" s="556"/>
      <c r="AR2476" s="556"/>
      <c r="CF2476" s="2"/>
    </row>
    <row r="2477" spans="3:84">
      <c r="C2477" s="2"/>
      <c r="AD2477" s="502"/>
      <c r="AE2477" s="911"/>
      <c r="AF2477" s="502"/>
      <c r="AH2477" s="898"/>
      <c r="AI2477" s="502"/>
      <c r="AJ2477" s="502"/>
      <c r="AL2477" s="434"/>
      <c r="AM2477" s="436"/>
      <c r="AN2477" s="434"/>
      <c r="AO2477" s="434"/>
      <c r="AP2477" s="556"/>
      <c r="AQ2477" s="556"/>
      <c r="AR2477" s="556"/>
      <c r="CF2477" s="2"/>
    </row>
    <row r="2478" spans="3:84">
      <c r="C2478" s="2"/>
      <c r="AD2478" s="502"/>
      <c r="AE2478" s="911"/>
      <c r="AF2478" s="502"/>
      <c r="AH2478" s="898"/>
      <c r="AI2478" s="502"/>
      <c r="AJ2478" s="502"/>
      <c r="AL2478" s="434"/>
      <c r="AM2478" s="436"/>
      <c r="AN2478" s="434"/>
      <c r="AO2478" s="434"/>
      <c r="AP2478" s="556"/>
      <c r="AQ2478" s="556"/>
      <c r="AR2478" s="556"/>
      <c r="CF2478" s="2"/>
    </row>
    <row r="2479" spans="3:84">
      <c r="C2479" s="2"/>
      <c r="AD2479" s="502"/>
      <c r="AE2479" s="911"/>
      <c r="AF2479" s="502"/>
      <c r="AH2479" s="898"/>
      <c r="AI2479" s="502"/>
      <c r="AJ2479" s="502"/>
      <c r="AL2479" s="434"/>
      <c r="AM2479" s="436"/>
      <c r="AN2479" s="434"/>
      <c r="AO2479" s="434"/>
      <c r="AP2479" s="556"/>
      <c r="AQ2479" s="556"/>
      <c r="AR2479" s="556"/>
      <c r="CF2479" s="2"/>
    </row>
    <row r="2480" spans="3:84">
      <c r="C2480" s="2"/>
      <c r="AD2480" s="502"/>
      <c r="AE2480" s="911"/>
      <c r="AF2480" s="502"/>
      <c r="AH2480" s="898"/>
      <c r="AI2480" s="502"/>
      <c r="AJ2480" s="502"/>
      <c r="AL2480" s="434"/>
      <c r="AM2480" s="436"/>
      <c r="AN2480" s="434"/>
      <c r="AO2480" s="434"/>
      <c r="AP2480" s="556"/>
      <c r="AQ2480" s="556"/>
      <c r="AR2480" s="556"/>
      <c r="CF2480" s="2"/>
    </row>
    <row r="2481" spans="3:84">
      <c r="C2481" s="2"/>
      <c r="AD2481" s="502"/>
      <c r="AE2481" s="911"/>
      <c r="AF2481" s="502"/>
      <c r="AH2481" s="898"/>
      <c r="AI2481" s="502"/>
      <c r="AJ2481" s="502"/>
      <c r="AL2481" s="434"/>
      <c r="AM2481" s="436"/>
      <c r="AN2481" s="434"/>
      <c r="AO2481" s="434"/>
      <c r="AP2481" s="556"/>
      <c r="AQ2481" s="556"/>
      <c r="AR2481" s="556"/>
      <c r="CF2481" s="2"/>
    </row>
    <row r="2482" spans="3:84">
      <c r="C2482" s="2"/>
      <c r="AD2482" s="502"/>
      <c r="AE2482" s="911"/>
      <c r="AF2482" s="502"/>
      <c r="AH2482" s="898"/>
      <c r="AI2482" s="502"/>
      <c r="AJ2482" s="502"/>
      <c r="AL2482" s="434"/>
      <c r="AM2482" s="436"/>
      <c r="AN2482" s="434"/>
      <c r="AO2482" s="434"/>
      <c r="AP2482" s="556"/>
      <c r="AQ2482" s="556"/>
      <c r="AR2482" s="556"/>
      <c r="CF2482" s="2"/>
    </row>
    <row r="2483" spans="3:84">
      <c r="C2483" s="2"/>
      <c r="AD2483" s="502"/>
      <c r="AE2483" s="911"/>
      <c r="AF2483" s="502"/>
      <c r="AH2483" s="898"/>
      <c r="AI2483" s="502"/>
      <c r="AJ2483" s="502"/>
      <c r="AL2483" s="434"/>
      <c r="AM2483" s="436"/>
      <c r="AN2483" s="434"/>
      <c r="AO2483" s="434"/>
      <c r="AP2483" s="556"/>
      <c r="AQ2483" s="556"/>
      <c r="AR2483" s="556"/>
      <c r="CF2483" s="2"/>
    </row>
    <row r="2484" spans="3:84">
      <c r="C2484" s="2"/>
      <c r="AD2484" s="502"/>
      <c r="AE2484" s="911"/>
      <c r="AF2484" s="502"/>
      <c r="AH2484" s="898"/>
      <c r="AI2484" s="502"/>
      <c r="AJ2484" s="502"/>
      <c r="AL2484" s="434"/>
      <c r="AM2484" s="436"/>
      <c r="AN2484" s="434"/>
      <c r="AO2484" s="434"/>
      <c r="AP2484" s="556"/>
      <c r="AQ2484" s="556"/>
      <c r="AR2484" s="556"/>
      <c r="CF2484" s="2"/>
    </row>
    <row r="2485" spans="3:84">
      <c r="C2485" s="2"/>
      <c r="AD2485" s="502"/>
      <c r="AE2485" s="911"/>
      <c r="AF2485" s="502"/>
      <c r="AH2485" s="898"/>
      <c r="AI2485" s="502"/>
      <c r="AJ2485" s="502"/>
      <c r="AL2485" s="434"/>
      <c r="AM2485" s="436"/>
      <c r="AN2485" s="434"/>
      <c r="AO2485" s="434"/>
      <c r="AP2485" s="556"/>
      <c r="AQ2485" s="556"/>
      <c r="AR2485" s="556"/>
      <c r="CF2485" s="2"/>
    </row>
    <row r="2486" spans="3:84">
      <c r="C2486" s="2"/>
      <c r="AD2486" s="502"/>
      <c r="AE2486" s="911"/>
      <c r="AF2486" s="502"/>
      <c r="AH2486" s="898"/>
      <c r="AI2486" s="502"/>
      <c r="AJ2486" s="502"/>
      <c r="AL2486" s="434"/>
      <c r="AM2486" s="436"/>
      <c r="AN2486" s="434"/>
      <c r="AO2486" s="434"/>
      <c r="AP2486" s="556"/>
      <c r="AQ2486" s="556"/>
      <c r="AR2486" s="556"/>
      <c r="CF2486" s="2"/>
    </row>
    <row r="2487" spans="3:84">
      <c r="C2487" s="2"/>
      <c r="AD2487" s="502"/>
      <c r="AE2487" s="911"/>
      <c r="AF2487" s="502"/>
      <c r="AH2487" s="898"/>
      <c r="AI2487" s="502"/>
      <c r="AJ2487" s="502"/>
      <c r="AL2487" s="434"/>
      <c r="AM2487" s="436"/>
      <c r="AN2487" s="434"/>
      <c r="AO2487" s="434"/>
      <c r="AP2487" s="556"/>
      <c r="AQ2487" s="556"/>
      <c r="AR2487" s="556"/>
      <c r="CF2487" s="2"/>
    </row>
    <row r="2488" spans="3:84">
      <c r="C2488" s="2"/>
      <c r="AD2488" s="502"/>
      <c r="AE2488" s="911"/>
      <c r="AF2488" s="502"/>
      <c r="AH2488" s="898"/>
      <c r="AI2488" s="502"/>
      <c r="AJ2488" s="502"/>
      <c r="AL2488" s="434"/>
      <c r="AM2488" s="436"/>
      <c r="AN2488" s="434"/>
      <c r="AO2488" s="434"/>
      <c r="AP2488" s="556"/>
      <c r="AQ2488" s="556"/>
      <c r="AR2488" s="556"/>
      <c r="CF2488" s="2"/>
    </row>
    <row r="2489" spans="3:84">
      <c r="C2489" s="2"/>
      <c r="AD2489" s="502"/>
      <c r="AE2489" s="911"/>
      <c r="AF2489" s="502"/>
      <c r="AH2489" s="898"/>
      <c r="AI2489" s="502"/>
      <c r="AJ2489" s="502"/>
      <c r="AL2489" s="434"/>
      <c r="AM2489" s="436"/>
      <c r="AN2489" s="434"/>
      <c r="AO2489" s="434"/>
      <c r="AP2489" s="556"/>
      <c r="AQ2489" s="556"/>
      <c r="AR2489" s="556"/>
      <c r="CF2489" s="2"/>
    </row>
    <row r="2490" spans="3:84">
      <c r="C2490" s="2"/>
      <c r="AD2490" s="502"/>
      <c r="AE2490" s="911"/>
      <c r="AF2490" s="502"/>
      <c r="AH2490" s="898"/>
      <c r="AI2490" s="502"/>
      <c r="AJ2490" s="502"/>
      <c r="AL2490" s="434"/>
      <c r="AM2490" s="436"/>
      <c r="AN2490" s="434"/>
      <c r="AO2490" s="434"/>
      <c r="AP2490" s="556"/>
      <c r="AQ2490" s="556"/>
      <c r="AR2490" s="556"/>
      <c r="CF2490" s="2"/>
    </row>
    <row r="2491" spans="3:84">
      <c r="C2491" s="2"/>
      <c r="AD2491" s="502"/>
      <c r="AE2491" s="911"/>
      <c r="AF2491" s="502"/>
      <c r="AH2491" s="898"/>
      <c r="AI2491" s="502"/>
      <c r="AJ2491" s="502"/>
      <c r="AL2491" s="434"/>
      <c r="AM2491" s="436"/>
      <c r="AN2491" s="434"/>
      <c r="AO2491" s="434"/>
      <c r="AP2491" s="556"/>
      <c r="AQ2491" s="556"/>
      <c r="AR2491" s="556"/>
      <c r="CF2491" s="2"/>
    </row>
    <row r="2492" spans="3:84">
      <c r="C2492" s="2"/>
      <c r="AD2492" s="502"/>
      <c r="AE2492" s="911"/>
      <c r="AF2492" s="502"/>
      <c r="AH2492" s="898"/>
      <c r="AI2492" s="502"/>
      <c r="AJ2492" s="502"/>
      <c r="AL2492" s="434"/>
      <c r="AM2492" s="436"/>
      <c r="AN2492" s="434"/>
      <c r="AO2492" s="434"/>
      <c r="AP2492" s="556"/>
      <c r="AQ2492" s="556"/>
      <c r="AR2492" s="556"/>
      <c r="CF2492" s="2"/>
    </row>
    <row r="2493" spans="3:84">
      <c r="C2493" s="2"/>
      <c r="AD2493" s="502"/>
      <c r="AE2493" s="911"/>
      <c r="AF2493" s="502"/>
      <c r="AH2493" s="898"/>
      <c r="AI2493" s="502"/>
      <c r="AJ2493" s="502"/>
      <c r="AL2493" s="434"/>
      <c r="AM2493" s="436"/>
      <c r="AN2493" s="434"/>
      <c r="AO2493" s="434"/>
      <c r="AP2493" s="556"/>
      <c r="AQ2493" s="556"/>
      <c r="AR2493" s="556"/>
      <c r="CF2493" s="2"/>
    </row>
    <row r="2494" spans="3:84">
      <c r="C2494" s="2"/>
      <c r="AD2494" s="502"/>
      <c r="AE2494" s="911"/>
      <c r="AF2494" s="502"/>
      <c r="AH2494" s="898"/>
      <c r="AI2494" s="502"/>
      <c r="AJ2494" s="502"/>
      <c r="AL2494" s="434"/>
      <c r="AM2494" s="436"/>
      <c r="AN2494" s="434"/>
      <c r="AO2494" s="434"/>
      <c r="AP2494" s="556"/>
      <c r="AQ2494" s="556"/>
      <c r="AR2494" s="556"/>
      <c r="CF2494" s="2"/>
    </row>
    <row r="2495" spans="3:84">
      <c r="C2495" s="2"/>
      <c r="AD2495" s="502"/>
      <c r="AE2495" s="911"/>
      <c r="AF2495" s="502"/>
      <c r="AH2495" s="898"/>
      <c r="AI2495" s="502"/>
      <c r="AJ2495" s="502"/>
      <c r="AL2495" s="434"/>
      <c r="AM2495" s="436"/>
      <c r="AN2495" s="434"/>
      <c r="AO2495" s="434"/>
      <c r="AP2495" s="556"/>
      <c r="AQ2495" s="556"/>
      <c r="AR2495" s="556"/>
      <c r="CF2495" s="2"/>
    </row>
    <row r="2496" spans="3:84">
      <c r="C2496" s="2"/>
      <c r="AD2496" s="502"/>
      <c r="AE2496" s="911"/>
      <c r="AF2496" s="502"/>
      <c r="AH2496" s="898"/>
      <c r="AI2496" s="502"/>
      <c r="AJ2496" s="502"/>
      <c r="AL2496" s="434"/>
      <c r="AM2496" s="436"/>
      <c r="AN2496" s="434"/>
      <c r="AO2496" s="434"/>
      <c r="AP2496" s="556"/>
      <c r="AQ2496" s="556"/>
      <c r="AR2496" s="556"/>
      <c r="CF2496" s="2"/>
    </row>
    <row r="2497" spans="3:84">
      <c r="C2497" s="2"/>
      <c r="AD2497" s="502"/>
      <c r="AE2497" s="911"/>
      <c r="AF2497" s="502"/>
      <c r="AH2497" s="898"/>
      <c r="AI2497" s="502"/>
      <c r="AJ2497" s="502"/>
      <c r="AL2497" s="434"/>
      <c r="AM2497" s="436"/>
      <c r="AN2497" s="434"/>
      <c r="AO2497" s="434"/>
      <c r="AP2497" s="556"/>
      <c r="AQ2497" s="556"/>
      <c r="AR2497" s="556"/>
      <c r="CF2497" s="2"/>
    </row>
    <row r="2498" spans="3:84">
      <c r="C2498" s="2"/>
      <c r="AD2498" s="502"/>
      <c r="AE2498" s="911"/>
      <c r="AF2498" s="502"/>
      <c r="AH2498" s="898"/>
      <c r="AI2498" s="502"/>
      <c r="AJ2498" s="502"/>
      <c r="AL2498" s="434"/>
      <c r="AM2498" s="436"/>
      <c r="AN2498" s="434"/>
      <c r="AO2498" s="434"/>
      <c r="AP2498" s="556"/>
      <c r="AQ2498" s="556"/>
      <c r="AR2498" s="556"/>
      <c r="CF2498" s="2"/>
    </row>
    <row r="2499" spans="3:84">
      <c r="C2499" s="2"/>
      <c r="AD2499" s="502"/>
      <c r="AE2499" s="911"/>
      <c r="AF2499" s="502"/>
      <c r="AH2499" s="898"/>
      <c r="AI2499" s="502"/>
      <c r="AJ2499" s="502"/>
      <c r="AL2499" s="434"/>
      <c r="AM2499" s="436"/>
      <c r="AN2499" s="434"/>
      <c r="AO2499" s="434"/>
      <c r="AP2499" s="556"/>
      <c r="AQ2499" s="556"/>
      <c r="AR2499" s="556"/>
      <c r="CF2499" s="2"/>
    </row>
    <row r="2500" spans="3:84">
      <c r="C2500" s="2"/>
      <c r="AD2500" s="502"/>
      <c r="AE2500" s="911"/>
      <c r="AF2500" s="502"/>
      <c r="AH2500" s="898"/>
      <c r="AI2500" s="502"/>
      <c r="AJ2500" s="502"/>
      <c r="AL2500" s="434"/>
      <c r="AM2500" s="436"/>
      <c r="AN2500" s="434"/>
      <c r="AO2500" s="434"/>
      <c r="AP2500" s="556"/>
      <c r="AQ2500" s="556"/>
      <c r="AR2500" s="556"/>
      <c r="CF2500" s="2"/>
    </row>
    <row r="2501" spans="3:84">
      <c r="C2501" s="2"/>
      <c r="AD2501" s="502"/>
      <c r="AE2501" s="911"/>
      <c r="AF2501" s="502"/>
      <c r="AH2501" s="898"/>
      <c r="AI2501" s="502"/>
      <c r="AJ2501" s="502"/>
      <c r="AL2501" s="434"/>
      <c r="AM2501" s="436"/>
      <c r="AN2501" s="434"/>
      <c r="AO2501" s="434"/>
      <c r="AP2501" s="556"/>
      <c r="AQ2501" s="556"/>
      <c r="AR2501" s="556"/>
      <c r="CF2501" s="2"/>
    </row>
    <row r="2502" spans="3:84">
      <c r="C2502" s="2"/>
      <c r="AD2502" s="502"/>
      <c r="AE2502" s="911"/>
      <c r="AF2502" s="502"/>
      <c r="AH2502" s="898"/>
      <c r="AI2502" s="502"/>
      <c r="AJ2502" s="502"/>
      <c r="AL2502" s="434"/>
      <c r="AM2502" s="436"/>
      <c r="AN2502" s="434"/>
      <c r="AO2502" s="434"/>
      <c r="AP2502" s="556"/>
      <c r="AQ2502" s="556"/>
      <c r="AR2502" s="556"/>
      <c r="CF2502" s="2"/>
    </row>
    <row r="2503" spans="3:84">
      <c r="C2503" s="2"/>
      <c r="AD2503" s="502"/>
      <c r="AE2503" s="911"/>
      <c r="AF2503" s="502"/>
      <c r="AH2503" s="898"/>
      <c r="AI2503" s="502"/>
      <c r="AJ2503" s="502"/>
      <c r="AL2503" s="434"/>
      <c r="AM2503" s="436"/>
      <c r="AN2503" s="434"/>
      <c r="AO2503" s="434"/>
      <c r="AP2503" s="556"/>
      <c r="AQ2503" s="556"/>
      <c r="AR2503" s="556"/>
      <c r="CF2503" s="2"/>
    </row>
    <row r="2504" spans="3:84">
      <c r="C2504" s="2"/>
      <c r="AD2504" s="502"/>
      <c r="AE2504" s="911"/>
      <c r="AF2504" s="502"/>
      <c r="AH2504" s="898"/>
      <c r="AI2504" s="502"/>
      <c r="AJ2504" s="502"/>
      <c r="AL2504" s="434"/>
      <c r="AM2504" s="436"/>
      <c r="AN2504" s="434"/>
      <c r="AO2504" s="434"/>
      <c r="AP2504" s="556"/>
      <c r="AQ2504" s="556"/>
      <c r="AR2504" s="556"/>
      <c r="CF2504" s="2"/>
    </row>
    <row r="2505" spans="3:84">
      <c r="C2505" s="2"/>
      <c r="AD2505" s="502"/>
      <c r="AE2505" s="911"/>
      <c r="AF2505" s="502"/>
      <c r="AH2505" s="898"/>
      <c r="AI2505" s="502"/>
      <c r="AJ2505" s="502"/>
      <c r="AL2505" s="434"/>
      <c r="AM2505" s="436"/>
      <c r="AN2505" s="434"/>
      <c r="AO2505" s="434"/>
      <c r="AP2505" s="556"/>
      <c r="AQ2505" s="556"/>
      <c r="AR2505" s="556"/>
      <c r="CF2505" s="2"/>
    </row>
    <row r="2506" spans="3:84">
      <c r="C2506" s="2"/>
      <c r="AD2506" s="502"/>
      <c r="AE2506" s="911"/>
      <c r="AF2506" s="502"/>
      <c r="AH2506" s="898"/>
      <c r="AI2506" s="502"/>
      <c r="AJ2506" s="502"/>
      <c r="AL2506" s="434"/>
      <c r="AM2506" s="436"/>
      <c r="AN2506" s="434"/>
      <c r="AO2506" s="434"/>
      <c r="AP2506" s="556"/>
      <c r="AQ2506" s="556"/>
      <c r="AR2506" s="556"/>
      <c r="CF2506" s="2"/>
    </row>
    <row r="2507" spans="3:84">
      <c r="C2507" s="2"/>
      <c r="AD2507" s="502"/>
      <c r="AE2507" s="911"/>
      <c r="AF2507" s="502"/>
      <c r="AH2507" s="898"/>
      <c r="AI2507" s="502"/>
      <c r="AJ2507" s="502"/>
      <c r="AL2507" s="434"/>
      <c r="AM2507" s="436"/>
      <c r="AN2507" s="434"/>
      <c r="AO2507" s="434"/>
      <c r="AP2507" s="556"/>
      <c r="AQ2507" s="556"/>
      <c r="AR2507" s="556"/>
      <c r="CF2507" s="2"/>
    </row>
    <row r="2508" spans="3:84">
      <c r="C2508" s="2"/>
      <c r="AD2508" s="502"/>
      <c r="AE2508" s="911"/>
      <c r="AF2508" s="502"/>
      <c r="AH2508" s="898"/>
      <c r="AI2508" s="502"/>
      <c r="AJ2508" s="502"/>
      <c r="AL2508" s="434"/>
      <c r="AM2508" s="436"/>
      <c r="AN2508" s="434"/>
      <c r="AO2508" s="434"/>
      <c r="AP2508" s="556"/>
      <c r="AQ2508" s="556"/>
      <c r="AR2508" s="556"/>
      <c r="CF2508" s="2"/>
    </row>
    <row r="2509" spans="3:84">
      <c r="C2509" s="2"/>
      <c r="AD2509" s="502"/>
      <c r="AE2509" s="911"/>
      <c r="AF2509" s="502"/>
      <c r="AH2509" s="898"/>
      <c r="AI2509" s="502"/>
      <c r="AJ2509" s="502"/>
      <c r="AL2509" s="434"/>
      <c r="AM2509" s="436"/>
      <c r="AN2509" s="434"/>
      <c r="AO2509" s="434"/>
      <c r="AP2509" s="556"/>
      <c r="AQ2509" s="556"/>
      <c r="AR2509" s="556"/>
      <c r="CF2509" s="2"/>
    </row>
    <row r="2510" spans="3:84">
      <c r="C2510" s="2"/>
      <c r="AD2510" s="502"/>
      <c r="AE2510" s="911"/>
      <c r="AF2510" s="502"/>
      <c r="AH2510" s="898"/>
      <c r="AI2510" s="502"/>
      <c r="AJ2510" s="502"/>
      <c r="AL2510" s="434"/>
      <c r="AM2510" s="436"/>
      <c r="AN2510" s="434"/>
      <c r="AO2510" s="434"/>
      <c r="AP2510" s="556"/>
      <c r="AQ2510" s="556"/>
      <c r="AR2510" s="556"/>
      <c r="CF2510" s="2"/>
    </row>
    <row r="2511" spans="3:84">
      <c r="C2511" s="2"/>
      <c r="AD2511" s="502"/>
      <c r="AE2511" s="911"/>
      <c r="AF2511" s="502"/>
      <c r="AH2511" s="898"/>
      <c r="AI2511" s="502"/>
      <c r="AJ2511" s="502"/>
      <c r="AL2511" s="434"/>
      <c r="AM2511" s="436"/>
      <c r="AN2511" s="434"/>
      <c r="AO2511" s="434"/>
      <c r="AP2511" s="556"/>
      <c r="AQ2511" s="556"/>
      <c r="AR2511" s="556"/>
      <c r="CF2511" s="2"/>
    </row>
    <row r="2512" spans="3:84">
      <c r="C2512" s="2"/>
      <c r="AD2512" s="502"/>
      <c r="AE2512" s="911"/>
      <c r="AF2512" s="502"/>
      <c r="AH2512" s="898"/>
      <c r="AI2512" s="502"/>
      <c r="AJ2512" s="502"/>
      <c r="AL2512" s="434"/>
      <c r="AM2512" s="436"/>
      <c r="AN2512" s="434"/>
      <c r="AO2512" s="434"/>
      <c r="AP2512" s="556"/>
      <c r="AQ2512" s="556"/>
      <c r="AR2512" s="556"/>
      <c r="CF2512" s="2"/>
    </row>
    <row r="2513" spans="3:84">
      <c r="C2513" s="2"/>
      <c r="AD2513" s="502"/>
      <c r="AE2513" s="911"/>
      <c r="AF2513" s="502"/>
      <c r="AH2513" s="898"/>
      <c r="AI2513" s="502"/>
      <c r="AJ2513" s="502"/>
      <c r="AL2513" s="434"/>
      <c r="AM2513" s="436"/>
      <c r="AN2513" s="434"/>
      <c r="AO2513" s="434"/>
      <c r="AP2513" s="556"/>
      <c r="AQ2513" s="556"/>
      <c r="AR2513" s="556"/>
      <c r="CF2513" s="2"/>
    </row>
    <row r="2514" spans="3:84">
      <c r="C2514" s="2"/>
      <c r="AD2514" s="502"/>
      <c r="AE2514" s="911"/>
      <c r="AF2514" s="502"/>
      <c r="AH2514" s="898"/>
      <c r="AI2514" s="502"/>
      <c r="AJ2514" s="502"/>
      <c r="AL2514" s="434"/>
      <c r="AM2514" s="436"/>
      <c r="AN2514" s="434"/>
      <c r="AO2514" s="434"/>
      <c r="AP2514" s="556"/>
      <c r="AQ2514" s="556"/>
      <c r="AR2514" s="556"/>
      <c r="CF2514" s="2"/>
    </row>
    <row r="2515" spans="3:84">
      <c r="C2515" s="2"/>
      <c r="AD2515" s="502"/>
      <c r="AE2515" s="911"/>
      <c r="AF2515" s="502"/>
      <c r="AH2515" s="898"/>
      <c r="AI2515" s="502"/>
      <c r="AJ2515" s="502"/>
      <c r="AL2515" s="434"/>
      <c r="AM2515" s="436"/>
      <c r="AN2515" s="434"/>
      <c r="AO2515" s="434"/>
      <c r="AP2515" s="556"/>
      <c r="AQ2515" s="556"/>
      <c r="AR2515" s="556"/>
      <c r="CF2515" s="2"/>
    </row>
    <row r="2516" spans="3:84">
      <c r="C2516" s="2"/>
      <c r="AD2516" s="502"/>
      <c r="AE2516" s="911"/>
      <c r="AF2516" s="502"/>
      <c r="AH2516" s="898"/>
      <c r="AI2516" s="502"/>
      <c r="AJ2516" s="502"/>
      <c r="AL2516" s="434"/>
      <c r="AM2516" s="436"/>
      <c r="AN2516" s="434"/>
      <c r="AO2516" s="434"/>
      <c r="AP2516" s="556"/>
      <c r="AQ2516" s="556"/>
      <c r="AR2516" s="556"/>
      <c r="CF2516" s="2"/>
    </row>
    <row r="2517" spans="3:84">
      <c r="C2517" s="2"/>
      <c r="AD2517" s="502"/>
      <c r="AE2517" s="911"/>
      <c r="AF2517" s="502"/>
      <c r="AH2517" s="898"/>
      <c r="AI2517" s="502"/>
      <c r="AJ2517" s="502"/>
      <c r="AL2517" s="434"/>
      <c r="AM2517" s="436"/>
      <c r="AN2517" s="434"/>
      <c r="AO2517" s="434"/>
      <c r="AP2517" s="556"/>
      <c r="AQ2517" s="556"/>
      <c r="AR2517" s="556"/>
      <c r="CF2517" s="2"/>
    </row>
    <row r="2518" spans="3:84">
      <c r="C2518" s="2"/>
      <c r="AD2518" s="502"/>
      <c r="AE2518" s="911"/>
      <c r="AF2518" s="502"/>
      <c r="AH2518" s="898"/>
      <c r="AI2518" s="502"/>
      <c r="AJ2518" s="502"/>
      <c r="AL2518" s="434"/>
      <c r="AM2518" s="436"/>
      <c r="AN2518" s="434"/>
      <c r="AO2518" s="434"/>
      <c r="AP2518" s="556"/>
      <c r="AQ2518" s="556"/>
      <c r="AR2518" s="556"/>
      <c r="CF2518" s="2"/>
    </row>
    <row r="2519" spans="3:84">
      <c r="C2519" s="2"/>
      <c r="AD2519" s="502"/>
      <c r="AE2519" s="911"/>
      <c r="AF2519" s="502"/>
      <c r="AH2519" s="898"/>
      <c r="AI2519" s="502"/>
      <c r="AJ2519" s="502"/>
      <c r="AL2519" s="434"/>
      <c r="AM2519" s="436"/>
      <c r="AN2519" s="434"/>
      <c r="AO2519" s="434"/>
      <c r="AP2519" s="556"/>
      <c r="AQ2519" s="556"/>
      <c r="AR2519" s="556"/>
      <c r="CF2519" s="2"/>
    </row>
    <row r="2520" spans="3:84">
      <c r="C2520" s="2"/>
      <c r="AD2520" s="502"/>
      <c r="AE2520" s="911"/>
      <c r="AF2520" s="502"/>
      <c r="AH2520" s="898"/>
      <c r="AI2520" s="502"/>
      <c r="AJ2520" s="502"/>
      <c r="AL2520" s="434"/>
      <c r="AM2520" s="436"/>
      <c r="AN2520" s="434"/>
      <c r="AO2520" s="434"/>
      <c r="AP2520" s="556"/>
      <c r="AQ2520" s="556"/>
      <c r="AR2520" s="556"/>
      <c r="CF2520" s="2"/>
    </row>
    <row r="2521" spans="3:84">
      <c r="C2521" s="2"/>
      <c r="AD2521" s="502"/>
      <c r="AE2521" s="911"/>
      <c r="AF2521" s="502"/>
      <c r="AH2521" s="898"/>
      <c r="AI2521" s="502"/>
      <c r="AJ2521" s="502"/>
      <c r="AL2521" s="434"/>
      <c r="AM2521" s="436"/>
      <c r="AN2521" s="434"/>
      <c r="AO2521" s="434"/>
      <c r="AP2521" s="556"/>
      <c r="AQ2521" s="556"/>
      <c r="AR2521" s="556"/>
      <c r="CF2521" s="2"/>
    </row>
    <row r="2522" spans="3:84">
      <c r="C2522" s="2"/>
      <c r="AD2522" s="502"/>
      <c r="AE2522" s="911"/>
      <c r="AF2522" s="502"/>
      <c r="AH2522" s="898"/>
      <c r="AI2522" s="502"/>
      <c r="AJ2522" s="502"/>
      <c r="AL2522" s="434"/>
      <c r="AM2522" s="436"/>
      <c r="AN2522" s="434"/>
      <c r="AO2522" s="434"/>
      <c r="AP2522" s="556"/>
      <c r="AQ2522" s="556"/>
      <c r="AR2522" s="556"/>
      <c r="CF2522" s="2"/>
    </row>
    <row r="2523" spans="3:84">
      <c r="C2523" s="2"/>
      <c r="AD2523" s="502"/>
      <c r="AE2523" s="911"/>
      <c r="AF2523" s="502"/>
      <c r="AH2523" s="898"/>
      <c r="AI2523" s="502"/>
      <c r="AJ2523" s="502"/>
      <c r="AL2523" s="434"/>
      <c r="AM2523" s="436"/>
      <c r="AN2523" s="434"/>
      <c r="AO2523" s="434"/>
      <c r="AP2523" s="556"/>
      <c r="AQ2523" s="556"/>
      <c r="AR2523" s="556"/>
      <c r="CF2523" s="2"/>
    </row>
    <row r="2524" spans="3:84">
      <c r="C2524" s="2"/>
      <c r="AD2524" s="502"/>
      <c r="AE2524" s="911"/>
      <c r="AF2524" s="502"/>
      <c r="AH2524" s="898"/>
      <c r="AI2524" s="502"/>
      <c r="AJ2524" s="502"/>
      <c r="AL2524" s="434"/>
      <c r="AM2524" s="436"/>
      <c r="AN2524" s="434"/>
      <c r="AO2524" s="434"/>
      <c r="AP2524" s="556"/>
      <c r="AQ2524" s="556"/>
      <c r="AR2524" s="556"/>
      <c r="CF2524" s="2"/>
    </row>
    <row r="2525" spans="3:84">
      <c r="C2525" s="2"/>
      <c r="AD2525" s="502"/>
      <c r="AE2525" s="911"/>
      <c r="AF2525" s="502"/>
      <c r="AH2525" s="898"/>
      <c r="AI2525" s="502"/>
      <c r="AJ2525" s="502"/>
      <c r="AL2525" s="434"/>
      <c r="AM2525" s="436"/>
      <c r="AN2525" s="434"/>
      <c r="AO2525" s="434"/>
      <c r="AP2525" s="556"/>
      <c r="AQ2525" s="556"/>
      <c r="AR2525" s="556"/>
      <c r="CF2525" s="2"/>
    </row>
    <row r="2526" spans="3:84">
      <c r="C2526" s="2"/>
      <c r="AD2526" s="502"/>
      <c r="AE2526" s="911"/>
      <c r="AF2526" s="502"/>
      <c r="AH2526" s="898"/>
      <c r="AI2526" s="502"/>
      <c r="AJ2526" s="502"/>
      <c r="AL2526" s="434"/>
      <c r="AM2526" s="436"/>
      <c r="AN2526" s="434"/>
      <c r="AO2526" s="434"/>
      <c r="AP2526" s="556"/>
      <c r="AQ2526" s="556"/>
      <c r="AR2526" s="556"/>
      <c r="CF2526" s="2"/>
    </row>
    <row r="2527" spans="3:84">
      <c r="C2527" s="2"/>
      <c r="AD2527" s="502"/>
      <c r="AE2527" s="911"/>
      <c r="AF2527" s="502"/>
      <c r="AH2527" s="898"/>
      <c r="AI2527" s="502"/>
      <c r="AJ2527" s="502"/>
      <c r="AL2527" s="434"/>
      <c r="AM2527" s="436"/>
      <c r="AN2527" s="434"/>
      <c r="AO2527" s="434"/>
      <c r="AP2527" s="556"/>
      <c r="AQ2527" s="556"/>
      <c r="AR2527" s="556"/>
      <c r="CF2527" s="2"/>
    </row>
    <row r="2528" spans="3:84">
      <c r="C2528" s="2"/>
      <c r="AD2528" s="502"/>
      <c r="AE2528" s="911"/>
      <c r="AF2528" s="502"/>
      <c r="AH2528" s="898"/>
      <c r="AI2528" s="502"/>
      <c r="AJ2528" s="502"/>
      <c r="AL2528" s="434"/>
      <c r="AM2528" s="436"/>
      <c r="AN2528" s="434"/>
      <c r="AO2528" s="434"/>
      <c r="AP2528" s="556"/>
      <c r="AQ2528" s="556"/>
      <c r="AR2528" s="556"/>
      <c r="CF2528" s="2"/>
    </row>
    <row r="2529" spans="3:84">
      <c r="C2529" s="2"/>
      <c r="AD2529" s="502"/>
      <c r="AE2529" s="911"/>
      <c r="AF2529" s="502"/>
      <c r="AH2529" s="898"/>
      <c r="AI2529" s="502"/>
      <c r="AJ2529" s="502"/>
      <c r="AL2529" s="434"/>
      <c r="AM2529" s="436"/>
      <c r="AN2529" s="434"/>
      <c r="AO2529" s="434"/>
      <c r="AP2529" s="556"/>
      <c r="AQ2529" s="556"/>
      <c r="AR2529" s="556"/>
      <c r="CF2529" s="2"/>
    </row>
    <row r="2530" spans="3:84">
      <c r="C2530" s="2"/>
      <c r="AD2530" s="502"/>
      <c r="AE2530" s="911"/>
      <c r="AF2530" s="502"/>
      <c r="AH2530" s="898"/>
      <c r="AI2530" s="502"/>
      <c r="AJ2530" s="502"/>
      <c r="AL2530" s="434"/>
      <c r="AM2530" s="436"/>
      <c r="AN2530" s="434"/>
      <c r="AO2530" s="434"/>
      <c r="AP2530" s="556"/>
      <c r="AQ2530" s="556"/>
      <c r="AR2530" s="556"/>
      <c r="CF2530" s="2"/>
    </row>
    <row r="2531" spans="3:84">
      <c r="C2531" s="2"/>
      <c r="AD2531" s="502"/>
      <c r="AE2531" s="911"/>
      <c r="AF2531" s="502"/>
      <c r="AH2531" s="898"/>
      <c r="AI2531" s="502"/>
      <c r="AJ2531" s="502"/>
      <c r="AL2531" s="434"/>
      <c r="AM2531" s="436"/>
      <c r="AN2531" s="434"/>
      <c r="AO2531" s="434"/>
      <c r="AP2531" s="556"/>
      <c r="AQ2531" s="556"/>
      <c r="AR2531" s="556"/>
      <c r="CF2531" s="2"/>
    </row>
    <row r="2532" spans="3:84">
      <c r="C2532" s="2"/>
      <c r="AD2532" s="502"/>
      <c r="AE2532" s="911"/>
      <c r="AF2532" s="502"/>
      <c r="AH2532" s="898"/>
      <c r="AI2532" s="502"/>
      <c r="AJ2532" s="502"/>
      <c r="AL2532" s="434"/>
      <c r="AM2532" s="436"/>
      <c r="AN2532" s="434"/>
      <c r="AO2532" s="434"/>
      <c r="AP2532" s="556"/>
      <c r="AQ2532" s="556"/>
      <c r="AR2532" s="556"/>
      <c r="CF2532" s="2"/>
    </row>
    <row r="2533" spans="3:84">
      <c r="C2533" s="2"/>
      <c r="AD2533" s="502"/>
      <c r="AE2533" s="911"/>
      <c r="AF2533" s="502"/>
      <c r="AH2533" s="898"/>
      <c r="AI2533" s="502"/>
      <c r="AJ2533" s="502"/>
      <c r="AL2533" s="434"/>
      <c r="AM2533" s="436"/>
      <c r="AN2533" s="434"/>
      <c r="AO2533" s="434"/>
      <c r="AP2533" s="556"/>
      <c r="AQ2533" s="556"/>
      <c r="AR2533" s="556"/>
      <c r="CF2533" s="2"/>
    </row>
    <row r="2534" spans="3:84">
      <c r="C2534" s="2"/>
      <c r="AD2534" s="502"/>
      <c r="AE2534" s="911"/>
      <c r="AF2534" s="502"/>
      <c r="AH2534" s="898"/>
      <c r="AI2534" s="502"/>
      <c r="AJ2534" s="502"/>
      <c r="AL2534" s="434"/>
      <c r="AM2534" s="436"/>
      <c r="AN2534" s="434"/>
      <c r="AO2534" s="434"/>
      <c r="AP2534" s="556"/>
      <c r="AQ2534" s="556"/>
      <c r="AR2534" s="556"/>
      <c r="CF2534" s="2"/>
    </row>
    <row r="2535" spans="3:84">
      <c r="C2535" s="2"/>
      <c r="AD2535" s="502"/>
      <c r="AE2535" s="911"/>
      <c r="AF2535" s="502"/>
      <c r="AH2535" s="898"/>
      <c r="AI2535" s="502"/>
      <c r="AJ2535" s="502"/>
      <c r="AL2535" s="434"/>
      <c r="AM2535" s="436"/>
      <c r="AN2535" s="434"/>
      <c r="AO2535" s="434"/>
      <c r="AP2535" s="556"/>
      <c r="AQ2535" s="556"/>
      <c r="AR2535" s="556"/>
      <c r="CF2535" s="2"/>
    </row>
    <row r="2536" spans="3:84">
      <c r="C2536" s="2"/>
      <c r="AD2536" s="502"/>
      <c r="AE2536" s="911"/>
      <c r="AF2536" s="502"/>
      <c r="AH2536" s="898"/>
      <c r="AI2536" s="502"/>
      <c r="AJ2536" s="502"/>
      <c r="AL2536" s="434"/>
      <c r="AM2536" s="436"/>
      <c r="AN2536" s="434"/>
      <c r="AO2536" s="434"/>
      <c r="AP2536" s="556"/>
      <c r="AQ2536" s="556"/>
      <c r="AR2536" s="556"/>
      <c r="CF2536" s="2"/>
    </row>
    <row r="2537" spans="3:84">
      <c r="C2537" s="2"/>
      <c r="AD2537" s="502"/>
      <c r="AE2537" s="911"/>
      <c r="AF2537" s="502"/>
      <c r="AH2537" s="898"/>
      <c r="AI2537" s="502"/>
      <c r="AJ2537" s="502"/>
      <c r="AL2537" s="434"/>
      <c r="AM2537" s="436"/>
      <c r="AN2537" s="434"/>
      <c r="AO2537" s="434"/>
      <c r="AP2537" s="556"/>
      <c r="AQ2537" s="556"/>
      <c r="AR2537" s="556"/>
      <c r="CF2537" s="2"/>
    </row>
    <row r="2538" spans="3:84">
      <c r="C2538" s="2"/>
      <c r="AD2538" s="502"/>
      <c r="AE2538" s="911"/>
      <c r="AF2538" s="502"/>
      <c r="AH2538" s="898"/>
      <c r="AI2538" s="502"/>
      <c r="AJ2538" s="502"/>
      <c r="AL2538" s="434"/>
      <c r="AM2538" s="436"/>
      <c r="AN2538" s="434"/>
      <c r="AO2538" s="434"/>
      <c r="AP2538" s="556"/>
      <c r="AQ2538" s="556"/>
      <c r="AR2538" s="556"/>
      <c r="CF2538" s="2"/>
    </row>
    <row r="2539" spans="3:84">
      <c r="C2539" s="2"/>
      <c r="AD2539" s="502"/>
      <c r="AE2539" s="911"/>
      <c r="AF2539" s="502"/>
      <c r="AH2539" s="898"/>
      <c r="AI2539" s="502"/>
      <c r="AJ2539" s="502"/>
      <c r="AL2539" s="434"/>
      <c r="AM2539" s="436"/>
      <c r="AN2539" s="434"/>
      <c r="AO2539" s="434"/>
      <c r="AP2539" s="556"/>
      <c r="AQ2539" s="556"/>
      <c r="AR2539" s="556"/>
      <c r="CF2539" s="2"/>
    </row>
    <row r="2540" spans="3:84">
      <c r="C2540" s="2"/>
      <c r="AD2540" s="502"/>
      <c r="AE2540" s="911"/>
      <c r="AF2540" s="502"/>
      <c r="AH2540" s="898"/>
      <c r="AI2540" s="502"/>
      <c r="AJ2540" s="502"/>
      <c r="AL2540" s="434"/>
      <c r="AM2540" s="436"/>
      <c r="AN2540" s="434"/>
      <c r="AO2540" s="434"/>
      <c r="AP2540" s="556"/>
      <c r="AQ2540" s="556"/>
      <c r="AR2540" s="556"/>
      <c r="CF2540" s="2"/>
    </row>
    <row r="2541" spans="3:84">
      <c r="C2541" s="2"/>
      <c r="AD2541" s="502"/>
      <c r="AE2541" s="911"/>
      <c r="AF2541" s="502"/>
      <c r="AH2541" s="898"/>
      <c r="AI2541" s="502"/>
      <c r="AJ2541" s="502"/>
      <c r="AL2541" s="434"/>
      <c r="AM2541" s="436"/>
      <c r="AN2541" s="434"/>
      <c r="AO2541" s="434"/>
      <c r="AP2541" s="556"/>
      <c r="AQ2541" s="556"/>
      <c r="AR2541" s="556"/>
      <c r="CF2541" s="2"/>
    </row>
    <row r="2542" spans="3:84">
      <c r="C2542" s="2"/>
      <c r="AD2542" s="502"/>
      <c r="AE2542" s="911"/>
      <c r="AF2542" s="502"/>
      <c r="AH2542" s="898"/>
      <c r="AI2542" s="502"/>
      <c r="AJ2542" s="502"/>
      <c r="AL2542" s="434"/>
      <c r="AM2542" s="436"/>
      <c r="AN2542" s="434"/>
      <c r="AO2542" s="434"/>
      <c r="AP2542" s="556"/>
      <c r="AQ2542" s="556"/>
      <c r="AR2542" s="556"/>
      <c r="CF2542" s="2"/>
    </row>
    <row r="2543" spans="3:84">
      <c r="C2543" s="2"/>
      <c r="AD2543" s="502"/>
      <c r="AE2543" s="911"/>
      <c r="AF2543" s="502"/>
      <c r="AH2543" s="898"/>
      <c r="AI2543" s="502"/>
      <c r="AJ2543" s="502"/>
      <c r="AL2543" s="434"/>
      <c r="AM2543" s="436"/>
      <c r="AN2543" s="434"/>
      <c r="AO2543" s="434"/>
      <c r="AP2543" s="556"/>
      <c r="AQ2543" s="556"/>
      <c r="AR2543" s="556"/>
      <c r="CF2543" s="2"/>
    </row>
    <row r="2544" spans="3:84">
      <c r="C2544" s="2"/>
      <c r="AD2544" s="502"/>
      <c r="AE2544" s="911"/>
      <c r="AF2544" s="502"/>
      <c r="AH2544" s="898"/>
      <c r="AI2544" s="502"/>
      <c r="AJ2544" s="502"/>
      <c r="AL2544" s="434"/>
      <c r="AM2544" s="436"/>
      <c r="AN2544" s="434"/>
      <c r="AO2544" s="434"/>
      <c r="AP2544" s="556"/>
      <c r="AQ2544" s="556"/>
      <c r="AR2544" s="556"/>
      <c r="CF2544" s="2"/>
    </row>
    <row r="2545" spans="3:84">
      <c r="C2545" s="2"/>
      <c r="AD2545" s="502"/>
      <c r="AE2545" s="911"/>
      <c r="AF2545" s="502"/>
      <c r="AH2545" s="898"/>
      <c r="AI2545" s="502"/>
      <c r="AJ2545" s="502"/>
      <c r="AL2545" s="434"/>
      <c r="AM2545" s="436"/>
      <c r="AN2545" s="434"/>
      <c r="AO2545" s="434"/>
      <c r="AP2545" s="556"/>
      <c r="AQ2545" s="556"/>
      <c r="AR2545" s="556"/>
      <c r="CF2545" s="2"/>
    </row>
    <row r="2546" spans="3:84">
      <c r="C2546" s="2"/>
      <c r="AD2546" s="502"/>
      <c r="AE2546" s="911"/>
      <c r="AF2546" s="502"/>
      <c r="AH2546" s="898"/>
      <c r="AI2546" s="502"/>
      <c r="AJ2546" s="502"/>
      <c r="AL2546" s="434"/>
      <c r="AM2546" s="436"/>
      <c r="AN2546" s="434"/>
      <c r="AO2546" s="434"/>
      <c r="AP2546" s="556"/>
      <c r="AQ2546" s="556"/>
      <c r="AR2546" s="556"/>
      <c r="CF2546" s="2"/>
    </row>
    <row r="2547" spans="3:84">
      <c r="C2547" s="2"/>
      <c r="AD2547" s="502"/>
      <c r="AE2547" s="911"/>
      <c r="AF2547" s="502"/>
      <c r="AH2547" s="898"/>
      <c r="AI2547" s="502"/>
      <c r="AJ2547" s="502"/>
      <c r="AL2547" s="434"/>
      <c r="AM2547" s="436"/>
      <c r="AN2547" s="434"/>
      <c r="AO2547" s="434"/>
      <c r="AP2547" s="556"/>
      <c r="AQ2547" s="556"/>
      <c r="AR2547" s="556"/>
      <c r="CF2547" s="2"/>
    </row>
    <row r="2548" spans="3:84">
      <c r="C2548" s="2"/>
      <c r="AD2548" s="502"/>
      <c r="AE2548" s="911"/>
      <c r="AF2548" s="502"/>
      <c r="AH2548" s="898"/>
      <c r="AI2548" s="502"/>
      <c r="AJ2548" s="502"/>
      <c r="AL2548" s="434"/>
      <c r="AM2548" s="436"/>
      <c r="AN2548" s="434"/>
      <c r="AO2548" s="434"/>
      <c r="AP2548" s="556"/>
      <c r="AQ2548" s="556"/>
      <c r="AR2548" s="556"/>
      <c r="CF2548" s="2"/>
    </row>
    <row r="2549" spans="3:84">
      <c r="C2549" s="2"/>
      <c r="AD2549" s="502"/>
      <c r="AE2549" s="911"/>
      <c r="AF2549" s="502"/>
      <c r="AH2549" s="898"/>
      <c r="AI2549" s="502"/>
      <c r="AJ2549" s="502"/>
      <c r="AL2549" s="434"/>
      <c r="AM2549" s="436"/>
      <c r="AN2549" s="434"/>
      <c r="AO2549" s="434"/>
      <c r="AP2549" s="556"/>
      <c r="AQ2549" s="556"/>
      <c r="AR2549" s="556"/>
      <c r="CF2549" s="2"/>
    </row>
    <row r="2550" spans="3:84">
      <c r="C2550" s="2"/>
      <c r="AD2550" s="502"/>
      <c r="AE2550" s="911"/>
      <c r="AF2550" s="502"/>
      <c r="AH2550" s="898"/>
      <c r="AI2550" s="502"/>
      <c r="AJ2550" s="502"/>
      <c r="AL2550" s="434"/>
      <c r="AM2550" s="436"/>
      <c r="AN2550" s="434"/>
      <c r="AO2550" s="434"/>
      <c r="AP2550" s="556"/>
      <c r="AQ2550" s="556"/>
      <c r="AR2550" s="556"/>
      <c r="CF2550" s="2"/>
    </row>
    <row r="2551" spans="3:84">
      <c r="C2551" s="2"/>
      <c r="AD2551" s="502"/>
      <c r="AE2551" s="911"/>
      <c r="AF2551" s="502"/>
      <c r="AH2551" s="898"/>
      <c r="AI2551" s="502"/>
      <c r="AJ2551" s="502"/>
      <c r="AL2551" s="434"/>
      <c r="AM2551" s="436"/>
      <c r="AN2551" s="434"/>
      <c r="AO2551" s="434"/>
      <c r="AP2551" s="556"/>
      <c r="AQ2551" s="556"/>
      <c r="AR2551" s="556"/>
      <c r="CF2551" s="2"/>
    </row>
    <row r="2552" spans="3:84">
      <c r="C2552" s="2"/>
      <c r="AD2552" s="502"/>
      <c r="AE2552" s="911"/>
      <c r="AF2552" s="502"/>
      <c r="AH2552" s="898"/>
      <c r="AI2552" s="502"/>
      <c r="AJ2552" s="502"/>
      <c r="AL2552" s="434"/>
      <c r="AM2552" s="436"/>
      <c r="AN2552" s="434"/>
      <c r="AO2552" s="434"/>
      <c r="AP2552" s="556"/>
      <c r="AQ2552" s="556"/>
      <c r="AR2552" s="556"/>
      <c r="CF2552" s="2"/>
    </row>
    <row r="2553" spans="3:84">
      <c r="C2553" s="2"/>
      <c r="AD2553" s="502"/>
      <c r="AE2553" s="911"/>
      <c r="AF2553" s="502"/>
      <c r="AH2553" s="898"/>
      <c r="AI2553" s="502"/>
      <c r="AJ2553" s="502"/>
      <c r="AL2553" s="434"/>
      <c r="AM2553" s="436"/>
      <c r="AN2553" s="434"/>
      <c r="AO2553" s="434"/>
      <c r="AP2553" s="556"/>
      <c r="AQ2553" s="556"/>
      <c r="AR2553" s="556"/>
      <c r="CF2553" s="2"/>
    </row>
    <row r="2554" spans="3:84">
      <c r="C2554" s="2"/>
      <c r="AD2554" s="502"/>
      <c r="AE2554" s="911"/>
      <c r="AF2554" s="502"/>
      <c r="AH2554" s="898"/>
      <c r="AI2554" s="502"/>
      <c r="AJ2554" s="502"/>
      <c r="AL2554" s="434"/>
      <c r="AM2554" s="436"/>
      <c r="AN2554" s="434"/>
      <c r="AO2554" s="434"/>
      <c r="AP2554" s="556"/>
      <c r="AQ2554" s="556"/>
      <c r="AR2554" s="556"/>
      <c r="CF2554" s="2"/>
    </row>
    <row r="2555" spans="3:84">
      <c r="C2555" s="2"/>
      <c r="AD2555" s="502"/>
      <c r="AE2555" s="911"/>
      <c r="AF2555" s="502"/>
      <c r="AH2555" s="898"/>
      <c r="AI2555" s="502"/>
      <c r="AJ2555" s="502"/>
      <c r="AL2555" s="434"/>
      <c r="AM2555" s="436"/>
      <c r="AN2555" s="434"/>
      <c r="AO2555" s="434"/>
      <c r="AP2555" s="556"/>
      <c r="AQ2555" s="556"/>
      <c r="AR2555" s="556"/>
      <c r="CF2555" s="2"/>
    </row>
    <row r="2556" spans="3:84">
      <c r="C2556" s="2"/>
      <c r="AD2556" s="502"/>
      <c r="AE2556" s="911"/>
      <c r="AF2556" s="502"/>
      <c r="AH2556" s="898"/>
      <c r="AI2556" s="502"/>
      <c r="AJ2556" s="502"/>
      <c r="AL2556" s="434"/>
      <c r="AM2556" s="436"/>
      <c r="AN2556" s="434"/>
      <c r="AO2556" s="434"/>
      <c r="AP2556" s="556"/>
      <c r="AQ2556" s="556"/>
      <c r="AR2556" s="556"/>
      <c r="CF2556" s="2"/>
    </row>
    <row r="2557" spans="3:84">
      <c r="C2557" s="2"/>
      <c r="AD2557" s="502"/>
      <c r="AE2557" s="911"/>
      <c r="AF2557" s="502"/>
      <c r="AH2557" s="898"/>
      <c r="AI2557" s="502"/>
      <c r="AJ2557" s="502"/>
      <c r="AL2557" s="434"/>
      <c r="AM2557" s="436"/>
      <c r="AN2557" s="434"/>
      <c r="AO2557" s="434"/>
      <c r="AP2557" s="556"/>
      <c r="AQ2557" s="556"/>
      <c r="AR2557" s="556"/>
      <c r="CF2557" s="2"/>
    </row>
    <row r="2558" spans="3:84">
      <c r="C2558" s="2"/>
      <c r="AD2558" s="502"/>
      <c r="AE2558" s="911"/>
      <c r="AF2558" s="502"/>
      <c r="AH2558" s="898"/>
      <c r="AI2558" s="502"/>
      <c r="AJ2558" s="502"/>
      <c r="AL2558" s="434"/>
      <c r="AM2558" s="436"/>
      <c r="AN2558" s="434"/>
      <c r="AO2558" s="434"/>
      <c r="AP2558" s="556"/>
      <c r="AQ2558" s="556"/>
      <c r="AR2558" s="556"/>
      <c r="CF2558" s="2"/>
    </row>
    <row r="2559" spans="3:84">
      <c r="C2559" s="2"/>
      <c r="AD2559" s="502"/>
      <c r="AE2559" s="911"/>
      <c r="AF2559" s="502"/>
      <c r="AH2559" s="898"/>
      <c r="AI2559" s="502"/>
      <c r="AJ2559" s="502"/>
      <c r="AL2559" s="434"/>
      <c r="AM2559" s="436"/>
      <c r="AN2559" s="434"/>
      <c r="AO2559" s="434"/>
      <c r="AP2559" s="556"/>
      <c r="AQ2559" s="556"/>
      <c r="AR2559" s="556"/>
      <c r="CF2559" s="2"/>
    </row>
    <row r="2560" spans="3:84">
      <c r="C2560" s="2"/>
      <c r="AD2560" s="502"/>
      <c r="AE2560" s="911"/>
      <c r="AF2560" s="502"/>
      <c r="AH2560" s="898"/>
      <c r="AI2560" s="502"/>
      <c r="AJ2560" s="502"/>
      <c r="AL2560" s="434"/>
      <c r="AM2560" s="436"/>
      <c r="AN2560" s="434"/>
      <c r="AO2560" s="434"/>
      <c r="AP2560" s="556"/>
      <c r="AQ2560" s="556"/>
      <c r="AR2560" s="556"/>
      <c r="CF2560" s="2"/>
    </row>
    <row r="2561" spans="3:84">
      <c r="C2561" s="2"/>
      <c r="AD2561" s="502"/>
      <c r="AE2561" s="911"/>
      <c r="AF2561" s="502"/>
      <c r="AH2561" s="898"/>
      <c r="AI2561" s="502"/>
      <c r="AJ2561" s="502"/>
      <c r="AL2561" s="434"/>
      <c r="AM2561" s="436"/>
      <c r="AN2561" s="434"/>
      <c r="AO2561" s="434"/>
      <c r="AP2561" s="556"/>
      <c r="AQ2561" s="556"/>
      <c r="AR2561" s="556"/>
      <c r="CF2561" s="2"/>
    </row>
    <row r="2562" spans="3:84">
      <c r="C2562" s="2"/>
      <c r="AD2562" s="502"/>
      <c r="AE2562" s="911"/>
      <c r="AF2562" s="502"/>
      <c r="AH2562" s="898"/>
      <c r="AI2562" s="502"/>
      <c r="AJ2562" s="502"/>
      <c r="AL2562" s="434"/>
      <c r="AM2562" s="436"/>
      <c r="AN2562" s="434"/>
      <c r="AO2562" s="434"/>
      <c r="AP2562" s="556"/>
      <c r="AQ2562" s="556"/>
      <c r="AR2562" s="556"/>
      <c r="CF2562" s="2"/>
    </row>
    <row r="2563" spans="3:84">
      <c r="C2563" s="2"/>
      <c r="AD2563" s="502"/>
      <c r="AE2563" s="911"/>
      <c r="AF2563" s="502"/>
      <c r="AH2563" s="898"/>
      <c r="AI2563" s="502"/>
      <c r="AJ2563" s="502"/>
      <c r="AL2563" s="434"/>
      <c r="AM2563" s="436"/>
      <c r="AN2563" s="434"/>
      <c r="AO2563" s="434"/>
      <c r="AP2563" s="556"/>
      <c r="AQ2563" s="556"/>
      <c r="AR2563" s="556"/>
      <c r="CF2563" s="2"/>
    </row>
    <row r="2564" spans="3:84">
      <c r="C2564" s="2"/>
      <c r="AD2564" s="502"/>
      <c r="AE2564" s="911"/>
      <c r="AF2564" s="502"/>
      <c r="AH2564" s="898"/>
      <c r="AI2564" s="502"/>
      <c r="AJ2564" s="502"/>
      <c r="AL2564" s="434"/>
      <c r="AM2564" s="436"/>
      <c r="AN2564" s="434"/>
      <c r="AO2564" s="434"/>
      <c r="AP2564" s="556"/>
      <c r="AQ2564" s="556"/>
      <c r="AR2564" s="556"/>
      <c r="CF2564" s="2"/>
    </row>
    <row r="2565" spans="3:84">
      <c r="C2565" s="2"/>
      <c r="AD2565" s="502"/>
      <c r="AE2565" s="911"/>
      <c r="AF2565" s="502"/>
      <c r="AH2565" s="898"/>
      <c r="AI2565" s="502"/>
      <c r="AJ2565" s="502"/>
      <c r="AL2565" s="434"/>
      <c r="AM2565" s="436"/>
      <c r="AN2565" s="434"/>
      <c r="AO2565" s="434"/>
      <c r="AP2565" s="556"/>
      <c r="AQ2565" s="556"/>
      <c r="AR2565" s="556"/>
      <c r="CF2565" s="2"/>
    </row>
    <row r="2566" spans="3:84">
      <c r="C2566" s="2"/>
      <c r="AD2566" s="502"/>
      <c r="AE2566" s="911"/>
      <c r="AF2566" s="502"/>
      <c r="AH2566" s="898"/>
      <c r="AI2566" s="502"/>
      <c r="AJ2566" s="502"/>
      <c r="AL2566" s="434"/>
      <c r="AM2566" s="436"/>
      <c r="AN2566" s="434"/>
      <c r="AO2566" s="434"/>
      <c r="AP2566" s="556"/>
      <c r="AQ2566" s="556"/>
      <c r="AR2566" s="556"/>
      <c r="CF2566" s="2"/>
    </row>
    <row r="2567" spans="3:84">
      <c r="C2567" s="2"/>
      <c r="AD2567" s="502"/>
      <c r="AE2567" s="911"/>
      <c r="AF2567" s="502"/>
      <c r="AH2567" s="898"/>
      <c r="AI2567" s="502"/>
      <c r="AJ2567" s="502"/>
      <c r="AL2567" s="434"/>
      <c r="AM2567" s="436"/>
      <c r="AN2567" s="434"/>
      <c r="AO2567" s="434"/>
      <c r="AP2567" s="556"/>
      <c r="AQ2567" s="556"/>
      <c r="AR2567" s="556"/>
      <c r="CF2567" s="2"/>
    </row>
    <row r="2568" spans="3:84">
      <c r="C2568" s="2"/>
      <c r="AD2568" s="502"/>
      <c r="AE2568" s="911"/>
      <c r="AF2568" s="502"/>
      <c r="AH2568" s="898"/>
      <c r="AI2568" s="502"/>
      <c r="AJ2568" s="502"/>
      <c r="AL2568" s="434"/>
      <c r="AM2568" s="436"/>
      <c r="AN2568" s="434"/>
      <c r="AO2568" s="434"/>
      <c r="AP2568" s="556"/>
      <c r="AQ2568" s="556"/>
      <c r="AR2568" s="556"/>
      <c r="CF2568" s="2"/>
    </row>
    <row r="2569" spans="3:84">
      <c r="C2569" s="2"/>
      <c r="AD2569" s="502"/>
      <c r="AE2569" s="911"/>
      <c r="AF2569" s="502"/>
      <c r="AH2569" s="898"/>
      <c r="AI2569" s="502"/>
      <c r="AJ2569" s="502"/>
      <c r="AL2569" s="434"/>
      <c r="AM2569" s="436"/>
      <c r="AN2569" s="434"/>
      <c r="AO2569" s="434"/>
      <c r="AP2569" s="556"/>
      <c r="AQ2569" s="556"/>
      <c r="AR2569" s="556"/>
      <c r="CF2569" s="2"/>
    </row>
    <row r="2570" spans="3:84">
      <c r="C2570" s="2"/>
      <c r="AD2570" s="502"/>
      <c r="AE2570" s="911"/>
      <c r="AF2570" s="502"/>
      <c r="AH2570" s="898"/>
      <c r="AI2570" s="502"/>
      <c r="AJ2570" s="502"/>
      <c r="AL2570" s="434"/>
      <c r="AM2570" s="436"/>
      <c r="AN2570" s="434"/>
      <c r="AO2570" s="434"/>
      <c r="AP2570" s="556"/>
      <c r="AQ2570" s="556"/>
      <c r="AR2570" s="556"/>
      <c r="CF2570" s="2"/>
    </row>
    <row r="2571" spans="3:84">
      <c r="C2571" s="2"/>
      <c r="AD2571" s="502"/>
      <c r="AE2571" s="911"/>
      <c r="AF2571" s="502"/>
      <c r="AH2571" s="898"/>
      <c r="AI2571" s="502"/>
      <c r="AJ2571" s="502"/>
      <c r="AL2571" s="434"/>
      <c r="AM2571" s="436"/>
      <c r="AN2571" s="434"/>
      <c r="AO2571" s="434"/>
      <c r="AP2571" s="556"/>
      <c r="AQ2571" s="556"/>
      <c r="AR2571" s="556"/>
      <c r="CF2571" s="2"/>
    </row>
    <row r="2572" spans="3:84">
      <c r="C2572" s="2"/>
      <c r="AD2572" s="502"/>
      <c r="AE2572" s="911"/>
      <c r="AF2572" s="502"/>
      <c r="AH2572" s="898"/>
      <c r="AI2572" s="502"/>
      <c r="AJ2572" s="502"/>
      <c r="AL2572" s="434"/>
      <c r="AM2572" s="436"/>
      <c r="AN2572" s="434"/>
      <c r="AO2572" s="434"/>
      <c r="AP2572" s="556"/>
      <c r="AQ2572" s="556"/>
      <c r="AR2572" s="556"/>
      <c r="CF2572" s="2"/>
    </row>
    <row r="2573" spans="3:84">
      <c r="C2573" s="2"/>
      <c r="AD2573" s="502"/>
      <c r="AE2573" s="911"/>
      <c r="AF2573" s="502"/>
      <c r="AH2573" s="898"/>
      <c r="AI2573" s="502"/>
      <c r="AJ2573" s="502"/>
      <c r="AL2573" s="434"/>
      <c r="AM2573" s="436"/>
      <c r="AN2573" s="434"/>
      <c r="AO2573" s="434"/>
      <c r="AP2573" s="556"/>
      <c r="AQ2573" s="556"/>
      <c r="AR2573" s="556"/>
      <c r="CF2573" s="2"/>
    </row>
    <row r="2574" spans="3:84">
      <c r="C2574" s="2"/>
      <c r="AD2574" s="502"/>
      <c r="AE2574" s="911"/>
      <c r="AF2574" s="502"/>
      <c r="AH2574" s="898"/>
      <c r="AI2574" s="502"/>
      <c r="AJ2574" s="502"/>
      <c r="AL2574" s="434"/>
      <c r="AM2574" s="436"/>
      <c r="AN2574" s="434"/>
      <c r="AO2574" s="434"/>
      <c r="AP2574" s="556"/>
      <c r="AQ2574" s="556"/>
      <c r="AR2574" s="556"/>
      <c r="CF2574" s="2"/>
    </row>
    <row r="2575" spans="3:84">
      <c r="C2575" s="2"/>
      <c r="AD2575" s="502"/>
      <c r="AE2575" s="911"/>
      <c r="AF2575" s="502"/>
      <c r="AH2575" s="898"/>
      <c r="AI2575" s="502"/>
      <c r="AJ2575" s="502"/>
      <c r="AL2575" s="434"/>
      <c r="AM2575" s="436"/>
      <c r="AN2575" s="434"/>
      <c r="AO2575" s="434"/>
      <c r="AP2575" s="556"/>
      <c r="AQ2575" s="556"/>
      <c r="AR2575" s="556"/>
      <c r="CF2575" s="2"/>
    </row>
    <row r="2576" spans="3:84">
      <c r="C2576" s="2"/>
      <c r="AD2576" s="502"/>
      <c r="AE2576" s="911"/>
      <c r="AF2576" s="502"/>
      <c r="AH2576" s="898"/>
      <c r="AI2576" s="502"/>
      <c r="AJ2576" s="502"/>
      <c r="AL2576" s="434"/>
      <c r="AM2576" s="436"/>
      <c r="AN2576" s="434"/>
      <c r="AO2576" s="434"/>
      <c r="AP2576" s="556"/>
      <c r="AQ2576" s="556"/>
      <c r="AR2576" s="556"/>
      <c r="CF2576" s="2"/>
    </row>
    <row r="2577" spans="3:84">
      <c r="C2577" s="2"/>
      <c r="AD2577" s="502"/>
      <c r="AE2577" s="911"/>
      <c r="AF2577" s="502"/>
      <c r="AH2577" s="898"/>
      <c r="AI2577" s="502"/>
      <c r="AJ2577" s="502"/>
      <c r="AL2577" s="434"/>
      <c r="AM2577" s="436"/>
      <c r="AN2577" s="434"/>
      <c r="AO2577" s="434"/>
      <c r="AP2577" s="556"/>
      <c r="AQ2577" s="556"/>
      <c r="AR2577" s="556"/>
      <c r="CF2577" s="2"/>
    </row>
    <row r="2578" spans="3:84">
      <c r="C2578" s="2"/>
      <c r="AD2578" s="502"/>
      <c r="AE2578" s="911"/>
      <c r="AF2578" s="502"/>
      <c r="AH2578" s="898"/>
      <c r="AI2578" s="502"/>
      <c r="AJ2578" s="502"/>
      <c r="AL2578" s="434"/>
      <c r="AM2578" s="436"/>
      <c r="AN2578" s="434"/>
      <c r="AO2578" s="434"/>
      <c r="AP2578" s="556"/>
      <c r="AQ2578" s="556"/>
      <c r="AR2578" s="556"/>
      <c r="CF2578" s="2"/>
    </row>
    <row r="2579" spans="3:84">
      <c r="C2579" s="2"/>
      <c r="AD2579" s="502"/>
      <c r="AE2579" s="911"/>
      <c r="AF2579" s="502"/>
      <c r="AH2579" s="898"/>
      <c r="AI2579" s="502"/>
      <c r="AJ2579" s="502"/>
      <c r="AL2579" s="434"/>
      <c r="AM2579" s="436"/>
      <c r="AN2579" s="434"/>
      <c r="AO2579" s="434"/>
      <c r="AP2579" s="556"/>
      <c r="AQ2579" s="556"/>
      <c r="AR2579" s="556"/>
      <c r="CF2579" s="2"/>
    </row>
    <row r="2580" spans="3:84">
      <c r="C2580" s="2"/>
      <c r="AD2580" s="502"/>
      <c r="AE2580" s="911"/>
      <c r="AF2580" s="502"/>
      <c r="AH2580" s="898"/>
      <c r="AI2580" s="502"/>
      <c r="AJ2580" s="502"/>
      <c r="AL2580" s="434"/>
      <c r="AM2580" s="436"/>
      <c r="AN2580" s="434"/>
      <c r="AO2580" s="434"/>
      <c r="AP2580" s="556"/>
      <c r="AQ2580" s="556"/>
      <c r="AR2580" s="556"/>
      <c r="CF2580" s="2"/>
    </row>
    <row r="2581" spans="3:84">
      <c r="C2581" s="2"/>
      <c r="AD2581" s="502"/>
      <c r="AE2581" s="911"/>
      <c r="AF2581" s="502"/>
      <c r="AH2581" s="898"/>
      <c r="AI2581" s="502"/>
      <c r="AJ2581" s="502"/>
      <c r="AL2581" s="434"/>
      <c r="AM2581" s="436"/>
      <c r="AN2581" s="434"/>
      <c r="AO2581" s="434"/>
      <c r="AP2581" s="556"/>
      <c r="AQ2581" s="556"/>
      <c r="AR2581" s="556"/>
      <c r="CF2581" s="2"/>
    </row>
    <row r="2582" spans="3:84">
      <c r="C2582" s="2"/>
      <c r="AD2582" s="502"/>
      <c r="AE2582" s="911"/>
      <c r="AF2582" s="502"/>
      <c r="AH2582" s="898"/>
      <c r="AI2582" s="502"/>
      <c r="AJ2582" s="502"/>
      <c r="AL2582" s="434"/>
      <c r="AM2582" s="436"/>
      <c r="AN2582" s="434"/>
      <c r="AO2582" s="434"/>
      <c r="AP2582" s="556"/>
      <c r="AQ2582" s="556"/>
      <c r="AR2582" s="556"/>
      <c r="CF2582" s="2"/>
    </row>
    <row r="2583" spans="3:84">
      <c r="C2583" s="2"/>
      <c r="AD2583" s="502"/>
      <c r="AE2583" s="911"/>
      <c r="AF2583" s="502"/>
      <c r="AH2583" s="898"/>
      <c r="AI2583" s="502"/>
      <c r="AJ2583" s="502"/>
      <c r="AL2583" s="434"/>
      <c r="AM2583" s="436"/>
      <c r="AN2583" s="434"/>
      <c r="AO2583" s="434"/>
      <c r="AP2583" s="556"/>
      <c r="AQ2583" s="556"/>
      <c r="AR2583" s="556"/>
      <c r="CF2583" s="2"/>
    </row>
    <row r="2584" spans="3:84">
      <c r="C2584" s="2"/>
      <c r="AD2584" s="502"/>
      <c r="AE2584" s="911"/>
      <c r="AF2584" s="502"/>
      <c r="AH2584" s="898"/>
      <c r="AI2584" s="502"/>
      <c r="AJ2584" s="502"/>
      <c r="AL2584" s="434"/>
      <c r="AM2584" s="436"/>
      <c r="AN2584" s="434"/>
      <c r="AO2584" s="434"/>
      <c r="AP2584" s="556"/>
      <c r="AQ2584" s="556"/>
      <c r="AR2584" s="556"/>
      <c r="CF2584" s="2"/>
    </row>
    <row r="2585" spans="3:84">
      <c r="C2585" s="2"/>
      <c r="AD2585" s="502"/>
      <c r="AE2585" s="911"/>
      <c r="AF2585" s="502"/>
      <c r="AH2585" s="898"/>
      <c r="AI2585" s="502"/>
      <c r="AJ2585" s="502"/>
      <c r="AL2585" s="434"/>
      <c r="AM2585" s="436"/>
      <c r="AN2585" s="434"/>
      <c r="AO2585" s="434"/>
      <c r="AP2585" s="556"/>
      <c r="AQ2585" s="556"/>
      <c r="AR2585" s="556"/>
      <c r="CF2585" s="2"/>
    </row>
    <row r="2586" spans="3:84">
      <c r="C2586" s="2"/>
      <c r="AD2586" s="502"/>
      <c r="AE2586" s="911"/>
      <c r="AF2586" s="502"/>
      <c r="AH2586" s="898"/>
      <c r="AI2586" s="502"/>
      <c r="AJ2586" s="502"/>
      <c r="AL2586" s="434"/>
      <c r="AM2586" s="436"/>
      <c r="AN2586" s="434"/>
      <c r="AO2586" s="434"/>
      <c r="AP2586" s="556"/>
      <c r="AQ2586" s="556"/>
      <c r="AR2586" s="556"/>
      <c r="CF2586" s="2"/>
    </row>
    <row r="2587" spans="3:84">
      <c r="C2587" s="2"/>
      <c r="AD2587" s="502"/>
      <c r="AE2587" s="911"/>
      <c r="AF2587" s="502"/>
      <c r="AH2587" s="898"/>
      <c r="AI2587" s="502"/>
      <c r="AJ2587" s="502"/>
      <c r="AL2587" s="434"/>
      <c r="AM2587" s="436"/>
      <c r="AN2587" s="434"/>
      <c r="AO2587" s="434"/>
      <c r="AP2587" s="556"/>
      <c r="AQ2587" s="556"/>
      <c r="AR2587" s="556"/>
      <c r="CF2587" s="2"/>
    </row>
    <row r="2588" spans="3:84">
      <c r="C2588" s="2"/>
      <c r="AD2588" s="502"/>
      <c r="AE2588" s="911"/>
      <c r="AF2588" s="502"/>
      <c r="AH2588" s="898"/>
      <c r="AI2588" s="502"/>
      <c r="AJ2588" s="502"/>
      <c r="AL2588" s="434"/>
      <c r="AM2588" s="436"/>
      <c r="AN2588" s="434"/>
      <c r="AO2588" s="434"/>
      <c r="AP2588" s="556"/>
      <c r="AQ2588" s="556"/>
      <c r="AR2588" s="556"/>
      <c r="CF2588" s="2"/>
    </row>
    <row r="2589" spans="3:84">
      <c r="C2589" s="2"/>
      <c r="AD2589" s="502"/>
      <c r="AE2589" s="911"/>
      <c r="AF2589" s="502"/>
      <c r="AH2589" s="898"/>
      <c r="AI2589" s="502"/>
      <c r="AJ2589" s="502"/>
      <c r="AL2589" s="434"/>
      <c r="AM2589" s="436"/>
      <c r="AN2589" s="434"/>
      <c r="AO2589" s="434"/>
      <c r="AP2589" s="556"/>
      <c r="AQ2589" s="556"/>
      <c r="AR2589" s="556"/>
      <c r="CF2589" s="2"/>
    </row>
    <row r="2590" spans="3:84">
      <c r="C2590" s="2"/>
      <c r="AD2590" s="502"/>
      <c r="AE2590" s="911"/>
      <c r="AF2590" s="502"/>
      <c r="AH2590" s="898"/>
      <c r="AI2590" s="502"/>
      <c r="AJ2590" s="502"/>
      <c r="AL2590" s="434"/>
      <c r="AM2590" s="436"/>
      <c r="AN2590" s="434"/>
      <c r="AO2590" s="434"/>
      <c r="AP2590" s="556"/>
      <c r="AQ2590" s="556"/>
      <c r="AR2590" s="556"/>
      <c r="CF2590" s="2"/>
    </row>
    <row r="2591" spans="3:84">
      <c r="C2591" s="2"/>
      <c r="AD2591" s="502"/>
      <c r="AE2591" s="911"/>
      <c r="AF2591" s="502"/>
      <c r="AH2591" s="898"/>
      <c r="AI2591" s="502"/>
      <c r="AJ2591" s="502"/>
      <c r="AL2591" s="434"/>
      <c r="AM2591" s="436"/>
      <c r="AN2591" s="434"/>
      <c r="AO2591" s="434"/>
      <c r="AP2591" s="556"/>
      <c r="AQ2591" s="556"/>
      <c r="AR2591" s="556"/>
      <c r="CF2591" s="2"/>
    </row>
    <row r="2592" spans="3:84">
      <c r="C2592" s="2"/>
      <c r="AD2592" s="502"/>
      <c r="AE2592" s="911"/>
      <c r="AF2592" s="502"/>
      <c r="AH2592" s="898"/>
      <c r="AI2592" s="502"/>
      <c r="AJ2592" s="502"/>
      <c r="AL2592" s="434"/>
      <c r="AM2592" s="436"/>
      <c r="AN2592" s="434"/>
      <c r="AO2592" s="434"/>
      <c r="AP2592" s="556"/>
      <c r="AQ2592" s="556"/>
      <c r="AR2592" s="556"/>
      <c r="CF2592" s="2"/>
    </row>
    <row r="2593" spans="3:84">
      <c r="C2593" s="2"/>
      <c r="AD2593" s="502"/>
      <c r="AE2593" s="911"/>
      <c r="AF2593" s="502"/>
      <c r="AH2593" s="898"/>
      <c r="AI2593" s="502"/>
      <c r="AJ2593" s="502"/>
      <c r="AL2593" s="434"/>
      <c r="AM2593" s="436"/>
      <c r="AN2593" s="434"/>
      <c r="AO2593" s="434"/>
      <c r="AP2593" s="556"/>
      <c r="AQ2593" s="556"/>
      <c r="AR2593" s="556"/>
      <c r="CF2593" s="2"/>
    </row>
    <row r="2594" spans="3:84">
      <c r="C2594" s="2"/>
      <c r="AD2594" s="502"/>
      <c r="AE2594" s="911"/>
      <c r="AF2594" s="502"/>
      <c r="AH2594" s="898"/>
      <c r="AI2594" s="502"/>
      <c r="AJ2594" s="502"/>
      <c r="AL2594" s="434"/>
      <c r="AM2594" s="436"/>
      <c r="AN2594" s="434"/>
      <c r="AO2594" s="434"/>
      <c r="AP2594" s="556"/>
      <c r="AQ2594" s="556"/>
      <c r="AR2594" s="556"/>
      <c r="CF2594" s="2"/>
    </row>
    <row r="2595" spans="3:84">
      <c r="C2595" s="2"/>
      <c r="AD2595" s="502"/>
      <c r="AE2595" s="911"/>
      <c r="AF2595" s="502"/>
      <c r="AH2595" s="898"/>
      <c r="AI2595" s="502"/>
      <c r="AJ2595" s="502"/>
      <c r="AL2595" s="434"/>
      <c r="AM2595" s="436"/>
      <c r="AN2595" s="434"/>
      <c r="AO2595" s="434"/>
      <c r="AP2595" s="556"/>
      <c r="AQ2595" s="556"/>
      <c r="AR2595" s="556"/>
      <c r="CF2595" s="2"/>
    </row>
    <row r="2596" spans="3:84">
      <c r="C2596" s="2"/>
      <c r="AD2596" s="502"/>
      <c r="AE2596" s="911"/>
      <c r="AF2596" s="502"/>
      <c r="AH2596" s="898"/>
      <c r="AI2596" s="502"/>
      <c r="AJ2596" s="502"/>
      <c r="AL2596" s="434"/>
      <c r="AM2596" s="436"/>
      <c r="AN2596" s="434"/>
      <c r="AO2596" s="434"/>
      <c r="AP2596" s="556"/>
      <c r="AQ2596" s="556"/>
      <c r="AR2596" s="556"/>
      <c r="CF2596" s="2"/>
    </row>
    <row r="2597" spans="3:84">
      <c r="C2597" s="2"/>
      <c r="AD2597" s="502"/>
      <c r="AE2597" s="911"/>
      <c r="AF2597" s="502"/>
      <c r="AH2597" s="898"/>
      <c r="AI2597" s="502"/>
      <c r="AJ2597" s="502"/>
      <c r="AL2597" s="434"/>
      <c r="AM2597" s="436"/>
      <c r="AN2597" s="434"/>
      <c r="AO2597" s="434"/>
      <c r="AP2597" s="556"/>
      <c r="AQ2597" s="556"/>
      <c r="AR2597" s="556"/>
      <c r="CF2597" s="2"/>
    </row>
    <row r="2598" spans="3:84">
      <c r="C2598" s="2"/>
      <c r="AD2598" s="502"/>
      <c r="AE2598" s="911"/>
      <c r="AF2598" s="502"/>
      <c r="AH2598" s="898"/>
      <c r="AI2598" s="502"/>
      <c r="AJ2598" s="502"/>
      <c r="AL2598" s="434"/>
      <c r="AM2598" s="436"/>
      <c r="AN2598" s="434"/>
      <c r="AO2598" s="434"/>
      <c r="AP2598" s="556"/>
      <c r="AQ2598" s="556"/>
      <c r="AR2598" s="556"/>
      <c r="CF2598" s="2"/>
    </row>
    <row r="2599" spans="3:84">
      <c r="C2599" s="2"/>
      <c r="AD2599" s="502"/>
      <c r="AE2599" s="911"/>
      <c r="AF2599" s="502"/>
      <c r="AH2599" s="898"/>
      <c r="AI2599" s="502"/>
      <c r="AJ2599" s="502"/>
      <c r="AL2599" s="434"/>
      <c r="AM2599" s="436"/>
      <c r="AN2599" s="434"/>
      <c r="AO2599" s="434"/>
      <c r="AP2599" s="556"/>
      <c r="AQ2599" s="556"/>
      <c r="AR2599" s="556"/>
      <c r="CF2599" s="2"/>
    </row>
    <row r="2600" spans="3:84">
      <c r="C2600" s="2"/>
      <c r="AD2600" s="502"/>
      <c r="AE2600" s="911"/>
      <c r="AF2600" s="502"/>
      <c r="AH2600" s="898"/>
      <c r="AI2600" s="502"/>
      <c r="AJ2600" s="502"/>
      <c r="AL2600" s="434"/>
      <c r="AM2600" s="436"/>
      <c r="AN2600" s="434"/>
      <c r="AO2600" s="434"/>
      <c r="AP2600" s="556"/>
      <c r="AQ2600" s="556"/>
      <c r="AR2600" s="556"/>
      <c r="CF2600" s="2"/>
    </row>
    <row r="2601" spans="3:84">
      <c r="C2601" s="2"/>
      <c r="AD2601" s="502"/>
      <c r="AE2601" s="911"/>
      <c r="AF2601" s="502"/>
      <c r="AH2601" s="898"/>
      <c r="AI2601" s="502"/>
      <c r="AJ2601" s="502"/>
      <c r="AL2601" s="434"/>
      <c r="AM2601" s="436"/>
      <c r="AN2601" s="434"/>
      <c r="AO2601" s="434"/>
      <c r="AP2601" s="556"/>
      <c r="AQ2601" s="556"/>
      <c r="AR2601" s="556"/>
      <c r="CF2601" s="2"/>
    </row>
    <row r="2602" spans="3:84">
      <c r="C2602" s="2"/>
      <c r="AD2602" s="502"/>
      <c r="AE2602" s="911"/>
      <c r="AF2602" s="502"/>
      <c r="AH2602" s="898"/>
      <c r="AI2602" s="502"/>
      <c r="AJ2602" s="502"/>
      <c r="AL2602" s="434"/>
      <c r="AM2602" s="436"/>
      <c r="AN2602" s="434"/>
      <c r="AO2602" s="434"/>
      <c r="AP2602" s="556"/>
      <c r="AQ2602" s="556"/>
      <c r="AR2602" s="556"/>
      <c r="CF2602" s="2"/>
    </row>
    <row r="2603" spans="3:84">
      <c r="C2603" s="2"/>
      <c r="AD2603" s="502"/>
      <c r="AE2603" s="911"/>
      <c r="AF2603" s="502"/>
      <c r="AH2603" s="898"/>
      <c r="AI2603" s="502"/>
      <c r="AJ2603" s="502"/>
      <c r="AL2603" s="434"/>
      <c r="AM2603" s="436"/>
      <c r="AN2603" s="434"/>
      <c r="AO2603" s="434"/>
      <c r="AP2603" s="556"/>
      <c r="AQ2603" s="556"/>
      <c r="AR2603" s="556"/>
      <c r="CF2603" s="2"/>
    </row>
    <row r="2604" spans="3:84">
      <c r="C2604" s="2"/>
      <c r="AD2604" s="502"/>
      <c r="AE2604" s="911"/>
      <c r="AF2604" s="502"/>
      <c r="AH2604" s="898"/>
      <c r="AI2604" s="502"/>
      <c r="AJ2604" s="502"/>
      <c r="AL2604" s="434"/>
      <c r="AM2604" s="436"/>
      <c r="AN2604" s="434"/>
      <c r="AO2604" s="434"/>
      <c r="AP2604" s="556"/>
      <c r="AQ2604" s="556"/>
      <c r="AR2604" s="556"/>
      <c r="CF2604" s="2"/>
    </row>
    <row r="2605" spans="3:84">
      <c r="C2605" s="2"/>
      <c r="AD2605" s="502"/>
      <c r="AE2605" s="911"/>
      <c r="AF2605" s="502"/>
      <c r="AH2605" s="898"/>
      <c r="AI2605" s="502"/>
      <c r="AJ2605" s="502"/>
      <c r="AL2605" s="434"/>
      <c r="AM2605" s="436"/>
      <c r="AN2605" s="434"/>
      <c r="AO2605" s="434"/>
      <c r="AP2605" s="556"/>
      <c r="AQ2605" s="556"/>
      <c r="AR2605" s="556"/>
      <c r="CF2605" s="2"/>
    </row>
    <row r="2606" spans="3:84">
      <c r="C2606" s="2"/>
      <c r="AD2606" s="502"/>
      <c r="AE2606" s="911"/>
      <c r="AF2606" s="502"/>
      <c r="AH2606" s="898"/>
      <c r="AI2606" s="502"/>
      <c r="AJ2606" s="502"/>
      <c r="AL2606" s="434"/>
      <c r="AM2606" s="436"/>
      <c r="AN2606" s="434"/>
      <c r="AO2606" s="434"/>
      <c r="AP2606" s="556"/>
      <c r="AQ2606" s="556"/>
      <c r="AR2606" s="556"/>
      <c r="CF2606" s="2"/>
    </row>
    <row r="2607" spans="3:84">
      <c r="C2607" s="2"/>
      <c r="AD2607" s="502"/>
      <c r="AE2607" s="911"/>
      <c r="AF2607" s="502"/>
      <c r="AH2607" s="898"/>
      <c r="AI2607" s="502"/>
      <c r="AJ2607" s="502"/>
      <c r="AL2607" s="434"/>
      <c r="AM2607" s="436"/>
      <c r="AN2607" s="434"/>
      <c r="AO2607" s="434"/>
      <c r="AP2607" s="556"/>
      <c r="AQ2607" s="556"/>
      <c r="AR2607" s="556"/>
      <c r="CF2607" s="2"/>
    </row>
    <row r="2608" spans="3:84">
      <c r="C2608" s="2"/>
      <c r="AD2608" s="502"/>
      <c r="AE2608" s="911"/>
      <c r="AF2608" s="502"/>
      <c r="AH2608" s="898"/>
      <c r="AI2608" s="502"/>
      <c r="AJ2608" s="502"/>
      <c r="AL2608" s="434"/>
      <c r="AM2608" s="436"/>
      <c r="AN2608" s="434"/>
      <c r="AO2608" s="434"/>
      <c r="AP2608" s="556"/>
      <c r="AQ2608" s="556"/>
      <c r="AR2608" s="556"/>
      <c r="CF2608" s="2"/>
    </row>
    <row r="2609" spans="3:84">
      <c r="C2609" s="2"/>
      <c r="AD2609" s="502"/>
      <c r="AE2609" s="911"/>
      <c r="AF2609" s="502"/>
      <c r="AH2609" s="898"/>
      <c r="AI2609" s="502"/>
      <c r="AJ2609" s="502"/>
      <c r="AL2609" s="434"/>
      <c r="AM2609" s="436"/>
      <c r="AN2609" s="434"/>
      <c r="AO2609" s="434"/>
      <c r="AP2609" s="556"/>
      <c r="AQ2609" s="556"/>
      <c r="AR2609" s="556"/>
      <c r="CF2609" s="2"/>
    </row>
    <row r="2610" spans="3:84">
      <c r="C2610" s="2"/>
      <c r="AD2610" s="502"/>
      <c r="AE2610" s="911"/>
      <c r="AF2610" s="502"/>
      <c r="AH2610" s="898"/>
      <c r="AI2610" s="502"/>
      <c r="AJ2610" s="502"/>
      <c r="AL2610" s="434"/>
      <c r="AM2610" s="436"/>
      <c r="AN2610" s="434"/>
      <c r="AO2610" s="434"/>
      <c r="AP2610" s="556"/>
      <c r="AQ2610" s="556"/>
      <c r="AR2610" s="556"/>
      <c r="CF2610" s="2"/>
    </row>
    <row r="2611" spans="3:84">
      <c r="C2611" s="2"/>
      <c r="AD2611" s="502"/>
      <c r="AE2611" s="911"/>
      <c r="AF2611" s="502"/>
      <c r="AH2611" s="898"/>
      <c r="AI2611" s="502"/>
      <c r="AJ2611" s="502"/>
      <c r="AL2611" s="434"/>
      <c r="AM2611" s="436"/>
      <c r="AN2611" s="434"/>
      <c r="AO2611" s="434"/>
      <c r="AP2611" s="556"/>
      <c r="AQ2611" s="556"/>
      <c r="AR2611" s="556"/>
      <c r="CF2611" s="2"/>
    </row>
    <row r="2612" spans="3:84">
      <c r="C2612" s="2"/>
      <c r="AD2612" s="502"/>
      <c r="AE2612" s="911"/>
      <c r="AF2612" s="502"/>
      <c r="AH2612" s="898"/>
      <c r="AI2612" s="502"/>
      <c r="AJ2612" s="502"/>
      <c r="AL2612" s="434"/>
      <c r="AM2612" s="436"/>
      <c r="AN2612" s="434"/>
      <c r="AO2612" s="434"/>
      <c r="AP2612" s="556"/>
      <c r="AQ2612" s="556"/>
      <c r="AR2612" s="556"/>
      <c r="CF2612" s="2"/>
    </row>
    <row r="2613" spans="3:84">
      <c r="C2613" s="2"/>
      <c r="AD2613" s="502"/>
      <c r="AE2613" s="911"/>
      <c r="AF2613" s="502"/>
      <c r="AH2613" s="898"/>
      <c r="AI2613" s="502"/>
      <c r="AJ2613" s="502"/>
      <c r="AL2613" s="434"/>
      <c r="AM2613" s="436"/>
      <c r="AN2613" s="434"/>
      <c r="AO2613" s="434"/>
      <c r="AP2613" s="556"/>
      <c r="AQ2613" s="556"/>
      <c r="AR2613" s="556"/>
      <c r="CF2613" s="2"/>
    </row>
    <row r="2614" spans="3:84">
      <c r="C2614" s="2"/>
      <c r="AD2614" s="502"/>
      <c r="AE2614" s="911"/>
      <c r="AF2614" s="502"/>
      <c r="AH2614" s="898"/>
      <c r="AI2614" s="502"/>
      <c r="AJ2614" s="502"/>
      <c r="AL2614" s="434"/>
      <c r="AM2614" s="436"/>
      <c r="AN2614" s="434"/>
      <c r="AO2614" s="434"/>
      <c r="AP2614" s="556"/>
      <c r="AQ2614" s="556"/>
      <c r="AR2614" s="556"/>
      <c r="CF2614" s="2"/>
    </row>
    <row r="2615" spans="3:84">
      <c r="C2615" s="2"/>
      <c r="AD2615" s="502"/>
      <c r="AE2615" s="911"/>
      <c r="AF2615" s="502"/>
      <c r="AH2615" s="898"/>
      <c r="AI2615" s="502"/>
      <c r="AJ2615" s="502"/>
      <c r="AL2615" s="434"/>
      <c r="AM2615" s="436"/>
      <c r="AN2615" s="434"/>
      <c r="AO2615" s="434"/>
      <c r="AP2615" s="556"/>
      <c r="AQ2615" s="556"/>
      <c r="AR2615" s="556"/>
      <c r="CF2615" s="2"/>
    </row>
    <row r="2616" spans="3:84">
      <c r="C2616" s="2"/>
      <c r="AD2616" s="502"/>
      <c r="AE2616" s="911"/>
      <c r="AF2616" s="502"/>
      <c r="AH2616" s="898"/>
      <c r="AI2616" s="502"/>
      <c r="AJ2616" s="502"/>
      <c r="AL2616" s="434"/>
      <c r="AM2616" s="436"/>
      <c r="AN2616" s="434"/>
      <c r="AO2616" s="434"/>
      <c r="AP2616" s="556"/>
      <c r="AQ2616" s="556"/>
      <c r="AR2616" s="556"/>
      <c r="CF2616" s="2"/>
    </row>
    <row r="2617" spans="3:84">
      <c r="C2617" s="2"/>
      <c r="AD2617" s="502"/>
      <c r="AE2617" s="911"/>
      <c r="AF2617" s="502"/>
      <c r="AH2617" s="898"/>
      <c r="AI2617" s="502"/>
      <c r="AJ2617" s="502"/>
      <c r="AL2617" s="434"/>
      <c r="AM2617" s="436"/>
      <c r="AN2617" s="434"/>
      <c r="AO2617" s="434"/>
      <c r="AP2617" s="556"/>
      <c r="AQ2617" s="556"/>
      <c r="AR2617" s="556"/>
      <c r="CF2617" s="2"/>
    </row>
    <row r="2618" spans="3:84">
      <c r="C2618" s="2"/>
      <c r="AD2618" s="502"/>
      <c r="AE2618" s="911"/>
      <c r="AF2618" s="502"/>
      <c r="AH2618" s="898"/>
      <c r="AI2618" s="502"/>
      <c r="AJ2618" s="502"/>
      <c r="AL2618" s="434"/>
      <c r="AM2618" s="436"/>
      <c r="AN2618" s="434"/>
      <c r="AO2618" s="434"/>
      <c r="AP2618" s="556"/>
      <c r="AQ2618" s="556"/>
      <c r="AR2618" s="556"/>
      <c r="CF2618" s="2"/>
    </row>
    <row r="2619" spans="3:84">
      <c r="C2619" s="2"/>
      <c r="AD2619" s="502"/>
      <c r="AE2619" s="911"/>
      <c r="AF2619" s="502"/>
      <c r="AH2619" s="898"/>
      <c r="AI2619" s="502"/>
      <c r="AJ2619" s="502"/>
      <c r="AL2619" s="434"/>
      <c r="AM2619" s="436"/>
      <c r="AN2619" s="434"/>
      <c r="AO2619" s="434"/>
      <c r="AP2619" s="556"/>
      <c r="AQ2619" s="556"/>
      <c r="AR2619" s="556"/>
      <c r="CF2619" s="2"/>
    </row>
    <row r="2620" spans="3:84">
      <c r="C2620" s="2"/>
      <c r="AD2620" s="502"/>
      <c r="AE2620" s="911"/>
      <c r="AF2620" s="502"/>
      <c r="AH2620" s="898"/>
      <c r="AI2620" s="502"/>
      <c r="AJ2620" s="502"/>
      <c r="AL2620" s="434"/>
      <c r="AM2620" s="436"/>
      <c r="AN2620" s="434"/>
      <c r="AO2620" s="434"/>
      <c r="AP2620" s="556"/>
      <c r="AQ2620" s="556"/>
      <c r="AR2620" s="556"/>
      <c r="CF2620" s="2"/>
    </row>
    <row r="2621" spans="3:84">
      <c r="C2621" s="2"/>
      <c r="AD2621" s="502"/>
      <c r="AE2621" s="911"/>
      <c r="AF2621" s="502"/>
      <c r="AH2621" s="898"/>
      <c r="AI2621" s="502"/>
      <c r="AJ2621" s="502"/>
      <c r="AL2621" s="434"/>
      <c r="AM2621" s="436"/>
      <c r="AN2621" s="434"/>
      <c r="AO2621" s="434"/>
      <c r="AP2621" s="556"/>
      <c r="AQ2621" s="556"/>
      <c r="AR2621" s="556"/>
      <c r="CF2621" s="2"/>
    </row>
    <row r="2622" spans="3:84">
      <c r="C2622" s="2"/>
      <c r="AD2622" s="502"/>
      <c r="AE2622" s="911"/>
      <c r="AF2622" s="502"/>
      <c r="AH2622" s="898"/>
      <c r="AI2622" s="502"/>
      <c r="AJ2622" s="502"/>
      <c r="AL2622" s="434"/>
      <c r="AM2622" s="436"/>
      <c r="AN2622" s="434"/>
      <c r="AO2622" s="434"/>
      <c r="AP2622" s="556"/>
      <c r="AQ2622" s="556"/>
      <c r="AR2622" s="556"/>
      <c r="CF2622" s="2"/>
    </row>
    <row r="2623" spans="3:84">
      <c r="C2623" s="2"/>
      <c r="AD2623" s="502"/>
      <c r="AE2623" s="911"/>
      <c r="AF2623" s="502"/>
      <c r="AH2623" s="898"/>
      <c r="AI2623" s="502"/>
      <c r="AJ2623" s="502"/>
      <c r="AL2623" s="434"/>
      <c r="AM2623" s="436"/>
      <c r="AN2623" s="434"/>
      <c r="AO2623" s="434"/>
      <c r="AP2623" s="556"/>
      <c r="AQ2623" s="556"/>
      <c r="AR2623" s="556"/>
      <c r="CF2623" s="2"/>
    </row>
    <row r="2624" spans="3:84">
      <c r="C2624" s="2"/>
      <c r="AD2624" s="502"/>
      <c r="AE2624" s="911"/>
      <c r="AF2624" s="502"/>
      <c r="AH2624" s="898"/>
      <c r="AI2624" s="502"/>
      <c r="AJ2624" s="502"/>
      <c r="AL2624" s="434"/>
      <c r="AM2624" s="436"/>
      <c r="AN2624" s="434"/>
      <c r="AO2624" s="434"/>
      <c r="AP2624" s="556"/>
      <c r="AQ2624" s="556"/>
      <c r="AR2624" s="556"/>
      <c r="CF2624" s="2"/>
    </row>
    <row r="2625" spans="3:84">
      <c r="C2625" s="2"/>
      <c r="AD2625" s="502"/>
      <c r="AE2625" s="911"/>
      <c r="AF2625" s="502"/>
      <c r="AH2625" s="898"/>
      <c r="AI2625" s="502"/>
      <c r="AJ2625" s="502"/>
      <c r="AL2625" s="434"/>
      <c r="AM2625" s="436"/>
      <c r="AN2625" s="434"/>
      <c r="AO2625" s="434"/>
      <c r="AP2625" s="556"/>
      <c r="AQ2625" s="556"/>
      <c r="AR2625" s="556"/>
      <c r="CF2625" s="2"/>
    </row>
    <row r="2626" spans="3:84">
      <c r="C2626" s="2"/>
      <c r="AD2626" s="502"/>
      <c r="AE2626" s="911"/>
      <c r="AF2626" s="502"/>
      <c r="AH2626" s="898"/>
      <c r="AI2626" s="502"/>
      <c r="AJ2626" s="502"/>
      <c r="AL2626" s="434"/>
      <c r="AM2626" s="436"/>
      <c r="AN2626" s="434"/>
      <c r="AO2626" s="434"/>
      <c r="AP2626" s="556"/>
      <c r="AQ2626" s="556"/>
      <c r="AR2626" s="556"/>
      <c r="CF2626" s="2"/>
    </row>
    <row r="2627" spans="3:84">
      <c r="C2627" s="2"/>
      <c r="AD2627" s="502"/>
      <c r="AE2627" s="911"/>
      <c r="AF2627" s="502"/>
      <c r="AH2627" s="898"/>
      <c r="AI2627" s="502"/>
      <c r="AJ2627" s="502"/>
      <c r="AL2627" s="434"/>
      <c r="AM2627" s="436"/>
      <c r="AN2627" s="434"/>
      <c r="AO2627" s="434"/>
      <c r="AP2627" s="556"/>
      <c r="AQ2627" s="556"/>
      <c r="AR2627" s="556"/>
      <c r="CF2627" s="2"/>
    </row>
    <row r="2628" spans="3:84">
      <c r="C2628" s="2"/>
      <c r="AD2628" s="502"/>
      <c r="AE2628" s="911"/>
      <c r="AF2628" s="502"/>
      <c r="AH2628" s="898"/>
      <c r="AI2628" s="502"/>
      <c r="AJ2628" s="502"/>
      <c r="AL2628" s="434"/>
      <c r="AM2628" s="436"/>
      <c r="AN2628" s="434"/>
      <c r="AO2628" s="434"/>
      <c r="AP2628" s="556"/>
      <c r="AQ2628" s="556"/>
      <c r="AR2628" s="556"/>
      <c r="CF2628" s="2"/>
    </row>
    <row r="2629" spans="3:84">
      <c r="C2629" s="2"/>
      <c r="AD2629" s="502"/>
      <c r="AE2629" s="911"/>
      <c r="AF2629" s="502"/>
      <c r="AH2629" s="898"/>
      <c r="AI2629" s="502"/>
      <c r="AJ2629" s="502"/>
      <c r="AL2629" s="434"/>
      <c r="AM2629" s="436"/>
      <c r="AN2629" s="434"/>
      <c r="AO2629" s="434"/>
      <c r="AP2629" s="556"/>
      <c r="AQ2629" s="556"/>
      <c r="AR2629" s="556"/>
      <c r="CF2629" s="2"/>
    </row>
    <row r="2630" spans="3:84">
      <c r="C2630" s="2"/>
      <c r="AD2630" s="502"/>
      <c r="AE2630" s="911"/>
      <c r="AF2630" s="502"/>
      <c r="AH2630" s="898"/>
      <c r="AI2630" s="502"/>
      <c r="AJ2630" s="502"/>
      <c r="AL2630" s="434"/>
      <c r="AM2630" s="436"/>
      <c r="AN2630" s="434"/>
      <c r="AO2630" s="434"/>
      <c r="AP2630" s="556"/>
      <c r="AQ2630" s="556"/>
      <c r="AR2630" s="556"/>
      <c r="CF2630" s="2"/>
    </row>
    <row r="2631" spans="3:84">
      <c r="C2631" s="2"/>
      <c r="AD2631" s="502"/>
      <c r="AE2631" s="911"/>
      <c r="AF2631" s="502"/>
      <c r="AH2631" s="898"/>
      <c r="AI2631" s="502"/>
      <c r="AJ2631" s="502"/>
      <c r="AL2631" s="434"/>
      <c r="AM2631" s="436"/>
      <c r="AN2631" s="434"/>
      <c r="AO2631" s="434"/>
      <c r="AP2631" s="556"/>
      <c r="AQ2631" s="556"/>
      <c r="AR2631" s="556"/>
      <c r="CF2631" s="2"/>
    </row>
    <row r="2632" spans="3:84">
      <c r="C2632" s="2"/>
      <c r="AD2632" s="502"/>
      <c r="AE2632" s="911"/>
      <c r="AF2632" s="502"/>
      <c r="AH2632" s="898"/>
      <c r="AI2632" s="502"/>
      <c r="AJ2632" s="502"/>
      <c r="AL2632" s="434"/>
      <c r="AM2632" s="436"/>
      <c r="AN2632" s="434"/>
      <c r="AO2632" s="434"/>
      <c r="AP2632" s="556"/>
      <c r="AQ2632" s="556"/>
      <c r="AR2632" s="556"/>
      <c r="CF2632" s="2"/>
    </row>
    <row r="2633" spans="3:84">
      <c r="C2633" s="2"/>
      <c r="AD2633" s="502"/>
      <c r="AE2633" s="911"/>
      <c r="AF2633" s="502"/>
      <c r="AH2633" s="898"/>
      <c r="AI2633" s="502"/>
      <c r="AJ2633" s="502"/>
      <c r="AL2633" s="434"/>
      <c r="AM2633" s="436"/>
      <c r="AN2633" s="434"/>
      <c r="AO2633" s="434"/>
      <c r="AP2633" s="556"/>
      <c r="AQ2633" s="556"/>
      <c r="AR2633" s="556"/>
      <c r="CF2633" s="2"/>
    </row>
    <row r="2634" spans="3:84">
      <c r="C2634" s="2"/>
      <c r="AD2634" s="502"/>
      <c r="AE2634" s="911"/>
      <c r="AF2634" s="502"/>
      <c r="AH2634" s="898"/>
      <c r="AI2634" s="502"/>
      <c r="AJ2634" s="502"/>
      <c r="AL2634" s="434"/>
      <c r="AM2634" s="436"/>
      <c r="AN2634" s="434"/>
      <c r="AO2634" s="434"/>
      <c r="AP2634" s="556"/>
      <c r="AQ2634" s="556"/>
      <c r="AR2634" s="556"/>
      <c r="CF2634" s="2"/>
    </row>
    <row r="2635" spans="3:84">
      <c r="C2635" s="2"/>
      <c r="AD2635" s="502"/>
      <c r="AE2635" s="911"/>
      <c r="AF2635" s="502"/>
      <c r="AH2635" s="898"/>
      <c r="AI2635" s="502"/>
      <c r="AJ2635" s="502"/>
      <c r="AL2635" s="434"/>
      <c r="AM2635" s="436"/>
      <c r="AN2635" s="434"/>
      <c r="AO2635" s="434"/>
      <c r="AP2635" s="556"/>
      <c r="AQ2635" s="556"/>
      <c r="AR2635" s="556"/>
      <c r="CF2635" s="2"/>
    </row>
    <row r="2636" spans="3:84">
      <c r="C2636" s="2"/>
      <c r="AD2636" s="502"/>
      <c r="AE2636" s="911"/>
      <c r="AF2636" s="502"/>
      <c r="AH2636" s="898"/>
      <c r="AI2636" s="502"/>
      <c r="AJ2636" s="502"/>
      <c r="AL2636" s="434"/>
      <c r="AM2636" s="436"/>
      <c r="AN2636" s="434"/>
      <c r="AO2636" s="434"/>
      <c r="AP2636" s="556"/>
      <c r="AQ2636" s="556"/>
      <c r="AR2636" s="556"/>
      <c r="CF2636" s="2"/>
    </row>
    <row r="2637" spans="3:84">
      <c r="C2637" s="2"/>
      <c r="AD2637" s="502"/>
      <c r="AE2637" s="911"/>
      <c r="AF2637" s="502"/>
      <c r="AH2637" s="898"/>
      <c r="AI2637" s="502"/>
      <c r="AJ2637" s="502"/>
      <c r="AL2637" s="434"/>
      <c r="AM2637" s="436"/>
      <c r="AN2637" s="434"/>
      <c r="AO2637" s="434"/>
      <c r="AP2637" s="556"/>
      <c r="AQ2637" s="556"/>
      <c r="AR2637" s="556"/>
      <c r="CF2637" s="2"/>
    </row>
    <row r="2638" spans="3:84">
      <c r="C2638" s="2"/>
      <c r="AD2638" s="502"/>
      <c r="AE2638" s="911"/>
      <c r="AF2638" s="502"/>
      <c r="AH2638" s="898"/>
      <c r="AI2638" s="502"/>
      <c r="AJ2638" s="502"/>
      <c r="AL2638" s="434"/>
      <c r="AM2638" s="436"/>
      <c r="AN2638" s="434"/>
      <c r="AO2638" s="434"/>
      <c r="AP2638" s="556"/>
      <c r="AQ2638" s="556"/>
      <c r="AR2638" s="556"/>
      <c r="CF2638" s="2"/>
    </row>
    <row r="2639" spans="3:84">
      <c r="C2639" s="2"/>
      <c r="AD2639" s="502"/>
      <c r="AE2639" s="911"/>
      <c r="AF2639" s="502"/>
      <c r="AH2639" s="898"/>
      <c r="AI2639" s="502"/>
      <c r="AJ2639" s="502"/>
      <c r="AL2639" s="434"/>
      <c r="AM2639" s="436"/>
      <c r="AN2639" s="434"/>
      <c r="AO2639" s="434"/>
      <c r="AP2639" s="556"/>
      <c r="AQ2639" s="556"/>
      <c r="AR2639" s="556"/>
      <c r="CF2639" s="2"/>
    </row>
    <row r="2640" spans="3:84">
      <c r="C2640" s="2"/>
      <c r="AD2640" s="502"/>
      <c r="AE2640" s="911"/>
      <c r="AF2640" s="502"/>
      <c r="AH2640" s="898"/>
      <c r="AI2640" s="502"/>
      <c r="AJ2640" s="502"/>
      <c r="AL2640" s="434"/>
      <c r="AM2640" s="436"/>
      <c r="AN2640" s="434"/>
      <c r="AO2640" s="434"/>
      <c r="AP2640" s="556"/>
      <c r="AQ2640" s="556"/>
      <c r="AR2640" s="556"/>
      <c r="CF2640" s="2"/>
    </row>
    <row r="2641" spans="3:84">
      <c r="C2641" s="2"/>
      <c r="AD2641" s="502"/>
      <c r="AE2641" s="911"/>
      <c r="AF2641" s="502"/>
      <c r="AH2641" s="898"/>
      <c r="AI2641" s="502"/>
      <c r="AJ2641" s="502"/>
      <c r="AL2641" s="434"/>
      <c r="AM2641" s="436"/>
      <c r="AN2641" s="434"/>
      <c r="AO2641" s="434"/>
      <c r="AP2641" s="556"/>
      <c r="AQ2641" s="556"/>
      <c r="AR2641" s="556"/>
      <c r="CF2641" s="2"/>
    </row>
    <row r="2642" spans="3:84">
      <c r="C2642" s="2"/>
      <c r="AD2642" s="502"/>
      <c r="AE2642" s="911"/>
      <c r="AF2642" s="502"/>
      <c r="AH2642" s="898"/>
      <c r="AI2642" s="502"/>
      <c r="AJ2642" s="502"/>
      <c r="AL2642" s="434"/>
      <c r="AM2642" s="436"/>
      <c r="AN2642" s="434"/>
      <c r="AO2642" s="434"/>
      <c r="AP2642" s="556"/>
      <c r="AQ2642" s="556"/>
      <c r="AR2642" s="556"/>
      <c r="CF2642" s="2"/>
    </row>
    <row r="2643" spans="3:84">
      <c r="C2643" s="2"/>
      <c r="AD2643" s="502"/>
      <c r="AE2643" s="911"/>
      <c r="AF2643" s="502"/>
      <c r="AH2643" s="898"/>
      <c r="AI2643" s="502"/>
      <c r="AJ2643" s="502"/>
      <c r="AL2643" s="434"/>
      <c r="AM2643" s="436"/>
      <c r="AN2643" s="434"/>
      <c r="AO2643" s="434"/>
      <c r="AP2643" s="556"/>
      <c r="AQ2643" s="556"/>
      <c r="AR2643" s="556"/>
      <c r="CF2643" s="2"/>
    </row>
    <row r="2644" spans="3:84">
      <c r="C2644" s="2"/>
      <c r="AD2644" s="502"/>
      <c r="AE2644" s="911"/>
      <c r="AF2644" s="502"/>
      <c r="AH2644" s="898"/>
      <c r="AI2644" s="502"/>
      <c r="AJ2644" s="502"/>
      <c r="AL2644" s="434"/>
      <c r="AM2644" s="436"/>
      <c r="AN2644" s="434"/>
      <c r="AO2644" s="434"/>
      <c r="AP2644" s="556"/>
      <c r="AQ2644" s="556"/>
      <c r="AR2644" s="556"/>
      <c r="CF2644" s="2"/>
    </row>
    <row r="2645" spans="3:84">
      <c r="C2645" s="2"/>
      <c r="AD2645" s="502"/>
      <c r="AE2645" s="911"/>
      <c r="AF2645" s="502"/>
      <c r="AH2645" s="898"/>
      <c r="AI2645" s="502"/>
      <c r="AJ2645" s="502"/>
      <c r="AL2645" s="434"/>
      <c r="AM2645" s="436"/>
      <c r="AN2645" s="434"/>
      <c r="AO2645" s="434"/>
      <c r="AP2645" s="556"/>
      <c r="AQ2645" s="556"/>
      <c r="AR2645" s="556"/>
      <c r="CF2645" s="2"/>
    </row>
    <row r="2646" spans="3:84">
      <c r="C2646" s="2"/>
      <c r="AD2646" s="502"/>
      <c r="AE2646" s="911"/>
      <c r="AF2646" s="502"/>
      <c r="AH2646" s="898"/>
      <c r="AI2646" s="502"/>
      <c r="AJ2646" s="502"/>
      <c r="AL2646" s="434"/>
      <c r="AM2646" s="436"/>
      <c r="AN2646" s="434"/>
      <c r="AO2646" s="434"/>
      <c r="AP2646" s="556"/>
      <c r="AQ2646" s="556"/>
      <c r="AR2646" s="556"/>
      <c r="CF2646" s="2"/>
    </row>
    <row r="2647" spans="3:84">
      <c r="C2647" s="2"/>
      <c r="AD2647" s="502"/>
      <c r="AE2647" s="911"/>
      <c r="AF2647" s="502"/>
      <c r="AH2647" s="898"/>
      <c r="AI2647" s="502"/>
      <c r="AJ2647" s="502"/>
      <c r="AL2647" s="434"/>
      <c r="AM2647" s="436"/>
      <c r="AN2647" s="434"/>
      <c r="AO2647" s="434"/>
      <c r="AP2647" s="556"/>
      <c r="AQ2647" s="556"/>
      <c r="AR2647" s="556"/>
      <c r="CF2647" s="2"/>
    </row>
    <row r="2648" spans="3:84">
      <c r="C2648" s="2"/>
      <c r="AD2648" s="502"/>
      <c r="AE2648" s="911"/>
      <c r="AF2648" s="502"/>
      <c r="AH2648" s="898"/>
      <c r="AI2648" s="502"/>
      <c r="AJ2648" s="502"/>
      <c r="AL2648" s="434"/>
      <c r="AM2648" s="436"/>
      <c r="AN2648" s="434"/>
      <c r="AO2648" s="434"/>
      <c r="AP2648" s="556"/>
      <c r="AQ2648" s="556"/>
      <c r="AR2648" s="556"/>
      <c r="CF2648" s="2"/>
    </row>
    <row r="2649" spans="3:84">
      <c r="C2649" s="2"/>
      <c r="AD2649" s="502"/>
      <c r="AE2649" s="911"/>
      <c r="AF2649" s="502"/>
      <c r="AH2649" s="898"/>
      <c r="AI2649" s="502"/>
      <c r="AJ2649" s="502"/>
      <c r="AL2649" s="434"/>
      <c r="AM2649" s="436"/>
      <c r="AN2649" s="434"/>
      <c r="AO2649" s="434"/>
      <c r="AP2649" s="556"/>
      <c r="AQ2649" s="556"/>
      <c r="AR2649" s="556"/>
      <c r="CF2649" s="2"/>
    </row>
    <row r="2650" spans="3:84">
      <c r="C2650" s="2"/>
      <c r="AD2650" s="502"/>
      <c r="AE2650" s="911"/>
      <c r="AF2650" s="502"/>
      <c r="AH2650" s="898"/>
      <c r="AI2650" s="502"/>
      <c r="AJ2650" s="502"/>
      <c r="AL2650" s="434"/>
      <c r="AM2650" s="436"/>
      <c r="AN2650" s="434"/>
      <c r="AO2650" s="434"/>
      <c r="AP2650" s="556"/>
      <c r="AQ2650" s="556"/>
      <c r="AR2650" s="556"/>
      <c r="CF2650" s="2"/>
    </row>
    <row r="2651" spans="3:84">
      <c r="C2651" s="2"/>
      <c r="AD2651" s="502"/>
      <c r="AE2651" s="911"/>
      <c r="AF2651" s="502"/>
      <c r="AH2651" s="898"/>
      <c r="AI2651" s="502"/>
      <c r="AJ2651" s="502"/>
      <c r="AL2651" s="434"/>
      <c r="AM2651" s="436"/>
      <c r="AN2651" s="434"/>
      <c r="AO2651" s="434"/>
      <c r="AP2651" s="556"/>
      <c r="AQ2651" s="556"/>
      <c r="AR2651" s="556"/>
      <c r="CF2651" s="2"/>
    </row>
    <row r="2652" spans="3:84">
      <c r="C2652" s="2"/>
      <c r="AD2652" s="502"/>
      <c r="AE2652" s="911"/>
      <c r="AF2652" s="502"/>
      <c r="AH2652" s="898"/>
      <c r="AI2652" s="502"/>
      <c r="AJ2652" s="502"/>
      <c r="AL2652" s="434"/>
      <c r="AM2652" s="436"/>
      <c r="AN2652" s="434"/>
      <c r="AO2652" s="434"/>
      <c r="AP2652" s="556"/>
      <c r="AQ2652" s="556"/>
      <c r="AR2652" s="556"/>
      <c r="CF2652" s="2"/>
    </row>
    <row r="2653" spans="3:84">
      <c r="C2653" s="2"/>
      <c r="AD2653" s="502"/>
      <c r="AE2653" s="911"/>
      <c r="AF2653" s="502"/>
      <c r="AH2653" s="898"/>
      <c r="AI2653" s="502"/>
      <c r="AJ2653" s="502"/>
      <c r="AL2653" s="434"/>
      <c r="AM2653" s="436"/>
      <c r="AN2653" s="434"/>
      <c r="AO2653" s="434"/>
      <c r="AP2653" s="556"/>
      <c r="AQ2653" s="556"/>
      <c r="AR2653" s="556"/>
      <c r="CF2653" s="2"/>
    </row>
    <row r="2654" spans="3:84">
      <c r="C2654" s="2"/>
      <c r="AD2654" s="502"/>
      <c r="AE2654" s="911"/>
      <c r="AF2654" s="502"/>
      <c r="AH2654" s="898"/>
      <c r="AI2654" s="502"/>
      <c r="AJ2654" s="502"/>
      <c r="AL2654" s="434"/>
      <c r="AM2654" s="436"/>
      <c r="AN2654" s="434"/>
      <c r="AO2654" s="434"/>
      <c r="AP2654" s="556"/>
      <c r="AQ2654" s="556"/>
      <c r="AR2654" s="556"/>
      <c r="CF2654" s="2"/>
    </row>
    <row r="2655" spans="3:84">
      <c r="C2655" s="2"/>
      <c r="AD2655" s="502"/>
      <c r="AE2655" s="911"/>
      <c r="AF2655" s="502"/>
      <c r="AH2655" s="898"/>
      <c r="AI2655" s="502"/>
      <c r="AJ2655" s="502"/>
      <c r="AL2655" s="434"/>
      <c r="AM2655" s="436"/>
      <c r="AN2655" s="434"/>
      <c r="AO2655" s="434"/>
      <c r="AP2655" s="556"/>
      <c r="AQ2655" s="556"/>
      <c r="AR2655" s="556"/>
      <c r="CF2655" s="2"/>
    </row>
    <row r="2656" spans="3:84">
      <c r="C2656" s="2"/>
      <c r="AD2656" s="502"/>
      <c r="AE2656" s="911"/>
      <c r="AF2656" s="502"/>
      <c r="AH2656" s="898"/>
      <c r="AI2656" s="502"/>
      <c r="AJ2656" s="502"/>
      <c r="AL2656" s="434"/>
      <c r="AM2656" s="436"/>
      <c r="AN2656" s="434"/>
      <c r="AO2656" s="434"/>
      <c r="AP2656" s="556"/>
      <c r="AQ2656" s="556"/>
      <c r="AR2656" s="556"/>
      <c r="CF2656" s="2"/>
    </row>
    <row r="2657" spans="3:84">
      <c r="C2657" s="2"/>
      <c r="AD2657" s="502"/>
      <c r="AE2657" s="911"/>
      <c r="AF2657" s="502"/>
      <c r="AH2657" s="898"/>
      <c r="AI2657" s="502"/>
      <c r="AJ2657" s="502"/>
      <c r="AL2657" s="434"/>
      <c r="AM2657" s="436"/>
      <c r="AN2657" s="434"/>
      <c r="AO2657" s="434"/>
      <c r="AP2657" s="556"/>
      <c r="AQ2657" s="556"/>
      <c r="AR2657" s="556"/>
      <c r="CF2657" s="2"/>
    </row>
    <row r="2658" spans="3:84">
      <c r="C2658" s="2"/>
      <c r="AD2658" s="502"/>
      <c r="AE2658" s="911"/>
      <c r="AF2658" s="502"/>
      <c r="AH2658" s="898"/>
      <c r="AI2658" s="502"/>
      <c r="AJ2658" s="502"/>
      <c r="AL2658" s="434"/>
      <c r="AM2658" s="436"/>
      <c r="AN2658" s="434"/>
      <c r="AO2658" s="434"/>
      <c r="AP2658" s="556"/>
      <c r="AQ2658" s="556"/>
      <c r="AR2658" s="556"/>
      <c r="CF2658" s="2"/>
    </row>
    <row r="2659" spans="3:84">
      <c r="C2659" s="2"/>
      <c r="AD2659" s="502"/>
      <c r="AE2659" s="911"/>
      <c r="AF2659" s="502"/>
      <c r="AH2659" s="898"/>
      <c r="AI2659" s="502"/>
      <c r="AJ2659" s="502"/>
      <c r="AL2659" s="434"/>
      <c r="AM2659" s="436"/>
      <c r="AN2659" s="434"/>
      <c r="AO2659" s="434"/>
      <c r="AP2659" s="556"/>
      <c r="AQ2659" s="556"/>
      <c r="AR2659" s="556"/>
      <c r="CF2659" s="2"/>
    </row>
    <row r="2660" spans="3:84">
      <c r="C2660" s="2"/>
      <c r="AD2660" s="502"/>
      <c r="AE2660" s="911"/>
      <c r="AF2660" s="502"/>
      <c r="AH2660" s="898"/>
      <c r="AI2660" s="502"/>
      <c r="AJ2660" s="502"/>
      <c r="AL2660" s="434"/>
      <c r="AM2660" s="436"/>
      <c r="AN2660" s="434"/>
      <c r="AO2660" s="434"/>
      <c r="AP2660" s="556"/>
      <c r="AQ2660" s="556"/>
      <c r="AR2660" s="556"/>
      <c r="CF2660" s="2"/>
    </row>
    <row r="2661" spans="3:84">
      <c r="C2661" s="2"/>
      <c r="AD2661" s="502"/>
      <c r="AE2661" s="911"/>
      <c r="AF2661" s="502"/>
      <c r="AH2661" s="898"/>
      <c r="AI2661" s="502"/>
      <c r="AJ2661" s="502"/>
      <c r="AL2661" s="434"/>
      <c r="AM2661" s="436"/>
      <c r="AN2661" s="434"/>
      <c r="AO2661" s="434"/>
      <c r="AP2661" s="556"/>
      <c r="AQ2661" s="556"/>
      <c r="AR2661" s="556"/>
      <c r="CF2661" s="2"/>
    </row>
    <row r="2662" spans="3:84">
      <c r="C2662" s="2"/>
      <c r="AD2662" s="502"/>
      <c r="AE2662" s="911"/>
      <c r="AF2662" s="502"/>
      <c r="AH2662" s="898"/>
      <c r="AI2662" s="502"/>
      <c r="AJ2662" s="502"/>
      <c r="AL2662" s="434"/>
      <c r="AM2662" s="436"/>
      <c r="AN2662" s="434"/>
      <c r="AO2662" s="434"/>
      <c r="AP2662" s="556"/>
      <c r="AQ2662" s="556"/>
      <c r="AR2662" s="556"/>
      <c r="CF2662" s="2"/>
    </row>
    <row r="2663" spans="3:84">
      <c r="C2663" s="2"/>
      <c r="AD2663" s="502"/>
      <c r="AE2663" s="911"/>
      <c r="AF2663" s="502"/>
      <c r="AH2663" s="898"/>
      <c r="AI2663" s="502"/>
      <c r="AJ2663" s="502"/>
      <c r="AL2663" s="434"/>
      <c r="AM2663" s="436"/>
      <c r="AN2663" s="434"/>
      <c r="AO2663" s="434"/>
      <c r="AP2663" s="556"/>
      <c r="AQ2663" s="556"/>
      <c r="AR2663" s="556"/>
      <c r="CF2663" s="2"/>
    </row>
    <row r="2664" spans="3:84">
      <c r="C2664" s="2"/>
      <c r="AD2664" s="502"/>
      <c r="AE2664" s="911"/>
      <c r="AF2664" s="502"/>
      <c r="AH2664" s="898"/>
      <c r="AI2664" s="502"/>
      <c r="AJ2664" s="502"/>
      <c r="AL2664" s="434"/>
      <c r="AM2664" s="436"/>
      <c r="AN2664" s="434"/>
      <c r="AO2664" s="434"/>
      <c r="AP2664" s="556"/>
      <c r="AQ2664" s="556"/>
      <c r="AR2664" s="556"/>
      <c r="CF2664" s="2"/>
    </row>
    <row r="2665" spans="3:84">
      <c r="C2665" s="2"/>
      <c r="AD2665" s="502"/>
      <c r="AE2665" s="911"/>
      <c r="AF2665" s="502"/>
      <c r="AH2665" s="898"/>
      <c r="AI2665" s="502"/>
      <c r="AJ2665" s="502"/>
      <c r="AL2665" s="434"/>
      <c r="AM2665" s="436"/>
      <c r="AN2665" s="434"/>
      <c r="AO2665" s="434"/>
      <c r="AP2665" s="556"/>
      <c r="AQ2665" s="556"/>
      <c r="AR2665" s="556"/>
      <c r="CF2665" s="2"/>
    </row>
    <row r="2666" spans="3:84">
      <c r="C2666" s="2"/>
      <c r="AD2666" s="502"/>
      <c r="AE2666" s="911"/>
      <c r="AF2666" s="502"/>
      <c r="AH2666" s="898"/>
      <c r="AI2666" s="502"/>
      <c r="AJ2666" s="502"/>
      <c r="AL2666" s="434"/>
      <c r="AM2666" s="436"/>
      <c r="AN2666" s="434"/>
      <c r="AO2666" s="434"/>
      <c r="AP2666" s="556"/>
      <c r="AQ2666" s="556"/>
      <c r="AR2666" s="556"/>
      <c r="CF2666" s="2"/>
    </row>
    <row r="2667" spans="3:84">
      <c r="C2667" s="2"/>
      <c r="AD2667" s="502"/>
      <c r="AE2667" s="911"/>
      <c r="AF2667" s="502"/>
      <c r="AH2667" s="898"/>
      <c r="AI2667" s="502"/>
      <c r="AJ2667" s="502"/>
      <c r="AL2667" s="434"/>
      <c r="AM2667" s="436"/>
      <c r="AN2667" s="434"/>
      <c r="AO2667" s="434"/>
      <c r="AP2667" s="556"/>
      <c r="AQ2667" s="556"/>
      <c r="AR2667" s="556"/>
      <c r="CF2667" s="2"/>
    </row>
    <row r="2668" spans="3:84">
      <c r="C2668" s="2"/>
      <c r="AD2668" s="502"/>
      <c r="AE2668" s="911"/>
      <c r="AF2668" s="502"/>
      <c r="AH2668" s="898"/>
      <c r="AI2668" s="502"/>
      <c r="AJ2668" s="502"/>
      <c r="AL2668" s="434"/>
      <c r="AM2668" s="436"/>
      <c r="AN2668" s="434"/>
      <c r="AO2668" s="434"/>
      <c r="AP2668" s="556"/>
      <c r="AQ2668" s="556"/>
      <c r="AR2668" s="556"/>
      <c r="CF2668" s="2"/>
    </row>
    <row r="2669" spans="3:84">
      <c r="C2669" s="2"/>
      <c r="AD2669" s="502"/>
      <c r="AE2669" s="911"/>
      <c r="AF2669" s="502"/>
      <c r="AH2669" s="898"/>
      <c r="AI2669" s="502"/>
      <c r="AJ2669" s="502"/>
      <c r="AL2669" s="434"/>
      <c r="AM2669" s="436"/>
      <c r="AN2669" s="434"/>
      <c r="AO2669" s="434"/>
      <c r="AP2669" s="556"/>
      <c r="AQ2669" s="556"/>
      <c r="AR2669" s="556"/>
      <c r="CF2669" s="2"/>
    </row>
    <row r="2670" spans="3:84">
      <c r="C2670" s="2"/>
      <c r="AD2670" s="502"/>
      <c r="AE2670" s="911"/>
      <c r="AF2670" s="502"/>
      <c r="AH2670" s="898"/>
      <c r="AI2670" s="502"/>
      <c r="AJ2670" s="502"/>
      <c r="AL2670" s="434"/>
      <c r="AM2670" s="436"/>
      <c r="AN2670" s="434"/>
      <c r="AO2670" s="434"/>
      <c r="AP2670" s="556"/>
      <c r="AQ2670" s="556"/>
      <c r="AR2670" s="556"/>
      <c r="CF2670" s="2"/>
    </row>
    <row r="2671" spans="3:84">
      <c r="C2671" s="2"/>
      <c r="AD2671" s="502"/>
      <c r="AE2671" s="911"/>
      <c r="AF2671" s="502"/>
      <c r="AH2671" s="898"/>
      <c r="AI2671" s="502"/>
      <c r="AJ2671" s="502"/>
      <c r="AL2671" s="434"/>
      <c r="AM2671" s="436"/>
      <c r="AN2671" s="434"/>
      <c r="AO2671" s="434"/>
      <c r="AP2671" s="556"/>
      <c r="AQ2671" s="556"/>
      <c r="AR2671" s="556"/>
      <c r="CF2671" s="2"/>
    </row>
    <row r="2672" spans="3:84">
      <c r="C2672" s="2"/>
      <c r="AD2672" s="502"/>
      <c r="AE2672" s="911"/>
      <c r="AF2672" s="502"/>
      <c r="AH2672" s="898"/>
      <c r="AI2672" s="502"/>
      <c r="AJ2672" s="502"/>
      <c r="AL2672" s="434"/>
      <c r="AM2672" s="436"/>
      <c r="AN2672" s="434"/>
      <c r="AO2672" s="434"/>
      <c r="AP2672" s="556"/>
      <c r="AQ2672" s="556"/>
      <c r="AR2672" s="556"/>
      <c r="CF2672" s="2"/>
    </row>
    <row r="2673" spans="3:84">
      <c r="C2673" s="2"/>
      <c r="AD2673" s="502"/>
      <c r="AE2673" s="911"/>
      <c r="AF2673" s="502"/>
      <c r="AH2673" s="898"/>
      <c r="AI2673" s="502"/>
      <c r="AJ2673" s="502"/>
      <c r="AL2673" s="434"/>
      <c r="AM2673" s="436"/>
      <c r="AN2673" s="434"/>
      <c r="AO2673" s="434"/>
      <c r="AP2673" s="556"/>
      <c r="AQ2673" s="556"/>
      <c r="AR2673" s="556"/>
      <c r="CF2673" s="2"/>
    </row>
    <row r="2674" spans="3:84">
      <c r="C2674" s="2"/>
      <c r="AD2674" s="502"/>
      <c r="AE2674" s="911"/>
      <c r="AF2674" s="502"/>
      <c r="AH2674" s="898"/>
      <c r="AI2674" s="502"/>
      <c r="AJ2674" s="502"/>
      <c r="AL2674" s="434"/>
      <c r="AM2674" s="436"/>
      <c r="AN2674" s="434"/>
      <c r="AO2674" s="434"/>
      <c r="AP2674" s="556"/>
      <c r="AQ2674" s="556"/>
      <c r="AR2674" s="556"/>
      <c r="CF2674" s="2"/>
    </row>
    <row r="2675" spans="3:84">
      <c r="C2675" s="2"/>
      <c r="AD2675" s="502"/>
      <c r="AE2675" s="911"/>
      <c r="AF2675" s="502"/>
      <c r="AH2675" s="898"/>
      <c r="AI2675" s="502"/>
      <c r="AJ2675" s="502"/>
      <c r="AL2675" s="434"/>
      <c r="AM2675" s="436"/>
      <c r="AN2675" s="434"/>
      <c r="AO2675" s="434"/>
      <c r="AP2675" s="556"/>
      <c r="AQ2675" s="556"/>
      <c r="AR2675" s="556"/>
      <c r="CF2675" s="2"/>
    </row>
    <row r="2676" spans="3:84">
      <c r="C2676" s="2"/>
      <c r="AD2676" s="502"/>
      <c r="AE2676" s="911"/>
      <c r="AF2676" s="502"/>
      <c r="AH2676" s="898"/>
      <c r="AI2676" s="502"/>
      <c r="AJ2676" s="502"/>
      <c r="AL2676" s="434"/>
      <c r="AM2676" s="436"/>
      <c r="AN2676" s="434"/>
      <c r="AO2676" s="434"/>
      <c r="AP2676" s="556"/>
      <c r="AQ2676" s="556"/>
      <c r="AR2676" s="556"/>
      <c r="CF2676" s="2"/>
    </row>
    <row r="2677" spans="3:84">
      <c r="C2677" s="2"/>
      <c r="AD2677" s="502"/>
      <c r="AE2677" s="911"/>
      <c r="AF2677" s="502"/>
      <c r="AH2677" s="898"/>
      <c r="AI2677" s="502"/>
      <c r="AJ2677" s="502"/>
      <c r="AL2677" s="434"/>
      <c r="AM2677" s="436"/>
      <c r="AN2677" s="434"/>
      <c r="AO2677" s="434"/>
      <c r="AP2677" s="556"/>
      <c r="AQ2677" s="556"/>
      <c r="AR2677" s="556"/>
      <c r="CF2677" s="2"/>
    </row>
    <row r="2678" spans="3:84">
      <c r="C2678" s="2"/>
      <c r="AD2678" s="502"/>
      <c r="AE2678" s="911"/>
      <c r="AF2678" s="502"/>
      <c r="AH2678" s="898"/>
      <c r="AI2678" s="502"/>
      <c r="AJ2678" s="502"/>
      <c r="AL2678" s="434"/>
      <c r="AM2678" s="436"/>
      <c r="AN2678" s="434"/>
      <c r="AO2678" s="434"/>
      <c r="AP2678" s="556"/>
      <c r="AQ2678" s="556"/>
      <c r="AR2678" s="556"/>
      <c r="CF2678" s="2"/>
    </row>
    <row r="2679" spans="3:84">
      <c r="C2679" s="2"/>
      <c r="AD2679" s="502"/>
      <c r="AE2679" s="911"/>
      <c r="AF2679" s="502"/>
      <c r="AH2679" s="898"/>
      <c r="AI2679" s="502"/>
      <c r="AJ2679" s="502"/>
      <c r="AL2679" s="434"/>
      <c r="AM2679" s="436"/>
      <c r="AN2679" s="434"/>
      <c r="AO2679" s="434"/>
      <c r="AP2679" s="556"/>
      <c r="AQ2679" s="556"/>
      <c r="AR2679" s="556"/>
      <c r="CF2679" s="2"/>
    </row>
    <row r="2680" spans="3:84">
      <c r="C2680" s="2"/>
      <c r="AD2680" s="502"/>
      <c r="AE2680" s="911"/>
      <c r="AF2680" s="502"/>
      <c r="AH2680" s="898"/>
      <c r="AI2680" s="502"/>
      <c r="AJ2680" s="502"/>
      <c r="AL2680" s="434"/>
      <c r="AM2680" s="436"/>
      <c r="AN2680" s="434"/>
      <c r="AO2680" s="434"/>
      <c r="AP2680" s="556"/>
      <c r="AQ2680" s="556"/>
      <c r="AR2680" s="556"/>
      <c r="CF2680" s="2"/>
    </row>
    <row r="2681" spans="3:84">
      <c r="C2681" s="2"/>
      <c r="AD2681" s="502"/>
      <c r="AE2681" s="911"/>
      <c r="AF2681" s="502"/>
      <c r="AH2681" s="898"/>
      <c r="AI2681" s="502"/>
      <c r="AJ2681" s="502"/>
      <c r="AL2681" s="434"/>
      <c r="AM2681" s="436"/>
      <c r="AN2681" s="434"/>
      <c r="AO2681" s="434"/>
      <c r="AP2681" s="556"/>
      <c r="AQ2681" s="556"/>
      <c r="AR2681" s="556"/>
      <c r="CF2681" s="2"/>
    </row>
    <row r="2682" spans="3:84">
      <c r="C2682" s="2"/>
      <c r="AD2682" s="502"/>
      <c r="AE2682" s="911"/>
      <c r="AF2682" s="502"/>
      <c r="AH2682" s="898"/>
      <c r="AI2682" s="502"/>
      <c r="AJ2682" s="502"/>
      <c r="AL2682" s="434"/>
      <c r="AM2682" s="436"/>
      <c r="AN2682" s="434"/>
      <c r="AO2682" s="434"/>
      <c r="AP2682" s="556"/>
      <c r="AQ2682" s="556"/>
      <c r="AR2682" s="556"/>
      <c r="CF2682" s="2"/>
    </row>
    <row r="2683" spans="3:84">
      <c r="C2683" s="2"/>
      <c r="AD2683" s="502"/>
      <c r="AE2683" s="911"/>
      <c r="AF2683" s="502"/>
      <c r="AH2683" s="898"/>
      <c r="AI2683" s="502"/>
      <c r="AJ2683" s="502"/>
      <c r="AL2683" s="434"/>
      <c r="AM2683" s="436"/>
      <c r="AN2683" s="434"/>
      <c r="AO2683" s="434"/>
      <c r="AP2683" s="556"/>
      <c r="AQ2683" s="556"/>
      <c r="AR2683" s="556"/>
      <c r="CF2683" s="2"/>
    </row>
    <row r="2684" spans="3:84">
      <c r="C2684" s="2"/>
      <c r="AD2684" s="502"/>
      <c r="AE2684" s="911"/>
      <c r="AF2684" s="502"/>
      <c r="AH2684" s="898"/>
      <c r="AI2684" s="502"/>
      <c r="AJ2684" s="502"/>
      <c r="AL2684" s="434"/>
      <c r="AM2684" s="436"/>
      <c r="AN2684" s="434"/>
      <c r="AO2684" s="434"/>
      <c r="AP2684" s="556"/>
      <c r="AQ2684" s="556"/>
      <c r="AR2684" s="556"/>
      <c r="CF2684" s="2"/>
    </row>
    <row r="2685" spans="3:84">
      <c r="C2685" s="2"/>
      <c r="AD2685" s="502"/>
      <c r="AE2685" s="911"/>
      <c r="AF2685" s="502"/>
      <c r="AH2685" s="898"/>
      <c r="AI2685" s="502"/>
      <c r="AJ2685" s="502"/>
      <c r="AL2685" s="434"/>
      <c r="AM2685" s="436"/>
      <c r="AN2685" s="434"/>
      <c r="AO2685" s="434"/>
      <c r="AP2685" s="556"/>
      <c r="AQ2685" s="556"/>
      <c r="AR2685" s="556"/>
      <c r="CF2685" s="2"/>
    </row>
    <row r="2686" spans="3:84">
      <c r="C2686" s="2"/>
      <c r="AD2686" s="502"/>
      <c r="AE2686" s="911"/>
      <c r="AF2686" s="502"/>
      <c r="AH2686" s="898"/>
      <c r="AI2686" s="502"/>
      <c r="AJ2686" s="502"/>
      <c r="AL2686" s="434"/>
      <c r="AM2686" s="436"/>
      <c r="AN2686" s="434"/>
      <c r="AO2686" s="434"/>
      <c r="AP2686" s="556"/>
      <c r="AQ2686" s="556"/>
      <c r="AR2686" s="556"/>
      <c r="CF2686" s="2"/>
    </row>
    <row r="2687" spans="3:84">
      <c r="C2687" s="2"/>
      <c r="AD2687" s="502"/>
      <c r="AE2687" s="911"/>
      <c r="AF2687" s="502"/>
      <c r="AH2687" s="898"/>
      <c r="AI2687" s="502"/>
      <c r="AJ2687" s="502"/>
      <c r="AL2687" s="434"/>
      <c r="AM2687" s="436"/>
      <c r="AN2687" s="434"/>
      <c r="AO2687" s="434"/>
      <c r="AP2687" s="556"/>
      <c r="AQ2687" s="556"/>
      <c r="AR2687" s="556"/>
      <c r="CF2687" s="2"/>
    </row>
    <row r="2688" spans="3:84">
      <c r="C2688" s="2"/>
      <c r="AD2688" s="502"/>
      <c r="AE2688" s="911"/>
      <c r="AF2688" s="502"/>
      <c r="AH2688" s="898"/>
      <c r="AI2688" s="502"/>
      <c r="AJ2688" s="502"/>
      <c r="AL2688" s="434"/>
      <c r="AM2688" s="436"/>
      <c r="AN2688" s="434"/>
      <c r="AO2688" s="434"/>
      <c r="AP2688" s="556"/>
      <c r="AQ2688" s="556"/>
      <c r="AR2688" s="556"/>
      <c r="CF2688" s="2"/>
    </row>
    <row r="2689" spans="3:84">
      <c r="C2689" s="2"/>
      <c r="AD2689" s="502"/>
      <c r="AE2689" s="911"/>
      <c r="AF2689" s="502"/>
      <c r="AH2689" s="898"/>
      <c r="AI2689" s="502"/>
      <c r="AJ2689" s="502"/>
      <c r="AL2689" s="434"/>
      <c r="AM2689" s="436"/>
      <c r="AN2689" s="434"/>
      <c r="AO2689" s="434"/>
      <c r="AP2689" s="556"/>
      <c r="AQ2689" s="556"/>
      <c r="AR2689" s="556"/>
      <c r="CF2689" s="2"/>
    </row>
    <row r="2690" spans="3:84">
      <c r="C2690" s="2"/>
      <c r="AD2690" s="502"/>
      <c r="AE2690" s="911"/>
      <c r="AF2690" s="502"/>
      <c r="AH2690" s="898"/>
      <c r="AI2690" s="502"/>
      <c r="AJ2690" s="502"/>
      <c r="AL2690" s="434"/>
      <c r="AM2690" s="436"/>
      <c r="AN2690" s="434"/>
      <c r="AO2690" s="434"/>
      <c r="AP2690" s="556"/>
      <c r="AQ2690" s="556"/>
      <c r="AR2690" s="556"/>
      <c r="CF2690" s="2"/>
    </row>
    <row r="2691" spans="3:84">
      <c r="C2691" s="2"/>
      <c r="AD2691" s="502"/>
      <c r="AE2691" s="911"/>
      <c r="AF2691" s="502"/>
      <c r="AH2691" s="898"/>
      <c r="AI2691" s="502"/>
      <c r="AJ2691" s="502"/>
      <c r="AL2691" s="434"/>
      <c r="AM2691" s="436"/>
      <c r="AN2691" s="434"/>
      <c r="AO2691" s="434"/>
      <c r="AP2691" s="556"/>
      <c r="AQ2691" s="556"/>
      <c r="AR2691" s="556"/>
      <c r="CF2691" s="2"/>
    </row>
    <row r="2692" spans="3:84">
      <c r="C2692" s="2"/>
      <c r="AD2692" s="502"/>
      <c r="AE2692" s="911"/>
      <c r="AF2692" s="502"/>
      <c r="AH2692" s="898"/>
      <c r="AI2692" s="502"/>
      <c r="AJ2692" s="502"/>
      <c r="AL2692" s="434"/>
      <c r="AM2692" s="436"/>
      <c r="AN2692" s="434"/>
      <c r="AO2692" s="434"/>
      <c r="AP2692" s="556"/>
      <c r="AQ2692" s="556"/>
      <c r="AR2692" s="556"/>
      <c r="CF2692" s="2"/>
    </row>
    <row r="2693" spans="3:84">
      <c r="C2693" s="2"/>
      <c r="AD2693" s="502"/>
      <c r="AE2693" s="911"/>
      <c r="AF2693" s="502"/>
      <c r="AH2693" s="898"/>
      <c r="AI2693" s="502"/>
      <c r="AJ2693" s="502"/>
      <c r="AL2693" s="434"/>
      <c r="AM2693" s="436"/>
      <c r="AN2693" s="434"/>
      <c r="AO2693" s="434"/>
      <c r="AP2693" s="556"/>
      <c r="AQ2693" s="556"/>
      <c r="AR2693" s="556"/>
      <c r="CF2693" s="2"/>
    </row>
    <row r="2694" spans="3:84">
      <c r="C2694" s="2"/>
      <c r="AD2694" s="502"/>
      <c r="AE2694" s="911"/>
      <c r="AF2694" s="502"/>
      <c r="AH2694" s="898"/>
      <c r="AI2694" s="502"/>
      <c r="AJ2694" s="502"/>
      <c r="AL2694" s="434"/>
      <c r="AM2694" s="436"/>
      <c r="AN2694" s="434"/>
      <c r="AO2694" s="434"/>
      <c r="AP2694" s="556"/>
      <c r="AQ2694" s="556"/>
      <c r="AR2694" s="556"/>
      <c r="CF2694" s="2"/>
    </row>
    <row r="2695" spans="3:84">
      <c r="C2695" s="2"/>
      <c r="AD2695" s="502"/>
      <c r="AE2695" s="911"/>
      <c r="AF2695" s="502"/>
      <c r="AH2695" s="898"/>
      <c r="AI2695" s="502"/>
      <c r="AJ2695" s="502"/>
      <c r="AL2695" s="434"/>
      <c r="AM2695" s="436"/>
      <c r="AN2695" s="434"/>
      <c r="AO2695" s="434"/>
      <c r="AP2695" s="556"/>
      <c r="AQ2695" s="556"/>
      <c r="AR2695" s="556"/>
      <c r="CF2695" s="2"/>
    </row>
    <row r="2696" spans="3:84">
      <c r="C2696" s="2"/>
      <c r="AD2696" s="502"/>
      <c r="AE2696" s="911"/>
      <c r="AF2696" s="502"/>
      <c r="AH2696" s="898"/>
      <c r="AI2696" s="502"/>
      <c r="AJ2696" s="502"/>
      <c r="AL2696" s="434"/>
      <c r="AM2696" s="436"/>
      <c r="AN2696" s="434"/>
      <c r="AO2696" s="434"/>
      <c r="AP2696" s="556"/>
      <c r="AQ2696" s="556"/>
      <c r="AR2696" s="556"/>
      <c r="CF2696" s="2"/>
    </row>
    <row r="2697" spans="3:84">
      <c r="C2697" s="2"/>
      <c r="AD2697" s="502"/>
      <c r="AE2697" s="911"/>
      <c r="AF2697" s="502"/>
      <c r="AH2697" s="898"/>
      <c r="AI2697" s="502"/>
      <c r="AJ2697" s="502"/>
      <c r="AL2697" s="434"/>
      <c r="AM2697" s="436"/>
      <c r="AN2697" s="434"/>
      <c r="AO2697" s="434"/>
      <c r="AP2697" s="556"/>
      <c r="AQ2697" s="556"/>
      <c r="AR2697" s="556"/>
      <c r="CF2697" s="2"/>
    </row>
    <row r="2698" spans="3:84">
      <c r="C2698" s="2"/>
      <c r="AD2698" s="502"/>
      <c r="AE2698" s="911"/>
      <c r="AF2698" s="502"/>
      <c r="AH2698" s="898"/>
      <c r="AI2698" s="502"/>
      <c r="AJ2698" s="502"/>
      <c r="AL2698" s="434"/>
      <c r="AM2698" s="436"/>
      <c r="AN2698" s="434"/>
      <c r="AO2698" s="434"/>
      <c r="AP2698" s="556"/>
      <c r="AQ2698" s="556"/>
      <c r="AR2698" s="556"/>
      <c r="CF2698" s="2"/>
    </row>
    <row r="2699" spans="3:84">
      <c r="C2699" s="2"/>
      <c r="AD2699" s="502"/>
      <c r="AE2699" s="911"/>
      <c r="AF2699" s="502"/>
      <c r="AH2699" s="898"/>
      <c r="AI2699" s="502"/>
      <c r="AJ2699" s="502"/>
      <c r="AL2699" s="434"/>
      <c r="AM2699" s="436"/>
      <c r="AN2699" s="434"/>
      <c r="AO2699" s="434"/>
      <c r="AP2699" s="556"/>
      <c r="AQ2699" s="556"/>
      <c r="AR2699" s="556"/>
      <c r="CF2699" s="2"/>
    </row>
    <row r="2700" spans="3:84">
      <c r="C2700" s="2"/>
      <c r="AD2700" s="502"/>
      <c r="AE2700" s="911"/>
      <c r="AF2700" s="502"/>
      <c r="AH2700" s="898"/>
      <c r="AI2700" s="502"/>
      <c r="AJ2700" s="502"/>
      <c r="AL2700" s="434"/>
      <c r="AM2700" s="436"/>
      <c r="AN2700" s="434"/>
      <c r="AO2700" s="434"/>
      <c r="AP2700" s="556"/>
      <c r="AQ2700" s="556"/>
      <c r="AR2700" s="556"/>
      <c r="CF2700" s="2"/>
    </row>
    <row r="2701" spans="3:84">
      <c r="C2701" s="2"/>
      <c r="AD2701" s="502"/>
      <c r="AE2701" s="911"/>
      <c r="AF2701" s="502"/>
      <c r="AH2701" s="898"/>
      <c r="AI2701" s="502"/>
      <c r="AJ2701" s="502"/>
      <c r="AL2701" s="434"/>
      <c r="AM2701" s="436"/>
      <c r="AN2701" s="434"/>
      <c r="AO2701" s="434"/>
      <c r="AP2701" s="556"/>
      <c r="AQ2701" s="556"/>
      <c r="AR2701" s="556"/>
      <c r="CF2701" s="2"/>
    </row>
    <row r="2702" spans="3:84">
      <c r="C2702" s="2"/>
      <c r="AD2702" s="502"/>
      <c r="AE2702" s="911"/>
      <c r="AF2702" s="502"/>
      <c r="AH2702" s="898"/>
      <c r="AI2702" s="502"/>
      <c r="AJ2702" s="502"/>
      <c r="AL2702" s="434"/>
      <c r="AM2702" s="436"/>
      <c r="AN2702" s="434"/>
      <c r="AO2702" s="434"/>
      <c r="AP2702" s="556"/>
      <c r="AQ2702" s="556"/>
      <c r="AR2702" s="556"/>
      <c r="CF2702" s="2"/>
    </row>
    <row r="2703" spans="3:84">
      <c r="C2703" s="2"/>
      <c r="AD2703" s="502"/>
      <c r="AE2703" s="911"/>
      <c r="AF2703" s="502"/>
      <c r="AH2703" s="898"/>
      <c r="AI2703" s="502"/>
      <c r="AJ2703" s="502"/>
      <c r="AL2703" s="434"/>
      <c r="AM2703" s="436"/>
      <c r="AN2703" s="434"/>
      <c r="AO2703" s="434"/>
      <c r="AP2703" s="556"/>
      <c r="AQ2703" s="556"/>
      <c r="AR2703" s="556"/>
      <c r="CF2703" s="2"/>
    </row>
    <row r="2704" spans="3:84">
      <c r="C2704" s="2"/>
      <c r="AD2704" s="502"/>
      <c r="AE2704" s="911"/>
      <c r="AF2704" s="502"/>
      <c r="AH2704" s="898"/>
      <c r="AI2704" s="502"/>
      <c r="AJ2704" s="502"/>
      <c r="AL2704" s="434"/>
      <c r="AM2704" s="436"/>
      <c r="AN2704" s="434"/>
      <c r="AO2704" s="434"/>
      <c r="AP2704" s="556"/>
      <c r="AQ2704" s="556"/>
      <c r="AR2704" s="556"/>
      <c r="CF2704" s="2"/>
    </row>
    <row r="2705" spans="3:84">
      <c r="C2705" s="2"/>
      <c r="AD2705" s="502"/>
      <c r="AE2705" s="911"/>
      <c r="AF2705" s="502"/>
      <c r="AH2705" s="898"/>
      <c r="AI2705" s="502"/>
      <c r="AJ2705" s="502"/>
      <c r="AL2705" s="434"/>
      <c r="AM2705" s="436"/>
      <c r="AN2705" s="434"/>
      <c r="AO2705" s="434"/>
      <c r="AP2705" s="556"/>
      <c r="AQ2705" s="556"/>
      <c r="AR2705" s="556"/>
      <c r="CF2705" s="2"/>
    </row>
    <row r="2706" spans="3:84">
      <c r="C2706" s="2"/>
      <c r="AD2706" s="502"/>
      <c r="AE2706" s="911"/>
      <c r="AF2706" s="502"/>
      <c r="AH2706" s="898"/>
      <c r="AI2706" s="502"/>
      <c r="AJ2706" s="502"/>
      <c r="AL2706" s="434"/>
      <c r="AM2706" s="436"/>
      <c r="AN2706" s="434"/>
      <c r="AO2706" s="434"/>
      <c r="AP2706" s="556"/>
      <c r="AQ2706" s="556"/>
      <c r="AR2706" s="556"/>
      <c r="CF2706" s="2"/>
    </row>
    <row r="2707" spans="3:84">
      <c r="C2707" s="2"/>
      <c r="AD2707" s="502"/>
      <c r="AE2707" s="911"/>
      <c r="AF2707" s="502"/>
      <c r="AH2707" s="898"/>
      <c r="AI2707" s="502"/>
      <c r="AJ2707" s="502"/>
      <c r="AL2707" s="434"/>
      <c r="AM2707" s="436"/>
      <c r="AN2707" s="434"/>
      <c r="AO2707" s="434"/>
      <c r="AP2707" s="556"/>
      <c r="AQ2707" s="556"/>
      <c r="AR2707" s="556"/>
      <c r="CF2707" s="2"/>
    </row>
    <row r="2708" spans="3:84">
      <c r="C2708" s="2"/>
      <c r="AD2708" s="502"/>
      <c r="AE2708" s="911"/>
      <c r="AF2708" s="502"/>
      <c r="AH2708" s="898"/>
      <c r="AI2708" s="502"/>
      <c r="AJ2708" s="502"/>
      <c r="AL2708" s="434"/>
      <c r="AM2708" s="436"/>
      <c r="AN2708" s="434"/>
      <c r="AO2708" s="434"/>
      <c r="AP2708" s="556"/>
      <c r="AQ2708" s="556"/>
      <c r="AR2708" s="556"/>
      <c r="CF2708" s="2"/>
    </row>
    <row r="2709" spans="3:84">
      <c r="C2709" s="2"/>
      <c r="AD2709" s="502"/>
      <c r="AE2709" s="911"/>
      <c r="AF2709" s="502"/>
      <c r="AH2709" s="898"/>
      <c r="AI2709" s="502"/>
      <c r="AJ2709" s="502"/>
      <c r="AL2709" s="434"/>
      <c r="AM2709" s="436"/>
      <c r="AN2709" s="434"/>
      <c r="AO2709" s="434"/>
      <c r="AP2709" s="556"/>
      <c r="AQ2709" s="556"/>
      <c r="AR2709" s="556"/>
      <c r="CF2709" s="2"/>
    </row>
    <row r="2710" spans="3:84">
      <c r="C2710" s="2"/>
      <c r="AD2710" s="502"/>
      <c r="AE2710" s="911"/>
      <c r="AF2710" s="502"/>
      <c r="AH2710" s="898"/>
      <c r="AI2710" s="502"/>
      <c r="AJ2710" s="502"/>
      <c r="AL2710" s="434"/>
      <c r="AM2710" s="436"/>
      <c r="AN2710" s="434"/>
      <c r="AO2710" s="434"/>
      <c r="AP2710" s="556"/>
      <c r="AQ2710" s="556"/>
      <c r="AR2710" s="556"/>
      <c r="CF2710" s="2"/>
    </row>
    <row r="2711" spans="3:84">
      <c r="C2711" s="2"/>
      <c r="AD2711" s="502"/>
      <c r="AE2711" s="911"/>
      <c r="AF2711" s="502"/>
      <c r="AH2711" s="898"/>
      <c r="AI2711" s="502"/>
      <c r="AJ2711" s="502"/>
      <c r="AL2711" s="434"/>
      <c r="AM2711" s="436"/>
      <c r="AN2711" s="434"/>
      <c r="AO2711" s="434"/>
      <c r="AP2711" s="556"/>
      <c r="AQ2711" s="556"/>
      <c r="AR2711" s="556"/>
      <c r="CF2711" s="2"/>
    </row>
    <row r="2712" spans="3:84">
      <c r="C2712" s="2"/>
      <c r="AD2712" s="502"/>
      <c r="AE2712" s="911"/>
      <c r="AF2712" s="502"/>
      <c r="AH2712" s="898"/>
      <c r="AI2712" s="502"/>
      <c r="AJ2712" s="502"/>
      <c r="AL2712" s="434"/>
      <c r="AM2712" s="436"/>
      <c r="AN2712" s="434"/>
      <c r="AO2712" s="434"/>
      <c r="AP2712" s="556"/>
      <c r="AQ2712" s="556"/>
      <c r="AR2712" s="556"/>
      <c r="CF2712" s="2"/>
    </row>
    <row r="2713" spans="3:84">
      <c r="C2713" s="2"/>
      <c r="AD2713" s="502"/>
      <c r="AE2713" s="911"/>
      <c r="AF2713" s="502"/>
      <c r="AH2713" s="898"/>
      <c r="AI2713" s="502"/>
      <c r="AJ2713" s="502"/>
      <c r="AL2713" s="434"/>
      <c r="AM2713" s="436"/>
      <c r="AN2713" s="434"/>
      <c r="AO2713" s="434"/>
      <c r="AP2713" s="556"/>
      <c r="AQ2713" s="556"/>
      <c r="AR2713" s="556"/>
      <c r="CF2713" s="2"/>
    </row>
    <row r="2714" spans="3:84">
      <c r="C2714" s="2"/>
      <c r="AD2714" s="502"/>
      <c r="AE2714" s="911"/>
      <c r="AF2714" s="502"/>
      <c r="AH2714" s="898"/>
      <c r="AI2714" s="502"/>
      <c r="AJ2714" s="502"/>
      <c r="AL2714" s="434"/>
      <c r="AM2714" s="436"/>
      <c r="AN2714" s="434"/>
      <c r="AO2714" s="434"/>
      <c r="AP2714" s="556"/>
      <c r="AQ2714" s="556"/>
      <c r="AR2714" s="556"/>
      <c r="CF2714" s="2"/>
    </row>
    <row r="2715" spans="3:84">
      <c r="C2715" s="2"/>
      <c r="AD2715" s="502"/>
      <c r="AE2715" s="911"/>
      <c r="AF2715" s="502"/>
      <c r="AH2715" s="898"/>
      <c r="AI2715" s="502"/>
      <c r="AJ2715" s="502"/>
      <c r="AL2715" s="434"/>
      <c r="AM2715" s="436"/>
      <c r="AN2715" s="434"/>
      <c r="AO2715" s="434"/>
      <c r="AP2715" s="556"/>
      <c r="AQ2715" s="556"/>
      <c r="AR2715" s="556"/>
      <c r="CF2715" s="2"/>
    </row>
    <row r="2716" spans="3:84">
      <c r="C2716" s="2"/>
      <c r="AD2716" s="502"/>
      <c r="AE2716" s="911"/>
      <c r="AF2716" s="502"/>
      <c r="AH2716" s="898"/>
      <c r="AI2716" s="502"/>
      <c r="AJ2716" s="502"/>
      <c r="AL2716" s="434"/>
      <c r="AM2716" s="436"/>
      <c r="AN2716" s="434"/>
      <c r="AO2716" s="434"/>
      <c r="AP2716" s="556"/>
      <c r="AQ2716" s="556"/>
      <c r="AR2716" s="556"/>
      <c r="CF2716" s="2"/>
    </row>
    <row r="2717" spans="3:84">
      <c r="C2717" s="2"/>
      <c r="AD2717" s="502"/>
      <c r="AE2717" s="911"/>
      <c r="AF2717" s="502"/>
      <c r="AH2717" s="898"/>
      <c r="AI2717" s="502"/>
      <c r="AJ2717" s="502"/>
      <c r="AL2717" s="434"/>
      <c r="AM2717" s="436"/>
      <c r="AN2717" s="434"/>
      <c r="AO2717" s="434"/>
      <c r="AP2717" s="556"/>
      <c r="AQ2717" s="556"/>
      <c r="AR2717" s="556"/>
      <c r="CF2717" s="2"/>
    </row>
    <row r="2718" spans="3:84">
      <c r="C2718" s="2"/>
      <c r="AD2718" s="502"/>
      <c r="AE2718" s="911"/>
      <c r="AF2718" s="502"/>
      <c r="AH2718" s="898"/>
      <c r="AI2718" s="502"/>
      <c r="AJ2718" s="502"/>
      <c r="AL2718" s="434"/>
      <c r="AM2718" s="436"/>
      <c r="AN2718" s="434"/>
      <c r="AO2718" s="434"/>
      <c r="AP2718" s="556"/>
      <c r="AQ2718" s="556"/>
      <c r="AR2718" s="556"/>
      <c r="CF2718" s="2"/>
    </row>
    <row r="2719" spans="3:84">
      <c r="C2719" s="2"/>
      <c r="AD2719" s="502"/>
      <c r="AE2719" s="911"/>
      <c r="AF2719" s="502"/>
      <c r="AH2719" s="898"/>
      <c r="AI2719" s="502"/>
      <c r="AJ2719" s="502"/>
      <c r="AL2719" s="434"/>
      <c r="AM2719" s="436"/>
      <c r="AN2719" s="434"/>
      <c r="AO2719" s="434"/>
      <c r="AP2719" s="556"/>
      <c r="AQ2719" s="556"/>
      <c r="AR2719" s="556"/>
      <c r="CF2719" s="2"/>
    </row>
    <row r="2720" spans="3:84">
      <c r="C2720" s="2"/>
      <c r="AD2720" s="502"/>
      <c r="AE2720" s="911"/>
      <c r="AF2720" s="502"/>
      <c r="AH2720" s="898"/>
      <c r="AI2720" s="502"/>
      <c r="AJ2720" s="502"/>
      <c r="AL2720" s="434"/>
      <c r="AM2720" s="436"/>
      <c r="AN2720" s="434"/>
      <c r="AO2720" s="434"/>
      <c r="AP2720" s="556"/>
      <c r="AQ2720" s="556"/>
      <c r="AR2720" s="556"/>
      <c r="CF2720" s="2"/>
    </row>
    <row r="2721" spans="3:84">
      <c r="C2721" s="2"/>
      <c r="AD2721" s="502"/>
      <c r="AE2721" s="911"/>
      <c r="AF2721" s="502"/>
      <c r="AH2721" s="898"/>
      <c r="AI2721" s="502"/>
      <c r="AJ2721" s="502"/>
      <c r="AL2721" s="434"/>
      <c r="AM2721" s="436"/>
      <c r="AN2721" s="434"/>
      <c r="AO2721" s="434"/>
      <c r="AP2721" s="556"/>
      <c r="AQ2721" s="556"/>
      <c r="AR2721" s="556"/>
      <c r="CF2721" s="2"/>
    </row>
    <row r="2722" spans="3:84">
      <c r="C2722" s="2"/>
      <c r="AD2722" s="502"/>
      <c r="AE2722" s="911"/>
      <c r="AF2722" s="502"/>
      <c r="AH2722" s="898"/>
      <c r="AI2722" s="502"/>
      <c r="AJ2722" s="502"/>
      <c r="AL2722" s="434"/>
      <c r="AM2722" s="436"/>
      <c r="AN2722" s="434"/>
      <c r="AO2722" s="434"/>
      <c r="AP2722" s="556"/>
      <c r="AQ2722" s="556"/>
      <c r="AR2722" s="556"/>
      <c r="CF2722" s="2"/>
    </row>
    <row r="2723" spans="3:84">
      <c r="C2723" s="2"/>
      <c r="AD2723" s="502"/>
      <c r="AE2723" s="911"/>
      <c r="AF2723" s="502"/>
      <c r="AH2723" s="898"/>
      <c r="AI2723" s="502"/>
      <c r="AJ2723" s="502"/>
      <c r="AL2723" s="434"/>
      <c r="AM2723" s="436"/>
      <c r="AN2723" s="434"/>
      <c r="AO2723" s="434"/>
      <c r="AP2723" s="556"/>
      <c r="AQ2723" s="556"/>
      <c r="AR2723" s="556"/>
      <c r="CF2723" s="2"/>
    </row>
    <row r="2724" spans="3:84">
      <c r="C2724" s="2"/>
      <c r="AD2724" s="502"/>
      <c r="AE2724" s="911"/>
      <c r="AF2724" s="502"/>
      <c r="AH2724" s="898"/>
      <c r="AI2724" s="502"/>
      <c r="AJ2724" s="502"/>
      <c r="AL2724" s="434"/>
      <c r="AM2724" s="436"/>
      <c r="AN2724" s="434"/>
      <c r="AO2724" s="434"/>
      <c r="AP2724" s="556"/>
      <c r="AQ2724" s="556"/>
      <c r="AR2724" s="556"/>
      <c r="CF2724" s="2"/>
    </row>
    <row r="2725" spans="3:84">
      <c r="C2725" s="2"/>
      <c r="AD2725" s="502"/>
      <c r="AE2725" s="911"/>
      <c r="AF2725" s="502"/>
      <c r="AH2725" s="898"/>
      <c r="AI2725" s="502"/>
      <c r="AJ2725" s="502"/>
      <c r="AL2725" s="434"/>
      <c r="AM2725" s="436"/>
      <c r="AN2725" s="434"/>
      <c r="AO2725" s="434"/>
      <c r="AP2725" s="556"/>
      <c r="AQ2725" s="556"/>
      <c r="AR2725" s="556"/>
      <c r="CF2725" s="2"/>
    </row>
    <row r="2726" spans="3:84">
      <c r="C2726" s="2"/>
      <c r="AD2726" s="502"/>
      <c r="AE2726" s="911"/>
      <c r="AF2726" s="502"/>
      <c r="AH2726" s="898"/>
      <c r="AI2726" s="502"/>
      <c r="AJ2726" s="502"/>
      <c r="AL2726" s="434"/>
      <c r="AM2726" s="436"/>
      <c r="AN2726" s="434"/>
      <c r="AO2726" s="434"/>
      <c r="AP2726" s="556"/>
      <c r="AQ2726" s="556"/>
      <c r="AR2726" s="556"/>
      <c r="CF2726" s="2"/>
    </row>
    <row r="2727" spans="3:84">
      <c r="C2727" s="2"/>
      <c r="AD2727" s="502"/>
      <c r="AE2727" s="911"/>
      <c r="AF2727" s="502"/>
      <c r="AH2727" s="898"/>
      <c r="AI2727" s="502"/>
      <c r="AJ2727" s="502"/>
      <c r="AL2727" s="434"/>
      <c r="AM2727" s="436"/>
      <c r="AN2727" s="434"/>
      <c r="AO2727" s="434"/>
      <c r="AP2727" s="556"/>
      <c r="AQ2727" s="556"/>
      <c r="AR2727" s="556"/>
      <c r="CF2727" s="2"/>
    </row>
    <row r="2728" spans="3:84">
      <c r="C2728" s="2"/>
      <c r="AD2728" s="502"/>
      <c r="AE2728" s="911"/>
      <c r="AF2728" s="502"/>
      <c r="AH2728" s="898"/>
      <c r="AI2728" s="502"/>
      <c r="AJ2728" s="502"/>
      <c r="AL2728" s="434"/>
      <c r="AM2728" s="436"/>
      <c r="AN2728" s="434"/>
      <c r="AO2728" s="434"/>
      <c r="AP2728" s="556"/>
      <c r="AQ2728" s="556"/>
      <c r="AR2728" s="556"/>
      <c r="CF2728" s="2"/>
    </row>
    <row r="2729" spans="3:84">
      <c r="C2729" s="2"/>
      <c r="AD2729" s="502"/>
      <c r="AE2729" s="911"/>
      <c r="AF2729" s="502"/>
      <c r="AH2729" s="898"/>
      <c r="AI2729" s="502"/>
      <c r="AJ2729" s="502"/>
      <c r="AL2729" s="434"/>
      <c r="AM2729" s="436"/>
      <c r="AN2729" s="434"/>
      <c r="AO2729" s="434"/>
      <c r="AP2729" s="556"/>
      <c r="AQ2729" s="556"/>
      <c r="AR2729" s="556"/>
      <c r="CF2729" s="2"/>
    </row>
    <row r="2730" spans="3:84">
      <c r="C2730" s="2"/>
      <c r="AD2730" s="502"/>
      <c r="AE2730" s="911"/>
      <c r="AF2730" s="502"/>
      <c r="AH2730" s="898"/>
      <c r="AI2730" s="502"/>
      <c r="AJ2730" s="502"/>
      <c r="AL2730" s="434"/>
      <c r="AM2730" s="436"/>
      <c r="AN2730" s="434"/>
      <c r="AO2730" s="434"/>
      <c r="AP2730" s="556"/>
      <c r="AQ2730" s="556"/>
      <c r="AR2730" s="556"/>
      <c r="CF2730" s="2"/>
    </row>
    <row r="2731" spans="3:84">
      <c r="C2731" s="2"/>
      <c r="AD2731" s="502"/>
      <c r="AE2731" s="911"/>
      <c r="AF2731" s="502"/>
      <c r="AH2731" s="898"/>
      <c r="AI2731" s="502"/>
      <c r="AJ2731" s="502"/>
      <c r="AL2731" s="434"/>
      <c r="AM2731" s="436"/>
      <c r="AN2731" s="434"/>
      <c r="AO2731" s="434"/>
      <c r="AP2731" s="556"/>
      <c r="AQ2731" s="556"/>
      <c r="AR2731" s="556"/>
      <c r="CF2731" s="2"/>
    </row>
    <row r="2732" spans="3:84">
      <c r="C2732" s="2"/>
      <c r="AD2732" s="502"/>
      <c r="AE2732" s="911"/>
      <c r="AF2732" s="502"/>
      <c r="AH2732" s="898"/>
      <c r="AI2732" s="502"/>
      <c r="AJ2732" s="502"/>
      <c r="AL2732" s="434"/>
      <c r="AM2732" s="436"/>
      <c r="AN2732" s="434"/>
      <c r="AO2732" s="434"/>
      <c r="AP2732" s="556"/>
      <c r="AQ2732" s="556"/>
      <c r="AR2732" s="556"/>
      <c r="CF2732" s="2"/>
    </row>
    <row r="2733" spans="3:84">
      <c r="C2733" s="2"/>
      <c r="AD2733" s="502"/>
      <c r="AE2733" s="911"/>
      <c r="AF2733" s="502"/>
      <c r="AH2733" s="898"/>
      <c r="AI2733" s="502"/>
      <c r="AJ2733" s="502"/>
      <c r="AL2733" s="434"/>
      <c r="AM2733" s="436"/>
      <c r="AN2733" s="434"/>
      <c r="AO2733" s="434"/>
      <c r="AP2733" s="556"/>
      <c r="AQ2733" s="556"/>
      <c r="AR2733" s="556"/>
      <c r="CF2733" s="2"/>
    </row>
    <row r="2734" spans="3:84">
      <c r="C2734" s="2"/>
      <c r="AD2734" s="502"/>
      <c r="AE2734" s="911"/>
      <c r="AF2734" s="502"/>
      <c r="AH2734" s="898"/>
      <c r="AI2734" s="502"/>
      <c r="AJ2734" s="502"/>
      <c r="AL2734" s="434"/>
      <c r="AM2734" s="436"/>
      <c r="AN2734" s="434"/>
      <c r="AO2734" s="434"/>
      <c r="AP2734" s="556"/>
      <c r="AQ2734" s="556"/>
      <c r="AR2734" s="556"/>
      <c r="CF2734" s="2"/>
    </row>
    <row r="2735" spans="3:84">
      <c r="C2735" s="2"/>
      <c r="AD2735" s="502"/>
      <c r="AE2735" s="911"/>
      <c r="AF2735" s="502"/>
      <c r="AH2735" s="898"/>
      <c r="AI2735" s="502"/>
      <c r="AJ2735" s="502"/>
      <c r="AL2735" s="434"/>
      <c r="AM2735" s="436"/>
      <c r="AN2735" s="434"/>
      <c r="AO2735" s="434"/>
      <c r="AP2735" s="556"/>
      <c r="AQ2735" s="556"/>
      <c r="AR2735" s="556"/>
      <c r="CF2735" s="2"/>
    </row>
    <row r="2736" spans="3:84">
      <c r="C2736" s="2"/>
      <c r="AD2736" s="502"/>
      <c r="AE2736" s="911"/>
      <c r="AF2736" s="502"/>
      <c r="AH2736" s="898"/>
      <c r="AI2736" s="502"/>
      <c r="AJ2736" s="502"/>
      <c r="AL2736" s="434"/>
      <c r="AM2736" s="436"/>
      <c r="AN2736" s="434"/>
      <c r="AO2736" s="434"/>
      <c r="AP2736" s="556"/>
      <c r="AQ2736" s="556"/>
      <c r="AR2736" s="556"/>
      <c r="CF2736" s="2"/>
    </row>
    <row r="2737" spans="3:84">
      <c r="C2737" s="2"/>
      <c r="AD2737" s="502"/>
      <c r="AE2737" s="911"/>
      <c r="AF2737" s="502"/>
      <c r="AH2737" s="898"/>
      <c r="AI2737" s="502"/>
      <c r="AJ2737" s="502"/>
      <c r="AL2737" s="434"/>
      <c r="AM2737" s="436"/>
      <c r="AN2737" s="434"/>
      <c r="AO2737" s="434"/>
      <c r="AP2737" s="556"/>
      <c r="AQ2737" s="556"/>
      <c r="AR2737" s="556"/>
      <c r="CF2737" s="2"/>
    </row>
    <row r="2738" spans="3:84">
      <c r="C2738" s="2"/>
      <c r="AD2738" s="502"/>
      <c r="AE2738" s="911"/>
      <c r="AF2738" s="502"/>
      <c r="AH2738" s="898"/>
      <c r="AI2738" s="502"/>
      <c r="AJ2738" s="502"/>
      <c r="AL2738" s="434"/>
      <c r="AM2738" s="436"/>
      <c r="AN2738" s="434"/>
      <c r="AO2738" s="434"/>
      <c r="AP2738" s="556"/>
      <c r="AQ2738" s="556"/>
      <c r="AR2738" s="556"/>
      <c r="CF2738" s="2"/>
    </row>
    <row r="2739" spans="3:84">
      <c r="C2739" s="2"/>
      <c r="AD2739" s="502"/>
      <c r="AE2739" s="911"/>
      <c r="AF2739" s="502"/>
      <c r="AH2739" s="898"/>
      <c r="AI2739" s="502"/>
      <c r="AJ2739" s="502"/>
      <c r="AL2739" s="434"/>
      <c r="AM2739" s="436"/>
      <c r="AN2739" s="434"/>
      <c r="AO2739" s="434"/>
      <c r="AP2739" s="556"/>
      <c r="AQ2739" s="556"/>
      <c r="AR2739" s="556"/>
      <c r="CF2739" s="2"/>
    </row>
    <row r="2740" spans="3:84">
      <c r="C2740" s="2"/>
      <c r="AD2740" s="502"/>
      <c r="AE2740" s="911"/>
      <c r="AF2740" s="502"/>
      <c r="AH2740" s="898"/>
      <c r="AI2740" s="502"/>
      <c r="AJ2740" s="502"/>
      <c r="AL2740" s="434"/>
      <c r="AM2740" s="436"/>
      <c r="AN2740" s="434"/>
      <c r="AO2740" s="434"/>
      <c r="AP2740" s="556"/>
      <c r="AQ2740" s="556"/>
      <c r="AR2740" s="556"/>
      <c r="CF2740" s="2"/>
    </row>
    <row r="2741" spans="3:84">
      <c r="C2741" s="2"/>
      <c r="AD2741" s="502"/>
      <c r="AE2741" s="911"/>
      <c r="AF2741" s="502"/>
      <c r="AH2741" s="898"/>
      <c r="AI2741" s="502"/>
      <c r="AJ2741" s="502"/>
      <c r="AL2741" s="434"/>
      <c r="AM2741" s="436"/>
      <c r="AN2741" s="434"/>
      <c r="AO2741" s="434"/>
      <c r="AP2741" s="556"/>
      <c r="AQ2741" s="556"/>
      <c r="AR2741" s="556"/>
      <c r="CF2741" s="2"/>
    </row>
    <row r="2742" spans="3:84">
      <c r="C2742" s="2"/>
      <c r="AD2742" s="502"/>
      <c r="AE2742" s="911"/>
      <c r="AF2742" s="502"/>
      <c r="AH2742" s="898"/>
      <c r="AI2742" s="502"/>
      <c r="AJ2742" s="502"/>
      <c r="AL2742" s="434"/>
      <c r="AM2742" s="436"/>
      <c r="AN2742" s="434"/>
      <c r="AO2742" s="434"/>
      <c r="AP2742" s="556"/>
      <c r="AQ2742" s="556"/>
      <c r="AR2742" s="556"/>
      <c r="CF2742" s="2"/>
    </row>
    <row r="2743" spans="3:84">
      <c r="C2743" s="2"/>
      <c r="AD2743" s="502"/>
      <c r="AE2743" s="911"/>
      <c r="AF2743" s="502"/>
      <c r="AH2743" s="898"/>
      <c r="AI2743" s="502"/>
      <c r="AJ2743" s="502"/>
      <c r="AL2743" s="434"/>
      <c r="AM2743" s="436"/>
      <c r="AN2743" s="434"/>
      <c r="AO2743" s="434"/>
      <c r="AP2743" s="556"/>
      <c r="AQ2743" s="556"/>
      <c r="AR2743" s="556"/>
      <c r="CF2743" s="2"/>
    </row>
    <row r="2744" spans="3:84">
      <c r="C2744" s="2"/>
      <c r="AD2744" s="502"/>
      <c r="AE2744" s="911"/>
      <c r="AF2744" s="502"/>
      <c r="AH2744" s="898"/>
      <c r="AI2744" s="502"/>
      <c r="AJ2744" s="502"/>
      <c r="AL2744" s="434"/>
      <c r="AM2744" s="436"/>
      <c r="AN2744" s="434"/>
      <c r="AO2744" s="434"/>
      <c r="AP2744" s="556"/>
      <c r="AQ2744" s="556"/>
      <c r="AR2744" s="556"/>
      <c r="CF2744" s="2"/>
    </row>
    <row r="2745" spans="3:84">
      <c r="C2745" s="2"/>
      <c r="AD2745" s="502"/>
      <c r="AE2745" s="911"/>
      <c r="AF2745" s="502"/>
      <c r="AH2745" s="898"/>
      <c r="AI2745" s="502"/>
      <c r="AJ2745" s="502"/>
      <c r="AL2745" s="434"/>
      <c r="AM2745" s="436"/>
      <c r="AN2745" s="434"/>
      <c r="AO2745" s="434"/>
      <c r="AP2745" s="556"/>
      <c r="AQ2745" s="556"/>
      <c r="AR2745" s="556"/>
      <c r="CF2745" s="2"/>
    </row>
    <row r="2746" spans="3:84">
      <c r="C2746" s="2"/>
      <c r="AD2746" s="502"/>
      <c r="AE2746" s="911"/>
      <c r="AF2746" s="502"/>
      <c r="AH2746" s="898"/>
      <c r="AI2746" s="502"/>
      <c r="AJ2746" s="502"/>
      <c r="AL2746" s="434"/>
      <c r="AM2746" s="436"/>
      <c r="AN2746" s="434"/>
      <c r="AO2746" s="434"/>
      <c r="AP2746" s="556"/>
      <c r="AQ2746" s="556"/>
      <c r="AR2746" s="556"/>
      <c r="CF2746" s="2"/>
    </row>
    <row r="2747" spans="3:84">
      <c r="C2747" s="2"/>
      <c r="AD2747" s="502"/>
      <c r="AE2747" s="911"/>
      <c r="AF2747" s="502"/>
      <c r="AH2747" s="898"/>
      <c r="AI2747" s="502"/>
      <c r="AJ2747" s="502"/>
      <c r="AL2747" s="434"/>
      <c r="AM2747" s="436"/>
      <c r="AN2747" s="434"/>
      <c r="AO2747" s="434"/>
      <c r="AP2747" s="556"/>
      <c r="AQ2747" s="556"/>
      <c r="AR2747" s="556"/>
      <c r="CF2747" s="2"/>
    </row>
    <row r="2748" spans="3:84">
      <c r="C2748" s="2"/>
      <c r="AD2748" s="502"/>
      <c r="AE2748" s="911"/>
      <c r="AF2748" s="502"/>
      <c r="AH2748" s="898"/>
      <c r="AI2748" s="502"/>
      <c r="AJ2748" s="502"/>
      <c r="AL2748" s="434"/>
      <c r="AM2748" s="436"/>
      <c r="AN2748" s="434"/>
      <c r="AO2748" s="434"/>
      <c r="AP2748" s="556"/>
      <c r="AQ2748" s="556"/>
      <c r="AR2748" s="556"/>
      <c r="CF2748" s="2"/>
    </row>
    <row r="2749" spans="3:84">
      <c r="C2749" s="2"/>
      <c r="AD2749" s="502"/>
      <c r="AE2749" s="911"/>
      <c r="AF2749" s="502"/>
      <c r="AH2749" s="898"/>
      <c r="AI2749" s="502"/>
      <c r="AJ2749" s="502"/>
      <c r="AL2749" s="434"/>
      <c r="AM2749" s="436"/>
      <c r="AN2749" s="434"/>
      <c r="AO2749" s="434"/>
      <c r="AP2749" s="556"/>
      <c r="AQ2749" s="556"/>
      <c r="AR2749" s="556"/>
      <c r="CF2749" s="2"/>
    </row>
    <row r="2750" spans="3:84">
      <c r="C2750" s="2"/>
      <c r="AD2750" s="502"/>
      <c r="AE2750" s="911"/>
      <c r="AF2750" s="502"/>
      <c r="AH2750" s="898"/>
      <c r="AI2750" s="502"/>
      <c r="AJ2750" s="502"/>
      <c r="AL2750" s="434"/>
      <c r="AM2750" s="436"/>
      <c r="AN2750" s="434"/>
      <c r="AO2750" s="434"/>
      <c r="AP2750" s="556"/>
      <c r="AQ2750" s="556"/>
      <c r="AR2750" s="556"/>
      <c r="CF2750" s="2"/>
    </row>
    <row r="2751" spans="3:84">
      <c r="C2751" s="2"/>
      <c r="AD2751" s="502"/>
      <c r="AE2751" s="911"/>
      <c r="AF2751" s="502"/>
      <c r="AH2751" s="898"/>
      <c r="AI2751" s="502"/>
      <c r="AJ2751" s="502"/>
      <c r="AL2751" s="434"/>
      <c r="AM2751" s="436"/>
      <c r="AN2751" s="434"/>
      <c r="AO2751" s="434"/>
      <c r="AP2751" s="556"/>
      <c r="AQ2751" s="556"/>
      <c r="AR2751" s="556"/>
      <c r="CF2751" s="2"/>
    </row>
    <row r="2752" spans="3:84">
      <c r="C2752" s="2"/>
      <c r="AD2752" s="502"/>
      <c r="AE2752" s="911"/>
      <c r="AF2752" s="502"/>
      <c r="AH2752" s="898"/>
      <c r="AI2752" s="502"/>
      <c r="AJ2752" s="502"/>
      <c r="AL2752" s="434"/>
      <c r="AM2752" s="436"/>
      <c r="AN2752" s="434"/>
      <c r="AO2752" s="434"/>
      <c r="AP2752" s="556"/>
      <c r="AQ2752" s="556"/>
      <c r="AR2752" s="556"/>
      <c r="CF2752" s="2"/>
    </row>
    <row r="2753" spans="3:84">
      <c r="C2753" s="2"/>
      <c r="AD2753" s="502"/>
      <c r="AE2753" s="911"/>
      <c r="AF2753" s="502"/>
      <c r="AH2753" s="898"/>
      <c r="AI2753" s="502"/>
      <c r="AJ2753" s="502"/>
      <c r="AL2753" s="434"/>
      <c r="AM2753" s="436"/>
      <c r="AN2753" s="434"/>
      <c r="AO2753" s="434"/>
      <c r="AP2753" s="556"/>
      <c r="AQ2753" s="556"/>
      <c r="AR2753" s="556"/>
      <c r="CF2753" s="2"/>
    </row>
    <row r="2754" spans="3:84">
      <c r="C2754" s="2"/>
      <c r="AD2754" s="502"/>
      <c r="AE2754" s="911"/>
      <c r="AF2754" s="502"/>
      <c r="AH2754" s="898"/>
      <c r="AI2754" s="502"/>
      <c r="AJ2754" s="502"/>
      <c r="AL2754" s="434"/>
      <c r="AM2754" s="436"/>
      <c r="AN2754" s="434"/>
      <c r="AO2754" s="434"/>
      <c r="AP2754" s="556"/>
      <c r="AQ2754" s="556"/>
      <c r="AR2754" s="556"/>
      <c r="CF2754" s="2"/>
    </row>
    <row r="2755" spans="3:84">
      <c r="C2755" s="2"/>
      <c r="AD2755" s="502"/>
      <c r="AE2755" s="911"/>
      <c r="AF2755" s="502"/>
      <c r="AH2755" s="898"/>
      <c r="AI2755" s="502"/>
      <c r="AJ2755" s="502"/>
      <c r="AL2755" s="434"/>
      <c r="AM2755" s="436"/>
      <c r="AN2755" s="434"/>
      <c r="AO2755" s="434"/>
      <c r="AP2755" s="556"/>
      <c r="AQ2755" s="556"/>
      <c r="AR2755" s="556"/>
      <c r="CF2755" s="2"/>
    </row>
    <row r="2756" spans="3:84">
      <c r="C2756" s="2"/>
      <c r="AD2756" s="502"/>
      <c r="AE2756" s="911"/>
      <c r="AF2756" s="502"/>
      <c r="AH2756" s="898"/>
      <c r="AI2756" s="502"/>
      <c r="AJ2756" s="502"/>
      <c r="AL2756" s="434"/>
      <c r="AM2756" s="436"/>
      <c r="AN2756" s="434"/>
      <c r="AO2756" s="434"/>
      <c r="AP2756" s="556"/>
      <c r="AQ2756" s="556"/>
      <c r="AR2756" s="556"/>
      <c r="CF2756" s="2"/>
    </row>
    <row r="2757" spans="3:84">
      <c r="C2757" s="2"/>
      <c r="AD2757" s="502"/>
      <c r="AE2757" s="911"/>
      <c r="AF2757" s="502"/>
      <c r="AH2757" s="898"/>
      <c r="AI2757" s="502"/>
      <c r="AJ2757" s="502"/>
      <c r="AL2757" s="434"/>
      <c r="AM2757" s="436"/>
      <c r="AN2757" s="434"/>
      <c r="AO2757" s="434"/>
      <c r="AP2757" s="556"/>
      <c r="AQ2757" s="556"/>
      <c r="AR2757" s="556"/>
      <c r="CF2757" s="2"/>
    </row>
    <row r="2758" spans="3:84">
      <c r="C2758" s="2"/>
      <c r="AD2758" s="502"/>
      <c r="AE2758" s="911"/>
      <c r="AF2758" s="502"/>
      <c r="AH2758" s="898"/>
      <c r="AI2758" s="502"/>
      <c r="AJ2758" s="502"/>
      <c r="AL2758" s="434"/>
      <c r="AM2758" s="436"/>
      <c r="AN2758" s="434"/>
      <c r="AO2758" s="434"/>
      <c r="AP2758" s="556"/>
      <c r="AQ2758" s="556"/>
      <c r="AR2758" s="556"/>
      <c r="CF2758" s="2"/>
    </row>
    <row r="2759" spans="3:84">
      <c r="C2759" s="2"/>
      <c r="AD2759" s="502"/>
      <c r="AE2759" s="911"/>
      <c r="AF2759" s="502"/>
      <c r="AH2759" s="898"/>
      <c r="AI2759" s="502"/>
      <c r="AJ2759" s="502"/>
      <c r="AL2759" s="434"/>
      <c r="AM2759" s="436"/>
      <c r="AN2759" s="434"/>
      <c r="AO2759" s="434"/>
      <c r="AP2759" s="556"/>
      <c r="AQ2759" s="556"/>
      <c r="AR2759" s="556"/>
      <c r="CF2759" s="2"/>
    </row>
    <row r="2760" spans="3:84">
      <c r="C2760" s="2"/>
      <c r="AD2760" s="502"/>
      <c r="AE2760" s="911"/>
      <c r="AF2760" s="502"/>
      <c r="AH2760" s="898"/>
      <c r="AI2760" s="502"/>
      <c r="AJ2760" s="502"/>
      <c r="AL2760" s="434"/>
      <c r="AM2760" s="436"/>
      <c r="AN2760" s="434"/>
      <c r="AO2760" s="434"/>
      <c r="AP2760" s="556"/>
      <c r="AQ2760" s="556"/>
      <c r="AR2760" s="556"/>
      <c r="CF2760" s="2"/>
    </row>
    <row r="2761" spans="3:84">
      <c r="C2761" s="2"/>
      <c r="AD2761" s="502"/>
      <c r="AE2761" s="911"/>
      <c r="AF2761" s="502"/>
      <c r="AH2761" s="898"/>
      <c r="AI2761" s="502"/>
      <c r="AJ2761" s="502"/>
      <c r="AL2761" s="434"/>
      <c r="AM2761" s="436"/>
      <c r="AN2761" s="434"/>
      <c r="AO2761" s="434"/>
      <c r="AP2761" s="556"/>
      <c r="AQ2761" s="556"/>
      <c r="AR2761" s="556"/>
      <c r="CF2761" s="2"/>
    </row>
    <row r="2762" spans="3:84">
      <c r="C2762" s="2"/>
      <c r="AD2762" s="502"/>
      <c r="AE2762" s="911"/>
      <c r="AF2762" s="502"/>
      <c r="AH2762" s="898"/>
      <c r="AI2762" s="502"/>
      <c r="AJ2762" s="502"/>
      <c r="AL2762" s="434"/>
      <c r="AM2762" s="436"/>
      <c r="AN2762" s="434"/>
      <c r="AO2762" s="434"/>
      <c r="AP2762" s="556"/>
      <c r="AQ2762" s="556"/>
      <c r="AR2762" s="556"/>
      <c r="CF2762" s="2"/>
    </row>
    <row r="2763" spans="3:84">
      <c r="C2763" s="2"/>
      <c r="AD2763" s="502"/>
      <c r="AE2763" s="911"/>
      <c r="AF2763" s="502"/>
      <c r="AH2763" s="898"/>
      <c r="AI2763" s="502"/>
      <c r="AJ2763" s="502"/>
      <c r="AL2763" s="434"/>
      <c r="AM2763" s="436"/>
      <c r="AN2763" s="434"/>
      <c r="AO2763" s="434"/>
      <c r="AP2763" s="556"/>
      <c r="AQ2763" s="556"/>
      <c r="AR2763" s="556"/>
      <c r="CF2763" s="2"/>
    </row>
    <row r="2764" spans="3:84">
      <c r="C2764" s="2"/>
      <c r="AD2764" s="502"/>
      <c r="AE2764" s="911"/>
      <c r="AF2764" s="502"/>
      <c r="AH2764" s="898"/>
      <c r="AI2764" s="502"/>
      <c r="AJ2764" s="502"/>
      <c r="AL2764" s="434"/>
      <c r="AM2764" s="436"/>
      <c r="AN2764" s="434"/>
      <c r="AO2764" s="434"/>
      <c r="AP2764" s="556"/>
      <c r="AQ2764" s="556"/>
      <c r="AR2764" s="556"/>
      <c r="CF2764" s="2"/>
    </row>
    <row r="2765" spans="3:84">
      <c r="C2765" s="2"/>
      <c r="AD2765" s="502"/>
      <c r="AE2765" s="911"/>
      <c r="AF2765" s="502"/>
      <c r="AH2765" s="898"/>
      <c r="AI2765" s="502"/>
      <c r="AJ2765" s="502"/>
      <c r="AL2765" s="434"/>
      <c r="AM2765" s="436"/>
      <c r="AN2765" s="434"/>
      <c r="AO2765" s="434"/>
      <c r="AP2765" s="556"/>
      <c r="AQ2765" s="556"/>
      <c r="AR2765" s="556"/>
      <c r="CF2765" s="2"/>
    </row>
    <row r="2766" spans="3:84">
      <c r="C2766" s="2"/>
      <c r="AD2766" s="502"/>
      <c r="AE2766" s="911"/>
      <c r="AF2766" s="502"/>
      <c r="AH2766" s="898"/>
      <c r="AI2766" s="502"/>
      <c r="AJ2766" s="502"/>
      <c r="AL2766" s="434"/>
      <c r="AM2766" s="436"/>
      <c r="AN2766" s="434"/>
      <c r="AO2766" s="434"/>
      <c r="AP2766" s="556"/>
      <c r="AQ2766" s="556"/>
      <c r="AR2766" s="556"/>
      <c r="CF2766" s="2"/>
    </row>
    <row r="2767" spans="3:84">
      <c r="C2767" s="2"/>
      <c r="AD2767" s="502"/>
      <c r="AE2767" s="911"/>
      <c r="AF2767" s="502"/>
      <c r="AH2767" s="898"/>
      <c r="AI2767" s="502"/>
      <c r="AJ2767" s="502"/>
      <c r="AL2767" s="434"/>
      <c r="AM2767" s="436"/>
      <c r="AN2767" s="434"/>
      <c r="AO2767" s="434"/>
      <c r="AP2767" s="556"/>
      <c r="AQ2767" s="556"/>
      <c r="AR2767" s="556"/>
      <c r="CF2767" s="2"/>
    </row>
    <row r="2768" spans="3:84">
      <c r="C2768" s="2"/>
      <c r="AD2768" s="502"/>
      <c r="AE2768" s="911"/>
      <c r="AF2768" s="502"/>
      <c r="AH2768" s="898"/>
      <c r="AI2768" s="502"/>
      <c r="AJ2768" s="502"/>
      <c r="AL2768" s="434"/>
      <c r="AM2768" s="436"/>
      <c r="AN2768" s="434"/>
      <c r="AO2768" s="434"/>
      <c r="AP2768" s="556"/>
      <c r="AQ2768" s="556"/>
      <c r="AR2768" s="556"/>
      <c r="CF2768" s="2"/>
    </row>
    <row r="2769" spans="3:84">
      <c r="C2769" s="2"/>
      <c r="AD2769" s="502"/>
      <c r="AE2769" s="911"/>
      <c r="AF2769" s="502"/>
      <c r="AH2769" s="898"/>
      <c r="AI2769" s="502"/>
      <c r="AJ2769" s="502"/>
      <c r="AL2769" s="434"/>
      <c r="AM2769" s="436"/>
      <c r="AN2769" s="434"/>
      <c r="AO2769" s="434"/>
      <c r="AP2769" s="556"/>
      <c r="AQ2769" s="556"/>
      <c r="AR2769" s="556"/>
      <c r="CF2769" s="2"/>
    </row>
    <row r="2770" spans="3:84">
      <c r="C2770" s="2"/>
      <c r="AD2770" s="502"/>
      <c r="AE2770" s="911"/>
      <c r="AF2770" s="502"/>
      <c r="AH2770" s="898"/>
      <c r="AI2770" s="502"/>
      <c r="AJ2770" s="502"/>
      <c r="AL2770" s="434"/>
      <c r="AM2770" s="436"/>
      <c r="AN2770" s="434"/>
      <c r="AO2770" s="434"/>
      <c r="AP2770" s="556"/>
      <c r="AQ2770" s="556"/>
      <c r="AR2770" s="556"/>
      <c r="CF2770" s="2"/>
    </row>
    <row r="2771" spans="3:84">
      <c r="C2771" s="2"/>
      <c r="AD2771" s="502"/>
      <c r="AE2771" s="911"/>
      <c r="AF2771" s="502"/>
      <c r="AH2771" s="898"/>
      <c r="AI2771" s="502"/>
      <c r="AJ2771" s="502"/>
      <c r="AL2771" s="434"/>
      <c r="AM2771" s="436"/>
      <c r="AN2771" s="434"/>
      <c r="AO2771" s="434"/>
      <c r="AP2771" s="556"/>
      <c r="AQ2771" s="556"/>
      <c r="AR2771" s="556"/>
      <c r="CF2771" s="2"/>
    </row>
    <row r="2772" spans="3:84">
      <c r="C2772" s="2"/>
      <c r="AD2772" s="502"/>
      <c r="AE2772" s="911"/>
      <c r="AF2772" s="502"/>
      <c r="AH2772" s="898"/>
      <c r="AI2772" s="502"/>
      <c r="AJ2772" s="502"/>
      <c r="AL2772" s="434"/>
      <c r="AM2772" s="436"/>
      <c r="AN2772" s="434"/>
      <c r="AO2772" s="434"/>
      <c r="AP2772" s="556"/>
      <c r="AQ2772" s="556"/>
      <c r="AR2772" s="556"/>
      <c r="CF2772" s="2"/>
    </row>
    <row r="2773" spans="3:84">
      <c r="C2773" s="2"/>
      <c r="AD2773" s="502"/>
      <c r="AE2773" s="911"/>
      <c r="AF2773" s="502"/>
      <c r="AH2773" s="898"/>
      <c r="AI2773" s="502"/>
      <c r="AJ2773" s="502"/>
      <c r="AL2773" s="434"/>
      <c r="AM2773" s="436"/>
      <c r="AN2773" s="434"/>
      <c r="AO2773" s="434"/>
      <c r="AP2773" s="556"/>
      <c r="AQ2773" s="556"/>
      <c r="AR2773" s="556"/>
      <c r="CF2773" s="2"/>
    </row>
    <row r="2774" spans="3:84">
      <c r="C2774" s="2"/>
      <c r="AD2774" s="502"/>
      <c r="AE2774" s="911"/>
      <c r="AF2774" s="502"/>
      <c r="AH2774" s="898"/>
      <c r="AI2774" s="502"/>
      <c r="AJ2774" s="502"/>
      <c r="AL2774" s="434"/>
      <c r="AM2774" s="436"/>
      <c r="AN2774" s="434"/>
      <c r="AO2774" s="434"/>
      <c r="AP2774" s="556"/>
      <c r="AQ2774" s="556"/>
      <c r="AR2774" s="556"/>
      <c r="CF2774" s="2"/>
    </row>
    <row r="2775" spans="3:84">
      <c r="C2775" s="2"/>
      <c r="AD2775" s="502"/>
      <c r="AE2775" s="911"/>
      <c r="AF2775" s="502"/>
      <c r="AH2775" s="898"/>
      <c r="AI2775" s="502"/>
      <c r="AJ2775" s="502"/>
      <c r="AL2775" s="434"/>
      <c r="AM2775" s="436"/>
      <c r="AN2775" s="434"/>
      <c r="AO2775" s="434"/>
      <c r="AP2775" s="556"/>
      <c r="AQ2775" s="556"/>
      <c r="AR2775" s="556"/>
      <c r="CF2775" s="2"/>
    </row>
    <row r="2776" spans="3:84">
      <c r="C2776" s="2"/>
      <c r="AD2776" s="502"/>
      <c r="AE2776" s="911"/>
      <c r="AF2776" s="502"/>
      <c r="AH2776" s="898"/>
      <c r="AI2776" s="502"/>
      <c r="AJ2776" s="502"/>
      <c r="AL2776" s="434"/>
      <c r="AM2776" s="436"/>
      <c r="AN2776" s="434"/>
      <c r="AO2776" s="434"/>
      <c r="AP2776" s="556"/>
      <c r="AQ2776" s="556"/>
      <c r="AR2776" s="556"/>
      <c r="CF2776" s="2"/>
    </row>
    <row r="2777" spans="3:84">
      <c r="C2777" s="2"/>
      <c r="AD2777" s="502"/>
      <c r="AE2777" s="911"/>
      <c r="AF2777" s="502"/>
      <c r="AH2777" s="898"/>
      <c r="AI2777" s="502"/>
      <c r="AJ2777" s="502"/>
      <c r="AL2777" s="434"/>
      <c r="AM2777" s="436"/>
      <c r="AN2777" s="434"/>
      <c r="AO2777" s="434"/>
      <c r="AP2777" s="556"/>
      <c r="AQ2777" s="556"/>
      <c r="AR2777" s="556"/>
      <c r="CF2777" s="2"/>
    </row>
    <row r="2778" spans="3:84">
      <c r="C2778" s="2"/>
      <c r="AD2778" s="502"/>
      <c r="AE2778" s="911"/>
      <c r="AF2778" s="502"/>
      <c r="AH2778" s="898"/>
      <c r="AI2778" s="502"/>
      <c r="AJ2778" s="502"/>
      <c r="AL2778" s="434"/>
      <c r="AM2778" s="436"/>
      <c r="AN2778" s="434"/>
      <c r="AO2778" s="434"/>
      <c r="AP2778" s="556"/>
      <c r="AQ2778" s="556"/>
      <c r="AR2778" s="556"/>
      <c r="CF2778" s="2"/>
    </row>
    <row r="2779" spans="3:84">
      <c r="C2779" s="2"/>
      <c r="AD2779" s="502"/>
      <c r="AE2779" s="911"/>
      <c r="AF2779" s="502"/>
      <c r="AH2779" s="898"/>
      <c r="AI2779" s="502"/>
      <c r="AJ2779" s="502"/>
      <c r="AL2779" s="434"/>
      <c r="AM2779" s="436"/>
      <c r="AN2779" s="434"/>
      <c r="AO2779" s="434"/>
      <c r="AP2779" s="556"/>
      <c r="AQ2779" s="556"/>
      <c r="AR2779" s="556"/>
      <c r="CF2779" s="2"/>
    </row>
    <row r="2780" spans="3:84">
      <c r="C2780" s="2"/>
      <c r="AD2780" s="502"/>
      <c r="AE2780" s="911"/>
      <c r="AF2780" s="502"/>
      <c r="AH2780" s="898"/>
      <c r="AI2780" s="502"/>
      <c r="AJ2780" s="502"/>
      <c r="AL2780" s="434"/>
      <c r="AM2780" s="436"/>
      <c r="AN2780" s="434"/>
      <c r="AO2780" s="434"/>
      <c r="AP2780" s="556"/>
      <c r="AQ2780" s="556"/>
      <c r="AR2780" s="556"/>
      <c r="CF2780" s="2"/>
    </row>
    <row r="2781" spans="3:84">
      <c r="C2781" s="2"/>
      <c r="AD2781" s="502"/>
      <c r="AE2781" s="911"/>
      <c r="AF2781" s="502"/>
      <c r="AH2781" s="898"/>
      <c r="AI2781" s="502"/>
      <c r="AJ2781" s="502"/>
      <c r="AL2781" s="434"/>
      <c r="AM2781" s="436"/>
      <c r="AN2781" s="434"/>
      <c r="AO2781" s="434"/>
      <c r="AP2781" s="556"/>
      <c r="AQ2781" s="556"/>
      <c r="AR2781" s="556"/>
      <c r="CF2781" s="2"/>
    </row>
    <row r="2782" spans="3:84">
      <c r="C2782" s="2"/>
      <c r="AD2782" s="502"/>
      <c r="AE2782" s="911"/>
      <c r="AF2782" s="502"/>
      <c r="AH2782" s="898"/>
      <c r="AI2782" s="502"/>
      <c r="AJ2782" s="502"/>
      <c r="AL2782" s="434"/>
      <c r="AM2782" s="436"/>
      <c r="AN2782" s="434"/>
      <c r="AO2782" s="434"/>
      <c r="AP2782" s="556"/>
      <c r="AQ2782" s="556"/>
      <c r="AR2782" s="556"/>
      <c r="CF2782" s="2"/>
    </row>
    <row r="2783" spans="3:84">
      <c r="C2783" s="2"/>
      <c r="AD2783" s="502"/>
      <c r="AE2783" s="911"/>
      <c r="AF2783" s="502"/>
      <c r="AH2783" s="898"/>
      <c r="AI2783" s="502"/>
      <c r="AJ2783" s="502"/>
      <c r="AL2783" s="434"/>
      <c r="AM2783" s="436"/>
      <c r="AN2783" s="434"/>
      <c r="AO2783" s="434"/>
      <c r="AP2783" s="556"/>
      <c r="AQ2783" s="556"/>
      <c r="AR2783" s="556"/>
      <c r="CF2783" s="2"/>
    </row>
    <row r="2784" spans="3:84">
      <c r="C2784" s="2"/>
      <c r="AD2784" s="502"/>
      <c r="AE2784" s="911"/>
      <c r="AF2784" s="502"/>
      <c r="AH2784" s="898"/>
      <c r="AI2784" s="502"/>
      <c r="AJ2784" s="502"/>
      <c r="AL2784" s="434"/>
      <c r="AM2784" s="436"/>
      <c r="AN2784" s="434"/>
      <c r="AO2784" s="434"/>
      <c r="AP2784" s="556"/>
      <c r="AQ2784" s="556"/>
      <c r="AR2784" s="556"/>
      <c r="CF2784" s="2"/>
    </row>
    <row r="2785" spans="3:84">
      <c r="C2785" s="2"/>
      <c r="AD2785" s="502"/>
      <c r="AE2785" s="911"/>
      <c r="AF2785" s="502"/>
      <c r="AH2785" s="898"/>
      <c r="AI2785" s="502"/>
      <c r="AJ2785" s="502"/>
      <c r="AL2785" s="434"/>
      <c r="AM2785" s="436"/>
      <c r="AN2785" s="434"/>
      <c r="AO2785" s="434"/>
      <c r="AP2785" s="556"/>
      <c r="AQ2785" s="556"/>
      <c r="AR2785" s="556"/>
      <c r="CF2785" s="2"/>
    </row>
    <row r="2786" spans="3:84">
      <c r="C2786" s="2"/>
      <c r="AD2786" s="502"/>
      <c r="AE2786" s="911"/>
      <c r="AF2786" s="502"/>
      <c r="AH2786" s="898"/>
      <c r="AI2786" s="502"/>
      <c r="AJ2786" s="502"/>
      <c r="AL2786" s="434"/>
      <c r="AM2786" s="436"/>
      <c r="AN2786" s="434"/>
      <c r="AO2786" s="434"/>
      <c r="AP2786" s="556"/>
      <c r="AQ2786" s="556"/>
      <c r="AR2786" s="556"/>
      <c r="CF2786" s="2"/>
    </row>
    <row r="2787" spans="3:84">
      <c r="C2787" s="2"/>
      <c r="AD2787" s="502"/>
      <c r="AE2787" s="911"/>
      <c r="AF2787" s="502"/>
      <c r="AH2787" s="898"/>
      <c r="AI2787" s="502"/>
      <c r="AJ2787" s="502"/>
      <c r="AL2787" s="434"/>
      <c r="AM2787" s="436"/>
      <c r="AN2787" s="434"/>
      <c r="AO2787" s="434"/>
      <c r="AP2787" s="556"/>
      <c r="AQ2787" s="556"/>
      <c r="AR2787" s="556"/>
      <c r="CF2787" s="2"/>
    </row>
    <row r="2788" spans="3:84">
      <c r="C2788" s="2"/>
      <c r="AD2788" s="502"/>
      <c r="AE2788" s="911"/>
      <c r="AF2788" s="502"/>
      <c r="AH2788" s="898"/>
      <c r="AI2788" s="502"/>
      <c r="AJ2788" s="502"/>
      <c r="AL2788" s="434"/>
      <c r="AM2788" s="436"/>
      <c r="AN2788" s="434"/>
      <c r="AO2788" s="434"/>
      <c r="AP2788" s="556"/>
      <c r="AQ2788" s="556"/>
      <c r="AR2788" s="556"/>
      <c r="CF2788" s="2"/>
    </row>
    <row r="2789" spans="3:84">
      <c r="C2789" s="2"/>
      <c r="AD2789" s="502"/>
      <c r="AE2789" s="911"/>
      <c r="AF2789" s="502"/>
      <c r="AH2789" s="898"/>
      <c r="AI2789" s="502"/>
      <c r="AJ2789" s="502"/>
      <c r="AL2789" s="434"/>
      <c r="AM2789" s="436"/>
      <c r="AN2789" s="434"/>
      <c r="AO2789" s="434"/>
      <c r="AP2789" s="556"/>
      <c r="AQ2789" s="556"/>
      <c r="AR2789" s="556"/>
      <c r="CF2789" s="2"/>
    </row>
    <row r="2790" spans="3:84">
      <c r="C2790" s="2"/>
      <c r="AD2790" s="502"/>
      <c r="AE2790" s="911"/>
      <c r="AF2790" s="502"/>
      <c r="AH2790" s="898"/>
      <c r="AI2790" s="502"/>
      <c r="AJ2790" s="502"/>
      <c r="AL2790" s="434"/>
      <c r="AM2790" s="436"/>
      <c r="AN2790" s="434"/>
      <c r="AO2790" s="434"/>
      <c r="AP2790" s="556"/>
      <c r="AQ2790" s="556"/>
      <c r="AR2790" s="556"/>
      <c r="CF2790" s="2"/>
    </row>
    <row r="2791" spans="3:84">
      <c r="C2791" s="2"/>
      <c r="AD2791" s="502"/>
      <c r="AE2791" s="911"/>
      <c r="AF2791" s="502"/>
      <c r="AH2791" s="898"/>
      <c r="AI2791" s="502"/>
      <c r="AJ2791" s="502"/>
      <c r="AL2791" s="434"/>
      <c r="AM2791" s="436"/>
      <c r="AN2791" s="434"/>
      <c r="AO2791" s="434"/>
      <c r="AP2791" s="556"/>
      <c r="AQ2791" s="556"/>
      <c r="AR2791" s="556"/>
      <c r="CF2791" s="2"/>
    </row>
    <row r="2792" spans="3:84">
      <c r="C2792" s="2"/>
      <c r="AD2792" s="502"/>
      <c r="AE2792" s="911"/>
      <c r="AF2792" s="502"/>
      <c r="AH2792" s="898"/>
      <c r="AI2792" s="502"/>
      <c r="AJ2792" s="502"/>
      <c r="AL2792" s="434"/>
      <c r="AM2792" s="436"/>
      <c r="AN2792" s="434"/>
      <c r="AO2792" s="434"/>
      <c r="AP2792" s="556"/>
      <c r="AQ2792" s="556"/>
      <c r="AR2792" s="556"/>
      <c r="CF2792" s="2"/>
    </row>
    <row r="2793" spans="3:84">
      <c r="C2793" s="2"/>
      <c r="AD2793" s="502"/>
      <c r="AE2793" s="911"/>
      <c r="AF2793" s="502"/>
      <c r="AH2793" s="898"/>
      <c r="AI2793" s="502"/>
      <c r="AJ2793" s="502"/>
      <c r="AL2793" s="434"/>
      <c r="AM2793" s="436"/>
      <c r="AN2793" s="434"/>
      <c r="AO2793" s="434"/>
      <c r="AP2793" s="556"/>
      <c r="AQ2793" s="556"/>
      <c r="AR2793" s="556"/>
      <c r="CF2793" s="2"/>
    </row>
    <row r="2794" spans="3:84">
      <c r="C2794" s="2"/>
      <c r="AD2794" s="502"/>
      <c r="AE2794" s="911"/>
      <c r="AF2794" s="502"/>
      <c r="AH2794" s="898"/>
      <c r="AI2794" s="502"/>
      <c r="AJ2794" s="502"/>
      <c r="AL2794" s="434"/>
      <c r="AM2794" s="436"/>
      <c r="AN2794" s="434"/>
      <c r="AO2794" s="434"/>
      <c r="AP2794" s="556"/>
      <c r="AQ2794" s="556"/>
      <c r="AR2794" s="556"/>
      <c r="CF2794" s="2"/>
    </row>
    <row r="2795" spans="3:84">
      <c r="C2795" s="2"/>
      <c r="AD2795" s="502"/>
      <c r="AE2795" s="911"/>
      <c r="AF2795" s="502"/>
      <c r="AH2795" s="898"/>
      <c r="AI2795" s="502"/>
      <c r="AJ2795" s="502"/>
      <c r="AL2795" s="434"/>
      <c r="AM2795" s="436"/>
      <c r="AN2795" s="434"/>
      <c r="AO2795" s="434"/>
      <c r="AP2795" s="556"/>
      <c r="AQ2795" s="556"/>
      <c r="AR2795" s="556"/>
      <c r="CF2795" s="2"/>
    </row>
    <row r="2796" spans="3:84">
      <c r="C2796" s="2"/>
      <c r="AD2796" s="502"/>
      <c r="AE2796" s="911"/>
      <c r="AF2796" s="502"/>
      <c r="AH2796" s="898"/>
      <c r="AI2796" s="502"/>
      <c r="AJ2796" s="502"/>
      <c r="AL2796" s="434"/>
      <c r="AM2796" s="436"/>
      <c r="AN2796" s="434"/>
      <c r="AO2796" s="434"/>
      <c r="AP2796" s="556"/>
      <c r="AQ2796" s="556"/>
      <c r="AR2796" s="556"/>
      <c r="CF2796" s="2"/>
    </row>
    <row r="2797" spans="3:84">
      <c r="C2797" s="2"/>
      <c r="AD2797" s="502"/>
      <c r="AE2797" s="911"/>
      <c r="AF2797" s="502"/>
      <c r="AH2797" s="898"/>
      <c r="AI2797" s="502"/>
      <c r="AJ2797" s="502"/>
      <c r="AL2797" s="434"/>
      <c r="AM2797" s="436"/>
      <c r="AN2797" s="434"/>
      <c r="AO2797" s="434"/>
      <c r="AP2797" s="556"/>
      <c r="AQ2797" s="556"/>
      <c r="AR2797" s="556"/>
      <c r="CF2797" s="2"/>
    </row>
    <row r="2798" spans="3:84">
      <c r="C2798" s="2"/>
      <c r="AD2798" s="502"/>
      <c r="AE2798" s="911"/>
      <c r="AF2798" s="502"/>
      <c r="AH2798" s="898"/>
      <c r="AI2798" s="502"/>
      <c r="AJ2798" s="502"/>
      <c r="AL2798" s="434"/>
      <c r="AM2798" s="436"/>
      <c r="AN2798" s="434"/>
      <c r="AO2798" s="434"/>
      <c r="AP2798" s="556"/>
      <c r="AQ2798" s="556"/>
      <c r="AR2798" s="556"/>
      <c r="CF2798" s="2"/>
    </row>
    <row r="2799" spans="3:84">
      <c r="C2799" s="2"/>
      <c r="AD2799" s="502"/>
      <c r="AE2799" s="911"/>
      <c r="AF2799" s="502"/>
      <c r="AH2799" s="898"/>
      <c r="AI2799" s="502"/>
      <c r="AJ2799" s="502"/>
      <c r="AL2799" s="434"/>
      <c r="AM2799" s="436"/>
      <c r="AN2799" s="434"/>
      <c r="AO2799" s="434"/>
      <c r="AP2799" s="556"/>
      <c r="AQ2799" s="556"/>
      <c r="AR2799" s="556"/>
      <c r="CF2799" s="2"/>
    </row>
    <row r="2800" spans="3:84">
      <c r="C2800" s="2"/>
      <c r="AD2800" s="502"/>
      <c r="AE2800" s="911"/>
      <c r="AF2800" s="502"/>
      <c r="AH2800" s="898"/>
      <c r="AI2800" s="502"/>
      <c r="AJ2800" s="502"/>
      <c r="AL2800" s="434"/>
      <c r="AM2800" s="436"/>
      <c r="AN2800" s="434"/>
      <c r="AO2800" s="434"/>
      <c r="AP2800" s="556"/>
      <c r="AQ2800" s="556"/>
      <c r="AR2800" s="556"/>
      <c r="CF2800" s="2"/>
    </row>
    <row r="2801" spans="3:84">
      <c r="C2801" s="2"/>
      <c r="AD2801" s="502"/>
      <c r="AE2801" s="911"/>
      <c r="AF2801" s="502"/>
      <c r="AH2801" s="898"/>
      <c r="AI2801" s="502"/>
      <c r="AJ2801" s="502"/>
      <c r="AL2801" s="434"/>
      <c r="AM2801" s="436"/>
      <c r="AN2801" s="434"/>
      <c r="AO2801" s="434"/>
      <c r="AP2801" s="556"/>
      <c r="AQ2801" s="556"/>
      <c r="AR2801" s="556"/>
      <c r="CF2801" s="2"/>
    </row>
    <row r="2802" spans="3:84">
      <c r="C2802" s="2"/>
      <c r="AD2802" s="502"/>
      <c r="AE2802" s="911"/>
      <c r="AF2802" s="502"/>
      <c r="AH2802" s="898"/>
      <c r="AI2802" s="502"/>
      <c r="AJ2802" s="502"/>
      <c r="AL2802" s="434"/>
      <c r="AM2802" s="436"/>
      <c r="AN2802" s="434"/>
      <c r="AO2802" s="434"/>
      <c r="AP2802" s="556"/>
      <c r="AQ2802" s="556"/>
      <c r="AR2802" s="556"/>
      <c r="CF2802" s="2"/>
    </row>
    <row r="2803" spans="3:84">
      <c r="C2803" s="2"/>
      <c r="AD2803" s="502"/>
      <c r="AE2803" s="911"/>
      <c r="AF2803" s="502"/>
      <c r="AH2803" s="898"/>
      <c r="AI2803" s="502"/>
      <c r="AJ2803" s="502"/>
      <c r="AL2803" s="434"/>
      <c r="AM2803" s="436"/>
      <c r="AN2803" s="434"/>
      <c r="AO2803" s="434"/>
      <c r="AP2803" s="556"/>
      <c r="AQ2803" s="556"/>
      <c r="AR2803" s="556"/>
      <c r="CF2803" s="2"/>
    </row>
    <row r="2804" spans="3:84">
      <c r="C2804" s="2"/>
      <c r="AD2804" s="502"/>
      <c r="AE2804" s="911"/>
      <c r="AF2804" s="502"/>
      <c r="AH2804" s="898"/>
      <c r="AI2804" s="502"/>
      <c r="AJ2804" s="502"/>
      <c r="AL2804" s="434"/>
      <c r="AM2804" s="436"/>
      <c r="AN2804" s="434"/>
      <c r="AO2804" s="434"/>
      <c r="AP2804" s="556"/>
      <c r="AQ2804" s="556"/>
      <c r="AR2804" s="556"/>
      <c r="CF2804" s="2"/>
    </row>
    <row r="2805" spans="3:84">
      <c r="C2805" s="2"/>
      <c r="AD2805" s="502"/>
      <c r="AE2805" s="911"/>
      <c r="AF2805" s="502"/>
      <c r="AH2805" s="898"/>
      <c r="AI2805" s="502"/>
      <c r="AJ2805" s="502"/>
      <c r="AL2805" s="434"/>
      <c r="AM2805" s="436"/>
      <c r="AN2805" s="434"/>
      <c r="AO2805" s="434"/>
      <c r="AP2805" s="556"/>
      <c r="AQ2805" s="556"/>
      <c r="AR2805" s="556"/>
      <c r="CF2805" s="2"/>
    </row>
    <row r="2806" spans="3:84">
      <c r="C2806" s="2"/>
      <c r="AD2806" s="502"/>
      <c r="AE2806" s="911"/>
      <c r="AF2806" s="502"/>
      <c r="AH2806" s="898"/>
      <c r="AI2806" s="502"/>
      <c r="AJ2806" s="502"/>
      <c r="AL2806" s="434"/>
      <c r="AM2806" s="436"/>
      <c r="AN2806" s="434"/>
      <c r="AO2806" s="434"/>
      <c r="AP2806" s="556"/>
      <c r="AQ2806" s="556"/>
      <c r="AR2806" s="556"/>
      <c r="CF2806" s="2"/>
    </row>
    <row r="2807" spans="3:84">
      <c r="C2807" s="2"/>
      <c r="AD2807" s="502"/>
      <c r="AE2807" s="911"/>
      <c r="AF2807" s="502"/>
      <c r="AH2807" s="898"/>
      <c r="AI2807" s="502"/>
      <c r="AJ2807" s="502"/>
      <c r="AL2807" s="434"/>
      <c r="AM2807" s="436"/>
      <c r="AN2807" s="434"/>
      <c r="AO2807" s="434"/>
      <c r="AP2807" s="556"/>
      <c r="AQ2807" s="556"/>
      <c r="AR2807" s="556"/>
      <c r="CF2807" s="2"/>
    </row>
    <row r="2808" spans="3:84">
      <c r="C2808" s="2"/>
      <c r="AD2808" s="502"/>
      <c r="AE2808" s="911"/>
      <c r="AF2808" s="502"/>
      <c r="AH2808" s="898"/>
      <c r="AI2808" s="502"/>
      <c r="AJ2808" s="502"/>
      <c r="AL2808" s="434"/>
      <c r="AM2808" s="436"/>
      <c r="AN2808" s="434"/>
      <c r="AO2808" s="434"/>
      <c r="AP2808" s="556"/>
      <c r="AQ2808" s="556"/>
      <c r="AR2808" s="556"/>
      <c r="CF2808" s="2"/>
    </row>
    <row r="2809" spans="3:84">
      <c r="C2809" s="2"/>
      <c r="AD2809" s="502"/>
      <c r="AE2809" s="911"/>
      <c r="AF2809" s="502"/>
      <c r="AH2809" s="898"/>
      <c r="AI2809" s="502"/>
      <c r="AJ2809" s="502"/>
      <c r="AL2809" s="434"/>
      <c r="AM2809" s="436"/>
      <c r="AN2809" s="434"/>
      <c r="AO2809" s="434"/>
      <c r="AP2809" s="556"/>
      <c r="AQ2809" s="556"/>
      <c r="AR2809" s="556"/>
      <c r="CF2809" s="2"/>
    </row>
    <row r="2810" spans="3:84">
      <c r="C2810" s="2"/>
      <c r="AD2810" s="502"/>
      <c r="AE2810" s="911"/>
      <c r="AF2810" s="502"/>
      <c r="AH2810" s="898"/>
      <c r="AI2810" s="502"/>
      <c r="AJ2810" s="502"/>
      <c r="AL2810" s="434"/>
      <c r="AM2810" s="436"/>
      <c r="AN2810" s="434"/>
      <c r="AO2810" s="434"/>
      <c r="AP2810" s="556"/>
      <c r="AQ2810" s="556"/>
      <c r="AR2810" s="556"/>
      <c r="CF2810" s="2"/>
    </row>
    <row r="2811" spans="3:84">
      <c r="C2811" s="2"/>
      <c r="AD2811" s="502"/>
      <c r="AE2811" s="911"/>
      <c r="AF2811" s="502"/>
      <c r="AH2811" s="898"/>
      <c r="AI2811" s="502"/>
      <c r="AJ2811" s="502"/>
      <c r="AL2811" s="434"/>
      <c r="AM2811" s="436"/>
      <c r="AN2811" s="434"/>
      <c r="AO2811" s="434"/>
      <c r="AP2811" s="556"/>
      <c r="AQ2811" s="556"/>
      <c r="AR2811" s="556"/>
      <c r="CF2811" s="2"/>
    </row>
    <row r="2812" spans="3:84">
      <c r="C2812" s="2"/>
      <c r="AD2812" s="502"/>
      <c r="AE2812" s="911"/>
      <c r="AF2812" s="502"/>
      <c r="AH2812" s="898"/>
      <c r="AI2812" s="502"/>
      <c r="AJ2812" s="502"/>
      <c r="AL2812" s="434"/>
      <c r="AM2812" s="436"/>
      <c r="AN2812" s="434"/>
      <c r="AO2812" s="434"/>
      <c r="AP2812" s="556"/>
      <c r="AQ2812" s="556"/>
      <c r="AR2812" s="556"/>
      <c r="CF2812" s="2"/>
    </row>
    <row r="2813" spans="3:84">
      <c r="C2813" s="2"/>
      <c r="AD2813" s="502"/>
      <c r="AE2813" s="911"/>
      <c r="AF2813" s="502"/>
      <c r="AH2813" s="898"/>
      <c r="AI2813" s="502"/>
      <c r="AJ2813" s="502"/>
      <c r="AL2813" s="434"/>
      <c r="AM2813" s="436"/>
      <c r="AN2813" s="434"/>
      <c r="AO2813" s="434"/>
      <c r="AP2813" s="556"/>
      <c r="AQ2813" s="556"/>
      <c r="AR2813" s="556"/>
      <c r="CF2813" s="2"/>
    </row>
    <row r="2814" spans="3:84">
      <c r="C2814" s="2"/>
      <c r="AD2814" s="502"/>
      <c r="AE2814" s="911"/>
      <c r="AF2814" s="502"/>
      <c r="AH2814" s="898"/>
      <c r="AI2814" s="502"/>
      <c r="AJ2814" s="502"/>
      <c r="AL2814" s="434"/>
      <c r="AM2814" s="436"/>
      <c r="AN2814" s="434"/>
      <c r="AO2814" s="434"/>
      <c r="AP2814" s="556"/>
      <c r="AQ2814" s="556"/>
      <c r="AR2814" s="556"/>
      <c r="CF2814" s="2"/>
    </row>
    <row r="2815" spans="3:84">
      <c r="C2815" s="2"/>
      <c r="AD2815" s="502"/>
      <c r="AE2815" s="911"/>
      <c r="AF2815" s="502"/>
      <c r="AH2815" s="898"/>
      <c r="AI2815" s="502"/>
      <c r="AJ2815" s="502"/>
      <c r="AL2815" s="434"/>
      <c r="AM2815" s="436"/>
      <c r="AN2815" s="434"/>
      <c r="AO2815" s="434"/>
      <c r="AP2815" s="556"/>
      <c r="AQ2815" s="556"/>
      <c r="AR2815" s="556"/>
      <c r="CF2815" s="2"/>
    </row>
    <row r="2816" spans="3:84">
      <c r="C2816" s="2"/>
      <c r="AD2816" s="502"/>
      <c r="AE2816" s="911"/>
      <c r="AF2816" s="502"/>
      <c r="AH2816" s="898"/>
      <c r="AI2816" s="502"/>
      <c r="AJ2816" s="502"/>
      <c r="AL2816" s="434"/>
      <c r="AM2816" s="436"/>
      <c r="AN2816" s="434"/>
      <c r="AO2816" s="434"/>
      <c r="AP2816" s="556"/>
      <c r="AQ2816" s="556"/>
      <c r="AR2816" s="556"/>
      <c r="CF2816" s="2"/>
    </row>
    <row r="2817" spans="3:84">
      <c r="C2817" s="2"/>
      <c r="AD2817" s="502"/>
      <c r="AE2817" s="911"/>
      <c r="AF2817" s="502"/>
      <c r="AH2817" s="898"/>
      <c r="AI2817" s="502"/>
      <c r="AJ2817" s="502"/>
      <c r="AL2817" s="434"/>
      <c r="AM2817" s="436"/>
      <c r="AN2817" s="434"/>
      <c r="AO2817" s="434"/>
      <c r="AP2817" s="556"/>
      <c r="AQ2817" s="556"/>
      <c r="AR2817" s="556"/>
      <c r="CF2817" s="2"/>
    </row>
    <row r="2818" spans="3:84">
      <c r="C2818" s="2"/>
      <c r="AD2818" s="502"/>
      <c r="AE2818" s="911"/>
      <c r="AF2818" s="502"/>
      <c r="AH2818" s="898"/>
      <c r="AI2818" s="502"/>
      <c r="AJ2818" s="502"/>
      <c r="AL2818" s="434"/>
      <c r="AM2818" s="436"/>
      <c r="AN2818" s="434"/>
      <c r="AO2818" s="434"/>
      <c r="AP2818" s="556"/>
      <c r="AQ2818" s="556"/>
      <c r="AR2818" s="556"/>
      <c r="CF2818" s="2"/>
    </row>
    <row r="2819" spans="3:84">
      <c r="C2819" s="2"/>
      <c r="AD2819" s="502"/>
      <c r="AE2819" s="911"/>
      <c r="AF2819" s="502"/>
      <c r="AH2819" s="898"/>
      <c r="AI2819" s="502"/>
      <c r="AJ2819" s="502"/>
      <c r="AL2819" s="434"/>
      <c r="AM2819" s="436"/>
      <c r="AN2819" s="434"/>
      <c r="AO2819" s="434"/>
      <c r="AP2819" s="556"/>
      <c r="AQ2819" s="556"/>
      <c r="AR2819" s="556"/>
      <c r="CF2819" s="2"/>
    </row>
    <row r="2820" spans="3:84">
      <c r="C2820" s="2"/>
      <c r="AD2820" s="502"/>
      <c r="AE2820" s="911"/>
      <c r="AF2820" s="502"/>
      <c r="AH2820" s="898"/>
      <c r="AI2820" s="502"/>
      <c r="AJ2820" s="502"/>
      <c r="AL2820" s="434"/>
      <c r="AM2820" s="436"/>
      <c r="AN2820" s="434"/>
      <c r="AO2820" s="434"/>
      <c r="AP2820" s="556"/>
      <c r="AQ2820" s="556"/>
      <c r="AR2820" s="556"/>
      <c r="CF2820" s="2"/>
    </row>
    <row r="2821" spans="3:84">
      <c r="C2821" s="2"/>
      <c r="AD2821" s="502"/>
      <c r="AE2821" s="911"/>
      <c r="AF2821" s="502"/>
      <c r="AH2821" s="898"/>
      <c r="AI2821" s="502"/>
      <c r="AJ2821" s="502"/>
      <c r="AL2821" s="434"/>
      <c r="AM2821" s="436"/>
      <c r="AN2821" s="434"/>
      <c r="AO2821" s="434"/>
      <c r="AP2821" s="556"/>
      <c r="AQ2821" s="556"/>
      <c r="AR2821" s="556"/>
      <c r="CF2821" s="2"/>
    </row>
    <row r="2822" spans="3:84">
      <c r="C2822" s="2"/>
      <c r="AD2822" s="502"/>
      <c r="AE2822" s="911"/>
      <c r="AF2822" s="502"/>
      <c r="AH2822" s="898"/>
      <c r="AI2822" s="502"/>
      <c r="AJ2822" s="502"/>
      <c r="AL2822" s="434"/>
      <c r="AM2822" s="436"/>
      <c r="AN2822" s="434"/>
      <c r="AO2822" s="434"/>
      <c r="AP2822" s="556"/>
      <c r="AQ2822" s="556"/>
      <c r="AR2822" s="556"/>
      <c r="CF2822" s="2"/>
    </row>
    <row r="2823" spans="3:84">
      <c r="C2823" s="2"/>
      <c r="AD2823" s="502"/>
      <c r="AE2823" s="911"/>
      <c r="AF2823" s="502"/>
      <c r="AH2823" s="898"/>
      <c r="AI2823" s="502"/>
      <c r="AJ2823" s="502"/>
      <c r="AL2823" s="434"/>
      <c r="AM2823" s="436"/>
      <c r="AN2823" s="434"/>
      <c r="AO2823" s="434"/>
      <c r="AP2823" s="556"/>
      <c r="AQ2823" s="556"/>
      <c r="AR2823" s="556"/>
      <c r="CF2823" s="2"/>
    </row>
    <row r="2824" spans="3:84">
      <c r="C2824" s="2"/>
      <c r="AD2824" s="502"/>
      <c r="AE2824" s="911"/>
      <c r="AF2824" s="502"/>
      <c r="AH2824" s="898"/>
      <c r="AI2824" s="502"/>
      <c r="AJ2824" s="502"/>
      <c r="AL2824" s="434"/>
      <c r="AM2824" s="436"/>
      <c r="AN2824" s="434"/>
      <c r="AO2824" s="434"/>
      <c r="AP2824" s="556"/>
      <c r="AQ2824" s="556"/>
      <c r="AR2824" s="556"/>
      <c r="CF2824" s="2"/>
    </row>
    <row r="2825" spans="3:84">
      <c r="C2825" s="2"/>
      <c r="AD2825" s="502"/>
      <c r="AE2825" s="911"/>
      <c r="AF2825" s="502"/>
      <c r="AH2825" s="898"/>
      <c r="AI2825" s="502"/>
      <c r="AJ2825" s="502"/>
      <c r="AL2825" s="434"/>
      <c r="AM2825" s="436"/>
      <c r="AN2825" s="434"/>
      <c r="AO2825" s="434"/>
      <c r="AP2825" s="556"/>
      <c r="AQ2825" s="556"/>
      <c r="AR2825" s="556"/>
      <c r="CF2825" s="2"/>
    </row>
    <row r="2826" spans="3:84">
      <c r="C2826" s="2"/>
      <c r="AD2826" s="502"/>
      <c r="AE2826" s="911"/>
      <c r="AF2826" s="502"/>
      <c r="AH2826" s="898"/>
      <c r="AI2826" s="502"/>
      <c r="AJ2826" s="502"/>
      <c r="AL2826" s="434"/>
      <c r="AM2826" s="436"/>
      <c r="AN2826" s="434"/>
      <c r="AO2826" s="434"/>
      <c r="AP2826" s="556"/>
      <c r="AQ2826" s="556"/>
      <c r="AR2826" s="556"/>
      <c r="CF2826" s="2"/>
    </row>
    <row r="2827" spans="3:84">
      <c r="C2827" s="2"/>
      <c r="AD2827" s="502"/>
      <c r="AE2827" s="911"/>
      <c r="AF2827" s="502"/>
      <c r="AH2827" s="898"/>
      <c r="AI2827" s="502"/>
      <c r="AJ2827" s="502"/>
      <c r="AL2827" s="434"/>
      <c r="AM2827" s="436"/>
      <c r="AN2827" s="434"/>
      <c r="AO2827" s="434"/>
      <c r="AP2827" s="556"/>
      <c r="AQ2827" s="556"/>
      <c r="AR2827" s="556"/>
      <c r="CF2827" s="2"/>
    </row>
    <row r="2828" spans="3:84">
      <c r="C2828" s="2"/>
      <c r="AD2828" s="502"/>
      <c r="AE2828" s="911"/>
      <c r="AF2828" s="502"/>
      <c r="AH2828" s="898"/>
      <c r="AI2828" s="502"/>
      <c r="AJ2828" s="502"/>
      <c r="AL2828" s="434"/>
      <c r="AM2828" s="436"/>
      <c r="AN2828" s="434"/>
      <c r="AO2828" s="434"/>
      <c r="AP2828" s="556"/>
      <c r="AQ2828" s="556"/>
      <c r="AR2828" s="556"/>
      <c r="CF2828" s="2"/>
    </row>
    <row r="2829" spans="3:84">
      <c r="C2829" s="2"/>
      <c r="AD2829" s="502"/>
      <c r="AE2829" s="911"/>
      <c r="AF2829" s="502"/>
      <c r="AH2829" s="898"/>
      <c r="AI2829" s="502"/>
      <c r="AJ2829" s="502"/>
      <c r="AL2829" s="434"/>
      <c r="AM2829" s="436"/>
      <c r="AN2829" s="434"/>
      <c r="AO2829" s="434"/>
      <c r="AP2829" s="556"/>
      <c r="AQ2829" s="556"/>
      <c r="AR2829" s="556"/>
      <c r="CF2829" s="2"/>
    </row>
    <row r="2830" spans="3:84">
      <c r="C2830" s="2"/>
      <c r="AD2830" s="502"/>
      <c r="AE2830" s="911"/>
      <c r="AF2830" s="502"/>
      <c r="AH2830" s="898"/>
      <c r="AI2830" s="502"/>
      <c r="AJ2830" s="502"/>
      <c r="AL2830" s="434"/>
      <c r="AM2830" s="436"/>
      <c r="AN2830" s="434"/>
      <c r="AO2830" s="434"/>
      <c r="AP2830" s="556"/>
      <c r="AQ2830" s="556"/>
      <c r="AR2830" s="556"/>
      <c r="CF2830" s="2"/>
    </row>
    <row r="2831" spans="3:84">
      <c r="C2831" s="2"/>
      <c r="AD2831" s="502"/>
      <c r="AE2831" s="911"/>
      <c r="AF2831" s="502"/>
      <c r="AH2831" s="898"/>
      <c r="AI2831" s="502"/>
      <c r="AJ2831" s="502"/>
      <c r="AL2831" s="434"/>
      <c r="AM2831" s="436"/>
      <c r="AN2831" s="434"/>
      <c r="AO2831" s="434"/>
      <c r="AP2831" s="556"/>
      <c r="AQ2831" s="556"/>
      <c r="AR2831" s="556"/>
      <c r="CF2831" s="2"/>
    </row>
    <row r="2832" spans="3:84">
      <c r="C2832" s="2"/>
      <c r="AD2832" s="502"/>
      <c r="AE2832" s="911"/>
      <c r="AF2832" s="502"/>
      <c r="AH2832" s="898"/>
      <c r="AI2832" s="502"/>
      <c r="AJ2832" s="502"/>
      <c r="AL2832" s="434"/>
      <c r="AM2832" s="436"/>
      <c r="AN2832" s="434"/>
      <c r="AO2832" s="434"/>
      <c r="AP2832" s="556"/>
      <c r="AQ2832" s="556"/>
      <c r="AR2832" s="556"/>
      <c r="CF2832" s="2"/>
    </row>
    <row r="2833" spans="3:84">
      <c r="C2833" s="2"/>
      <c r="AD2833" s="502"/>
      <c r="AE2833" s="911"/>
      <c r="AF2833" s="502"/>
      <c r="AH2833" s="898"/>
      <c r="AI2833" s="502"/>
      <c r="AJ2833" s="502"/>
      <c r="AL2833" s="434"/>
      <c r="AM2833" s="436"/>
      <c r="AN2833" s="434"/>
      <c r="AO2833" s="434"/>
      <c r="AP2833" s="556"/>
      <c r="AQ2833" s="556"/>
      <c r="AR2833" s="556"/>
      <c r="CF2833" s="2"/>
    </row>
    <row r="2834" spans="3:84">
      <c r="C2834" s="2"/>
      <c r="AD2834" s="502"/>
      <c r="AE2834" s="911"/>
      <c r="AF2834" s="502"/>
      <c r="AH2834" s="898"/>
      <c r="AI2834" s="502"/>
      <c r="AJ2834" s="502"/>
      <c r="AL2834" s="434"/>
      <c r="AM2834" s="436"/>
      <c r="AN2834" s="434"/>
      <c r="AO2834" s="434"/>
      <c r="AP2834" s="556"/>
      <c r="AQ2834" s="556"/>
      <c r="AR2834" s="556"/>
      <c r="CF2834" s="2"/>
    </row>
    <row r="2835" spans="3:84">
      <c r="C2835" s="2"/>
      <c r="AD2835" s="502"/>
      <c r="AE2835" s="911"/>
      <c r="AF2835" s="502"/>
      <c r="AH2835" s="898"/>
      <c r="AI2835" s="502"/>
      <c r="AJ2835" s="502"/>
      <c r="AL2835" s="434"/>
      <c r="AM2835" s="436"/>
      <c r="AN2835" s="434"/>
      <c r="AO2835" s="434"/>
      <c r="AP2835" s="556"/>
      <c r="AQ2835" s="556"/>
      <c r="AR2835" s="556"/>
      <c r="CF2835" s="2"/>
    </row>
    <row r="2836" spans="3:84">
      <c r="C2836" s="2"/>
      <c r="AD2836" s="502"/>
      <c r="AE2836" s="911"/>
      <c r="AF2836" s="502"/>
      <c r="AH2836" s="898"/>
      <c r="AI2836" s="502"/>
      <c r="AJ2836" s="502"/>
      <c r="AL2836" s="434"/>
      <c r="AM2836" s="436"/>
      <c r="AN2836" s="434"/>
      <c r="AO2836" s="434"/>
      <c r="AP2836" s="556"/>
      <c r="AQ2836" s="556"/>
      <c r="AR2836" s="556"/>
      <c r="CF2836" s="2"/>
    </row>
    <row r="2837" spans="3:84">
      <c r="C2837" s="2"/>
      <c r="AD2837" s="502"/>
      <c r="AE2837" s="911"/>
      <c r="AF2837" s="502"/>
      <c r="AH2837" s="898"/>
      <c r="AI2837" s="502"/>
      <c r="AJ2837" s="502"/>
      <c r="AL2837" s="434"/>
      <c r="AM2837" s="436"/>
      <c r="AN2837" s="434"/>
      <c r="AO2837" s="434"/>
      <c r="AP2837" s="556"/>
      <c r="AQ2837" s="556"/>
      <c r="AR2837" s="556"/>
      <c r="CF2837" s="2"/>
    </row>
    <row r="2838" spans="3:84">
      <c r="C2838" s="2"/>
      <c r="AD2838" s="502"/>
      <c r="AE2838" s="911"/>
      <c r="AF2838" s="502"/>
      <c r="AH2838" s="898"/>
      <c r="AI2838" s="502"/>
      <c r="AJ2838" s="502"/>
      <c r="AL2838" s="434"/>
      <c r="AM2838" s="436"/>
      <c r="AN2838" s="434"/>
      <c r="AO2838" s="434"/>
      <c r="AP2838" s="556"/>
      <c r="AQ2838" s="556"/>
      <c r="AR2838" s="556"/>
      <c r="CF2838" s="2"/>
    </row>
    <row r="2839" spans="3:84">
      <c r="C2839" s="2"/>
      <c r="AD2839" s="502"/>
      <c r="AE2839" s="911"/>
      <c r="AF2839" s="502"/>
      <c r="AH2839" s="898"/>
      <c r="AI2839" s="502"/>
      <c r="AJ2839" s="502"/>
      <c r="AL2839" s="434"/>
      <c r="AM2839" s="436"/>
      <c r="AN2839" s="434"/>
      <c r="AO2839" s="434"/>
      <c r="AP2839" s="556"/>
      <c r="AQ2839" s="556"/>
      <c r="AR2839" s="556"/>
      <c r="CF2839" s="2"/>
    </row>
    <row r="2840" spans="3:84">
      <c r="C2840" s="2"/>
      <c r="AD2840" s="502"/>
      <c r="AE2840" s="911"/>
      <c r="AF2840" s="502"/>
      <c r="AH2840" s="898"/>
      <c r="AI2840" s="502"/>
      <c r="AJ2840" s="502"/>
      <c r="AL2840" s="434"/>
      <c r="AM2840" s="436"/>
      <c r="AN2840" s="434"/>
      <c r="AO2840" s="434"/>
      <c r="AP2840" s="556"/>
      <c r="AQ2840" s="556"/>
      <c r="AR2840" s="556"/>
      <c r="CF2840" s="2"/>
    </row>
    <row r="2841" spans="3:84">
      <c r="C2841" s="2"/>
      <c r="AD2841" s="502"/>
      <c r="AE2841" s="911"/>
      <c r="AF2841" s="502"/>
      <c r="AH2841" s="898"/>
      <c r="AI2841" s="502"/>
      <c r="AJ2841" s="502"/>
      <c r="AL2841" s="434"/>
      <c r="AM2841" s="436"/>
      <c r="AN2841" s="434"/>
      <c r="AO2841" s="434"/>
      <c r="AP2841" s="556"/>
      <c r="AQ2841" s="556"/>
      <c r="AR2841" s="556"/>
      <c r="CF2841" s="2"/>
    </row>
    <row r="2842" spans="3:84">
      <c r="C2842" s="2"/>
      <c r="AD2842" s="502"/>
      <c r="AE2842" s="911"/>
      <c r="AF2842" s="502"/>
      <c r="AH2842" s="898"/>
      <c r="AI2842" s="502"/>
      <c r="AJ2842" s="502"/>
      <c r="AL2842" s="434"/>
      <c r="AM2842" s="436"/>
      <c r="AN2842" s="434"/>
      <c r="AO2842" s="434"/>
      <c r="AP2842" s="556"/>
      <c r="AQ2842" s="556"/>
      <c r="AR2842" s="556"/>
      <c r="CF2842" s="2"/>
    </row>
    <row r="2843" spans="3:84">
      <c r="C2843" s="2"/>
      <c r="AD2843" s="502"/>
      <c r="AE2843" s="911"/>
      <c r="AF2843" s="502"/>
      <c r="AH2843" s="898"/>
      <c r="AI2843" s="502"/>
      <c r="AJ2843" s="502"/>
      <c r="AL2843" s="434"/>
      <c r="AM2843" s="436"/>
      <c r="AN2843" s="434"/>
      <c r="AO2843" s="434"/>
      <c r="AP2843" s="556"/>
      <c r="AQ2843" s="556"/>
      <c r="AR2843" s="556"/>
      <c r="CF2843" s="2"/>
    </row>
    <row r="2844" spans="3:84">
      <c r="C2844" s="2"/>
      <c r="AD2844" s="502"/>
      <c r="AE2844" s="911"/>
      <c r="AF2844" s="502"/>
      <c r="AH2844" s="898"/>
      <c r="AI2844" s="502"/>
      <c r="AJ2844" s="502"/>
      <c r="AL2844" s="434"/>
      <c r="AM2844" s="436"/>
      <c r="AN2844" s="434"/>
      <c r="AO2844" s="434"/>
      <c r="AP2844" s="556"/>
      <c r="AQ2844" s="556"/>
      <c r="AR2844" s="556"/>
      <c r="CF2844" s="2"/>
    </row>
    <row r="2845" spans="3:84">
      <c r="C2845" s="2"/>
      <c r="AD2845" s="502"/>
      <c r="AE2845" s="911"/>
      <c r="AF2845" s="502"/>
      <c r="AH2845" s="898"/>
      <c r="AI2845" s="502"/>
      <c r="AJ2845" s="502"/>
      <c r="AL2845" s="434"/>
      <c r="AM2845" s="436"/>
      <c r="AN2845" s="434"/>
      <c r="AO2845" s="434"/>
      <c r="AP2845" s="556"/>
      <c r="AQ2845" s="556"/>
      <c r="AR2845" s="556"/>
      <c r="CF2845" s="2"/>
    </row>
    <row r="2846" spans="3:84">
      <c r="C2846" s="2"/>
      <c r="AD2846" s="502"/>
      <c r="AE2846" s="911"/>
      <c r="AF2846" s="502"/>
      <c r="AH2846" s="898"/>
      <c r="AI2846" s="502"/>
      <c r="AJ2846" s="502"/>
      <c r="AL2846" s="434"/>
      <c r="AM2846" s="436"/>
      <c r="AN2846" s="434"/>
      <c r="AO2846" s="434"/>
      <c r="AP2846" s="556"/>
      <c r="AQ2846" s="556"/>
      <c r="AR2846" s="556"/>
      <c r="CF2846" s="2"/>
    </row>
    <row r="2847" spans="3:84">
      <c r="C2847" s="2"/>
      <c r="AD2847" s="502"/>
      <c r="AE2847" s="911"/>
      <c r="AF2847" s="502"/>
      <c r="AH2847" s="898"/>
      <c r="AI2847" s="502"/>
      <c r="AJ2847" s="502"/>
      <c r="AL2847" s="434"/>
      <c r="AM2847" s="436"/>
      <c r="AN2847" s="434"/>
      <c r="AO2847" s="434"/>
      <c r="AP2847" s="556"/>
      <c r="AQ2847" s="556"/>
      <c r="AR2847" s="556"/>
      <c r="CF2847" s="2"/>
    </row>
    <row r="2848" spans="3:84">
      <c r="C2848" s="2"/>
      <c r="AD2848" s="502"/>
      <c r="AE2848" s="911"/>
      <c r="AF2848" s="502"/>
      <c r="AH2848" s="898"/>
      <c r="AI2848" s="502"/>
      <c r="AJ2848" s="502"/>
      <c r="AL2848" s="434"/>
      <c r="AM2848" s="436"/>
      <c r="AN2848" s="434"/>
      <c r="AO2848" s="434"/>
      <c r="AP2848" s="556"/>
      <c r="AQ2848" s="556"/>
      <c r="AR2848" s="556"/>
      <c r="CF2848" s="2"/>
    </row>
    <row r="2849" spans="3:84">
      <c r="C2849" s="2"/>
      <c r="AD2849" s="502"/>
      <c r="AE2849" s="911"/>
      <c r="AF2849" s="502"/>
      <c r="AH2849" s="898"/>
      <c r="AI2849" s="502"/>
      <c r="AJ2849" s="502"/>
      <c r="AL2849" s="434"/>
      <c r="AM2849" s="436"/>
      <c r="AN2849" s="434"/>
      <c r="AO2849" s="434"/>
      <c r="AP2849" s="556"/>
      <c r="AQ2849" s="556"/>
      <c r="AR2849" s="556"/>
      <c r="CF2849" s="2"/>
    </row>
    <row r="2850" spans="3:84">
      <c r="C2850" s="2"/>
      <c r="AD2850" s="502"/>
      <c r="AE2850" s="911"/>
      <c r="AF2850" s="502"/>
      <c r="AH2850" s="898"/>
      <c r="AI2850" s="502"/>
      <c r="AJ2850" s="502"/>
      <c r="AL2850" s="434"/>
      <c r="AM2850" s="436"/>
      <c r="AN2850" s="434"/>
      <c r="AO2850" s="434"/>
      <c r="AP2850" s="556"/>
      <c r="AQ2850" s="556"/>
      <c r="AR2850" s="556"/>
      <c r="CF2850" s="2"/>
    </row>
    <row r="2851" spans="3:84">
      <c r="C2851" s="2"/>
      <c r="AD2851" s="502"/>
      <c r="AE2851" s="911"/>
      <c r="AF2851" s="502"/>
      <c r="AH2851" s="898"/>
      <c r="AI2851" s="502"/>
      <c r="AJ2851" s="502"/>
      <c r="AL2851" s="434"/>
      <c r="AM2851" s="436"/>
      <c r="AN2851" s="434"/>
      <c r="AO2851" s="434"/>
      <c r="AP2851" s="556"/>
      <c r="AQ2851" s="556"/>
      <c r="AR2851" s="556"/>
      <c r="CF2851" s="2"/>
    </row>
    <row r="2852" spans="3:84">
      <c r="C2852" s="2"/>
      <c r="AD2852" s="502"/>
      <c r="AE2852" s="911"/>
      <c r="AF2852" s="502"/>
      <c r="AH2852" s="898"/>
      <c r="AI2852" s="502"/>
      <c r="AJ2852" s="502"/>
      <c r="AL2852" s="434"/>
      <c r="AM2852" s="436"/>
      <c r="AN2852" s="434"/>
      <c r="AO2852" s="434"/>
      <c r="AP2852" s="556"/>
      <c r="AQ2852" s="556"/>
      <c r="AR2852" s="556"/>
      <c r="CF2852" s="2"/>
    </row>
    <row r="2853" spans="3:84">
      <c r="C2853" s="2"/>
      <c r="AD2853" s="502"/>
      <c r="AE2853" s="911"/>
      <c r="AF2853" s="502"/>
      <c r="AH2853" s="898"/>
      <c r="AI2853" s="502"/>
      <c r="AJ2853" s="502"/>
      <c r="AL2853" s="434"/>
      <c r="AM2853" s="436"/>
      <c r="AN2853" s="434"/>
      <c r="AO2853" s="434"/>
      <c r="AP2853" s="556"/>
      <c r="AQ2853" s="556"/>
      <c r="AR2853" s="556"/>
      <c r="CF2853" s="2"/>
    </row>
    <row r="2854" spans="3:84">
      <c r="C2854" s="2"/>
      <c r="AD2854" s="502"/>
      <c r="AE2854" s="911"/>
      <c r="AF2854" s="502"/>
      <c r="AH2854" s="898"/>
      <c r="AI2854" s="502"/>
      <c r="AJ2854" s="502"/>
      <c r="AL2854" s="434"/>
      <c r="AM2854" s="436"/>
      <c r="AN2854" s="434"/>
      <c r="AO2854" s="434"/>
      <c r="AP2854" s="556"/>
      <c r="AQ2854" s="556"/>
      <c r="AR2854" s="556"/>
      <c r="CF2854" s="2"/>
    </row>
    <row r="2855" spans="3:84">
      <c r="C2855" s="2"/>
      <c r="AD2855" s="502"/>
      <c r="AE2855" s="911"/>
      <c r="AF2855" s="502"/>
      <c r="AH2855" s="898"/>
      <c r="AI2855" s="502"/>
      <c r="AJ2855" s="502"/>
      <c r="AL2855" s="434"/>
      <c r="AM2855" s="436"/>
      <c r="AN2855" s="434"/>
      <c r="AO2855" s="434"/>
      <c r="AP2855" s="556"/>
      <c r="AQ2855" s="556"/>
      <c r="AR2855" s="556"/>
      <c r="CF2855" s="2"/>
    </row>
    <row r="2856" spans="3:84">
      <c r="C2856" s="2"/>
      <c r="AD2856" s="502"/>
      <c r="AE2856" s="911"/>
      <c r="AF2856" s="502"/>
      <c r="AH2856" s="898"/>
      <c r="AI2856" s="502"/>
      <c r="AJ2856" s="502"/>
      <c r="AL2856" s="434"/>
      <c r="AM2856" s="436"/>
      <c r="AN2856" s="434"/>
      <c r="AO2856" s="434"/>
      <c r="AP2856" s="556"/>
      <c r="AQ2856" s="556"/>
      <c r="AR2856" s="556"/>
      <c r="CF2856" s="2"/>
    </row>
    <row r="2857" spans="3:84">
      <c r="C2857" s="2"/>
      <c r="AD2857" s="502"/>
      <c r="AE2857" s="911"/>
      <c r="AF2857" s="502"/>
      <c r="AH2857" s="898"/>
      <c r="AI2857" s="502"/>
      <c r="AJ2857" s="502"/>
      <c r="AL2857" s="434"/>
      <c r="AM2857" s="436"/>
      <c r="AN2857" s="434"/>
      <c r="AO2857" s="434"/>
      <c r="AP2857" s="556"/>
      <c r="AQ2857" s="556"/>
      <c r="AR2857" s="556"/>
      <c r="CF2857" s="2"/>
    </row>
    <row r="2858" spans="3:84">
      <c r="C2858" s="2"/>
      <c r="AD2858" s="502"/>
      <c r="AE2858" s="911"/>
      <c r="AF2858" s="502"/>
      <c r="AH2858" s="898"/>
      <c r="AI2858" s="502"/>
      <c r="AJ2858" s="502"/>
      <c r="AL2858" s="434"/>
      <c r="AM2858" s="436"/>
      <c r="AN2858" s="434"/>
      <c r="AO2858" s="434"/>
      <c r="AP2858" s="556"/>
      <c r="AQ2858" s="556"/>
      <c r="AR2858" s="556"/>
      <c r="CF2858" s="2"/>
    </row>
    <row r="2859" spans="3:84">
      <c r="C2859" s="2"/>
      <c r="AD2859" s="502"/>
      <c r="AE2859" s="911"/>
      <c r="AF2859" s="502"/>
      <c r="AH2859" s="898"/>
      <c r="AI2859" s="502"/>
      <c r="AJ2859" s="502"/>
      <c r="AL2859" s="434"/>
      <c r="AM2859" s="436"/>
      <c r="AN2859" s="434"/>
      <c r="AO2859" s="434"/>
      <c r="AP2859" s="556"/>
      <c r="AQ2859" s="556"/>
      <c r="AR2859" s="556"/>
      <c r="CF2859" s="2"/>
    </row>
    <row r="2860" spans="3:84">
      <c r="C2860" s="2"/>
      <c r="AD2860" s="502"/>
      <c r="AE2860" s="911"/>
      <c r="AF2860" s="502"/>
      <c r="AH2860" s="898"/>
      <c r="AI2860" s="502"/>
      <c r="AJ2860" s="502"/>
      <c r="AL2860" s="434"/>
      <c r="AM2860" s="436"/>
      <c r="AN2860" s="434"/>
      <c r="AO2860" s="434"/>
      <c r="AP2860" s="556"/>
      <c r="AQ2860" s="556"/>
      <c r="AR2860" s="556"/>
      <c r="CF2860" s="2"/>
    </row>
    <row r="2861" spans="3:84">
      <c r="C2861" s="2"/>
      <c r="AD2861" s="502"/>
      <c r="AE2861" s="911"/>
      <c r="AF2861" s="502"/>
      <c r="AH2861" s="898"/>
      <c r="AI2861" s="502"/>
      <c r="AJ2861" s="502"/>
      <c r="AL2861" s="434"/>
      <c r="AM2861" s="436"/>
      <c r="AN2861" s="434"/>
      <c r="AO2861" s="434"/>
      <c r="AP2861" s="556"/>
      <c r="AQ2861" s="556"/>
      <c r="AR2861" s="556"/>
      <c r="CF2861" s="2"/>
    </row>
    <row r="2862" spans="3:84">
      <c r="C2862" s="2"/>
      <c r="AD2862" s="502"/>
      <c r="AE2862" s="911"/>
      <c r="AF2862" s="502"/>
      <c r="AH2862" s="898"/>
      <c r="AI2862" s="502"/>
      <c r="AJ2862" s="502"/>
      <c r="AL2862" s="434"/>
      <c r="AM2862" s="436"/>
      <c r="AN2862" s="434"/>
      <c r="AO2862" s="434"/>
      <c r="AP2862" s="556"/>
      <c r="AQ2862" s="556"/>
      <c r="AR2862" s="556"/>
      <c r="CF2862" s="2"/>
    </row>
    <row r="2863" spans="3:84">
      <c r="C2863" s="2"/>
      <c r="AD2863" s="502"/>
      <c r="AE2863" s="911"/>
      <c r="AF2863" s="502"/>
      <c r="AH2863" s="898"/>
      <c r="AI2863" s="502"/>
      <c r="AJ2863" s="502"/>
      <c r="AL2863" s="434"/>
      <c r="AM2863" s="436"/>
      <c r="AN2863" s="434"/>
      <c r="AO2863" s="434"/>
      <c r="AP2863" s="556"/>
      <c r="AQ2863" s="556"/>
      <c r="AR2863" s="556"/>
      <c r="CF2863" s="2"/>
    </row>
    <row r="2864" spans="3:84">
      <c r="C2864" s="2"/>
      <c r="AD2864" s="502"/>
      <c r="AE2864" s="911"/>
      <c r="AF2864" s="502"/>
      <c r="AH2864" s="898"/>
      <c r="AI2864" s="502"/>
      <c r="AJ2864" s="502"/>
      <c r="AL2864" s="434"/>
      <c r="AM2864" s="436"/>
      <c r="AN2864" s="434"/>
      <c r="AO2864" s="434"/>
      <c r="AP2864" s="556"/>
      <c r="AQ2864" s="556"/>
      <c r="AR2864" s="556"/>
      <c r="CF2864" s="2"/>
    </row>
    <row r="2865" spans="3:84">
      <c r="C2865" s="2"/>
      <c r="AD2865" s="502"/>
      <c r="AE2865" s="911"/>
      <c r="AF2865" s="502"/>
      <c r="AH2865" s="898"/>
      <c r="AI2865" s="502"/>
      <c r="AJ2865" s="502"/>
      <c r="AL2865" s="434"/>
      <c r="AM2865" s="436"/>
      <c r="AN2865" s="434"/>
      <c r="AO2865" s="434"/>
      <c r="AP2865" s="556"/>
      <c r="AQ2865" s="556"/>
      <c r="AR2865" s="556"/>
      <c r="CF2865" s="2"/>
    </row>
    <row r="2866" spans="3:84">
      <c r="C2866" s="2"/>
      <c r="AD2866" s="502"/>
      <c r="AE2866" s="911"/>
      <c r="AF2866" s="502"/>
      <c r="AH2866" s="898"/>
      <c r="AI2866" s="502"/>
      <c r="AJ2866" s="502"/>
      <c r="AL2866" s="434"/>
      <c r="AM2866" s="436"/>
      <c r="AN2866" s="434"/>
      <c r="AO2866" s="434"/>
      <c r="AP2866" s="556"/>
      <c r="AQ2866" s="556"/>
      <c r="AR2866" s="556"/>
      <c r="CF2866" s="2"/>
    </row>
    <row r="2867" spans="3:84">
      <c r="C2867" s="2"/>
      <c r="AD2867" s="502"/>
      <c r="AE2867" s="911"/>
      <c r="AF2867" s="502"/>
      <c r="AH2867" s="898"/>
      <c r="AI2867" s="502"/>
      <c r="AJ2867" s="502"/>
      <c r="AL2867" s="434"/>
      <c r="AM2867" s="436"/>
      <c r="AN2867" s="434"/>
      <c r="AO2867" s="434"/>
      <c r="AP2867" s="556"/>
      <c r="AQ2867" s="556"/>
      <c r="AR2867" s="556"/>
      <c r="CF2867" s="2"/>
    </row>
    <row r="2868" spans="3:84">
      <c r="C2868" s="2"/>
      <c r="AD2868" s="502"/>
      <c r="AE2868" s="911"/>
      <c r="AF2868" s="502"/>
      <c r="AH2868" s="898"/>
      <c r="AI2868" s="502"/>
      <c r="AJ2868" s="502"/>
      <c r="AL2868" s="434"/>
      <c r="AM2868" s="436"/>
      <c r="AN2868" s="434"/>
      <c r="AO2868" s="434"/>
      <c r="AP2868" s="556"/>
      <c r="AQ2868" s="556"/>
      <c r="AR2868" s="556"/>
      <c r="CF2868" s="2"/>
    </row>
    <row r="2869" spans="3:84">
      <c r="C2869" s="2"/>
      <c r="AD2869" s="502"/>
      <c r="AE2869" s="911"/>
      <c r="AF2869" s="502"/>
      <c r="AH2869" s="898"/>
      <c r="AI2869" s="502"/>
      <c r="AJ2869" s="502"/>
      <c r="AL2869" s="434"/>
      <c r="AM2869" s="436"/>
      <c r="AN2869" s="434"/>
      <c r="AO2869" s="434"/>
      <c r="AP2869" s="556"/>
      <c r="AQ2869" s="556"/>
      <c r="AR2869" s="556"/>
      <c r="CF2869" s="2"/>
    </row>
    <row r="2870" spans="3:84">
      <c r="C2870" s="2"/>
      <c r="AD2870" s="502"/>
      <c r="AE2870" s="911"/>
      <c r="AF2870" s="502"/>
      <c r="AH2870" s="898"/>
      <c r="AI2870" s="502"/>
      <c r="AJ2870" s="502"/>
      <c r="AL2870" s="434"/>
      <c r="AM2870" s="436"/>
      <c r="AN2870" s="434"/>
      <c r="AO2870" s="434"/>
      <c r="AP2870" s="556"/>
      <c r="AQ2870" s="556"/>
      <c r="AR2870" s="556"/>
      <c r="CF2870" s="2"/>
    </row>
    <row r="2871" spans="3:84">
      <c r="C2871" s="2"/>
      <c r="AD2871" s="502"/>
      <c r="AE2871" s="911"/>
      <c r="AF2871" s="502"/>
      <c r="AH2871" s="898"/>
      <c r="AI2871" s="502"/>
      <c r="AJ2871" s="502"/>
      <c r="AL2871" s="434"/>
      <c r="AM2871" s="436"/>
      <c r="AN2871" s="434"/>
      <c r="AO2871" s="434"/>
      <c r="AP2871" s="556"/>
      <c r="AQ2871" s="556"/>
      <c r="AR2871" s="556"/>
      <c r="CF2871" s="2"/>
    </row>
    <row r="2872" spans="3:84">
      <c r="C2872" s="2"/>
      <c r="AD2872" s="502"/>
      <c r="AE2872" s="911"/>
      <c r="AF2872" s="502"/>
      <c r="AH2872" s="898"/>
      <c r="AI2872" s="502"/>
      <c r="AJ2872" s="502"/>
      <c r="AL2872" s="434"/>
      <c r="AM2872" s="436"/>
      <c r="AN2872" s="434"/>
      <c r="AO2872" s="434"/>
      <c r="AP2872" s="556"/>
      <c r="AQ2872" s="556"/>
      <c r="AR2872" s="556"/>
      <c r="CF2872" s="2"/>
    </row>
    <row r="2873" spans="3:84">
      <c r="C2873" s="2"/>
      <c r="AD2873" s="502"/>
      <c r="AE2873" s="911"/>
      <c r="AF2873" s="502"/>
      <c r="AH2873" s="898"/>
      <c r="AI2873" s="502"/>
      <c r="AJ2873" s="502"/>
      <c r="AL2873" s="434"/>
      <c r="AM2873" s="436"/>
      <c r="AN2873" s="434"/>
      <c r="AO2873" s="434"/>
      <c r="AP2873" s="556"/>
      <c r="AQ2873" s="556"/>
      <c r="AR2873" s="556"/>
      <c r="CF2873" s="2"/>
    </row>
    <row r="2874" spans="3:84">
      <c r="C2874" s="2"/>
      <c r="AD2874" s="502"/>
      <c r="AE2874" s="911"/>
      <c r="AF2874" s="502"/>
      <c r="AH2874" s="898"/>
      <c r="AI2874" s="502"/>
      <c r="AJ2874" s="502"/>
      <c r="AL2874" s="434"/>
      <c r="AM2874" s="436"/>
      <c r="AN2874" s="434"/>
      <c r="AO2874" s="434"/>
      <c r="AP2874" s="556"/>
      <c r="AQ2874" s="556"/>
      <c r="AR2874" s="556"/>
      <c r="CF2874" s="2"/>
    </row>
    <row r="2875" spans="3:84">
      <c r="C2875" s="2"/>
      <c r="AD2875" s="502"/>
      <c r="AE2875" s="911"/>
      <c r="AF2875" s="502"/>
      <c r="AH2875" s="898"/>
      <c r="AI2875" s="502"/>
      <c r="AJ2875" s="502"/>
      <c r="AL2875" s="434"/>
      <c r="AM2875" s="436"/>
      <c r="AN2875" s="434"/>
      <c r="AO2875" s="434"/>
      <c r="AP2875" s="556"/>
      <c r="AQ2875" s="556"/>
      <c r="AR2875" s="556"/>
      <c r="CF2875" s="2"/>
    </row>
    <row r="2876" spans="3:84">
      <c r="C2876" s="2"/>
      <c r="AD2876" s="502"/>
      <c r="AE2876" s="911"/>
      <c r="AF2876" s="502"/>
      <c r="AH2876" s="898"/>
      <c r="AI2876" s="502"/>
      <c r="AJ2876" s="502"/>
      <c r="AL2876" s="434"/>
      <c r="AM2876" s="436"/>
      <c r="AN2876" s="434"/>
      <c r="AO2876" s="434"/>
      <c r="AP2876" s="556"/>
      <c r="AQ2876" s="556"/>
      <c r="AR2876" s="556"/>
      <c r="CF2876" s="2"/>
    </row>
    <row r="2877" spans="3:84">
      <c r="C2877" s="2"/>
      <c r="AD2877" s="502"/>
      <c r="AE2877" s="911"/>
      <c r="AF2877" s="502"/>
      <c r="AH2877" s="898"/>
      <c r="AI2877" s="502"/>
      <c r="AJ2877" s="502"/>
      <c r="AL2877" s="434"/>
      <c r="AM2877" s="436"/>
      <c r="AN2877" s="434"/>
      <c r="AO2877" s="434"/>
      <c r="AP2877" s="556"/>
      <c r="AQ2877" s="556"/>
      <c r="AR2877" s="556"/>
      <c r="CF2877" s="2"/>
    </row>
    <row r="2878" spans="3:84">
      <c r="C2878" s="2"/>
      <c r="AD2878" s="502"/>
      <c r="AE2878" s="911"/>
      <c r="AF2878" s="502"/>
      <c r="AH2878" s="898"/>
      <c r="AI2878" s="502"/>
      <c r="AJ2878" s="502"/>
      <c r="AL2878" s="434"/>
      <c r="AM2878" s="436"/>
      <c r="AN2878" s="434"/>
      <c r="AO2878" s="434"/>
      <c r="AP2878" s="556"/>
      <c r="AQ2878" s="556"/>
      <c r="AR2878" s="556"/>
      <c r="CF2878" s="2"/>
    </row>
    <row r="2879" spans="3:84">
      <c r="C2879" s="2"/>
      <c r="AD2879" s="502"/>
      <c r="AE2879" s="911"/>
      <c r="AF2879" s="502"/>
      <c r="AH2879" s="898"/>
      <c r="AI2879" s="502"/>
      <c r="AJ2879" s="502"/>
      <c r="AL2879" s="434"/>
      <c r="AM2879" s="436"/>
      <c r="AN2879" s="434"/>
      <c r="AO2879" s="434"/>
      <c r="AP2879" s="556"/>
      <c r="AQ2879" s="556"/>
      <c r="AR2879" s="556"/>
      <c r="CF2879" s="2"/>
    </row>
    <row r="2880" spans="3:84">
      <c r="C2880" s="2"/>
      <c r="AD2880" s="502"/>
      <c r="AE2880" s="911"/>
      <c r="AF2880" s="502"/>
      <c r="AH2880" s="898"/>
      <c r="AI2880" s="502"/>
      <c r="AJ2880" s="502"/>
      <c r="AL2880" s="434"/>
      <c r="AM2880" s="436"/>
      <c r="AN2880" s="434"/>
      <c r="AO2880" s="434"/>
      <c r="AP2880" s="556"/>
      <c r="AQ2880" s="556"/>
      <c r="AR2880" s="556"/>
      <c r="CF2880" s="2"/>
    </row>
    <row r="2881" spans="3:84">
      <c r="C2881" s="2"/>
      <c r="AD2881" s="502"/>
      <c r="AE2881" s="911"/>
      <c r="AF2881" s="502"/>
      <c r="AH2881" s="898"/>
      <c r="AI2881" s="502"/>
      <c r="AJ2881" s="502"/>
      <c r="AL2881" s="434"/>
      <c r="AM2881" s="436"/>
      <c r="AN2881" s="434"/>
      <c r="AO2881" s="434"/>
      <c r="AP2881" s="556"/>
      <c r="AQ2881" s="556"/>
      <c r="AR2881" s="556"/>
      <c r="CF2881" s="2"/>
    </row>
    <row r="2882" spans="3:84">
      <c r="C2882" s="2"/>
      <c r="AD2882" s="502"/>
      <c r="AE2882" s="911"/>
      <c r="AF2882" s="502"/>
      <c r="AH2882" s="898"/>
      <c r="AI2882" s="502"/>
      <c r="AJ2882" s="502"/>
      <c r="AL2882" s="434"/>
      <c r="AM2882" s="436"/>
      <c r="AN2882" s="434"/>
      <c r="AO2882" s="434"/>
      <c r="AP2882" s="556"/>
      <c r="AQ2882" s="556"/>
      <c r="AR2882" s="556"/>
      <c r="CF2882" s="2"/>
    </row>
    <row r="2883" spans="3:84">
      <c r="C2883" s="2"/>
      <c r="AD2883" s="502"/>
      <c r="AE2883" s="911"/>
      <c r="AF2883" s="502"/>
      <c r="AH2883" s="898"/>
      <c r="AI2883" s="502"/>
      <c r="AJ2883" s="502"/>
      <c r="AL2883" s="434"/>
      <c r="AM2883" s="436"/>
      <c r="AN2883" s="434"/>
      <c r="AO2883" s="434"/>
      <c r="AP2883" s="556"/>
      <c r="AQ2883" s="556"/>
      <c r="AR2883" s="556"/>
      <c r="CF2883" s="2"/>
    </row>
    <row r="2884" spans="3:84">
      <c r="C2884" s="2"/>
      <c r="AD2884" s="502"/>
      <c r="AE2884" s="911"/>
      <c r="AF2884" s="502"/>
      <c r="AH2884" s="898"/>
      <c r="AI2884" s="502"/>
      <c r="AJ2884" s="502"/>
      <c r="AL2884" s="434"/>
      <c r="AM2884" s="436"/>
      <c r="AN2884" s="434"/>
      <c r="AO2884" s="434"/>
      <c r="AP2884" s="556"/>
      <c r="AQ2884" s="556"/>
      <c r="AR2884" s="556"/>
      <c r="CF2884" s="2"/>
    </row>
    <row r="2885" spans="3:84">
      <c r="C2885" s="2"/>
      <c r="AD2885" s="502"/>
      <c r="AE2885" s="911"/>
      <c r="AF2885" s="502"/>
      <c r="AH2885" s="898"/>
      <c r="AI2885" s="502"/>
      <c r="AJ2885" s="502"/>
      <c r="AL2885" s="434"/>
      <c r="AM2885" s="436"/>
      <c r="AN2885" s="434"/>
      <c r="AO2885" s="434"/>
      <c r="AP2885" s="556"/>
      <c r="AQ2885" s="556"/>
      <c r="AR2885" s="556"/>
      <c r="CF2885" s="2"/>
    </row>
    <row r="2886" spans="3:84">
      <c r="C2886" s="2"/>
      <c r="AD2886" s="502"/>
      <c r="AE2886" s="911"/>
      <c r="AF2886" s="502"/>
      <c r="AH2886" s="898"/>
      <c r="AI2886" s="502"/>
      <c r="AJ2886" s="502"/>
      <c r="AL2886" s="434"/>
      <c r="AM2886" s="436"/>
      <c r="AN2886" s="434"/>
      <c r="AO2886" s="434"/>
      <c r="AP2886" s="556"/>
      <c r="AQ2886" s="556"/>
      <c r="AR2886" s="556"/>
      <c r="CF2886" s="2"/>
    </row>
    <row r="2887" spans="3:84">
      <c r="C2887" s="2"/>
      <c r="AD2887" s="502"/>
      <c r="AE2887" s="911"/>
      <c r="AF2887" s="502"/>
      <c r="AH2887" s="898"/>
      <c r="AI2887" s="502"/>
      <c r="AJ2887" s="502"/>
      <c r="AL2887" s="434"/>
      <c r="AM2887" s="436"/>
      <c r="AN2887" s="434"/>
      <c r="AO2887" s="434"/>
      <c r="AP2887" s="556"/>
      <c r="AQ2887" s="556"/>
      <c r="AR2887" s="556"/>
      <c r="CF2887" s="2"/>
    </row>
    <row r="2888" spans="3:84">
      <c r="C2888" s="2"/>
      <c r="AD2888" s="502"/>
      <c r="AE2888" s="911"/>
      <c r="AF2888" s="502"/>
      <c r="AH2888" s="898"/>
      <c r="AI2888" s="502"/>
      <c r="AJ2888" s="502"/>
      <c r="AL2888" s="434"/>
      <c r="AM2888" s="436"/>
      <c r="AN2888" s="434"/>
      <c r="AO2888" s="434"/>
      <c r="AP2888" s="556"/>
      <c r="AQ2888" s="556"/>
      <c r="AR2888" s="556"/>
      <c r="CF2888" s="2"/>
    </row>
    <row r="2889" spans="3:84">
      <c r="C2889" s="2"/>
      <c r="AD2889" s="502"/>
      <c r="AE2889" s="911"/>
      <c r="AF2889" s="502"/>
      <c r="AH2889" s="898"/>
      <c r="AI2889" s="502"/>
      <c r="AJ2889" s="502"/>
      <c r="AL2889" s="434"/>
      <c r="AM2889" s="436"/>
      <c r="AN2889" s="434"/>
      <c r="AO2889" s="434"/>
      <c r="AP2889" s="556"/>
      <c r="AQ2889" s="556"/>
      <c r="AR2889" s="556"/>
      <c r="CF2889" s="2"/>
    </row>
    <row r="2890" spans="3:84">
      <c r="C2890" s="2"/>
      <c r="AD2890" s="502"/>
      <c r="AE2890" s="911"/>
      <c r="AF2890" s="502"/>
      <c r="AH2890" s="898"/>
      <c r="AI2890" s="502"/>
      <c r="AJ2890" s="502"/>
      <c r="AL2890" s="434"/>
      <c r="AM2890" s="436"/>
      <c r="AN2890" s="434"/>
      <c r="AO2890" s="434"/>
      <c r="AP2890" s="556"/>
      <c r="AQ2890" s="556"/>
      <c r="AR2890" s="556"/>
      <c r="CF2890" s="2"/>
    </row>
    <row r="2891" spans="3:84">
      <c r="C2891" s="2"/>
      <c r="AD2891" s="502"/>
      <c r="AE2891" s="911"/>
      <c r="AF2891" s="502"/>
      <c r="AH2891" s="898"/>
      <c r="AI2891" s="502"/>
      <c r="AJ2891" s="502"/>
      <c r="AL2891" s="434"/>
      <c r="AM2891" s="436"/>
      <c r="AN2891" s="434"/>
      <c r="AO2891" s="434"/>
      <c r="AP2891" s="556"/>
      <c r="AQ2891" s="556"/>
      <c r="AR2891" s="556"/>
      <c r="CF2891" s="2"/>
    </row>
    <row r="2892" spans="3:84">
      <c r="C2892" s="2"/>
      <c r="AD2892" s="502"/>
      <c r="AE2892" s="911"/>
      <c r="AF2892" s="502"/>
      <c r="AH2892" s="898"/>
      <c r="AI2892" s="502"/>
      <c r="AJ2892" s="502"/>
      <c r="AL2892" s="434"/>
      <c r="AM2892" s="436"/>
      <c r="AN2892" s="434"/>
      <c r="AO2892" s="434"/>
      <c r="AP2892" s="556"/>
      <c r="AQ2892" s="556"/>
      <c r="AR2892" s="556"/>
      <c r="CF2892" s="2"/>
    </row>
    <row r="2893" spans="3:84">
      <c r="C2893" s="2"/>
      <c r="AD2893" s="502"/>
      <c r="AE2893" s="911"/>
      <c r="AF2893" s="502"/>
      <c r="AH2893" s="898"/>
      <c r="AI2893" s="502"/>
      <c r="AJ2893" s="502"/>
      <c r="AL2893" s="434"/>
      <c r="AM2893" s="436"/>
      <c r="AN2893" s="434"/>
      <c r="AO2893" s="434"/>
      <c r="AP2893" s="556"/>
      <c r="AQ2893" s="556"/>
      <c r="AR2893" s="556"/>
      <c r="CF2893" s="2"/>
    </row>
    <row r="2894" spans="3:84">
      <c r="C2894" s="2"/>
      <c r="AD2894" s="502"/>
      <c r="AE2894" s="911"/>
      <c r="AF2894" s="502"/>
      <c r="AH2894" s="898"/>
      <c r="AI2894" s="502"/>
      <c r="AJ2894" s="502"/>
      <c r="AL2894" s="434"/>
      <c r="AM2894" s="436"/>
      <c r="AN2894" s="434"/>
      <c r="AO2894" s="434"/>
      <c r="AP2894" s="556"/>
      <c r="AQ2894" s="556"/>
      <c r="AR2894" s="556"/>
      <c r="CF2894" s="2"/>
    </row>
    <row r="2895" spans="3:84">
      <c r="C2895" s="2"/>
      <c r="AD2895" s="502"/>
      <c r="AE2895" s="911"/>
      <c r="AF2895" s="502"/>
      <c r="AH2895" s="898"/>
      <c r="AI2895" s="502"/>
      <c r="AJ2895" s="502"/>
      <c r="AL2895" s="434"/>
      <c r="AM2895" s="436"/>
      <c r="AN2895" s="434"/>
      <c r="AO2895" s="434"/>
      <c r="AP2895" s="556"/>
      <c r="AQ2895" s="556"/>
      <c r="AR2895" s="556"/>
      <c r="CF2895" s="2"/>
    </row>
    <row r="2896" spans="3:84">
      <c r="C2896" s="2"/>
      <c r="AD2896" s="502"/>
      <c r="AE2896" s="911"/>
      <c r="AF2896" s="502"/>
      <c r="AH2896" s="898"/>
      <c r="AI2896" s="502"/>
      <c r="AJ2896" s="502"/>
      <c r="AL2896" s="434"/>
      <c r="AM2896" s="436"/>
      <c r="AN2896" s="434"/>
      <c r="AO2896" s="434"/>
      <c r="AP2896" s="556"/>
      <c r="AQ2896" s="556"/>
      <c r="AR2896" s="556"/>
      <c r="CF2896" s="2"/>
    </row>
    <row r="2897" spans="3:84">
      <c r="C2897" s="2"/>
      <c r="AD2897" s="502"/>
      <c r="AE2897" s="911"/>
      <c r="AF2897" s="502"/>
      <c r="AH2897" s="898"/>
      <c r="AI2897" s="502"/>
      <c r="AJ2897" s="502"/>
      <c r="AL2897" s="434"/>
      <c r="AM2897" s="436"/>
      <c r="AN2897" s="434"/>
      <c r="AO2897" s="434"/>
      <c r="AP2897" s="556"/>
      <c r="AQ2897" s="556"/>
      <c r="AR2897" s="556"/>
      <c r="CF2897" s="2"/>
    </row>
    <row r="2898" spans="3:84">
      <c r="C2898" s="2"/>
      <c r="AD2898" s="502"/>
      <c r="AE2898" s="911"/>
      <c r="AF2898" s="502"/>
      <c r="AH2898" s="898"/>
      <c r="AI2898" s="502"/>
      <c r="AJ2898" s="502"/>
      <c r="AL2898" s="434"/>
      <c r="AM2898" s="436"/>
      <c r="AN2898" s="434"/>
      <c r="AO2898" s="434"/>
      <c r="AP2898" s="556"/>
      <c r="AQ2898" s="556"/>
      <c r="AR2898" s="556"/>
      <c r="CF2898" s="2"/>
    </row>
    <row r="2899" spans="3:84">
      <c r="C2899" s="2"/>
      <c r="AD2899" s="502"/>
      <c r="AE2899" s="911"/>
      <c r="AF2899" s="502"/>
      <c r="AH2899" s="898"/>
      <c r="AI2899" s="502"/>
      <c r="AJ2899" s="502"/>
      <c r="AL2899" s="434"/>
      <c r="AM2899" s="436"/>
      <c r="AN2899" s="434"/>
      <c r="AO2899" s="434"/>
      <c r="AP2899" s="556"/>
      <c r="AQ2899" s="556"/>
      <c r="AR2899" s="556"/>
      <c r="CF2899" s="2"/>
    </row>
    <row r="2900" spans="3:84">
      <c r="C2900" s="2"/>
      <c r="AD2900" s="502"/>
      <c r="AE2900" s="911"/>
      <c r="AF2900" s="502"/>
      <c r="AH2900" s="898"/>
      <c r="AI2900" s="502"/>
      <c r="AJ2900" s="502"/>
      <c r="AL2900" s="434"/>
      <c r="AM2900" s="436"/>
      <c r="AN2900" s="434"/>
      <c r="AO2900" s="434"/>
      <c r="AP2900" s="556"/>
      <c r="AQ2900" s="556"/>
      <c r="AR2900" s="556"/>
      <c r="CF2900" s="2"/>
    </row>
    <row r="2901" spans="3:84">
      <c r="C2901" s="2"/>
      <c r="AD2901" s="502"/>
      <c r="AE2901" s="911"/>
      <c r="AF2901" s="502"/>
      <c r="AH2901" s="898"/>
      <c r="AI2901" s="502"/>
      <c r="AJ2901" s="502"/>
      <c r="AL2901" s="434"/>
      <c r="AM2901" s="436"/>
      <c r="AN2901" s="434"/>
      <c r="AO2901" s="434"/>
      <c r="AP2901" s="556"/>
      <c r="AQ2901" s="556"/>
      <c r="AR2901" s="556"/>
      <c r="CF2901" s="2"/>
    </row>
    <row r="2902" spans="3:84">
      <c r="C2902" s="2"/>
      <c r="AD2902" s="502"/>
      <c r="AE2902" s="911"/>
      <c r="AF2902" s="502"/>
      <c r="AH2902" s="898"/>
      <c r="AI2902" s="502"/>
      <c r="AJ2902" s="502"/>
      <c r="AL2902" s="434"/>
      <c r="AM2902" s="436"/>
      <c r="AN2902" s="434"/>
      <c r="AO2902" s="434"/>
      <c r="AP2902" s="556"/>
      <c r="AQ2902" s="556"/>
      <c r="AR2902" s="556"/>
      <c r="CF2902" s="2"/>
    </row>
    <row r="2903" spans="3:84">
      <c r="C2903" s="2"/>
      <c r="AD2903" s="502"/>
      <c r="AE2903" s="911"/>
      <c r="AF2903" s="502"/>
      <c r="AH2903" s="898"/>
      <c r="AI2903" s="502"/>
      <c r="AJ2903" s="502"/>
      <c r="AL2903" s="434"/>
      <c r="AM2903" s="436"/>
      <c r="AN2903" s="434"/>
      <c r="AO2903" s="434"/>
      <c r="AP2903" s="556"/>
      <c r="AQ2903" s="556"/>
      <c r="AR2903" s="556"/>
      <c r="CF2903" s="2"/>
    </row>
    <row r="2904" spans="3:84">
      <c r="C2904" s="2"/>
      <c r="AD2904" s="502"/>
      <c r="AE2904" s="911"/>
      <c r="AF2904" s="502"/>
      <c r="AH2904" s="898"/>
      <c r="AI2904" s="502"/>
      <c r="AJ2904" s="502"/>
      <c r="AL2904" s="434"/>
      <c r="AM2904" s="436"/>
      <c r="AN2904" s="434"/>
      <c r="AO2904" s="434"/>
      <c r="AP2904" s="556"/>
      <c r="AQ2904" s="556"/>
      <c r="AR2904" s="556"/>
      <c r="CF2904" s="2"/>
    </row>
    <row r="2905" spans="3:84">
      <c r="C2905" s="2"/>
      <c r="AD2905" s="502"/>
      <c r="AE2905" s="911"/>
      <c r="AF2905" s="502"/>
      <c r="AH2905" s="898"/>
      <c r="AI2905" s="502"/>
      <c r="AJ2905" s="502"/>
      <c r="AL2905" s="434"/>
      <c r="AM2905" s="436"/>
      <c r="AN2905" s="434"/>
      <c r="AO2905" s="434"/>
      <c r="AP2905" s="556"/>
      <c r="AQ2905" s="556"/>
      <c r="AR2905" s="556"/>
      <c r="CF2905" s="2"/>
    </row>
    <row r="2906" spans="3:84">
      <c r="C2906" s="2"/>
      <c r="AD2906" s="502"/>
      <c r="AE2906" s="911"/>
      <c r="AF2906" s="502"/>
      <c r="AH2906" s="898"/>
      <c r="AI2906" s="502"/>
      <c r="AJ2906" s="502"/>
      <c r="AL2906" s="434"/>
      <c r="AM2906" s="436"/>
      <c r="AN2906" s="434"/>
      <c r="AO2906" s="434"/>
      <c r="AP2906" s="556"/>
      <c r="AQ2906" s="556"/>
      <c r="AR2906" s="556"/>
      <c r="CF2906" s="2"/>
    </row>
    <row r="2907" spans="3:84">
      <c r="C2907" s="2"/>
      <c r="AD2907" s="502"/>
      <c r="AE2907" s="911"/>
      <c r="AF2907" s="502"/>
      <c r="AH2907" s="898"/>
      <c r="AI2907" s="502"/>
      <c r="AJ2907" s="502"/>
      <c r="AL2907" s="434"/>
      <c r="AM2907" s="436"/>
      <c r="AN2907" s="434"/>
      <c r="AO2907" s="434"/>
      <c r="AP2907" s="556"/>
      <c r="AQ2907" s="556"/>
      <c r="AR2907" s="556"/>
      <c r="CF2907" s="2"/>
    </row>
    <row r="2908" spans="3:84">
      <c r="C2908" s="2"/>
      <c r="AD2908" s="502"/>
      <c r="AE2908" s="911"/>
      <c r="AF2908" s="502"/>
      <c r="AH2908" s="898"/>
      <c r="AI2908" s="502"/>
      <c r="AJ2908" s="502"/>
      <c r="AL2908" s="434"/>
      <c r="AM2908" s="436"/>
      <c r="AN2908" s="434"/>
      <c r="AO2908" s="434"/>
      <c r="AP2908" s="556"/>
      <c r="AQ2908" s="556"/>
      <c r="AR2908" s="556"/>
      <c r="CF2908" s="2"/>
    </row>
    <row r="2909" spans="3:84">
      <c r="C2909" s="2"/>
      <c r="AD2909" s="502"/>
      <c r="AE2909" s="911"/>
      <c r="AF2909" s="502"/>
      <c r="AH2909" s="898"/>
      <c r="AI2909" s="502"/>
      <c r="AJ2909" s="502"/>
      <c r="AL2909" s="434"/>
      <c r="AM2909" s="436"/>
      <c r="AN2909" s="434"/>
      <c r="AO2909" s="434"/>
      <c r="AP2909" s="556"/>
      <c r="AQ2909" s="556"/>
      <c r="AR2909" s="556"/>
      <c r="CF2909" s="2"/>
    </row>
    <row r="2910" spans="3:84">
      <c r="C2910" s="2"/>
      <c r="AD2910" s="502"/>
      <c r="AE2910" s="911"/>
      <c r="AF2910" s="502"/>
      <c r="AH2910" s="898"/>
      <c r="AI2910" s="502"/>
      <c r="AJ2910" s="502"/>
      <c r="AL2910" s="434"/>
      <c r="AM2910" s="436"/>
      <c r="AN2910" s="434"/>
      <c r="AO2910" s="434"/>
      <c r="AP2910" s="556"/>
      <c r="AQ2910" s="556"/>
      <c r="AR2910" s="556"/>
      <c r="CF2910" s="2"/>
    </row>
    <row r="2911" spans="3:84">
      <c r="C2911" s="2"/>
      <c r="AD2911" s="502"/>
      <c r="AE2911" s="911"/>
      <c r="AF2911" s="502"/>
      <c r="AH2911" s="898"/>
      <c r="AI2911" s="502"/>
      <c r="AJ2911" s="502"/>
      <c r="AL2911" s="434"/>
      <c r="AM2911" s="436"/>
      <c r="AN2911" s="434"/>
      <c r="AO2911" s="434"/>
      <c r="AP2911" s="556"/>
      <c r="AQ2911" s="556"/>
      <c r="AR2911" s="556"/>
      <c r="CF2911" s="2"/>
    </row>
    <row r="2912" spans="3:84">
      <c r="C2912" s="2"/>
      <c r="AD2912" s="502"/>
      <c r="AE2912" s="911"/>
      <c r="AF2912" s="502"/>
      <c r="AH2912" s="898"/>
      <c r="AI2912" s="502"/>
      <c r="AJ2912" s="502"/>
      <c r="AL2912" s="434"/>
      <c r="AM2912" s="436"/>
      <c r="AN2912" s="434"/>
      <c r="AO2912" s="434"/>
      <c r="AP2912" s="556"/>
      <c r="AQ2912" s="556"/>
      <c r="AR2912" s="556"/>
      <c r="CF2912" s="2"/>
    </row>
    <row r="2913" spans="3:84">
      <c r="C2913" s="2"/>
      <c r="AD2913" s="502"/>
      <c r="AE2913" s="911"/>
      <c r="AF2913" s="502"/>
      <c r="AH2913" s="898"/>
      <c r="AI2913" s="502"/>
      <c r="AJ2913" s="502"/>
      <c r="AL2913" s="434"/>
      <c r="AM2913" s="436"/>
      <c r="AN2913" s="434"/>
      <c r="AO2913" s="434"/>
      <c r="AP2913" s="556"/>
      <c r="AQ2913" s="556"/>
      <c r="AR2913" s="556"/>
      <c r="CF2913" s="2"/>
    </row>
    <row r="2914" spans="3:84">
      <c r="C2914" s="2"/>
      <c r="AD2914" s="502"/>
      <c r="AE2914" s="911"/>
      <c r="AF2914" s="502"/>
      <c r="AH2914" s="898"/>
      <c r="AI2914" s="502"/>
      <c r="AJ2914" s="502"/>
      <c r="AL2914" s="434"/>
      <c r="AM2914" s="436"/>
      <c r="AN2914" s="434"/>
      <c r="AO2914" s="434"/>
      <c r="AP2914" s="556"/>
      <c r="AQ2914" s="556"/>
      <c r="AR2914" s="556"/>
      <c r="CF2914" s="2"/>
    </row>
    <row r="2915" spans="3:84">
      <c r="C2915" s="2"/>
      <c r="AD2915" s="502"/>
      <c r="AE2915" s="911"/>
      <c r="AF2915" s="502"/>
      <c r="AH2915" s="898"/>
      <c r="AI2915" s="502"/>
      <c r="AJ2915" s="502"/>
      <c r="AL2915" s="434"/>
      <c r="AM2915" s="436"/>
      <c r="AN2915" s="434"/>
      <c r="AO2915" s="434"/>
      <c r="AP2915" s="556"/>
      <c r="AQ2915" s="556"/>
      <c r="AR2915" s="556"/>
      <c r="CF2915" s="2"/>
    </row>
    <row r="2916" spans="3:84">
      <c r="C2916" s="2"/>
      <c r="AD2916" s="502"/>
      <c r="AE2916" s="911"/>
      <c r="AF2916" s="502"/>
      <c r="AH2916" s="898"/>
      <c r="AI2916" s="502"/>
      <c r="AJ2916" s="502"/>
      <c r="AL2916" s="434"/>
      <c r="AM2916" s="436"/>
      <c r="AN2916" s="434"/>
      <c r="AO2916" s="434"/>
      <c r="AP2916" s="556"/>
      <c r="AQ2916" s="556"/>
      <c r="AR2916" s="556"/>
      <c r="CF2916" s="2"/>
    </row>
    <row r="2917" spans="3:84">
      <c r="C2917" s="2"/>
      <c r="AD2917" s="502"/>
      <c r="AE2917" s="911"/>
      <c r="AF2917" s="502"/>
      <c r="AH2917" s="898"/>
      <c r="AI2917" s="502"/>
      <c r="AJ2917" s="502"/>
      <c r="AL2917" s="434"/>
      <c r="AM2917" s="436"/>
      <c r="AN2917" s="434"/>
      <c r="AO2917" s="434"/>
      <c r="AP2917" s="556"/>
      <c r="AQ2917" s="556"/>
      <c r="AR2917" s="556"/>
      <c r="CF2917" s="2"/>
    </row>
    <row r="2918" spans="3:84">
      <c r="C2918" s="2"/>
      <c r="AD2918" s="502"/>
      <c r="AE2918" s="911"/>
      <c r="AF2918" s="502"/>
      <c r="AH2918" s="898"/>
      <c r="AI2918" s="502"/>
      <c r="AJ2918" s="502"/>
      <c r="AL2918" s="434"/>
      <c r="AM2918" s="436"/>
      <c r="AN2918" s="434"/>
      <c r="AO2918" s="434"/>
      <c r="AP2918" s="556"/>
      <c r="AQ2918" s="556"/>
      <c r="AR2918" s="556"/>
      <c r="CF2918" s="2"/>
    </row>
    <row r="2919" spans="3:84">
      <c r="C2919" s="2"/>
      <c r="AD2919" s="502"/>
      <c r="AE2919" s="911"/>
      <c r="AF2919" s="502"/>
      <c r="AH2919" s="898"/>
      <c r="AI2919" s="502"/>
      <c r="AJ2919" s="502"/>
      <c r="AL2919" s="434"/>
      <c r="AM2919" s="436"/>
      <c r="AN2919" s="434"/>
      <c r="AO2919" s="434"/>
      <c r="AP2919" s="556"/>
      <c r="AQ2919" s="556"/>
      <c r="AR2919" s="556"/>
      <c r="CF2919" s="2"/>
    </row>
    <row r="2920" spans="3:84">
      <c r="C2920" s="2"/>
      <c r="AD2920" s="502"/>
      <c r="AE2920" s="911"/>
      <c r="AF2920" s="502"/>
      <c r="AH2920" s="898"/>
      <c r="AI2920" s="502"/>
      <c r="AJ2920" s="502"/>
      <c r="AL2920" s="434"/>
      <c r="AM2920" s="436"/>
      <c r="AN2920" s="434"/>
      <c r="AO2920" s="434"/>
      <c r="AP2920" s="556"/>
      <c r="AQ2920" s="556"/>
      <c r="AR2920" s="556"/>
      <c r="CF2920" s="2"/>
    </row>
    <row r="2921" spans="3:84">
      <c r="C2921" s="2"/>
      <c r="AD2921" s="502"/>
      <c r="AE2921" s="911"/>
      <c r="AF2921" s="502"/>
      <c r="AH2921" s="898"/>
      <c r="AI2921" s="502"/>
      <c r="AJ2921" s="502"/>
      <c r="AL2921" s="434"/>
      <c r="AM2921" s="436"/>
      <c r="AN2921" s="434"/>
      <c r="AO2921" s="434"/>
      <c r="AP2921" s="556"/>
      <c r="AQ2921" s="556"/>
      <c r="AR2921" s="556"/>
      <c r="CF2921" s="2"/>
    </row>
    <row r="2922" spans="3:84">
      <c r="C2922" s="2"/>
      <c r="AD2922" s="502"/>
      <c r="AE2922" s="911"/>
      <c r="AF2922" s="502"/>
      <c r="AH2922" s="898"/>
      <c r="AI2922" s="502"/>
      <c r="AJ2922" s="502"/>
      <c r="AL2922" s="434"/>
      <c r="AM2922" s="436"/>
      <c r="AN2922" s="434"/>
      <c r="AO2922" s="434"/>
      <c r="AP2922" s="556"/>
      <c r="AQ2922" s="556"/>
      <c r="AR2922" s="556"/>
      <c r="CF2922" s="2"/>
    </row>
    <row r="2923" spans="3:84">
      <c r="C2923" s="2"/>
      <c r="AD2923" s="502"/>
      <c r="AE2923" s="911"/>
      <c r="AF2923" s="502"/>
      <c r="AH2923" s="898"/>
      <c r="AI2923" s="502"/>
      <c r="AJ2923" s="502"/>
      <c r="AL2923" s="434"/>
      <c r="AM2923" s="436"/>
      <c r="AN2923" s="434"/>
      <c r="AO2923" s="434"/>
      <c r="AP2923" s="556"/>
      <c r="AQ2923" s="556"/>
      <c r="AR2923" s="556"/>
      <c r="CF2923" s="2"/>
    </row>
    <row r="2924" spans="3:84">
      <c r="C2924" s="2"/>
      <c r="AD2924" s="502"/>
      <c r="AE2924" s="911"/>
      <c r="AF2924" s="502"/>
      <c r="AH2924" s="898"/>
      <c r="AI2924" s="502"/>
      <c r="AJ2924" s="502"/>
      <c r="AL2924" s="434"/>
      <c r="AM2924" s="436"/>
      <c r="AN2924" s="434"/>
      <c r="AO2924" s="434"/>
      <c r="AP2924" s="556"/>
      <c r="AQ2924" s="556"/>
      <c r="AR2924" s="556"/>
      <c r="CF2924" s="2"/>
    </row>
    <row r="2925" spans="3:84">
      <c r="C2925" s="2"/>
      <c r="AD2925" s="502"/>
      <c r="AE2925" s="911"/>
      <c r="AF2925" s="502"/>
      <c r="AH2925" s="898"/>
      <c r="AI2925" s="502"/>
      <c r="AJ2925" s="502"/>
      <c r="AL2925" s="434"/>
      <c r="AM2925" s="436"/>
      <c r="AN2925" s="434"/>
      <c r="AO2925" s="434"/>
      <c r="AP2925" s="556"/>
      <c r="AQ2925" s="556"/>
      <c r="AR2925" s="556"/>
      <c r="CF2925" s="2"/>
    </row>
    <row r="2926" spans="3:84">
      <c r="C2926" s="2"/>
      <c r="AD2926" s="502"/>
      <c r="AE2926" s="911"/>
      <c r="AF2926" s="502"/>
      <c r="AH2926" s="898"/>
      <c r="AI2926" s="502"/>
      <c r="AJ2926" s="502"/>
      <c r="AL2926" s="434"/>
      <c r="AM2926" s="436"/>
      <c r="AN2926" s="434"/>
      <c r="AO2926" s="434"/>
      <c r="AP2926" s="556"/>
      <c r="AQ2926" s="556"/>
      <c r="AR2926" s="556"/>
      <c r="CF2926" s="2"/>
    </row>
    <row r="2927" spans="3:84">
      <c r="C2927" s="2"/>
      <c r="AD2927" s="502"/>
      <c r="AE2927" s="911"/>
      <c r="AF2927" s="502"/>
      <c r="AH2927" s="898"/>
      <c r="AI2927" s="502"/>
      <c r="AJ2927" s="502"/>
      <c r="AL2927" s="434"/>
      <c r="AM2927" s="436"/>
      <c r="AN2927" s="434"/>
      <c r="AO2927" s="434"/>
      <c r="AP2927" s="556"/>
      <c r="AQ2927" s="556"/>
      <c r="AR2927" s="556"/>
      <c r="CF2927" s="2"/>
    </row>
    <row r="2928" spans="3:84">
      <c r="C2928" s="2"/>
      <c r="AD2928" s="502"/>
      <c r="AE2928" s="911"/>
      <c r="AF2928" s="502"/>
      <c r="AH2928" s="898"/>
      <c r="AI2928" s="502"/>
      <c r="AJ2928" s="502"/>
      <c r="AL2928" s="434"/>
      <c r="AM2928" s="436"/>
      <c r="AN2928" s="434"/>
      <c r="AO2928" s="434"/>
      <c r="AP2928" s="556"/>
      <c r="AQ2928" s="556"/>
      <c r="AR2928" s="556"/>
      <c r="CF2928" s="2"/>
    </row>
    <row r="2929" spans="3:84">
      <c r="C2929" s="2"/>
      <c r="AD2929" s="502"/>
      <c r="AE2929" s="911"/>
      <c r="AF2929" s="502"/>
      <c r="AH2929" s="898"/>
      <c r="AI2929" s="502"/>
      <c r="AJ2929" s="502"/>
      <c r="AL2929" s="434"/>
      <c r="AM2929" s="436"/>
      <c r="AN2929" s="434"/>
      <c r="AO2929" s="434"/>
      <c r="AP2929" s="556"/>
      <c r="AQ2929" s="556"/>
      <c r="AR2929" s="556"/>
      <c r="CF2929" s="2"/>
    </row>
    <row r="2930" spans="3:84">
      <c r="C2930" s="2"/>
      <c r="AD2930" s="502"/>
      <c r="AE2930" s="911"/>
      <c r="AF2930" s="502"/>
      <c r="AH2930" s="898"/>
      <c r="AI2930" s="502"/>
      <c r="AJ2930" s="502"/>
      <c r="AL2930" s="434"/>
      <c r="AM2930" s="436"/>
      <c r="AN2930" s="434"/>
      <c r="AO2930" s="434"/>
      <c r="AP2930" s="556"/>
      <c r="AQ2930" s="556"/>
      <c r="AR2930" s="556"/>
      <c r="CF2930" s="2"/>
    </row>
    <row r="2931" spans="3:84">
      <c r="C2931" s="2"/>
      <c r="AD2931" s="502"/>
      <c r="AE2931" s="911"/>
      <c r="AF2931" s="502"/>
      <c r="AH2931" s="898"/>
      <c r="AI2931" s="502"/>
      <c r="AJ2931" s="502"/>
      <c r="AL2931" s="434"/>
      <c r="AM2931" s="436"/>
      <c r="AN2931" s="434"/>
      <c r="AO2931" s="434"/>
      <c r="AP2931" s="556"/>
      <c r="AQ2931" s="556"/>
      <c r="AR2931" s="556"/>
      <c r="CF2931" s="2"/>
    </row>
    <row r="2932" spans="3:84">
      <c r="C2932" s="2"/>
      <c r="AD2932" s="502"/>
      <c r="AE2932" s="911"/>
      <c r="AF2932" s="502"/>
      <c r="AH2932" s="898"/>
      <c r="AI2932" s="502"/>
      <c r="AJ2932" s="502"/>
      <c r="AL2932" s="434"/>
      <c r="AM2932" s="436"/>
      <c r="AN2932" s="434"/>
      <c r="AO2932" s="434"/>
      <c r="AP2932" s="556"/>
      <c r="AQ2932" s="556"/>
      <c r="AR2932" s="556"/>
      <c r="CF2932" s="2"/>
    </row>
    <row r="2933" spans="3:84">
      <c r="C2933" s="2"/>
      <c r="AD2933" s="502"/>
      <c r="AE2933" s="911"/>
      <c r="AF2933" s="502"/>
      <c r="AH2933" s="898"/>
      <c r="AI2933" s="502"/>
      <c r="AJ2933" s="502"/>
      <c r="AL2933" s="434"/>
      <c r="AM2933" s="436"/>
      <c r="AN2933" s="434"/>
      <c r="AO2933" s="434"/>
      <c r="AP2933" s="556"/>
      <c r="AQ2933" s="556"/>
      <c r="AR2933" s="556"/>
      <c r="CF2933" s="2"/>
    </row>
    <row r="2934" spans="3:84">
      <c r="C2934" s="2"/>
      <c r="AD2934" s="502"/>
      <c r="AE2934" s="911"/>
      <c r="AF2934" s="502"/>
      <c r="AH2934" s="898"/>
      <c r="AI2934" s="502"/>
      <c r="AJ2934" s="502"/>
      <c r="AL2934" s="434"/>
      <c r="AM2934" s="436"/>
      <c r="AN2934" s="434"/>
      <c r="AO2934" s="434"/>
      <c r="AP2934" s="556"/>
      <c r="AQ2934" s="556"/>
      <c r="AR2934" s="556"/>
      <c r="CF2934" s="2"/>
    </row>
    <row r="2935" spans="3:84">
      <c r="C2935" s="2"/>
      <c r="AD2935" s="502"/>
      <c r="AE2935" s="911"/>
      <c r="AF2935" s="502"/>
      <c r="AH2935" s="898"/>
      <c r="AI2935" s="502"/>
      <c r="AJ2935" s="502"/>
      <c r="AL2935" s="434"/>
      <c r="AM2935" s="436"/>
      <c r="AN2935" s="434"/>
      <c r="AO2935" s="434"/>
      <c r="AP2935" s="556"/>
      <c r="AQ2935" s="556"/>
      <c r="AR2935" s="556"/>
      <c r="CF2935" s="2"/>
    </row>
    <row r="2936" spans="3:84">
      <c r="C2936" s="2"/>
      <c r="AD2936" s="502"/>
      <c r="AE2936" s="911"/>
      <c r="AF2936" s="502"/>
      <c r="AH2936" s="898"/>
      <c r="AI2936" s="502"/>
      <c r="AJ2936" s="502"/>
      <c r="AL2936" s="434"/>
      <c r="AM2936" s="436"/>
      <c r="AN2936" s="434"/>
      <c r="AO2936" s="434"/>
      <c r="AP2936" s="556"/>
      <c r="AQ2936" s="556"/>
      <c r="AR2936" s="556"/>
      <c r="CF2936" s="2"/>
    </row>
    <row r="2937" spans="3:84">
      <c r="C2937" s="2"/>
      <c r="AD2937" s="502"/>
      <c r="AE2937" s="911"/>
      <c r="AF2937" s="502"/>
      <c r="AH2937" s="898"/>
      <c r="AI2937" s="502"/>
      <c r="AJ2937" s="502"/>
      <c r="AL2937" s="434"/>
      <c r="AM2937" s="436"/>
      <c r="AN2937" s="434"/>
      <c r="AO2937" s="434"/>
      <c r="AP2937" s="556"/>
      <c r="AQ2937" s="556"/>
      <c r="AR2937" s="556"/>
      <c r="CF2937" s="2"/>
    </row>
    <row r="2938" spans="3:84">
      <c r="C2938" s="2"/>
      <c r="AD2938" s="502"/>
      <c r="AE2938" s="911"/>
      <c r="AF2938" s="502"/>
      <c r="AH2938" s="898"/>
      <c r="AI2938" s="502"/>
      <c r="AJ2938" s="502"/>
      <c r="AL2938" s="434"/>
      <c r="AM2938" s="436"/>
      <c r="AN2938" s="434"/>
      <c r="AO2938" s="434"/>
      <c r="AP2938" s="556"/>
      <c r="AQ2938" s="556"/>
      <c r="AR2938" s="556"/>
      <c r="CF2938" s="2"/>
    </row>
    <row r="2939" spans="3:84">
      <c r="C2939" s="2"/>
      <c r="AD2939" s="502"/>
      <c r="AE2939" s="911"/>
      <c r="AF2939" s="502"/>
      <c r="AH2939" s="898"/>
      <c r="AI2939" s="502"/>
      <c r="AJ2939" s="502"/>
      <c r="AL2939" s="434"/>
      <c r="AM2939" s="436"/>
      <c r="AN2939" s="434"/>
      <c r="AO2939" s="434"/>
      <c r="AP2939" s="556"/>
      <c r="AQ2939" s="556"/>
      <c r="AR2939" s="556"/>
      <c r="CF2939" s="2"/>
    </row>
    <row r="2940" spans="3:84">
      <c r="C2940" s="2"/>
      <c r="AD2940" s="502"/>
      <c r="AE2940" s="911"/>
      <c r="AF2940" s="502"/>
      <c r="AH2940" s="898"/>
      <c r="AI2940" s="502"/>
      <c r="AJ2940" s="502"/>
      <c r="AL2940" s="434"/>
      <c r="AM2940" s="436"/>
      <c r="AN2940" s="434"/>
      <c r="AO2940" s="434"/>
      <c r="AP2940" s="556"/>
      <c r="AQ2940" s="556"/>
      <c r="AR2940" s="556"/>
      <c r="CF2940" s="2"/>
    </row>
    <row r="2941" spans="3:84">
      <c r="C2941" s="2"/>
      <c r="AD2941" s="502"/>
      <c r="AE2941" s="911"/>
      <c r="AF2941" s="502"/>
      <c r="AH2941" s="898"/>
      <c r="AI2941" s="502"/>
      <c r="AJ2941" s="502"/>
      <c r="AL2941" s="434"/>
      <c r="AM2941" s="436"/>
      <c r="AN2941" s="434"/>
      <c r="AO2941" s="434"/>
      <c r="AP2941" s="556"/>
      <c r="AQ2941" s="556"/>
      <c r="AR2941" s="556"/>
      <c r="CF2941" s="2"/>
    </row>
    <row r="2942" spans="3:84">
      <c r="C2942" s="2"/>
      <c r="AD2942" s="502"/>
      <c r="AE2942" s="911"/>
      <c r="AF2942" s="502"/>
      <c r="AH2942" s="898"/>
      <c r="AI2942" s="502"/>
      <c r="AJ2942" s="502"/>
      <c r="AL2942" s="434"/>
      <c r="AM2942" s="436"/>
      <c r="AN2942" s="434"/>
      <c r="AO2942" s="434"/>
      <c r="AP2942" s="556"/>
      <c r="AQ2942" s="556"/>
      <c r="AR2942" s="556"/>
      <c r="CF2942" s="2"/>
    </row>
    <row r="2943" spans="3:84">
      <c r="C2943" s="2"/>
      <c r="AD2943" s="502"/>
      <c r="AE2943" s="911"/>
      <c r="AF2943" s="502"/>
      <c r="AH2943" s="898"/>
      <c r="AI2943" s="502"/>
      <c r="AJ2943" s="502"/>
      <c r="AL2943" s="434"/>
      <c r="AM2943" s="436"/>
      <c r="AN2943" s="434"/>
      <c r="AO2943" s="434"/>
      <c r="AP2943" s="556"/>
      <c r="AQ2943" s="556"/>
      <c r="AR2943" s="556"/>
      <c r="CF2943" s="2"/>
    </row>
    <row r="2944" spans="3:84">
      <c r="C2944" s="2"/>
      <c r="AD2944" s="502"/>
      <c r="AE2944" s="911"/>
      <c r="AF2944" s="502"/>
      <c r="AH2944" s="898"/>
      <c r="AI2944" s="502"/>
      <c r="AJ2944" s="502"/>
      <c r="AL2944" s="434"/>
      <c r="AM2944" s="436"/>
      <c r="AN2944" s="434"/>
      <c r="AO2944" s="434"/>
      <c r="AP2944" s="556"/>
      <c r="AQ2944" s="556"/>
      <c r="AR2944" s="556"/>
      <c r="CF2944" s="2"/>
    </row>
    <row r="2945" spans="3:84">
      <c r="C2945" s="2"/>
      <c r="AD2945" s="502"/>
      <c r="AE2945" s="911"/>
      <c r="AF2945" s="502"/>
      <c r="AH2945" s="898"/>
      <c r="AI2945" s="502"/>
      <c r="AJ2945" s="502"/>
      <c r="AL2945" s="434"/>
      <c r="AM2945" s="436"/>
      <c r="AN2945" s="434"/>
      <c r="AO2945" s="434"/>
      <c r="AP2945" s="556"/>
      <c r="AQ2945" s="556"/>
      <c r="AR2945" s="556"/>
      <c r="CF2945" s="2"/>
    </row>
    <row r="2946" spans="3:84">
      <c r="C2946" s="2"/>
      <c r="AD2946" s="502"/>
      <c r="AE2946" s="911"/>
      <c r="AF2946" s="502"/>
      <c r="AH2946" s="898"/>
      <c r="AI2946" s="502"/>
      <c r="AJ2946" s="502"/>
      <c r="AL2946" s="434"/>
      <c r="AM2946" s="436"/>
      <c r="AN2946" s="434"/>
      <c r="AO2946" s="434"/>
      <c r="AP2946" s="556"/>
      <c r="AQ2946" s="556"/>
      <c r="AR2946" s="556"/>
      <c r="CF2946" s="2"/>
    </row>
    <row r="2947" spans="3:84">
      <c r="C2947" s="2"/>
      <c r="AD2947" s="502"/>
      <c r="AE2947" s="911"/>
      <c r="AF2947" s="502"/>
      <c r="AH2947" s="898"/>
      <c r="AI2947" s="502"/>
      <c r="AJ2947" s="502"/>
      <c r="AL2947" s="434"/>
      <c r="AM2947" s="436"/>
      <c r="AN2947" s="434"/>
      <c r="AO2947" s="434"/>
      <c r="AP2947" s="556"/>
      <c r="AQ2947" s="556"/>
      <c r="AR2947" s="556"/>
      <c r="CF2947" s="2"/>
    </row>
    <row r="2948" spans="3:84">
      <c r="C2948" s="2"/>
      <c r="AD2948" s="502"/>
      <c r="AE2948" s="911"/>
      <c r="AF2948" s="502"/>
      <c r="AH2948" s="898"/>
      <c r="AI2948" s="502"/>
      <c r="AJ2948" s="502"/>
      <c r="AL2948" s="434"/>
      <c r="AM2948" s="436"/>
      <c r="AN2948" s="434"/>
      <c r="AO2948" s="434"/>
      <c r="AP2948" s="556"/>
      <c r="AQ2948" s="556"/>
      <c r="AR2948" s="556"/>
      <c r="CF2948" s="2"/>
    </row>
    <row r="2949" spans="3:84">
      <c r="C2949" s="2"/>
      <c r="AD2949" s="502"/>
      <c r="AE2949" s="911"/>
      <c r="AF2949" s="502"/>
      <c r="AH2949" s="898"/>
      <c r="AI2949" s="502"/>
      <c r="AJ2949" s="502"/>
      <c r="AL2949" s="434"/>
      <c r="AM2949" s="436"/>
      <c r="AN2949" s="434"/>
      <c r="AO2949" s="434"/>
      <c r="AP2949" s="556"/>
      <c r="AQ2949" s="556"/>
      <c r="AR2949" s="556"/>
      <c r="CF2949" s="2"/>
    </row>
    <row r="2950" spans="3:84">
      <c r="C2950" s="2"/>
      <c r="AD2950" s="502"/>
      <c r="AE2950" s="911"/>
      <c r="AF2950" s="502"/>
      <c r="AH2950" s="898"/>
      <c r="AI2950" s="502"/>
      <c r="AJ2950" s="502"/>
      <c r="AL2950" s="434"/>
      <c r="AM2950" s="436"/>
      <c r="AN2950" s="434"/>
      <c r="AO2950" s="434"/>
      <c r="AP2950" s="556"/>
      <c r="AQ2950" s="556"/>
      <c r="AR2950" s="556"/>
      <c r="CF2950" s="2"/>
    </row>
    <row r="2951" spans="3:84">
      <c r="C2951" s="2"/>
      <c r="AD2951" s="502"/>
      <c r="AE2951" s="911"/>
      <c r="AF2951" s="502"/>
      <c r="AH2951" s="898"/>
      <c r="AI2951" s="502"/>
      <c r="AJ2951" s="502"/>
      <c r="AL2951" s="434"/>
      <c r="AM2951" s="436"/>
      <c r="AN2951" s="434"/>
      <c r="AO2951" s="434"/>
      <c r="AP2951" s="556"/>
      <c r="AQ2951" s="556"/>
      <c r="AR2951" s="556"/>
      <c r="CF2951" s="2"/>
    </row>
    <row r="2952" spans="3:84">
      <c r="C2952" s="2"/>
      <c r="AD2952" s="502"/>
      <c r="AE2952" s="911"/>
      <c r="AF2952" s="502"/>
      <c r="AH2952" s="898"/>
      <c r="AI2952" s="502"/>
      <c r="AJ2952" s="502"/>
      <c r="AL2952" s="434"/>
      <c r="AM2952" s="436"/>
      <c r="AN2952" s="434"/>
      <c r="AO2952" s="434"/>
      <c r="AP2952" s="556"/>
      <c r="AQ2952" s="556"/>
      <c r="AR2952" s="556"/>
      <c r="CF2952" s="2"/>
    </row>
    <row r="2953" spans="3:84">
      <c r="C2953" s="2"/>
      <c r="AD2953" s="502"/>
      <c r="AE2953" s="911"/>
      <c r="AF2953" s="502"/>
      <c r="AH2953" s="898"/>
      <c r="AI2953" s="502"/>
      <c r="AJ2953" s="502"/>
      <c r="AL2953" s="434"/>
      <c r="AM2953" s="436"/>
      <c r="AN2953" s="434"/>
      <c r="AO2953" s="434"/>
      <c r="AP2953" s="556"/>
      <c r="AQ2953" s="556"/>
      <c r="AR2953" s="556"/>
      <c r="CF2953" s="2"/>
    </row>
    <row r="2954" spans="3:84">
      <c r="C2954" s="2"/>
      <c r="AD2954" s="502"/>
      <c r="AE2954" s="911"/>
      <c r="AF2954" s="502"/>
      <c r="AH2954" s="898"/>
      <c r="AI2954" s="502"/>
      <c r="AJ2954" s="502"/>
      <c r="AL2954" s="434"/>
      <c r="AM2954" s="436"/>
      <c r="AN2954" s="434"/>
      <c r="AO2954" s="434"/>
      <c r="AP2954" s="556"/>
      <c r="AQ2954" s="556"/>
      <c r="AR2954" s="556"/>
      <c r="CF2954" s="2"/>
    </row>
    <row r="2955" spans="3:84">
      <c r="C2955" s="2"/>
      <c r="AD2955" s="502"/>
      <c r="AE2955" s="911"/>
      <c r="AF2955" s="502"/>
      <c r="AH2955" s="898"/>
      <c r="AI2955" s="502"/>
      <c r="AJ2955" s="502"/>
      <c r="AL2955" s="434"/>
      <c r="AM2955" s="436"/>
      <c r="AN2955" s="434"/>
      <c r="AO2955" s="434"/>
      <c r="AP2955" s="556"/>
      <c r="AQ2955" s="556"/>
      <c r="AR2955" s="556"/>
      <c r="CF2955" s="2"/>
    </row>
    <row r="2956" spans="3:84">
      <c r="C2956" s="2"/>
      <c r="AD2956" s="502"/>
      <c r="AE2956" s="911"/>
      <c r="AF2956" s="502"/>
      <c r="AH2956" s="898"/>
      <c r="AI2956" s="502"/>
      <c r="AJ2956" s="502"/>
      <c r="AL2956" s="434"/>
      <c r="AM2956" s="436"/>
      <c r="AN2956" s="434"/>
      <c r="AO2956" s="434"/>
      <c r="AP2956" s="556"/>
      <c r="AQ2956" s="556"/>
      <c r="AR2956" s="556"/>
      <c r="CF2956" s="2"/>
    </row>
    <row r="2957" spans="3:84">
      <c r="C2957" s="2"/>
      <c r="AD2957" s="502"/>
      <c r="AE2957" s="911"/>
      <c r="AF2957" s="502"/>
      <c r="AH2957" s="898"/>
      <c r="AI2957" s="502"/>
      <c r="AJ2957" s="502"/>
      <c r="AL2957" s="434"/>
      <c r="AM2957" s="436"/>
      <c r="AN2957" s="434"/>
      <c r="AO2957" s="434"/>
      <c r="AP2957" s="556"/>
      <c r="AQ2957" s="556"/>
      <c r="AR2957" s="556"/>
      <c r="CF2957" s="2"/>
    </row>
    <row r="2958" spans="3:84">
      <c r="C2958" s="2"/>
      <c r="AD2958" s="502"/>
      <c r="AE2958" s="911"/>
      <c r="AF2958" s="502"/>
      <c r="AH2958" s="898"/>
      <c r="AI2958" s="502"/>
      <c r="AJ2958" s="502"/>
      <c r="AL2958" s="434"/>
      <c r="AM2958" s="436"/>
      <c r="AN2958" s="434"/>
      <c r="AO2958" s="434"/>
      <c r="AP2958" s="556"/>
      <c r="AQ2958" s="556"/>
      <c r="AR2958" s="556"/>
      <c r="CF2958" s="2"/>
    </row>
    <row r="2959" spans="3:84">
      <c r="C2959" s="2"/>
      <c r="AD2959" s="502"/>
      <c r="AE2959" s="911"/>
      <c r="AF2959" s="502"/>
      <c r="AH2959" s="898"/>
      <c r="AI2959" s="502"/>
      <c r="AJ2959" s="502"/>
      <c r="AL2959" s="434"/>
      <c r="AM2959" s="436"/>
      <c r="AN2959" s="434"/>
      <c r="AO2959" s="434"/>
      <c r="AP2959" s="556"/>
      <c r="AQ2959" s="556"/>
      <c r="AR2959" s="556"/>
      <c r="CF2959" s="2"/>
    </row>
    <row r="2960" spans="3:84">
      <c r="C2960" s="2"/>
      <c r="AD2960" s="502"/>
      <c r="AE2960" s="911"/>
      <c r="AF2960" s="502"/>
      <c r="AH2960" s="898"/>
      <c r="AI2960" s="502"/>
      <c r="AJ2960" s="502"/>
      <c r="AL2960" s="434"/>
      <c r="AM2960" s="436"/>
      <c r="AN2960" s="434"/>
      <c r="AO2960" s="434"/>
      <c r="AP2960" s="556"/>
      <c r="AQ2960" s="556"/>
      <c r="AR2960" s="556"/>
      <c r="CF2960" s="2"/>
    </row>
    <row r="2961" spans="3:84">
      <c r="C2961" s="2"/>
      <c r="AD2961" s="502"/>
      <c r="AE2961" s="911"/>
      <c r="AF2961" s="502"/>
      <c r="AH2961" s="898"/>
      <c r="AI2961" s="502"/>
      <c r="AJ2961" s="502"/>
      <c r="AL2961" s="434"/>
      <c r="AM2961" s="436"/>
      <c r="AN2961" s="434"/>
      <c r="AO2961" s="434"/>
      <c r="AP2961" s="556"/>
      <c r="AQ2961" s="556"/>
      <c r="AR2961" s="556"/>
      <c r="CF2961" s="2"/>
    </row>
    <row r="2962" spans="3:84">
      <c r="C2962" s="2"/>
      <c r="AD2962" s="502"/>
      <c r="AE2962" s="911"/>
      <c r="AF2962" s="502"/>
      <c r="AH2962" s="898"/>
      <c r="AI2962" s="502"/>
      <c r="AJ2962" s="502"/>
      <c r="AL2962" s="434"/>
      <c r="AM2962" s="436"/>
      <c r="AN2962" s="434"/>
      <c r="AO2962" s="434"/>
      <c r="AP2962" s="556"/>
      <c r="AQ2962" s="556"/>
      <c r="AR2962" s="556"/>
      <c r="CF2962" s="2"/>
    </row>
    <row r="2963" spans="3:84">
      <c r="C2963" s="2"/>
      <c r="AD2963" s="502"/>
      <c r="AE2963" s="911"/>
      <c r="AF2963" s="502"/>
      <c r="AH2963" s="898"/>
      <c r="AI2963" s="502"/>
      <c r="AJ2963" s="502"/>
      <c r="AL2963" s="434"/>
      <c r="AM2963" s="436"/>
      <c r="AN2963" s="434"/>
      <c r="AO2963" s="434"/>
      <c r="AP2963" s="556"/>
      <c r="AQ2963" s="556"/>
      <c r="AR2963" s="556"/>
      <c r="CF2963" s="2"/>
    </row>
    <row r="2964" spans="3:84">
      <c r="C2964" s="2"/>
      <c r="AD2964" s="502"/>
      <c r="AE2964" s="911"/>
      <c r="AF2964" s="502"/>
      <c r="AH2964" s="898"/>
      <c r="AI2964" s="502"/>
      <c r="AJ2964" s="502"/>
      <c r="AL2964" s="434"/>
      <c r="AM2964" s="436"/>
      <c r="AN2964" s="434"/>
      <c r="AO2964" s="434"/>
      <c r="AP2964" s="556"/>
      <c r="AQ2964" s="556"/>
      <c r="AR2964" s="556"/>
      <c r="CF2964" s="2"/>
    </row>
    <row r="2965" spans="3:84">
      <c r="C2965" s="2"/>
      <c r="AD2965" s="502"/>
      <c r="AE2965" s="911"/>
      <c r="AF2965" s="502"/>
      <c r="AH2965" s="898"/>
      <c r="AI2965" s="502"/>
      <c r="AJ2965" s="502"/>
      <c r="AL2965" s="434"/>
      <c r="AM2965" s="436"/>
      <c r="AN2965" s="434"/>
      <c r="AO2965" s="434"/>
      <c r="AP2965" s="556"/>
      <c r="AQ2965" s="556"/>
      <c r="AR2965" s="556"/>
      <c r="CF2965" s="2"/>
    </row>
    <row r="2966" spans="3:84">
      <c r="C2966" s="2"/>
      <c r="AD2966" s="502"/>
      <c r="AE2966" s="911"/>
      <c r="AF2966" s="502"/>
      <c r="AH2966" s="898"/>
      <c r="AI2966" s="502"/>
      <c r="AJ2966" s="502"/>
      <c r="AL2966" s="434"/>
      <c r="AM2966" s="436"/>
      <c r="AN2966" s="434"/>
      <c r="AO2966" s="434"/>
      <c r="AP2966" s="556"/>
      <c r="AQ2966" s="556"/>
      <c r="AR2966" s="556"/>
      <c r="CF2966" s="2"/>
    </row>
    <row r="2967" spans="3:84">
      <c r="C2967" s="2"/>
      <c r="AD2967" s="502"/>
      <c r="AE2967" s="911"/>
      <c r="AF2967" s="502"/>
      <c r="AH2967" s="898"/>
      <c r="AI2967" s="502"/>
      <c r="AJ2967" s="502"/>
      <c r="AL2967" s="434"/>
      <c r="AM2967" s="436"/>
      <c r="AN2967" s="434"/>
      <c r="AO2967" s="434"/>
      <c r="AP2967" s="556"/>
      <c r="AQ2967" s="556"/>
      <c r="AR2967" s="556"/>
      <c r="CF2967" s="2"/>
    </row>
    <row r="2968" spans="3:84">
      <c r="C2968" s="2"/>
      <c r="AD2968" s="502"/>
      <c r="AE2968" s="911"/>
      <c r="AF2968" s="502"/>
      <c r="AH2968" s="898"/>
      <c r="AI2968" s="502"/>
      <c r="AJ2968" s="502"/>
      <c r="AL2968" s="434"/>
      <c r="AM2968" s="436"/>
      <c r="AN2968" s="434"/>
      <c r="AO2968" s="434"/>
      <c r="AP2968" s="556"/>
      <c r="AQ2968" s="556"/>
      <c r="AR2968" s="556"/>
      <c r="CF2968" s="2"/>
    </row>
    <row r="2969" spans="3:84">
      <c r="C2969" s="2"/>
      <c r="AD2969" s="502"/>
      <c r="AE2969" s="911"/>
      <c r="AF2969" s="502"/>
      <c r="AH2969" s="898"/>
      <c r="AI2969" s="502"/>
      <c r="AJ2969" s="502"/>
      <c r="AL2969" s="434"/>
      <c r="AM2969" s="436"/>
      <c r="AN2969" s="434"/>
      <c r="AO2969" s="434"/>
      <c r="AP2969" s="556"/>
      <c r="AQ2969" s="556"/>
      <c r="AR2969" s="556"/>
      <c r="CF2969" s="2"/>
    </row>
    <row r="2970" spans="3:84">
      <c r="C2970" s="2"/>
      <c r="AD2970" s="502"/>
      <c r="AE2970" s="911"/>
      <c r="AF2970" s="502"/>
      <c r="AH2970" s="898"/>
      <c r="AI2970" s="502"/>
      <c r="AJ2970" s="502"/>
      <c r="AL2970" s="434"/>
      <c r="AM2970" s="436"/>
      <c r="AN2970" s="434"/>
      <c r="AO2970" s="434"/>
      <c r="AP2970" s="556"/>
      <c r="AQ2970" s="556"/>
      <c r="AR2970" s="556"/>
      <c r="CF2970" s="2"/>
    </row>
    <row r="2971" spans="3:84">
      <c r="C2971" s="2"/>
      <c r="AD2971" s="502"/>
      <c r="AE2971" s="911"/>
      <c r="AF2971" s="502"/>
      <c r="AH2971" s="898"/>
      <c r="AI2971" s="502"/>
      <c r="AJ2971" s="502"/>
      <c r="AL2971" s="434"/>
      <c r="AM2971" s="436"/>
      <c r="AN2971" s="434"/>
      <c r="AO2971" s="434"/>
      <c r="AP2971" s="556"/>
      <c r="AQ2971" s="556"/>
      <c r="AR2971" s="556"/>
      <c r="CF2971" s="2"/>
    </row>
    <row r="2972" spans="3:84">
      <c r="C2972" s="2"/>
      <c r="AD2972" s="502"/>
      <c r="AE2972" s="911"/>
      <c r="AF2972" s="502"/>
      <c r="AH2972" s="898"/>
      <c r="AI2972" s="502"/>
      <c r="AJ2972" s="502"/>
      <c r="AL2972" s="434"/>
      <c r="AM2972" s="436"/>
      <c r="AN2972" s="434"/>
      <c r="AO2972" s="434"/>
      <c r="AP2972" s="556"/>
      <c r="AQ2972" s="556"/>
      <c r="AR2972" s="556"/>
      <c r="CF2972" s="2"/>
    </row>
    <row r="2973" spans="3:84">
      <c r="C2973" s="2"/>
      <c r="AD2973" s="502"/>
      <c r="AE2973" s="911"/>
      <c r="AF2973" s="502"/>
      <c r="AH2973" s="898"/>
      <c r="AI2973" s="502"/>
      <c r="AJ2973" s="502"/>
      <c r="AL2973" s="434"/>
      <c r="AM2973" s="436"/>
      <c r="AN2973" s="434"/>
      <c r="AO2973" s="434"/>
      <c r="AP2973" s="556"/>
      <c r="AQ2973" s="556"/>
      <c r="AR2973" s="556"/>
      <c r="CF2973" s="2"/>
    </row>
    <row r="2974" spans="3:84">
      <c r="C2974" s="2"/>
      <c r="AD2974" s="502"/>
      <c r="AE2974" s="911"/>
      <c r="AF2974" s="502"/>
      <c r="AH2974" s="898"/>
      <c r="AI2974" s="502"/>
      <c r="AJ2974" s="502"/>
      <c r="AL2974" s="434"/>
      <c r="AM2974" s="436"/>
      <c r="AN2974" s="434"/>
      <c r="AO2974" s="434"/>
      <c r="AP2974" s="556"/>
      <c r="AQ2974" s="556"/>
      <c r="AR2974" s="556"/>
      <c r="CF2974" s="2"/>
    </row>
    <row r="2975" spans="3:84">
      <c r="C2975" s="2"/>
      <c r="AD2975" s="502"/>
      <c r="AE2975" s="911"/>
      <c r="AF2975" s="502"/>
      <c r="AH2975" s="898"/>
      <c r="AI2975" s="502"/>
      <c r="AJ2975" s="502"/>
      <c r="AL2975" s="434"/>
      <c r="AM2975" s="436"/>
      <c r="AN2975" s="434"/>
      <c r="AO2975" s="434"/>
      <c r="AP2975" s="556"/>
      <c r="AQ2975" s="556"/>
      <c r="AR2975" s="556"/>
      <c r="CF2975" s="2"/>
    </row>
    <row r="2976" spans="3:84">
      <c r="C2976" s="2"/>
      <c r="AD2976" s="502"/>
      <c r="AE2976" s="911"/>
      <c r="AF2976" s="502"/>
      <c r="AH2976" s="898"/>
      <c r="AI2976" s="502"/>
      <c r="AJ2976" s="502"/>
      <c r="AL2976" s="434"/>
      <c r="AM2976" s="436"/>
      <c r="AN2976" s="434"/>
      <c r="AO2976" s="434"/>
      <c r="AP2976" s="556"/>
      <c r="AQ2976" s="556"/>
      <c r="AR2976" s="556"/>
      <c r="CF2976" s="2"/>
    </row>
    <row r="2977" spans="3:84">
      <c r="C2977" s="2"/>
      <c r="AD2977" s="502"/>
      <c r="AE2977" s="911"/>
      <c r="AF2977" s="502"/>
      <c r="AH2977" s="898"/>
      <c r="AI2977" s="502"/>
      <c r="AJ2977" s="502"/>
      <c r="AL2977" s="434"/>
      <c r="AM2977" s="436"/>
      <c r="AN2977" s="434"/>
      <c r="AO2977" s="434"/>
      <c r="AP2977" s="556"/>
      <c r="AQ2977" s="556"/>
      <c r="AR2977" s="556"/>
      <c r="CF2977" s="2"/>
    </row>
    <row r="2978" spans="3:84">
      <c r="C2978" s="2"/>
      <c r="AD2978" s="502"/>
      <c r="AE2978" s="911"/>
      <c r="AF2978" s="502"/>
      <c r="AH2978" s="898"/>
      <c r="AI2978" s="502"/>
      <c r="AJ2978" s="502"/>
      <c r="AL2978" s="434"/>
      <c r="AM2978" s="436"/>
      <c r="AN2978" s="434"/>
      <c r="AO2978" s="434"/>
      <c r="AP2978" s="556"/>
      <c r="AQ2978" s="556"/>
      <c r="AR2978" s="556"/>
      <c r="CF2978" s="2"/>
    </row>
    <row r="2979" spans="3:84">
      <c r="C2979" s="2"/>
      <c r="AD2979" s="502"/>
      <c r="AE2979" s="911"/>
      <c r="AF2979" s="502"/>
      <c r="AH2979" s="898"/>
      <c r="AI2979" s="502"/>
      <c r="AJ2979" s="502"/>
      <c r="AL2979" s="434"/>
      <c r="AM2979" s="436"/>
      <c r="AN2979" s="434"/>
      <c r="AO2979" s="434"/>
      <c r="AP2979" s="556"/>
      <c r="AQ2979" s="556"/>
      <c r="AR2979" s="556"/>
      <c r="CF2979" s="2"/>
    </row>
    <row r="2980" spans="3:84">
      <c r="C2980" s="2"/>
      <c r="AD2980" s="502"/>
      <c r="AE2980" s="911"/>
      <c r="AF2980" s="502"/>
      <c r="AH2980" s="898"/>
      <c r="AI2980" s="502"/>
      <c r="AJ2980" s="502"/>
      <c r="AL2980" s="434"/>
      <c r="AM2980" s="436"/>
      <c r="AN2980" s="434"/>
      <c r="AO2980" s="434"/>
      <c r="AP2980" s="556"/>
      <c r="AQ2980" s="556"/>
      <c r="AR2980" s="556"/>
      <c r="CF2980" s="2"/>
    </row>
    <row r="2981" spans="3:84">
      <c r="C2981" s="2"/>
      <c r="AD2981" s="502"/>
      <c r="AE2981" s="911"/>
      <c r="AF2981" s="502"/>
      <c r="AH2981" s="898"/>
      <c r="AI2981" s="502"/>
      <c r="AJ2981" s="502"/>
      <c r="AL2981" s="434"/>
      <c r="AM2981" s="436"/>
      <c r="AN2981" s="434"/>
      <c r="AO2981" s="434"/>
      <c r="AP2981" s="556"/>
      <c r="AQ2981" s="556"/>
      <c r="AR2981" s="556"/>
      <c r="CF2981" s="2"/>
    </row>
    <row r="2982" spans="3:84">
      <c r="C2982" s="2"/>
      <c r="AD2982" s="502"/>
      <c r="AE2982" s="911"/>
      <c r="AF2982" s="502"/>
      <c r="AH2982" s="898"/>
      <c r="AI2982" s="502"/>
      <c r="AJ2982" s="502"/>
      <c r="AL2982" s="434"/>
      <c r="AM2982" s="436"/>
      <c r="AN2982" s="434"/>
      <c r="AO2982" s="434"/>
      <c r="AP2982" s="556"/>
      <c r="AQ2982" s="556"/>
      <c r="AR2982" s="556"/>
      <c r="CF2982" s="2"/>
    </row>
    <row r="2983" spans="3:84">
      <c r="C2983" s="2"/>
      <c r="AD2983" s="502"/>
      <c r="AE2983" s="911"/>
      <c r="AF2983" s="502"/>
      <c r="AH2983" s="898"/>
      <c r="AI2983" s="502"/>
      <c r="AJ2983" s="502"/>
      <c r="AL2983" s="434"/>
      <c r="AM2983" s="436"/>
      <c r="AN2983" s="434"/>
      <c r="AO2983" s="434"/>
      <c r="AP2983" s="556"/>
      <c r="AQ2983" s="556"/>
      <c r="AR2983" s="556"/>
      <c r="CF2983" s="2"/>
    </row>
    <row r="2984" spans="3:84">
      <c r="C2984" s="2"/>
      <c r="AD2984" s="502"/>
      <c r="AE2984" s="911"/>
      <c r="AF2984" s="502"/>
      <c r="AH2984" s="898"/>
      <c r="AI2984" s="502"/>
      <c r="AJ2984" s="502"/>
      <c r="AL2984" s="434"/>
      <c r="AM2984" s="436"/>
      <c r="AN2984" s="434"/>
      <c r="AO2984" s="434"/>
      <c r="AP2984" s="556"/>
      <c r="AQ2984" s="556"/>
      <c r="AR2984" s="556"/>
      <c r="CF2984" s="2"/>
    </row>
    <row r="2985" spans="3:84">
      <c r="C2985" s="2"/>
      <c r="AD2985" s="502"/>
      <c r="AE2985" s="911"/>
      <c r="AF2985" s="502"/>
      <c r="AH2985" s="898"/>
      <c r="AI2985" s="502"/>
      <c r="AJ2985" s="502"/>
      <c r="AL2985" s="434"/>
      <c r="AM2985" s="436"/>
      <c r="AN2985" s="434"/>
      <c r="AO2985" s="434"/>
      <c r="AP2985" s="556"/>
      <c r="AQ2985" s="556"/>
      <c r="AR2985" s="556"/>
      <c r="CF2985" s="2"/>
    </row>
    <row r="2986" spans="3:84">
      <c r="C2986" s="2"/>
      <c r="AD2986" s="502"/>
      <c r="AE2986" s="911"/>
      <c r="AF2986" s="502"/>
      <c r="AH2986" s="898"/>
      <c r="AI2986" s="502"/>
      <c r="AJ2986" s="502"/>
      <c r="AL2986" s="434"/>
      <c r="AM2986" s="436"/>
      <c r="AN2986" s="434"/>
      <c r="AO2986" s="434"/>
      <c r="AP2986" s="556"/>
      <c r="AQ2986" s="556"/>
      <c r="AR2986" s="556"/>
      <c r="CF2986" s="2"/>
    </row>
    <row r="2987" spans="3:84">
      <c r="C2987" s="2"/>
      <c r="AD2987" s="502"/>
      <c r="AE2987" s="911"/>
      <c r="AF2987" s="502"/>
      <c r="AH2987" s="898"/>
      <c r="AI2987" s="502"/>
      <c r="AJ2987" s="502"/>
      <c r="AL2987" s="434"/>
      <c r="AM2987" s="436"/>
      <c r="AN2987" s="434"/>
      <c r="AO2987" s="434"/>
      <c r="AP2987" s="556"/>
      <c r="AQ2987" s="556"/>
      <c r="AR2987" s="556"/>
      <c r="CF2987" s="2"/>
    </row>
    <row r="2988" spans="3:84">
      <c r="C2988" s="2"/>
      <c r="AD2988" s="502"/>
      <c r="AE2988" s="911"/>
      <c r="AF2988" s="502"/>
      <c r="AH2988" s="898"/>
      <c r="AI2988" s="502"/>
      <c r="AJ2988" s="502"/>
      <c r="AL2988" s="434"/>
      <c r="AM2988" s="436"/>
      <c r="AN2988" s="434"/>
      <c r="AO2988" s="434"/>
      <c r="AP2988" s="556"/>
      <c r="AQ2988" s="556"/>
      <c r="AR2988" s="556"/>
      <c r="CF2988" s="2"/>
    </row>
    <row r="2989" spans="3:84">
      <c r="C2989" s="2"/>
      <c r="AD2989" s="502"/>
      <c r="AE2989" s="911"/>
      <c r="AF2989" s="502"/>
      <c r="AH2989" s="898"/>
      <c r="AI2989" s="502"/>
      <c r="AJ2989" s="502"/>
      <c r="AL2989" s="434"/>
      <c r="AM2989" s="436"/>
      <c r="AN2989" s="434"/>
      <c r="AO2989" s="434"/>
      <c r="AP2989" s="556"/>
      <c r="AQ2989" s="556"/>
      <c r="AR2989" s="556"/>
      <c r="CF2989" s="2"/>
    </row>
    <row r="2990" spans="3:84">
      <c r="C2990" s="2"/>
      <c r="AD2990" s="502"/>
      <c r="AE2990" s="911"/>
      <c r="AF2990" s="502"/>
      <c r="AH2990" s="898"/>
      <c r="AI2990" s="502"/>
      <c r="AJ2990" s="502"/>
      <c r="AL2990" s="434"/>
      <c r="AM2990" s="436"/>
      <c r="AN2990" s="434"/>
      <c r="AO2990" s="434"/>
      <c r="AP2990" s="556"/>
      <c r="AQ2990" s="556"/>
      <c r="AR2990" s="556"/>
      <c r="CF2990" s="2"/>
    </row>
    <row r="2991" spans="3:84">
      <c r="C2991" s="2"/>
      <c r="AD2991" s="502"/>
      <c r="AE2991" s="911"/>
      <c r="AF2991" s="502"/>
      <c r="AH2991" s="898"/>
      <c r="AI2991" s="502"/>
      <c r="AJ2991" s="502"/>
      <c r="AL2991" s="434"/>
      <c r="AM2991" s="436"/>
      <c r="AN2991" s="434"/>
      <c r="AO2991" s="434"/>
      <c r="AP2991" s="556"/>
      <c r="AQ2991" s="556"/>
      <c r="AR2991" s="556"/>
      <c r="CF2991" s="2"/>
    </row>
    <row r="2992" spans="3:84">
      <c r="C2992" s="2"/>
      <c r="AD2992" s="502"/>
      <c r="AE2992" s="911"/>
      <c r="AF2992" s="502"/>
      <c r="AH2992" s="898"/>
      <c r="AI2992" s="502"/>
      <c r="AJ2992" s="502"/>
      <c r="AL2992" s="434"/>
      <c r="AM2992" s="436"/>
      <c r="AN2992" s="434"/>
      <c r="AO2992" s="434"/>
      <c r="AP2992" s="556"/>
      <c r="AQ2992" s="556"/>
      <c r="AR2992" s="556"/>
      <c r="CF2992" s="2"/>
    </row>
    <row r="2993" spans="3:84">
      <c r="C2993" s="2"/>
      <c r="AD2993" s="502"/>
      <c r="AE2993" s="911"/>
      <c r="AF2993" s="502"/>
      <c r="AH2993" s="898"/>
      <c r="AI2993" s="502"/>
      <c r="AJ2993" s="502"/>
      <c r="AL2993" s="434"/>
      <c r="AM2993" s="436"/>
      <c r="AN2993" s="434"/>
      <c r="AO2993" s="434"/>
      <c r="AP2993" s="556"/>
      <c r="AQ2993" s="556"/>
      <c r="AR2993" s="556"/>
      <c r="CF2993" s="2"/>
    </row>
    <row r="2994" spans="3:84">
      <c r="C2994" s="2"/>
      <c r="AD2994" s="502"/>
      <c r="AE2994" s="911"/>
      <c r="AF2994" s="502"/>
      <c r="AH2994" s="898"/>
      <c r="AI2994" s="502"/>
      <c r="AJ2994" s="502"/>
      <c r="AL2994" s="434"/>
      <c r="AM2994" s="436"/>
      <c r="AN2994" s="434"/>
      <c r="AO2994" s="434"/>
      <c r="AP2994" s="556"/>
      <c r="AQ2994" s="556"/>
      <c r="AR2994" s="556"/>
      <c r="CF2994" s="2"/>
    </row>
    <row r="2995" spans="3:84">
      <c r="C2995" s="2"/>
      <c r="AD2995" s="502"/>
      <c r="AE2995" s="911"/>
      <c r="AF2995" s="502"/>
      <c r="AH2995" s="898"/>
      <c r="AI2995" s="502"/>
      <c r="AJ2995" s="502"/>
      <c r="AL2995" s="434"/>
      <c r="AM2995" s="436"/>
      <c r="AN2995" s="434"/>
      <c r="AO2995" s="434"/>
      <c r="AP2995" s="556"/>
      <c r="AQ2995" s="556"/>
      <c r="AR2995" s="556"/>
      <c r="CF2995" s="2"/>
    </row>
    <row r="2996" spans="3:84">
      <c r="C2996" s="2"/>
      <c r="AD2996" s="502"/>
      <c r="AE2996" s="911"/>
      <c r="AF2996" s="502"/>
      <c r="AH2996" s="898"/>
      <c r="AI2996" s="502"/>
      <c r="AJ2996" s="502"/>
      <c r="AL2996" s="434"/>
      <c r="AM2996" s="436"/>
      <c r="AN2996" s="434"/>
      <c r="AO2996" s="434"/>
      <c r="AP2996" s="556"/>
      <c r="AQ2996" s="556"/>
      <c r="AR2996" s="556"/>
      <c r="CF2996" s="2"/>
    </row>
    <row r="2997" spans="3:84">
      <c r="C2997" s="2"/>
      <c r="AD2997" s="502"/>
      <c r="AE2997" s="911"/>
      <c r="AF2997" s="502"/>
      <c r="AH2997" s="898"/>
      <c r="AI2997" s="502"/>
      <c r="AJ2997" s="502"/>
      <c r="AL2997" s="434"/>
      <c r="AM2997" s="436"/>
      <c r="AN2997" s="434"/>
      <c r="AO2997" s="434"/>
      <c r="AP2997" s="556"/>
      <c r="AQ2997" s="556"/>
      <c r="AR2997" s="556"/>
      <c r="CF2997" s="2"/>
    </row>
    <row r="2998" spans="3:84">
      <c r="C2998" s="2"/>
      <c r="AD2998" s="502"/>
      <c r="AE2998" s="911"/>
      <c r="AF2998" s="502"/>
      <c r="AH2998" s="898"/>
      <c r="AI2998" s="502"/>
      <c r="AJ2998" s="502"/>
      <c r="AL2998" s="434"/>
      <c r="AM2998" s="436"/>
      <c r="AN2998" s="434"/>
      <c r="AO2998" s="434"/>
      <c r="AP2998" s="556"/>
      <c r="AQ2998" s="556"/>
      <c r="AR2998" s="556"/>
      <c r="CF2998" s="2"/>
    </row>
    <row r="2999" spans="3:84">
      <c r="C2999" s="2"/>
      <c r="AD2999" s="502"/>
      <c r="AE2999" s="911"/>
      <c r="AF2999" s="502"/>
      <c r="AH2999" s="898"/>
      <c r="AI2999" s="502"/>
      <c r="AJ2999" s="502"/>
      <c r="AL2999" s="434"/>
      <c r="AM2999" s="436"/>
      <c r="AN2999" s="434"/>
      <c r="AO2999" s="434"/>
      <c r="AP2999" s="556"/>
      <c r="AQ2999" s="556"/>
      <c r="AR2999" s="556"/>
      <c r="CF2999" s="2"/>
    </row>
    <row r="3000" spans="3:84">
      <c r="C3000" s="2"/>
      <c r="AD3000" s="502"/>
      <c r="AE3000" s="911"/>
      <c r="AF3000" s="502"/>
      <c r="AH3000" s="898"/>
      <c r="AI3000" s="502"/>
      <c r="AJ3000" s="502"/>
      <c r="AL3000" s="434"/>
      <c r="AM3000" s="436"/>
      <c r="AN3000" s="434"/>
      <c r="AO3000" s="434"/>
      <c r="AP3000" s="556"/>
      <c r="AQ3000" s="556"/>
      <c r="AR3000" s="556"/>
      <c r="CF3000" s="2"/>
    </row>
    <row r="3001" spans="3:84">
      <c r="C3001" s="2"/>
      <c r="AD3001" s="502"/>
      <c r="AE3001" s="911"/>
      <c r="AF3001" s="502"/>
      <c r="AH3001" s="898"/>
      <c r="AI3001" s="502"/>
      <c r="AJ3001" s="502"/>
      <c r="AL3001" s="434"/>
      <c r="AM3001" s="436"/>
      <c r="AN3001" s="434"/>
      <c r="AO3001" s="434"/>
      <c r="AP3001" s="556"/>
      <c r="AQ3001" s="556"/>
      <c r="AR3001" s="556"/>
      <c r="CF3001" s="2"/>
    </row>
    <row r="3002" spans="3:84">
      <c r="C3002" s="2"/>
      <c r="AD3002" s="502"/>
      <c r="AE3002" s="911"/>
      <c r="AF3002" s="502"/>
      <c r="AH3002" s="898"/>
      <c r="AI3002" s="502"/>
      <c r="AJ3002" s="502"/>
      <c r="AL3002" s="434"/>
      <c r="AM3002" s="436"/>
      <c r="AN3002" s="434"/>
      <c r="AO3002" s="434"/>
      <c r="AP3002" s="556"/>
      <c r="AQ3002" s="556"/>
      <c r="AR3002" s="556"/>
      <c r="CF3002" s="2"/>
    </row>
    <row r="3003" spans="3:84">
      <c r="C3003" s="2"/>
      <c r="AD3003" s="502"/>
      <c r="AE3003" s="911"/>
      <c r="AF3003" s="502"/>
      <c r="AH3003" s="898"/>
      <c r="AI3003" s="502"/>
      <c r="AJ3003" s="502"/>
      <c r="AL3003" s="434"/>
      <c r="AM3003" s="436"/>
      <c r="AN3003" s="434"/>
      <c r="AO3003" s="434"/>
      <c r="AP3003" s="556"/>
      <c r="AQ3003" s="556"/>
      <c r="AR3003" s="556"/>
      <c r="CF3003" s="2"/>
    </row>
    <row r="3004" spans="3:84">
      <c r="C3004" s="2"/>
      <c r="AD3004" s="502"/>
      <c r="AE3004" s="911"/>
      <c r="AF3004" s="502"/>
      <c r="AH3004" s="898"/>
      <c r="AI3004" s="502"/>
      <c r="AJ3004" s="502"/>
      <c r="AL3004" s="434"/>
      <c r="AM3004" s="436"/>
      <c r="AN3004" s="434"/>
      <c r="AO3004" s="434"/>
      <c r="AP3004" s="556"/>
      <c r="AQ3004" s="556"/>
      <c r="AR3004" s="556"/>
      <c r="CF3004" s="2"/>
    </row>
    <row r="3005" spans="3:84">
      <c r="C3005" s="2"/>
      <c r="AD3005" s="502"/>
      <c r="AE3005" s="911"/>
      <c r="AF3005" s="502"/>
      <c r="AH3005" s="898"/>
      <c r="AI3005" s="502"/>
      <c r="AJ3005" s="502"/>
      <c r="AL3005" s="434"/>
      <c r="AM3005" s="436"/>
      <c r="AN3005" s="434"/>
      <c r="AO3005" s="434"/>
      <c r="AP3005" s="556"/>
      <c r="AQ3005" s="556"/>
      <c r="AR3005" s="556"/>
      <c r="CF3005" s="2"/>
    </row>
    <row r="3006" spans="3:84">
      <c r="C3006" s="2"/>
      <c r="AD3006" s="502"/>
      <c r="AE3006" s="911"/>
      <c r="AF3006" s="502"/>
      <c r="AH3006" s="898"/>
      <c r="AI3006" s="502"/>
      <c r="AJ3006" s="502"/>
      <c r="AL3006" s="434"/>
      <c r="AM3006" s="436"/>
      <c r="AN3006" s="434"/>
      <c r="AO3006" s="434"/>
      <c r="AP3006" s="556"/>
      <c r="AQ3006" s="556"/>
      <c r="AR3006" s="556"/>
      <c r="CF3006" s="2"/>
    </row>
    <row r="3007" spans="3:84">
      <c r="C3007" s="2"/>
      <c r="AD3007" s="502"/>
      <c r="AE3007" s="911"/>
      <c r="AF3007" s="502"/>
      <c r="AH3007" s="898"/>
      <c r="AI3007" s="502"/>
      <c r="AJ3007" s="502"/>
      <c r="AL3007" s="434"/>
      <c r="AM3007" s="436"/>
      <c r="AN3007" s="434"/>
      <c r="AO3007" s="434"/>
      <c r="AP3007" s="556"/>
      <c r="AQ3007" s="556"/>
      <c r="AR3007" s="556"/>
      <c r="CF3007" s="2"/>
    </row>
    <row r="3008" spans="3:84">
      <c r="C3008" s="2"/>
      <c r="AD3008" s="502"/>
      <c r="AE3008" s="911"/>
      <c r="AF3008" s="502"/>
      <c r="AH3008" s="898"/>
      <c r="AI3008" s="502"/>
      <c r="AJ3008" s="502"/>
      <c r="AL3008" s="434"/>
      <c r="AM3008" s="436"/>
      <c r="AN3008" s="434"/>
      <c r="AO3008" s="434"/>
      <c r="AP3008" s="556"/>
      <c r="AQ3008" s="556"/>
      <c r="AR3008" s="556"/>
      <c r="CF3008" s="2"/>
    </row>
    <row r="3009" spans="3:84">
      <c r="C3009" s="2"/>
      <c r="AD3009" s="502"/>
      <c r="AE3009" s="911"/>
      <c r="AF3009" s="502"/>
      <c r="AH3009" s="898"/>
      <c r="AI3009" s="502"/>
      <c r="AJ3009" s="502"/>
      <c r="AL3009" s="434"/>
      <c r="AM3009" s="436"/>
      <c r="AN3009" s="434"/>
      <c r="AO3009" s="434"/>
      <c r="AP3009" s="556"/>
      <c r="AQ3009" s="556"/>
      <c r="AR3009" s="556"/>
      <c r="CF3009" s="2"/>
    </row>
    <row r="3010" spans="3:84">
      <c r="C3010" s="2"/>
      <c r="AD3010" s="502"/>
      <c r="AE3010" s="911"/>
      <c r="AF3010" s="502"/>
      <c r="AH3010" s="898"/>
      <c r="AI3010" s="502"/>
      <c r="AJ3010" s="502"/>
      <c r="AL3010" s="434"/>
      <c r="AM3010" s="436"/>
      <c r="AN3010" s="434"/>
      <c r="AO3010" s="434"/>
      <c r="AP3010" s="556"/>
      <c r="AQ3010" s="556"/>
      <c r="AR3010" s="556"/>
      <c r="CF3010" s="2"/>
    </row>
    <row r="3011" spans="3:84">
      <c r="C3011" s="2"/>
      <c r="AD3011" s="502"/>
      <c r="AE3011" s="911"/>
      <c r="AF3011" s="502"/>
      <c r="AH3011" s="898"/>
      <c r="AI3011" s="502"/>
      <c r="AJ3011" s="502"/>
      <c r="AL3011" s="434"/>
      <c r="AM3011" s="436"/>
      <c r="AN3011" s="434"/>
      <c r="AO3011" s="434"/>
      <c r="AP3011" s="556"/>
      <c r="AQ3011" s="556"/>
      <c r="AR3011" s="556"/>
      <c r="CF3011" s="2"/>
    </row>
    <row r="3012" spans="3:84">
      <c r="C3012" s="2"/>
      <c r="AD3012" s="502"/>
      <c r="AE3012" s="911"/>
      <c r="AF3012" s="502"/>
      <c r="AH3012" s="898"/>
      <c r="AI3012" s="502"/>
      <c r="AJ3012" s="502"/>
      <c r="AL3012" s="434"/>
      <c r="AM3012" s="436"/>
      <c r="AN3012" s="434"/>
      <c r="AO3012" s="434"/>
      <c r="AP3012" s="556"/>
      <c r="AQ3012" s="556"/>
      <c r="AR3012" s="556"/>
      <c r="CF3012" s="2"/>
    </row>
    <row r="3013" spans="3:84">
      <c r="C3013" s="2"/>
      <c r="AD3013" s="502"/>
      <c r="AE3013" s="911"/>
      <c r="AF3013" s="502"/>
      <c r="AH3013" s="898"/>
      <c r="AI3013" s="502"/>
      <c r="AJ3013" s="502"/>
      <c r="AL3013" s="434"/>
      <c r="AM3013" s="436"/>
      <c r="AN3013" s="434"/>
      <c r="AO3013" s="434"/>
      <c r="AP3013" s="556"/>
      <c r="AQ3013" s="556"/>
      <c r="AR3013" s="556"/>
      <c r="CF3013" s="2"/>
    </row>
    <row r="3014" spans="3:84">
      <c r="C3014" s="2"/>
      <c r="AD3014" s="502"/>
      <c r="AE3014" s="911"/>
      <c r="AF3014" s="502"/>
      <c r="AH3014" s="898"/>
      <c r="AI3014" s="502"/>
      <c r="AJ3014" s="502"/>
      <c r="AL3014" s="434"/>
      <c r="AM3014" s="436"/>
      <c r="AN3014" s="434"/>
      <c r="AO3014" s="434"/>
      <c r="AP3014" s="556"/>
      <c r="AQ3014" s="556"/>
      <c r="AR3014" s="556"/>
      <c r="CF3014" s="2"/>
    </row>
    <row r="3015" spans="3:84">
      <c r="C3015" s="2"/>
      <c r="AD3015" s="502"/>
      <c r="AE3015" s="911"/>
      <c r="AF3015" s="502"/>
      <c r="AH3015" s="898"/>
      <c r="AI3015" s="502"/>
      <c r="AJ3015" s="502"/>
      <c r="AL3015" s="434"/>
      <c r="AM3015" s="436"/>
      <c r="AN3015" s="434"/>
      <c r="AO3015" s="434"/>
      <c r="AP3015" s="556"/>
      <c r="AQ3015" s="556"/>
      <c r="AR3015" s="556"/>
      <c r="CF3015" s="2"/>
    </row>
    <row r="3016" spans="3:84">
      <c r="C3016" s="2"/>
      <c r="AD3016" s="502"/>
      <c r="AE3016" s="911"/>
      <c r="AF3016" s="502"/>
      <c r="AH3016" s="898"/>
      <c r="AI3016" s="502"/>
      <c r="AJ3016" s="502"/>
      <c r="AL3016" s="434"/>
      <c r="AM3016" s="436"/>
      <c r="AN3016" s="434"/>
      <c r="AO3016" s="434"/>
      <c r="AP3016" s="556"/>
      <c r="AQ3016" s="556"/>
      <c r="AR3016" s="556"/>
      <c r="CF3016" s="2"/>
    </row>
    <row r="3017" spans="3:84">
      <c r="C3017" s="2"/>
      <c r="AD3017" s="502"/>
      <c r="AE3017" s="911"/>
      <c r="AF3017" s="502"/>
      <c r="AH3017" s="898"/>
      <c r="AI3017" s="502"/>
      <c r="AJ3017" s="502"/>
      <c r="AL3017" s="434"/>
      <c r="AM3017" s="436"/>
      <c r="AN3017" s="434"/>
      <c r="AO3017" s="434"/>
      <c r="AP3017" s="556"/>
      <c r="AQ3017" s="556"/>
      <c r="AR3017" s="556"/>
      <c r="CF3017" s="2"/>
    </row>
    <row r="3018" spans="3:84">
      <c r="C3018" s="2"/>
      <c r="AD3018" s="502"/>
      <c r="AE3018" s="911"/>
      <c r="AF3018" s="502"/>
      <c r="AH3018" s="898"/>
      <c r="AI3018" s="502"/>
      <c r="AJ3018" s="502"/>
      <c r="AL3018" s="434"/>
      <c r="AM3018" s="436"/>
      <c r="AN3018" s="434"/>
      <c r="AO3018" s="434"/>
      <c r="AP3018" s="556"/>
      <c r="AQ3018" s="556"/>
      <c r="AR3018" s="556"/>
      <c r="CF3018" s="2"/>
    </row>
    <row r="3019" spans="3:84">
      <c r="C3019" s="2"/>
      <c r="AD3019" s="502"/>
      <c r="AE3019" s="911"/>
      <c r="AF3019" s="502"/>
      <c r="AH3019" s="898"/>
      <c r="AI3019" s="502"/>
      <c r="AJ3019" s="502"/>
      <c r="AL3019" s="434"/>
      <c r="AM3019" s="436"/>
      <c r="AN3019" s="434"/>
      <c r="AO3019" s="434"/>
      <c r="AP3019" s="556"/>
      <c r="AQ3019" s="556"/>
      <c r="AR3019" s="556"/>
      <c r="CF3019" s="2"/>
    </row>
    <row r="3020" spans="3:84">
      <c r="C3020" s="2"/>
      <c r="AD3020" s="502"/>
      <c r="AE3020" s="911"/>
      <c r="AF3020" s="502"/>
      <c r="AH3020" s="898"/>
      <c r="AI3020" s="502"/>
      <c r="AJ3020" s="502"/>
      <c r="AL3020" s="434"/>
      <c r="AM3020" s="436"/>
      <c r="AN3020" s="434"/>
      <c r="AO3020" s="434"/>
      <c r="AP3020" s="556"/>
      <c r="AQ3020" s="556"/>
      <c r="AR3020" s="556"/>
      <c r="CF3020" s="2"/>
    </row>
    <row r="3021" spans="3:84">
      <c r="C3021" s="2"/>
      <c r="AD3021" s="502"/>
      <c r="AE3021" s="911"/>
      <c r="AF3021" s="502"/>
      <c r="AH3021" s="898"/>
      <c r="AI3021" s="502"/>
      <c r="AJ3021" s="502"/>
      <c r="AL3021" s="434"/>
      <c r="AM3021" s="436"/>
      <c r="AN3021" s="434"/>
      <c r="AO3021" s="434"/>
      <c r="AP3021" s="556"/>
      <c r="AQ3021" s="556"/>
      <c r="AR3021" s="556"/>
      <c r="CF3021" s="2"/>
    </row>
    <row r="3022" spans="3:84">
      <c r="C3022" s="2"/>
      <c r="AD3022" s="502"/>
      <c r="AE3022" s="911"/>
      <c r="AF3022" s="502"/>
      <c r="AH3022" s="898"/>
      <c r="AI3022" s="502"/>
      <c r="AJ3022" s="502"/>
      <c r="AL3022" s="434"/>
      <c r="AM3022" s="436"/>
      <c r="AN3022" s="434"/>
      <c r="AO3022" s="434"/>
      <c r="AP3022" s="556"/>
      <c r="AQ3022" s="556"/>
      <c r="AR3022" s="556"/>
      <c r="CF3022" s="2"/>
    </row>
    <row r="3023" spans="3:84">
      <c r="C3023" s="2"/>
      <c r="AD3023" s="502"/>
      <c r="AE3023" s="911"/>
      <c r="AF3023" s="502"/>
      <c r="AH3023" s="898"/>
      <c r="AI3023" s="502"/>
      <c r="AJ3023" s="502"/>
      <c r="AL3023" s="434"/>
      <c r="AM3023" s="436"/>
      <c r="AN3023" s="434"/>
      <c r="AO3023" s="434"/>
      <c r="AP3023" s="556"/>
      <c r="AQ3023" s="556"/>
      <c r="AR3023" s="556"/>
      <c r="CF3023" s="2"/>
    </row>
    <row r="3024" spans="3:84">
      <c r="C3024" s="2"/>
      <c r="AD3024" s="502"/>
      <c r="AE3024" s="911"/>
      <c r="AF3024" s="502"/>
      <c r="AH3024" s="898"/>
      <c r="AI3024" s="502"/>
      <c r="AJ3024" s="502"/>
      <c r="AL3024" s="434"/>
      <c r="AM3024" s="436"/>
      <c r="AN3024" s="434"/>
      <c r="AO3024" s="434"/>
      <c r="AP3024" s="556"/>
      <c r="AQ3024" s="556"/>
      <c r="AR3024" s="556"/>
      <c r="CF3024" s="2"/>
    </row>
    <row r="3025" spans="3:84">
      <c r="C3025" s="2"/>
      <c r="AD3025" s="502"/>
      <c r="AE3025" s="911"/>
      <c r="AF3025" s="502"/>
      <c r="AH3025" s="898"/>
      <c r="AI3025" s="502"/>
      <c r="AJ3025" s="502"/>
      <c r="AL3025" s="434"/>
      <c r="AM3025" s="436"/>
      <c r="AN3025" s="434"/>
      <c r="AO3025" s="434"/>
      <c r="AP3025" s="556"/>
      <c r="AQ3025" s="556"/>
      <c r="AR3025" s="556"/>
      <c r="CF3025" s="2"/>
    </row>
    <row r="3026" spans="3:84">
      <c r="C3026" s="2"/>
      <c r="AD3026" s="502"/>
      <c r="AE3026" s="911"/>
      <c r="AF3026" s="502"/>
      <c r="AH3026" s="898"/>
      <c r="AI3026" s="502"/>
      <c r="AJ3026" s="502"/>
      <c r="AL3026" s="434"/>
      <c r="AM3026" s="436"/>
      <c r="AN3026" s="434"/>
      <c r="AO3026" s="434"/>
      <c r="AP3026" s="556"/>
      <c r="AQ3026" s="556"/>
      <c r="AR3026" s="556"/>
      <c r="CF3026" s="2"/>
    </row>
    <row r="3027" spans="3:84">
      <c r="C3027" s="2"/>
      <c r="AD3027" s="502"/>
      <c r="AE3027" s="911"/>
      <c r="AF3027" s="502"/>
      <c r="AH3027" s="898"/>
      <c r="AI3027" s="502"/>
      <c r="AJ3027" s="502"/>
      <c r="AL3027" s="434"/>
      <c r="AM3027" s="436"/>
      <c r="AN3027" s="434"/>
      <c r="AO3027" s="434"/>
      <c r="AP3027" s="556"/>
      <c r="AQ3027" s="556"/>
      <c r="AR3027" s="556"/>
      <c r="CF3027" s="2"/>
    </row>
    <row r="3028" spans="3:84">
      <c r="C3028" s="2"/>
      <c r="AD3028" s="502"/>
      <c r="AE3028" s="911"/>
      <c r="AF3028" s="502"/>
      <c r="AH3028" s="898"/>
      <c r="AI3028" s="502"/>
      <c r="AJ3028" s="502"/>
      <c r="AL3028" s="434"/>
      <c r="AM3028" s="436"/>
      <c r="AN3028" s="434"/>
      <c r="AO3028" s="434"/>
      <c r="AP3028" s="556"/>
      <c r="AQ3028" s="556"/>
      <c r="AR3028" s="556"/>
      <c r="CF3028" s="2"/>
    </row>
    <row r="3029" spans="3:84">
      <c r="C3029" s="2"/>
      <c r="AD3029" s="502"/>
      <c r="AE3029" s="911"/>
      <c r="AF3029" s="502"/>
      <c r="AH3029" s="898"/>
      <c r="AI3029" s="502"/>
      <c r="AJ3029" s="502"/>
      <c r="AL3029" s="434"/>
      <c r="AM3029" s="436"/>
      <c r="AN3029" s="434"/>
      <c r="AO3029" s="434"/>
      <c r="AP3029" s="556"/>
      <c r="AQ3029" s="556"/>
      <c r="AR3029" s="556"/>
      <c r="CF3029" s="2"/>
    </row>
    <row r="3030" spans="3:84">
      <c r="C3030" s="2"/>
      <c r="AD3030" s="502"/>
      <c r="AE3030" s="911"/>
      <c r="AF3030" s="502"/>
      <c r="AH3030" s="898"/>
      <c r="AI3030" s="502"/>
      <c r="AJ3030" s="502"/>
      <c r="AL3030" s="434"/>
      <c r="AM3030" s="436"/>
      <c r="AN3030" s="434"/>
      <c r="AO3030" s="434"/>
      <c r="AP3030" s="556"/>
      <c r="AQ3030" s="556"/>
      <c r="AR3030" s="556"/>
      <c r="CF3030" s="2"/>
    </row>
    <row r="3031" spans="3:84">
      <c r="C3031" s="2"/>
      <c r="AD3031" s="502"/>
      <c r="AE3031" s="911"/>
      <c r="AF3031" s="502"/>
      <c r="AH3031" s="898"/>
      <c r="AI3031" s="502"/>
      <c r="AJ3031" s="502"/>
      <c r="AL3031" s="434"/>
      <c r="AM3031" s="436"/>
      <c r="AN3031" s="434"/>
      <c r="AO3031" s="434"/>
      <c r="AP3031" s="556"/>
      <c r="AQ3031" s="556"/>
      <c r="AR3031" s="556"/>
      <c r="CF3031" s="2"/>
    </row>
    <row r="3032" spans="3:84">
      <c r="C3032" s="2"/>
      <c r="AD3032" s="502"/>
      <c r="AE3032" s="911"/>
      <c r="AF3032" s="502"/>
      <c r="AH3032" s="898"/>
      <c r="AI3032" s="502"/>
      <c r="AJ3032" s="502"/>
      <c r="AL3032" s="434"/>
      <c r="AM3032" s="436"/>
      <c r="AN3032" s="434"/>
      <c r="AO3032" s="434"/>
      <c r="AP3032" s="556"/>
      <c r="AQ3032" s="556"/>
      <c r="AR3032" s="556"/>
      <c r="CF3032" s="2"/>
    </row>
    <row r="3033" spans="3:84">
      <c r="C3033" s="2"/>
      <c r="AD3033" s="502"/>
      <c r="AE3033" s="911"/>
      <c r="AF3033" s="502"/>
      <c r="AH3033" s="898"/>
      <c r="AI3033" s="502"/>
      <c r="AJ3033" s="502"/>
      <c r="AL3033" s="434"/>
      <c r="AM3033" s="436"/>
      <c r="AN3033" s="434"/>
      <c r="AO3033" s="434"/>
      <c r="AP3033" s="556"/>
      <c r="AQ3033" s="556"/>
      <c r="AR3033" s="556"/>
      <c r="CF3033" s="2"/>
    </row>
    <row r="3034" spans="3:84">
      <c r="C3034" s="2"/>
      <c r="AD3034" s="502"/>
      <c r="AE3034" s="911"/>
      <c r="AF3034" s="502"/>
      <c r="AH3034" s="898"/>
      <c r="AI3034" s="502"/>
      <c r="AJ3034" s="502"/>
      <c r="AL3034" s="434"/>
      <c r="AM3034" s="436"/>
      <c r="AN3034" s="434"/>
      <c r="AO3034" s="434"/>
      <c r="AP3034" s="556"/>
      <c r="AQ3034" s="556"/>
      <c r="AR3034" s="556"/>
      <c r="CF3034" s="2"/>
    </row>
    <row r="3035" spans="3:84">
      <c r="C3035" s="2"/>
      <c r="AD3035" s="502"/>
      <c r="AE3035" s="911"/>
      <c r="AF3035" s="502"/>
      <c r="AH3035" s="898"/>
      <c r="AI3035" s="502"/>
      <c r="AJ3035" s="502"/>
      <c r="AL3035" s="434"/>
      <c r="AM3035" s="436"/>
      <c r="AN3035" s="434"/>
      <c r="AO3035" s="434"/>
      <c r="AP3035" s="556"/>
      <c r="AQ3035" s="556"/>
      <c r="AR3035" s="556"/>
      <c r="CF3035" s="2"/>
    </row>
    <row r="3036" spans="3:84">
      <c r="C3036" s="2"/>
      <c r="AD3036" s="502"/>
      <c r="AE3036" s="911"/>
      <c r="AF3036" s="502"/>
      <c r="AH3036" s="898"/>
      <c r="AI3036" s="502"/>
      <c r="AJ3036" s="502"/>
      <c r="AL3036" s="434"/>
      <c r="AM3036" s="436"/>
      <c r="AN3036" s="434"/>
      <c r="AO3036" s="434"/>
      <c r="AP3036" s="556"/>
      <c r="AQ3036" s="556"/>
      <c r="AR3036" s="556"/>
      <c r="CF3036" s="2"/>
    </row>
    <row r="3037" spans="3:84">
      <c r="C3037" s="2"/>
      <c r="AD3037" s="502"/>
      <c r="AE3037" s="911"/>
      <c r="AF3037" s="502"/>
      <c r="AH3037" s="898"/>
      <c r="AI3037" s="502"/>
      <c r="AJ3037" s="502"/>
      <c r="AL3037" s="434"/>
      <c r="AM3037" s="436"/>
      <c r="AN3037" s="434"/>
      <c r="AO3037" s="434"/>
      <c r="AP3037" s="556"/>
      <c r="AQ3037" s="556"/>
      <c r="AR3037" s="556"/>
      <c r="CF3037" s="2"/>
    </row>
    <row r="3038" spans="3:84">
      <c r="C3038" s="2"/>
      <c r="AD3038" s="502"/>
      <c r="AE3038" s="911"/>
      <c r="AF3038" s="502"/>
      <c r="AH3038" s="898"/>
      <c r="AI3038" s="502"/>
      <c r="AJ3038" s="502"/>
      <c r="AL3038" s="434"/>
      <c r="AM3038" s="436"/>
      <c r="AN3038" s="434"/>
      <c r="AO3038" s="434"/>
      <c r="AP3038" s="556"/>
      <c r="AQ3038" s="556"/>
      <c r="AR3038" s="556"/>
      <c r="CF3038" s="2"/>
    </row>
    <row r="3039" spans="3:84">
      <c r="C3039" s="2"/>
      <c r="AD3039" s="502"/>
      <c r="AE3039" s="911"/>
      <c r="AF3039" s="502"/>
      <c r="AH3039" s="898"/>
      <c r="AI3039" s="502"/>
      <c r="AJ3039" s="502"/>
      <c r="AL3039" s="434"/>
      <c r="AM3039" s="436"/>
      <c r="AN3039" s="434"/>
      <c r="AO3039" s="434"/>
      <c r="AP3039" s="556"/>
      <c r="AQ3039" s="556"/>
      <c r="AR3039" s="556"/>
      <c r="CF3039" s="2"/>
    </row>
    <row r="3040" spans="3:84">
      <c r="C3040" s="2"/>
      <c r="AD3040" s="502"/>
      <c r="AE3040" s="911"/>
      <c r="AF3040" s="502"/>
      <c r="AH3040" s="898"/>
      <c r="AI3040" s="502"/>
      <c r="AJ3040" s="502"/>
      <c r="AL3040" s="434"/>
      <c r="AM3040" s="436"/>
      <c r="AN3040" s="434"/>
      <c r="AO3040" s="434"/>
      <c r="AP3040" s="556"/>
      <c r="AQ3040" s="556"/>
      <c r="AR3040" s="556"/>
      <c r="CF3040" s="2"/>
    </row>
    <row r="3041" spans="3:84">
      <c r="C3041" s="2"/>
      <c r="AD3041" s="502"/>
      <c r="AE3041" s="911"/>
      <c r="AF3041" s="502"/>
      <c r="AH3041" s="898"/>
      <c r="AI3041" s="502"/>
      <c r="AJ3041" s="502"/>
      <c r="AL3041" s="434"/>
      <c r="AM3041" s="436"/>
      <c r="AN3041" s="434"/>
      <c r="AO3041" s="434"/>
      <c r="AP3041" s="556"/>
      <c r="AQ3041" s="556"/>
      <c r="AR3041" s="556"/>
      <c r="CF3041" s="2"/>
    </row>
    <row r="3042" spans="3:84">
      <c r="C3042" s="2"/>
      <c r="AD3042" s="502"/>
      <c r="AE3042" s="911"/>
      <c r="AF3042" s="502"/>
      <c r="AH3042" s="898"/>
      <c r="AI3042" s="502"/>
      <c r="AJ3042" s="502"/>
      <c r="AL3042" s="434"/>
      <c r="AM3042" s="436"/>
      <c r="AN3042" s="434"/>
      <c r="AO3042" s="434"/>
      <c r="AP3042" s="556"/>
      <c r="AQ3042" s="556"/>
      <c r="AR3042" s="556"/>
      <c r="CF3042" s="2"/>
    </row>
    <row r="3043" spans="3:84">
      <c r="C3043" s="2"/>
      <c r="AD3043" s="502"/>
      <c r="AE3043" s="911"/>
      <c r="AF3043" s="502"/>
      <c r="AH3043" s="898"/>
      <c r="AI3043" s="502"/>
      <c r="AJ3043" s="502"/>
      <c r="AL3043" s="434"/>
      <c r="AM3043" s="436"/>
      <c r="AN3043" s="434"/>
      <c r="AO3043" s="434"/>
      <c r="AP3043" s="556"/>
      <c r="AQ3043" s="556"/>
      <c r="AR3043" s="556"/>
      <c r="CF3043" s="2"/>
    </row>
    <row r="3044" spans="3:84">
      <c r="C3044" s="2"/>
      <c r="AD3044" s="502"/>
      <c r="AE3044" s="911"/>
      <c r="AF3044" s="502"/>
      <c r="AH3044" s="898"/>
      <c r="AI3044" s="502"/>
      <c r="AJ3044" s="502"/>
      <c r="AL3044" s="434"/>
      <c r="AM3044" s="436"/>
      <c r="AN3044" s="434"/>
      <c r="AO3044" s="434"/>
      <c r="AP3044" s="556"/>
      <c r="AQ3044" s="556"/>
      <c r="AR3044" s="556"/>
      <c r="CF3044" s="2"/>
    </row>
    <row r="3045" spans="3:84">
      <c r="C3045" s="2"/>
      <c r="AD3045" s="502"/>
      <c r="AE3045" s="911"/>
      <c r="AF3045" s="502"/>
      <c r="AH3045" s="898"/>
      <c r="AI3045" s="502"/>
      <c r="AJ3045" s="502"/>
      <c r="AL3045" s="434"/>
      <c r="AM3045" s="436"/>
      <c r="AN3045" s="434"/>
      <c r="AO3045" s="434"/>
      <c r="AP3045" s="556"/>
      <c r="AQ3045" s="556"/>
      <c r="AR3045" s="556"/>
      <c r="CF3045" s="2"/>
    </row>
    <row r="3046" spans="3:84">
      <c r="C3046" s="2"/>
      <c r="AD3046" s="502"/>
      <c r="AE3046" s="911"/>
      <c r="AF3046" s="502"/>
      <c r="AH3046" s="898"/>
      <c r="AI3046" s="502"/>
      <c r="AJ3046" s="502"/>
      <c r="AL3046" s="434"/>
      <c r="AM3046" s="436"/>
      <c r="AN3046" s="434"/>
      <c r="AO3046" s="434"/>
      <c r="AP3046" s="556"/>
      <c r="AQ3046" s="556"/>
      <c r="AR3046" s="556"/>
      <c r="CF3046" s="2"/>
    </row>
    <row r="3047" spans="3:84">
      <c r="C3047" s="2"/>
      <c r="AD3047" s="502"/>
      <c r="AE3047" s="911"/>
      <c r="AF3047" s="502"/>
      <c r="AH3047" s="898"/>
      <c r="AI3047" s="502"/>
      <c r="AJ3047" s="502"/>
      <c r="AL3047" s="434"/>
      <c r="AM3047" s="436"/>
      <c r="AN3047" s="434"/>
      <c r="AO3047" s="434"/>
      <c r="AP3047" s="556"/>
      <c r="AQ3047" s="556"/>
      <c r="AR3047" s="556"/>
      <c r="CF3047" s="2"/>
    </row>
    <row r="3048" spans="3:84">
      <c r="C3048" s="2"/>
      <c r="AD3048" s="502"/>
      <c r="AE3048" s="911"/>
      <c r="AF3048" s="502"/>
      <c r="AH3048" s="898"/>
      <c r="AI3048" s="502"/>
      <c r="AJ3048" s="502"/>
      <c r="AL3048" s="434"/>
      <c r="AM3048" s="436"/>
      <c r="AN3048" s="434"/>
      <c r="AO3048" s="434"/>
      <c r="AP3048" s="556"/>
      <c r="AQ3048" s="556"/>
      <c r="AR3048" s="556"/>
      <c r="CF3048" s="2"/>
    </row>
    <row r="3049" spans="3:84">
      <c r="C3049" s="2"/>
      <c r="AD3049" s="502"/>
      <c r="AE3049" s="911"/>
      <c r="AF3049" s="502"/>
      <c r="AH3049" s="898"/>
      <c r="AI3049" s="502"/>
      <c r="AJ3049" s="502"/>
      <c r="AL3049" s="434"/>
      <c r="AM3049" s="436"/>
      <c r="AN3049" s="434"/>
      <c r="AO3049" s="434"/>
      <c r="AP3049" s="556"/>
      <c r="AQ3049" s="556"/>
      <c r="AR3049" s="556"/>
      <c r="CF3049" s="2"/>
    </row>
    <row r="3050" spans="3:84">
      <c r="C3050" s="2"/>
      <c r="AD3050" s="502"/>
      <c r="AE3050" s="911"/>
      <c r="AF3050" s="502"/>
      <c r="AH3050" s="898"/>
      <c r="AI3050" s="502"/>
      <c r="AJ3050" s="502"/>
      <c r="AL3050" s="434"/>
      <c r="AM3050" s="436"/>
      <c r="AN3050" s="434"/>
      <c r="AO3050" s="434"/>
      <c r="AP3050" s="556"/>
      <c r="AQ3050" s="556"/>
      <c r="AR3050" s="556"/>
      <c r="CF3050" s="2"/>
    </row>
    <row r="3051" spans="3:84">
      <c r="C3051" s="2"/>
      <c r="AD3051" s="502"/>
      <c r="AE3051" s="911"/>
      <c r="AF3051" s="502"/>
      <c r="AH3051" s="898"/>
      <c r="AI3051" s="502"/>
      <c r="AJ3051" s="502"/>
      <c r="AL3051" s="434"/>
      <c r="AM3051" s="436"/>
      <c r="AN3051" s="434"/>
      <c r="AO3051" s="434"/>
      <c r="AP3051" s="556"/>
      <c r="AQ3051" s="556"/>
      <c r="AR3051" s="556"/>
      <c r="CF3051" s="2"/>
    </row>
    <row r="3052" spans="3:84">
      <c r="C3052" s="2"/>
      <c r="AD3052" s="502"/>
      <c r="AE3052" s="911"/>
      <c r="AF3052" s="502"/>
      <c r="AH3052" s="898"/>
      <c r="AI3052" s="502"/>
      <c r="AJ3052" s="502"/>
      <c r="AL3052" s="434"/>
      <c r="AM3052" s="436"/>
      <c r="AN3052" s="434"/>
      <c r="AO3052" s="434"/>
      <c r="AP3052" s="556"/>
      <c r="AQ3052" s="556"/>
      <c r="AR3052" s="556"/>
      <c r="CF3052" s="2"/>
    </row>
    <row r="3053" spans="3:84">
      <c r="C3053" s="2"/>
      <c r="AD3053" s="502"/>
      <c r="AE3053" s="911"/>
      <c r="AF3053" s="502"/>
      <c r="AH3053" s="898"/>
      <c r="AI3053" s="502"/>
      <c r="AJ3053" s="502"/>
      <c r="AL3053" s="434"/>
      <c r="AM3053" s="436"/>
      <c r="AN3053" s="434"/>
      <c r="AO3053" s="434"/>
      <c r="AP3053" s="556"/>
      <c r="AQ3053" s="556"/>
      <c r="AR3053" s="556"/>
      <c r="CF3053" s="2"/>
    </row>
    <row r="3054" spans="3:84">
      <c r="C3054" s="2"/>
      <c r="AD3054" s="502"/>
      <c r="AE3054" s="911"/>
      <c r="AF3054" s="502"/>
      <c r="AH3054" s="898"/>
      <c r="AI3054" s="502"/>
      <c r="AJ3054" s="502"/>
      <c r="AL3054" s="434"/>
      <c r="AM3054" s="436"/>
      <c r="AN3054" s="434"/>
      <c r="AO3054" s="434"/>
      <c r="AP3054" s="556"/>
      <c r="AQ3054" s="556"/>
      <c r="AR3054" s="556"/>
      <c r="CF3054" s="2"/>
    </row>
    <row r="3055" spans="3:84">
      <c r="C3055" s="2"/>
      <c r="AD3055" s="502"/>
      <c r="AE3055" s="911"/>
      <c r="AF3055" s="502"/>
      <c r="AH3055" s="898"/>
      <c r="AI3055" s="502"/>
      <c r="AJ3055" s="502"/>
      <c r="AL3055" s="434"/>
      <c r="AM3055" s="436"/>
      <c r="AN3055" s="434"/>
      <c r="AO3055" s="434"/>
      <c r="AP3055" s="556"/>
      <c r="AQ3055" s="556"/>
      <c r="AR3055" s="556"/>
      <c r="CF3055" s="2"/>
    </row>
    <row r="3056" spans="3:84">
      <c r="C3056" s="2"/>
      <c r="AD3056" s="502"/>
      <c r="AE3056" s="911"/>
      <c r="AF3056" s="502"/>
      <c r="AH3056" s="898"/>
      <c r="AI3056" s="502"/>
      <c r="AJ3056" s="502"/>
      <c r="AL3056" s="434"/>
      <c r="AM3056" s="436"/>
      <c r="AN3056" s="434"/>
      <c r="AO3056" s="434"/>
      <c r="AP3056" s="556"/>
      <c r="AQ3056" s="556"/>
      <c r="AR3056" s="556"/>
      <c r="CF3056" s="2"/>
    </row>
    <row r="3057" spans="3:84">
      <c r="C3057" s="2"/>
      <c r="AD3057" s="502"/>
      <c r="AE3057" s="911"/>
      <c r="AF3057" s="502"/>
      <c r="AH3057" s="898"/>
      <c r="AI3057" s="502"/>
      <c r="AJ3057" s="502"/>
      <c r="AL3057" s="434"/>
      <c r="AM3057" s="436"/>
      <c r="AN3057" s="434"/>
      <c r="AO3057" s="434"/>
      <c r="AP3057" s="556"/>
      <c r="AQ3057" s="556"/>
      <c r="AR3057" s="556"/>
      <c r="CF3057" s="2"/>
    </row>
    <row r="3058" spans="3:84">
      <c r="C3058" s="2"/>
      <c r="AD3058" s="502"/>
      <c r="AE3058" s="911"/>
      <c r="AF3058" s="502"/>
      <c r="AH3058" s="898"/>
      <c r="AI3058" s="502"/>
      <c r="AJ3058" s="502"/>
      <c r="AL3058" s="434"/>
      <c r="AM3058" s="436"/>
      <c r="AN3058" s="434"/>
      <c r="AO3058" s="434"/>
      <c r="AP3058" s="556"/>
      <c r="AQ3058" s="556"/>
      <c r="AR3058" s="556"/>
      <c r="CF3058" s="2"/>
    </row>
    <row r="3059" spans="3:84">
      <c r="C3059" s="2"/>
      <c r="AD3059" s="502"/>
      <c r="AE3059" s="911"/>
      <c r="AF3059" s="502"/>
      <c r="AH3059" s="898"/>
      <c r="AI3059" s="502"/>
      <c r="AJ3059" s="502"/>
      <c r="AL3059" s="434"/>
      <c r="AM3059" s="436"/>
      <c r="AN3059" s="434"/>
      <c r="AO3059" s="434"/>
      <c r="AP3059" s="556"/>
      <c r="AQ3059" s="556"/>
      <c r="AR3059" s="556"/>
      <c r="CF3059" s="2"/>
    </row>
    <row r="3060" spans="3:84">
      <c r="C3060" s="2"/>
      <c r="AD3060" s="502"/>
      <c r="AE3060" s="911"/>
      <c r="AF3060" s="502"/>
      <c r="AH3060" s="898"/>
      <c r="AI3060" s="502"/>
      <c r="AJ3060" s="502"/>
      <c r="AL3060" s="434"/>
      <c r="AM3060" s="436"/>
      <c r="AN3060" s="434"/>
      <c r="AO3060" s="434"/>
      <c r="AP3060" s="556"/>
      <c r="AQ3060" s="556"/>
      <c r="AR3060" s="556"/>
      <c r="CF3060" s="2"/>
    </row>
    <row r="3061" spans="3:84">
      <c r="C3061" s="2"/>
      <c r="AD3061" s="502"/>
      <c r="AE3061" s="911"/>
      <c r="AF3061" s="502"/>
      <c r="AH3061" s="898"/>
      <c r="AI3061" s="502"/>
      <c r="AJ3061" s="502"/>
      <c r="AL3061" s="434"/>
      <c r="AM3061" s="436"/>
      <c r="AN3061" s="434"/>
      <c r="AO3061" s="434"/>
      <c r="AP3061" s="556"/>
      <c r="AQ3061" s="556"/>
      <c r="AR3061" s="556"/>
      <c r="CF3061" s="2"/>
    </row>
    <row r="3062" spans="3:84">
      <c r="C3062" s="2"/>
      <c r="AD3062" s="502"/>
      <c r="AE3062" s="911"/>
      <c r="AF3062" s="502"/>
      <c r="AH3062" s="898"/>
      <c r="AI3062" s="502"/>
      <c r="AJ3062" s="502"/>
      <c r="AL3062" s="434"/>
      <c r="AM3062" s="436"/>
      <c r="AN3062" s="434"/>
      <c r="AO3062" s="434"/>
      <c r="AP3062" s="556"/>
      <c r="AQ3062" s="556"/>
      <c r="AR3062" s="556"/>
      <c r="CF3062" s="2"/>
    </row>
    <row r="3063" spans="3:84">
      <c r="C3063" s="2"/>
      <c r="AD3063" s="502"/>
      <c r="AE3063" s="911"/>
      <c r="AF3063" s="502"/>
      <c r="AH3063" s="898"/>
      <c r="AI3063" s="502"/>
      <c r="AJ3063" s="502"/>
      <c r="AL3063" s="434"/>
      <c r="AM3063" s="436"/>
      <c r="AN3063" s="434"/>
      <c r="AO3063" s="434"/>
      <c r="AP3063" s="556"/>
      <c r="AQ3063" s="556"/>
      <c r="AR3063" s="556"/>
      <c r="CF3063" s="2"/>
    </row>
    <row r="3064" spans="3:84">
      <c r="C3064" s="2"/>
      <c r="AD3064" s="502"/>
      <c r="AE3064" s="911"/>
      <c r="AF3064" s="502"/>
      <c r="AH3064" s="898"/>
      <c r="AI3064" s="502"/>
      <c r="AJ3064" s="502"/>
      <c r="AL3064" s="434"/>
      <c r="AM3064" s="436"/>
      <c r="AN3064" s="434"/>
      <c r="AO3064" s="434"/>
      <c r="AP3064" s="556"/>
      <c r="AQ3064" s="556"/>
      <c r="AR3064" s="556"/>
      <c r="CF3064" s="2"/>
    </row>
    <row r="3065" spans="3:84">
      <c r="C3065" s="2"/>
      <c r="AD3065" s="502"/>
      <c r="AE3065" s="911"/>
      <c r="AF3065" s="502"/>
      <c r="AH3065" s="898"/>
      <c r="AI3065" s="502"/>
      <c r="AJ3065" s="502"/>
      <c r="AL3065" s="434"/>
      <c r="AM3065" s="436"/>
      <c r="AN3065" s="434"/>
      <c r="AO3065" s="434"/>
      <c r="AP3065" s="556"/>
      <c r="AQ3065" s="556"/>
      <c r="AR3065" s="556"/>
      <c r="CF3065" s="2"/>
    </row>
    <row r="3066" spans="3:84">
      <c r="C3066" s="2"/>
      <c r="AD3066" s="502"/>
      <c r="AE3066" s="911"/>
      <c r="AF3066" s="502"/>
      <c r="AH3066" s="898"/>
      <c r="AI3066" s="502"/>
      <c r="AJ3066" s="502"/>
      <c r="AL3066" s="434"/>
      <c r="AM3066" s="436"/>
      <c r="AN3066" s="434"/>
      <c r="AO3066" s="434"/>
      <c r="AP3066" s="556"/>
      <c r="AQ3066" s="556"/>
      <c r="AR3066" s="556"/>
      <c r="CF3066" s="2"/>
    </row>
    <row r="3067" spans="3:84">
      <c r="C3067" s="2"/>
      <c r="AD3067" s="502"/>
      <c r="AE3067" s="911"/>
      <c r="AF3067" s="502"/>
      <c r="AH3067" s="898"/>
      <c r="AI3067" s="502"/>
      <c r="AJ3067" s="502"/>
      <c r="AL3067" s="434"/>
      <c r="AM3067" s="436"/>
      <c r="AN3067" s="434"/>
      <c r="AO3067" s="434"/>
      <c r="AP3067" s="556"/>
      <c r="AQ3067" s="556"/>
      <c r="AR3067" s="556"/>
      <c r="CF3067" s="2"/>
    </row>
    <row r="3068" spans="3:84">
      <c r="C3068" s="2"/>
      <c r="AD3068" s="502"/>
      <c r="AE3068" s="911"/>
      <c r="AF3068" s="502"/>
      <c r="AH3068" s="898"/>
      <c r="AI3068" s="502"/>
      <c r="AJ3068" s="502"/>
      <c r="AL3068" s="434"/>
      <c r="AM3068" s="436"/>
      <c r="AN3068" s="434"/>
      <c r="AO3068" s="434"/>
      <c r="AP3068" s="556"/>
      <c r="AQ3068" s="556"/>
      <c r="AR3068" s="556"/>
      <c r="CF3068" s="2"/>
    </row>
    <row r="3069" spans="3:84">
      <c r="C3069" s="2"/>
      <c r="AD3069" s="502"/>
      <c r="AE3069" s="911"/>
      <c r="AF3069" s="502"/>
      <c r="AH3069" s="898"/>
      <c r="AI3069" s="502"/>
      <c r="AJ3069" s="502"/>
      <c r="AL3069" s="434"/>
      <c r="AM3069" s="436"/>
      <c r="AN3069" s="434"/>
      <c r="AO3069" s="434"/>
      <c r="AP3069" s="556"/>
      <c r="AQ3069" s="556"/>
      <c r="AR3069" s="556"/>
      <c r="CF3069" s="2"/>
    </row>
    <row r="3070" spans="3:84">
      <c r="C3070" s="2"/>
      <c r="AD3070" s="502"/>
      <c r="AE3070" s="911"/>
      <c r="AF3070" s="502"/>
      <c r="AH3070" s="898"/>
      <c r="AI3070" s="502"/>
      <c r="AJ3070" s="502"/>
      <c r="AL3070" s="434"/>
      <c r="AM3070" s="436"/>
      <c r="AN3070" s="434"/>
      <c r="AO3070" s="434"/>
      <c r="AP3070" s="556"/>
      <c r="AQ3070" s="556"/>
      <c r="AR3070" s="556"/>
      <c r="CF3070" s="2"/>
    </row>
    <row r="3071" spans="3:84">
      <c r="C3071" s="2"/>
      <c r="AD3071" s="502"/>
      <c r="AE3071" s="911"/>
      <c r="AF3071" s="502"/>
      <c r="AH3071" s="898"/>
      <c r="AI3071" s="502"/>
      <c r="AJ3071" s="502"/>
      <c r="AL3071" s="434"/>
      <c r="AM3071" s="436"/>
      <c r="AN3071" s="434"/>
      <c r="AO3071" s="434"/>
      <c r="AP3071" s="556"/>
      <c r="AQ3071" s="556"/>
      <c r="AR3071" s="556"/>
      <c r="CF3071" s="2"/>
    </row>
    <row r="3072" spans="3:84">
      <c r="C3072" s="2"/>
      <c r="AD3072" s="502"/>
      <c r="AE3072" s="911"/>
      <c r="AF3072" s="502"/>
      <c r="AH3072" s="898"/>
      <c r="AI3072" s="502"/>
      <c r="AJ3072" s="502"/>
      <c r="AL3072" s="434"/>
      <c r="AM3072" s="436"/>
      <c r="AN3072" s="434"/>
      <c r="AO3072" s="434"/>
      <c r="AP3072" s="556"/>
      <c r="AQ3072" s="556"/>
      <c r="AR3072" s="556"/>
      <c r="CF3072" s="2"/>
    </row>
    <row r="3073" spans="3:84">
      <c r="C3073" s="2"/>
      <c r="AD3073" s="502"/>
      <c r="AE3073" s="911"/>
      <c r="AF3073" s="502"/>
      <c r="AH3073" s="898"/>
      <c r="AI3073" s="502"/>
      <c r="AJ3073" s="502"/>
      <c r="AL3073" s="434"/>
      <c r="AM3073" s="436"/>
      <c r="AN3073" s="434"/>
      <c r="AO3073" s="434"/>
      <c r="AP3073" s="556"/>
      <c r="AQ3073" s="556"/>
      <c r="AR3073" s="556"/>
      <c r="CF3073" s="2"/>
    </row>
    <row r="3074" spans="3:84">
      <c r="C3074" s="2"/>
      <c r="AD3074" s="502"/>
      <c r="AE3074" s="911"/>
      <c r="AF3074" s="502"/>
      <c r="AH3074" s="898"/>
      <c r="AI3074" s="502"/>
      <c r="AJ3074" s="502"/>
      <c r="AL3074" s="434"/>
      <c r="AM3074" s="436"/>
      <c r="AN3074" s="434"/>
      <c r="AO3074" s="434"/>
      <c r="AP3074" s="556"/>
      <c r="AQ3074" s="556"/>
      <c r="AR3074" s="556"/>
      <c r="CF3074" s="2"/>
    </row>
    <row r="3075" spans="3:84">
      <c r="C3075" s="2"/>
      <c r="AD3075" s="502"/>
      <c r="AE3075" s="911"/>
      <c r="AF3075" s="502"/>
      <c r="AH3075" s="898"/>
      <c r="AI3075" s="502"/>
      <c r="AJ3075" s="502"/>
      <c r="AL3075" s="434"/>
      <c r="AM3075" s="436"/>
      <c r="AN3075" s="434"/>
      <c r="AO3075" s="434"/>
      <c r="AP3075" s="556"/>
      <c r="AQ3075" s="556"/>
      <c r="AR3075" s="556"/>
      <c r="CF3075" s="2"/>
    </row>
    <row r="3076" spans="3:84">
      <c r="C3076" s="2"/>
      <c r="AD3076" s="502"/>
      <c r="AE3076" s="911"/>
      <c r="AF3076" s="502"/>
      <c r="AH3076" s="898"/>
      <c r="AI3076" s="502"/>
      <c r="AJ3076" s="502"/>
      <c r="AL3076" s="434"/>
      <c r="AM3076" s="436"/>
      <c r="AN3076" s="434"/>
      <c r="AO3076" s="434"/>
      <c r="AP3076" s="556"/>
      <c r="AQ3076" s="556"/>
      <c r="AR3076" s="556"/>
      <c r="CF3076" s="2"/>
    </row>
    <row r="3077" spans="3:84">
      <c r="C3077" s="2"/>
      <c r="AD3077" s="502"/>
      <c r="AE3077" s="911"/>
      <c r="AF3077" s="502"/>
      <c r="AH3077" s="898"/>
      <c r="AI3077" s="502"/>
      <c r="AJ3077" s="502"/>
      <c r="AL3077" s="434"/>
      <c r="AM3077" s="436"/>
      <c r="AN3077" s="434"/>
      <c r="AO3077" s="434"/>
      <c r="AP3077" s="556"/>
      <c r="AQ3077" s="556"/>
      <c r="AR3077" s="556"/>
      <c r="CF3077" s="2"/>
    </row>
    <row r="3078" spans="3:84">
      <c r="C3078" s="2"/>
      <c r="AD3078" s="502"/>
      <c r="AE3078" s="911"/>
      <c r="AF3078" s="502"/>
      <c r="AH3078" s="898"/>
      <c r="AI3078" s="502"/>
      <c r="AJ3078" s="502"/>
      <c r="AL3078" s="434"/>
      <c r="AM3078" s="436"/>
      <c r="AN3078" s="434"/>
      <c r="AO3078" s="434"/>
      <c r="AP3078" s="556"/>
      <c r="AQ3078" s="556"/>
      <c r="AR3078" s="556"/>
      <c r="CF3078" s="2"/>
    </row>
    <row r="3079" spans="3:84">
      <c r="C3079" s="2"/>
      <c r="AD3079" s="502"/>
      <c r="AE3079" s="911"/>
      <c r="AF3079" s="502"/>
      <c r="AH3079" s="898"/>
      <c r="AI3079" s="502"/>
      <c r="AJ3079" s="502"/>
      <c r="AL3079" s="434"/>
      <c r="AM3079" s="436"/>
      <c r="AN3079" s="434"/>
      <c r="AO3079" s="434"/>
      <c r="AP3079" s="556"/>
      <c r="AQ3079" s="556"/>
      <c r="AR3079" s="556"/>
      <c r="CF3079" s="2"/>
    </row>
    <row r="3080" spans="3:84">
      <c r="C3080" s="2"/>
      <c r="AD3080" s="502"/>
      <c r="AE3080" s="911"/>
      <c r="AF3080" s="502"/>
      <c r="AH3080" s="898"/>
      <c r="AI3080" s="502"/>
      <c r="AJ3080" s="502"/>
      <c r="AL3080" s="434"/>
      <c r="AM3080" s="436"/>
      <c r="AN3080" s="434"/>
      <c r="AO3080" s="434"/>
      <c r="AP3080" s="556"/>
      <c r="AQ3080" s="556"/>
      <c r="AR3080" s="556"/>
      <c r="CF3080" s="2"/>
    </row>
    <row r="3081" spans="3:84">
      <c r="C3081" s="2"/>
      <c r="AD3081" s="502"/>
      <c r="AE3081" s="911"/>
      <c r="AF3081" s="502"/>
      <c r="AH3081" s="898"/>
      <c r="AI3081" s="502"/>
      <c r="AJ3081" s="502"/>
      <c r="AL3081" s="434"/>
      <c r="AM3081" s="436"/>
      <c r="AN3081" s="434"/>
      <c r="AO3081" s="434"/>
      <c r="AP3081" s="556"/>
      <c r="AQ3081" s="556"/>
      <c r="AR3081" s="556"/>
      <c r="CF3081" s="2"/>
    </row>
    <row r="3082" spans="3:84">
      <c r="C3082" s="2"/>
      <c r="AD3082" s="502"/>
      <c r="AE3082" s="911"/>
      <c r="AF3082" s="502"/>
      <c r="AH3082" s="898"/>
      <c r="AI3082" s="502"/>
      <c r="AJ3082" s="502"/>
      <c r="AL3082" s="434"/>
      <c r="AM3082" s="436"/>
      <c r="AN3082" s="434"/>
      <c r="AO3082" s="434"/>
      <c r="AP3082" s="556"/>
      <c r="AQ3082" s="556"/>
      <c r="AR3082" s="556"/>
      <c r="CF3082" s="2"/>
    </row>
    <row r="3083" spans="3:84">
      <c r="C3083" s="2"/>
      <c r="AD3083" s="502"/>
      <c r="AE3083" s="911"/>
      <c r="AF3083" s="502"/>
      <c r="AH3083" s="898"/>
      <c r="AI3083" s="502"/>
      <c r="AJ3083" s="502"/>
      <c r="AL3083" s="434"/>
      <c r="AM3083" s="436"/>
      <c r="AN3083" s="434"/>
      <c r="AO3083" s="434"/>
      <c r="AP3083" s="556"/>
      <c r="AQ3083" s="556"/>
      <c r="AR3083" s="556"/>
      <c r="CF3083" s="2"/>
    </row>
    <row r="3084" spans="3:84">
      <c r="C3084" s="2"/>
      <c r="AD3084" s="502"/>
      <c r="AE3084" s="911"/>
      <c r="AF3084" s="502"/>
      <c r="AH3084" s="898"/>
      <c r="AI3084" s="502"/>
      <c r="AJ3084" s="502"/>
      <c r="AL3084" s="434"/>
      <c r="AM3084" s="436"/>
      <c r="AN3084" s="434"/>
      <c r="AO3084" s="434"/>
      <c r="AP3084" s="556"/>
      <c r="AQ3084" s="556"/>
      <c r="AR3084" s="556"/>
      <c r="CF3084" s="2"/>
    </row>
    <row r="3085" spans="3:84">
      <c r="C3085" s="2"/>
      <c r="AD3085" s="502"/>
      <c r="AE3085" s="911"/>
      <c r="AF3085" s="502"/>
      <c r="AH3085" s="898"/>
      <c r="AI3085" s="502"/>
      <c r="AJ3085" s="502"/>
      <c r="AL3085" s="434"/>
      <c r="AM3085" s="436"/>
      <c r="AN3085" s="434"/>
      <c r="AO3085" s="434"/>
      <c r="AP3085" s="556"/>
      <c r="AQ3085" s="556"/>
      <c r="AR3085" s="556"/>
      <c r="CF3085" s="2"/>
    </row>
    <row r="3086" spans="3:84">
      <c r="C3086" s="2"/>
      <c r="AD3086" s="502"/>
      <c r="AE3086" s="911"/>
      <c r="AF3086" s="502"/>
      <c r="AH3086" s="898"/>
      <c r="AI3086" s="502"/>
      <c r="AJ3086" s="502"/>
      <c r="AL3086" s="434"/>
      <c r="AM3086" s="436"/>
      <c r="AN3086" s="434"/>
      <c r="AO3086" s="434"/>
      <c r="AP3086" s="556"/>
      <c r="AQ3086" s="556"/>
      <c r="AR3086" s="556"/>
      <c r="CF3086" s="2"/>
    </row>
    <row r="3087" spans="3:84">
      <c r="C3087" s="2"/>
      <c r="AD3087" s="502"/>
      <c r="AE3087" s="911"/>
      <c r="AF3087" s="502"/>
      <c r="AH3087" s="898"/>
      <c r="AI3087" s="502"/>
      <c r="AJ3087" s="502"/>
      <c r="AL3087" s="434"/>
      <c r="AM3087" s="436"/>
      <c r="AN3087" s="434"/>
      <c r="AO3087" s="434"/>
      <c r="AP3087" s="556"/>
      <c r="AQ3087" s="556"/>
      <c r="AR3087" s="556"/>
      <c r="CF3087" s="2"/>
    </row>
    <row r="3088" spans="3:84">
      <c r="C3088" s="2"/>
      <c r="AD3088" s="502"/>
      <c r="AE3088" s="911"/>
      <c r="AF3088" s="502"/>
      <c r="AH3088" s="898"/>
      <c r="AI3088" s="502"/>
      <c r="AJ3088" s="502"/>
      <c r="AL3088" s="434"/>
      <c r="AM3088" s="436"/>
      <c r="AN3088" s="434"/>
      <c r="AO3088" s="434"/>
      <c r="AP3088" s="556"/>
      <c r="AQ3088" s="556"/>
      <c r="AR3088" s="556"/>
      <c r="CF3088" s="2"/>
    </row>
    <row r="3089" spans="3:84">
      <c r="C3089" s="2"/>
      <c r="AD3089" s="502"/>
      <c r="AE3089" s="911"/>
      <c r="AF3089" s="502"/>
      <c r="AH3089" s="898"/>
      <c r="AI3089" s="502"/>
      <c r="AJ3089" s="502"/>
      <c r="AL3089" s="434"/>
      <c r="AM3089" s="436"/>
      <c r="AN3089" s="434"/>
      <c r="AO3089" s="434"/>
      <c r="AP3089" s="556"/>
      <c r="AQ3089" s="556"/>
      <c r="AR3089" s="556"/>
      <c r="CF3089" s="2"/>
    </row>
    <row r="3090" spans="3:84">
      <c r="C3090" s="2"/>
      <c r="AD3090" s="502"/>
      <c r="AE3090" s="911"/>
      <c r="AF3090" s="502"/>
      <c r="AH3090" s="898"/>
      <c r="AI3090" s="502"/>
      <c r="AJ3090" s="502"/>
      <c r="AL3090" s="434"/>
      <c r="AM3090" s="436"/>
      <c r="AN3090" s="434"/>
      <c r="AO3090" s="434"/>
      <c r="AP3090" s="556"/>
      <c r="AQ3090" s="556"/>
      <c r="AR3090" s="556"/>
      <c r="CF3090" s="2"/>
    </row>
    <row r="3091" spans="3:84">
      <c r="C3091" s="2"/>
      <c r="AD3091" s="502"/>
      <c r="AE3091" s="911"/>
      <c r="AF3091" s="502"/>
      <c r="AH3091" s="898"/>
      <c r="AI3091" s="502"/>
      <c r="AJ3091" s="502"/>
      <c r="AL3091" s="434"/>
      <c r="AM3091" s="436"/>
      <c r="AN3091" s="434"/>
      <c r="AO3091" s="434"/>
      <c r="AP3091" s="556"/>
      <c r="AQ3091" s="556"/>
      <c r="AR3091" s="556"/>
      <c r="CF3091" s="2"/>
    </row>
    <row r="3092" spans="3:84">
      <c r="C3092" s="2"/>
      <c r="AD3092" s="502"/>
      <c r="AE3092" s="911"/>
      <c r="AF3092" s="502"/>
      <c r="AH3092" s="898"/>
      <c r="AI3092" s="502"/>
      <c r="AJ3092" s="502"/>
      <c r="AL3092" s="434"/>
      <c r="AM3092" s="436"/>
      <c r="AN3092" s="434"/>
      <c r="AO3092" s="434"/>
      <c r="AP3092" s="556"/>
      <c r="AQ3092" s="556"/>
      <c r="AR3092" s="556"/>
      <c r="CF3092" s="2"/>
    </row>
    <row r="3093" spans="3:84">
      <c r="C3093" s="2"/>
      <c r="AD3093" s="502"/>
      <c r="AE3093" s="911"/>
      <c r="AF3093" s="502"/>
      <c r="AH3093" s="898"/>
      <c r="AI3093" s="502"/>
      <c r="AJ3093" s="502"/>
      <c r="AL3093" s="434"/>
      <c r="AM3093" s="436"/>
      <c r="AN3093" s="434"/>
      <c r="AO3093" s="434"/>
      <c r="AP3093" s="556"/>
      <c r="AQ3093" s="556"/>
      <c r="AR3093" s="556"/>
      <c r="CF3093" s="2"/>
    </row>
    <row r="3094" spans="3:84">
      <c r="C3094" s="2"/>
      <c r="AD3094" s="502"/>
      <c r="AE3094" s="911"/>
      <c r="AF3094" s="502"/>
      <c r="AH3094" s="898"/>
      <c r="AI3094" s="502"/>
      <c r="AJ3094" s="502"/>
      <c r="AL3094" s="434"/>
      <c r="AM3094" s="436"/>
      <c r="AN3094" s="434"/>
      <c r="AO3094" s="434"/>
      <c r="AP3094" s="556"/>
      <c r="AQ3094" s="556"/>
      <c r="AR3094" s="556"/>
      <c r="CF3094" s="2"/>
    </row>
    <row r="3095" spans="3:84">
      <c r="C3095" s="2"/>
      <c r="AD3095" s="502"/>
      <c r="AE3095" s="911"/>
      <c r="AF3095" s="502"/>
      <c r="AH3095" s="898"/>
      <c r="AI3095" s="502"/>
      <c r="AJ3095" s="502"/>
      <c r="AL3095" s="434"/>
      <c r="AM3095" s="436"/>
      <c r="AN3095" s="434"/>
      <c r="AO3095" s="434"/>
      <c r="AP3095" s="556"/>
      <c r="AQ3095" s="556"/>
      <c r="AR3095" s="556"/>
      <c r="CF3095" s="2"/>
    </row>
    <row r="3096" spans="3:84">
      <c r="C3096" s="2"/>
      <c r="AD3096" s="502"/>
      <c r="AE3096" s="911"/>
      <c r="AF3096" s="502"/>
      <c r="AH3096" s="898"/>
      <c r="AI3096" s="502"/>
      <c r="AJ3096" s="502"/>
      <c r="AL3096" s="434"/>
      <c r="AM3096" s="436"/>
      <c r="AN3096" s="434"/>
      <c r="AO3096" s="434"/>
      <c r="AP3096" s="556"/>
      <c r="AQ3096" s="556"/>
      <c r="AR3096" s="556"/>
      <c r="CF3096" s="2"/>
    </row>
    <row r="3097" spans="3:84">
      <c r="C3097" s="2"/>
      <c r="AD3097" s="502"/>
      <c r="AE3097" s="911"/>
      <c r="AF3097" s="502"/>
      <c r="AH3097" s="898"/>
      <c r="AI3097" s="502"/>
      <c r="AJ3097" s="502"/>
      <c r="AL3097" s="434"/>
      <c r="AM3097" s="436"/>
      <c r="AN3097" s="434"/>
      <c r="AO3097" s="434"/>
      <c r="AP3097" s="556"/>
      <c r="AQ3097" s="556"/>
      <c r="AR3097" s="556"/>
      <c r="CF3097" s="2"/>
    </row>
    <row r="3098" spans="3:84">
      <c r="C3098" s="2"/>
      <c r="AD3098" s="502"/>
      <c r="AE3098" s="911"/>
      <c r="AF3098" s="502"/>
      <c r="AH3098" s="898"/>
      <c r="AI3098" s="502"/>
      <c r="AJ3098" s="502"/>
      <c r="AL3098" s="434"/>
      <c r="AM3098" s="436"/>
      <c r="AN3098" s="434"/>
      <c r="AO3098" s="434"/>
      <c r="AP3098" s="556"/>
      <c r="AQ3098" s="556"/>
      <c r="AR3098" s="556"/>
      <c r="CF3098" s="2"/>
    </row>
    <row r="3099" spans="3:84">
      <c r="C3099" s="2"/>
      <c r="AD3099" s="502"/>
      <c r="AE3099" s="911"/>
      <c r="AF3099" s="502"/>
      <c r="AH3099" s="898"/>
      <c r="AI3099" s="502"/>
      <c r="AJ3099" s="502"/>
      <c r="AL3099" s="434"/>
      <c r="AM3099" s="436"/>
      <c r="AN3099" s="434"/>
      <c r="AO3099" s="434"/>
      <c r="AP3099" s="556"/>
      <c r="AQ3099" s="556"/>
      <c r="AR3099" s="556"/>
      <c r="CF3099" s="2"/>
    </row>
    <row r="3100" spans="3:84">
      <c r="C3100" s="2"/>
      <c r="AD3100" s="502"/>
      <c r="AE3100" s="911"/>
      <c r="AF3100" s="502"/>
      <c r="AH3100" s="898"/>
      <c r="AI3100" s="502"/>
      <c r="AJ3100" s="502"/>
      <c r="AL3100" s="434"/>
      <c r="AM3100" s="436"/>
      <c r="AN3100" s="434"/>
      <c r="AO3100" s="434"/>
      <c r="AP3100" s="556"/>
      <c r="AQ3100" s="556"/>
      <c r="AR3100" s="556"/>
      <c r="CF3100" s="2"/>
    </row>
    <row r="3101" spans="3:84">
      <c r="C3101" s="2"/>
      <c r="AD3101" s="502"/>
      <c r="AE3101" s="911"/>
      <c r="AF3101" s="502"/>
      <c r="AH3101" s="898"/>
      <c r="AI3101" s="502"/>
      <c r="AJ3101" s="502"/>
      <c r="AL3101" s="434"/>
      <c r="AM3101" s="436"/>
      <c r="AN3101" s="434"/>
      <c r="AO3101" s="434"/>
      <c r="AP3101" s="556"/>
      <c r="AQ3101" s="556"/>
      <c r="AR3101" s="556"/>
      <c r="CF3101" s="2"/>
    </row>
    <row r="3102" spans="3:84">
      <c r="C3102" s="2"/>
      <c r="AD3102" s="502"/>
      <c r="AE3102" s="911"/>
      <c r="AF3102" s="502"/>
      <c r="AH3102" s="898"/>
      <c r="AI3102" s="502"/>
      <c r="AJ3102" s="502"/>
      <c r="AL3102" s="434"/>
      <c r="AM3102" s="436"/>
      <c r="AN3102" s="434"/>
      <c r="AO3102" s="434"/>
      <c r="AP3102" s="556"/>
      <c r="AQ3102" s="556"/>
      <c r="AR3102" s="556"/>
      <c r="CF3102" s="2"/>
    </row>
    <row r="3103" spans="3:84">
      <c r="C3103" s="2"/>
      <c r="AD3103" s="502"/>
      <c r="AE3103" s="911"/>
      <c r="AF3103" s="502"/>
      <c r="AH3103" s="898"/>
      <c r="AI3103" s="502"/>
      <c r="AJ3103" s="502"/>
      <c r="AL3103" s="434"/>
      <c r="AM3103" s="436"/>
      <c r="AN3103" s="434"/>
      <c r="AO3103" s="434"/>
      <c r="AP3103" s="556"/>
      <c r="AQ3103" s="556"/>
      <c r="AR3103" s="556"/>
      <c r="CF3103" s="2"/>
    </row>
    <row r="3104" spans="3:84">
      <c r="C3104" s="2"/>
      <c r="AD3104" s="502"/>
      <c r="AE3104" s="911"/>
      <c r="AF3104" s="502"/>
      <c r="AH3104" s="898"/>
      <c r="AI3104" s="502"/>
      <c r="AJ3104" s="502"/>
      <c r="AL3104" s="434"/>
      <c r="AM3104" s="436"/>
      <c r="AN3104" s="434"/>
      <c r="AO3104" s="434"/>
      <c r="AP3104" s="556"/>
      <c r="AQ3104" s="556"/>
      <c r="AR3104" s="556"/>
      <c r="CF3104" s="2"/>
    </row>
    <row r="3105" spans="3:84">
      <c r="C3105" s="2"/>
      <c r="AD3105" s="502"/>
      <c r="AE3105" s="911"/>
      <c r="AF3105" s="502"/>
      <c r="AH3105" s="898"/>
      <c r="AI3105" s="502"/>
      <c r="AJ3105" s="502"/>
      <c r="AL3105" s="434"/>
      <c r="AM3105" s="436"/>
      <c r="AN3105" s="434"/>
      <c r="AO3105" s="434"/>
      <c r="AP3105" s="556"/>
      <c r="AQ3105" s="556"/>
      <c r="AR3105" s="556"/>
      <c r="CF3105" s="2"/>
    </row>
    <row r="3106" spans="3:84">
      <c r="C3106" s="2"/>
      <c r="AD3106" s="502"/>
      <c r="AE3106" s="911"/>
      <c r="AF3106" s="502"/>
      <c r="AH3106" s="898"/>
      <c r="AI3106" s="502"/>
      <c r="AJ3106" s="502"/>
      <c r="AL3106" s="434"/>
      <c r="AM3106" s="436"/>
      <c r="AN3106" s="434"/>
      <c r="AO3106" s="434"/>
      <c r="AP3106" s="556"/>
      <c r="AQ3106" s="556"/>
      <c r="AR3106" s="556"/>
      <c r="CF3106" s="2"/>
    </row>
    <row r="3107" spans="3:84">
      <c r="C3107" s="2"/>
      <c r="AD3107" s="502"/>
      <c r="AE3107" s="911"/>
      <c r="AF3107" s="502"/>
      <c r="AH3107" s="898"/>
      <c r="AI3107" s="502"/>
      <c r="AJ3107" s="502"/>
      <c r="AL3107" s="434"/>
      <c r="AM3107" s="436"/>
      <c r="AN3107" s="434"/>
      <c r="AO3107" s="434"/>
      <c r="AP3107" s="556"/>
      <c r="AQ3107" s="556"/>
      <c r="AR3107" s="556"/>
      <c r="CF3107" s="2"/>
    </row>
    <row r="3108" spans="3:84">
      <c r="C3108" s="2"/>
      <c r="AD3108" s="502"/>
      <c r="AE3108" s="911"/>
      <c r="AF3108" s="502"/>
      <c r="AH3108" s="898"/>
      <c r="AI3108" s="502"/>
      <c r="AJ3108" s="502"/>
      <c r="AL3108" s="434"/>
      <c r="AM3108" s="436"/>
      <c r="AN3108" s="434"/>
      <c r="AO3108" s="434"/>
      <c r="AP3108" s="556"/>
      <c r="AQ3108" s="556"/>
      <c r="AR3108" s="556"/>
      <c r="CF3108" s="2"/>
    </row>
    <row r="3109" spans="3:84">
      <c r="C3109" s="2"/>
      <c r="AD3109" s="502"/>
      <c r="AE3109" s="911"/>
      <c r="AF3109" s="502"/>
      <c r="AH3109" s="898"/>
      <c r="AI3109" s="502"/>
      <c r="AJ3109" s="502"/>
      <c r="AL3109" s="434"/>
      <c r="AM3109" s="436"/>
      <c r="AN3109" s="434"/>
      <c r="AO3109" s="434"/>
      <c r="AP3109" s="556"/>
      <c r="AQ3109" s="556"/>
      <c r="AR3109" s="556"/>
      <c r="CF3109" s="2"/>
    </row>
    <row r="3110" spans="3:84">
      <c r="C3110" s="2"/>
      <c r="AD3110" s="502"/>
      <c r="AE3110" s="911"/>
      <c r="AF3110" s="502"/>
      <c r="AH3110" s="898"/>
      <c r="AI3110" s="502"/>
      <c r="AJ3110" s="502"/>
      <c r="AL3110" s="434"/>
      <c r="AM3110" s="436"/>
      <c r="AN3110" s="434"/>
      <c r="AO3110" s="434"/>
      <c r="AP3110" s="556"/>
      <c r="AQ3110" s="556"/>
      <c r="AR3110" s="556"/>
      <c r="CF3110" s="2"/>
    </row>
    <row r="3111" spans="3:84">
      <c r="C3111" s="2"/>
      <c r="AD3111" s="502"/>
      <c r="AE3111" s="911"/>
      <c r="AF3111" s="502"/>
      <c r="AH3111" s="898"/>
      <c r="AI3111" s="502"/>
      <c r="AJ3111" s="502"/>
      <c r="AL3111" s="434"/>
      <c r="AM3111" s="436"/>
      <c r="AN3111" s="434"/>
      <c r="AO3111" s="434"/>
      <c r="AP3111" s="556"/>
      <c r="AQ3111" s="556"/>
      <c r="AR3111" s="556"/>
      <c r="CF3111" s="2"/>
    </row>
    <row r="3112" spans="3:84">
      <c r="C3112" s="2"/>
      <c r="AD3112" s="502"/>
      <c r="AE3112" s="911"/>
      <c r="AF3112" s="502"/>
      <c r="AH3112" s="898"/>
      <c r="AI3112" s="502"/>
      <c r="AJ3112" s="502"/>
      <c r="AL3112" s="434"/>
      <c r="AM3112" s="436"/>
      <c r="AN3112" s="434"/>
      <c r="AO3112" s="434"/>
      <c r="AP3112" s="556"/>
      <c r="AQ3112" s="556"/>
      <c r="AR3112" s="556"/>
      <c r="CF3112" s="2"/>
    </row>
    <row r="3113" spans="3:84">
      <c r="C3113" s="2"/>
      <c r="AD3113" s="502"/>
      <c r="AE3113" s="911"/>
      <c r="AF3113" s="502"/>
      <c r="AH3113" s="898"/>
      <c r="AI3113" s="502"/>
      <c r="AJ3113" s="502"/>
      <c r="AL3113" s="434"/>
      <c r="AM3113" s="436"/>
      <c r="AN3113" s="434"/>
      <c r="AO3113" s="434"/>
      <c r="AP3113" s="556"/>
      <c r="AQ3113" s="556"/>
      <c r="AR3113" s="556"/>
      <c r="CF3113" s="2"/>
    </row>
    <row r="3114" spans="3:84">
      <c r="C3114" s="2"/>
      <c r="AD3114" s="502"/>
      <c r="AE3114" s="911"/>
      <c r="AF3114" s="502"/>
      <c r="AH3114" s="898"/>
      <c r="AI3114" s="502"/>
      <c r="AJ3114" s="502"/>
      <c r="AL3114" s="434"/>
      <c r="AM3114" s="436"/>
      <c r="AN3114" s="434"/>
      <c r="AO3114" s="434"/>
      <c r="AP3114" s="556"/>
      <c r="AQ3114" s="556"/>
      <c r="AR3114" s="556"/>
      <c r="CF3114" s="2"/>
    </row>
    <row r="3115" spans="3:84">
      <c r="C3115" s="2"/>
      <c r="AD3115" s="502"/>
      <c r="AE3115" s="911"/>
      <c r="AF3115" s="502"/>
      <c r="AH3115" s="898"/>
      <c r="AI3115" s="502"/>
      <c r="AJ3115" s="502"/>
      <c r="AL3115" s="434"/>
      <c r="AM3115" s="436"/>
      <c r="AN3115" s="434"/>
      <c r="AO3115" s="434"/>
      <c r="AP3115" s="556"/>
      <c r="AQ3115" s="556"/>
      <c r="AR3115" s="556"/>
      <c r="CF3115" s="2"/>
    </row>
    <row r="3116" spans="3:84">
      <c r="C3116" s="2"/>
      <c r="AD3116" s="502"/>
      <c r="AE3116" s="911"/>
      <c r="AF3116" s="502"/>
      <c r="AH3116" s="898"/>
      <c r="AI3116" s="502"/>
      <c r="AJ3116" s="502"/>
      <c r="AL3116" s="434"/>
      <c r="AM3116" s="436"/>
      <c r="AN3116" s="434"/>
      <c r="AO3116" s="434"/>
      <c r="AP3116" s="556"/>
      <c r="AQ3116" s="556"/>
      <c r="AR3116" s="556"/>
      <c r="CF3116" s="2"/>
    </row>
    <row r="3117" spans="3:84">
      <c r="C3117" s="2"/>
      <c r="AD3117" s="502"/>
      <c r="AE3117" s="911"/>
      <c r="AF3117" s="502"/>
      <c r="AH3117" s="898"/>
      <c r="AI3117" s="502"/>
      <c r="AJ3117" s="502"/>
      <c r="AL3117" s="434"/>
      <c r="AM3117" s="436"/>
      <c r="AN3117" s="434"/>
      <c r="AO3117" s="434"/>
      <c r="AP3117" s="556"/>
      <c r="AQ3117" s="556"/>
      <c r="AR3117" s="556"/>
      <c r="CF3117" s="2"/>
    </row>
    <row r="3118" spans="3:84">
      <c r="C3118" s="2"/>
      <c r="AD3118" s="502"/>
      <c r="AE3118" s="911"/>
      <c r="AF3118" s="502"/>
      <c r="AH3118" s="898"/>
      <c r="AI3118" s="502"/>
      <c r="AJ3118" s="502"/>
      <c r="AL3118" s="434"/>
      <c r="AM3118" s="436"/>
      <c r="AN3118" s="434"/>
      <c r="AO3118" s="434"/>
      <c r="AP3118" s="556"/>
      <c r="AQ3118" s="556"/>
      <c r="AR3118" s="556"/>
      <c r="CF3118" s="2"/>
    </row>
    <row r="3119" spans="3:84">
      <c r="C3119" s="2"/>
      <c r="AD3119" s="502"/>
      <c r="AE3119" s="911"/>
      <c r="AF3119" s="502"/>
      <c r="AH3119" s="898"/>
      <c r="AI3119" s="502"/>
      <c r="AJ3119" s="502"/>
      <c r="AL3119" s="434"/>
      <c r="AM3119" s="436"/>
      <c r="AN3119" s="434"/>
      <c r="AO3119" s="434"/>
      <c r="AP3119" s="556"/>
      <c r="AQ3119" s="556"/>
      <c r="AR3119" s="556"/>
      <c r="CF3119" s="2"/>
    </row>
    <row r="3120" spans="3:84">
      <c r="C3120" s="2"/>
      <c r="AD3120" s="502"/>
      <c r="AE3120" s="911"/>
      <c r="AF3120" s="502"/>
      <c r="AH3120" s="898"/>
      <c r="AI3120" s="502"/>
      <c r="AJ3120" s="502"/>
      <c r="AL3120" s="434"/>
      <c r="AM3120" s="436"/>
      <c r="AN3120" s="434"/>
      <c r="AO3120" s="434"/>
      <c r="AP3120" s="556"/>
      <c r="AQ3120" s="556"/>
      <c r="AR3120" s="556"/>
      <c r="CF3120" s="2"/>
    </row>
    <row r="3121" spans="3:84">
      <c r="C3121" s="2"/>
      <c r="AD3121" s="502"/>
      <c r="AE3121" s="911"/>
      <c r="AF3121" s="502"/>
      <c r="AH3121" s="898"/>
      <c r="AI3121" s="502"/>
      <c r="AJ3121" s="502"/>
      <c r="AL3121" s="434"/>
      <c r="AM3121" s="436"/>
      <c r="AN3121" s="434"/>
      <c r="AO3121" s="434"/>
      <c r="AP3121" s="556"/>
      <c r="AQ3121" s="556"/>
      <c r="AR3121" s="556"/>
      <c r="CF3121" s="2"/>
    </row>
    <row r="3122" spans="3:84">
      <c r="C3122" s="2"/>
      <c r="AD3122" s="502"/>
      <c r="AE3122" s="911"/>
      <c r="AF3122" s="502"/>
      <c r="AH3122" s="898"/>
      <c r="AI3122" s="502"/>
      <c r="AJ3122" s="502"/>
      <c r="AL3122" s="434"/>
      <c r="AM3122" s="436"/>
      <c r="AN3122" s="434"/>
      <c r="AO3122" s="434"/>
      <c r="AP3122" s="556"/>
      <c r="AQ3122" s="556"/>
      <c r="AR3122" s="556"/>
      <c r="CF3122" s="2"/>
    </row>
    <row r="3123" spans="3:84">
      <c r="C3123" s="2"/>
      <c r="AD3123" s="502"/>
      <c r="AE3123" s="911"/>
      <c r="AF3123" s="502"/>
      <c r="AH3123" s="898"/>
      <c r="AI3123" s="502"/>
      <c r="AJ3123" s="502"/>
      <c r="AL3123" s="434"/>
      <c r="AM3123" s="436"/>
      <c r="AN3123" s="434"/>
      <c r="AO3123" s="434"/>
      <c r="AP3123" s="556"/>
      <c r="AQ3123" s="556"/>
      <c r="AR3123" s="556"/>
      <c r="CF3123" s="2"/>
    </row>
    <row r="3124" spans="3:84">
      <c r="C3124" s="2"/>
      <c r="AD3124" s="502"/>
      <c r="AE3124" s="911"/>
      <c r="AF3124" s="502"/>
      <c r="AH3124" s="898"/>
      <c r="AI3124" s="502"/>
      <c r="AJ3124" s="502"/>
      <c r="AL3124" s="434"/>
      <c r="AM3124" s="436"/>
      <c r="AN3124" s="434"/>
      <c r="AO3124" s="434"/>
      <c r="AP3124" s="556"/>
      <c r="AQ3124" s="556"/>
      <c r="AR3124" s="556"/>
      <c r="CF3124" s="2"/>
    </row>
    <row r="3125" spans="3:84">
      <c r="C3125" s="2"/>
      <c r="AD3125" s="502"/>
      <c r="AE3125" s="911"/>
      <c r="AF3125" s="502"/>
      <c r="AH3125" s="898"/>
      <c r="AI3125" s="502"/>
      <c r="AJ3125" s="502"/>
      <c r="AL3125" s="434"/>
      <c r="AM3125" s="436"/>
      <c r="AN3125" s="434"/>
      <c r="AO3125" s="434"/>
      <c r="AP3125" s="556"/>
      <c r="AQ3125" s="556"/>
      <c r="AR3125" s="556"/>
      <c r="CF3125" s="2"/>
    </row>
    <row r="3126" spans="3:84">
      <c r="C3126" s="2"/>
      <c r="AD3126" s="502"/>
      <c r="AE3126" s="911"/>
      <c r="AF3126" s="502"/>
      <c r="AH3126" s="898"/>
      <c r="AI3126" s="502"/>
      <c r="AJ3126" s="502"/>
      <c r="AL3126" s="434"/>
      <c r="AM3126" s="436"/>
      <c r="AN3126" s="434"/>
      <c r="AO3126" s="434"/>
      <c r="AP3126" s="556"/>
      <c r="AQ3126" s="556"/>
      <c r="AR3126" s="556"/>
      <c r="CF3126" s="2"/>
    </row>
    <row r="3127" spans="3:84">
      <c r="C3127" s="2"/>
      <c r="AD3127" s="502"/>
      <c r="AE3127" s="911"/>
      <c r="AF3127" s="502"/>
      <c r="AH3127" s="898"/>
      <c r="AI3127" s="502"/>
      <c r="AJ3127" s="502"/>
      <c r="AL3127" s="434"/>
      <c r="AM3127" s="436"/>
      <c r="AN3127" s="434"/>
      <c r="AO3127" s="434"/>
      <c r="AP3127" s="556"/>
      <c r="AQ3127" s="556"/>
      <c r="AR3127" s="556"/>
      <c r="CF3127" s="2"/>
    </row>
    <row r="3128" spans="3:84">
      <c r="C3128" s="2"/>
      <c r="AD3128" s="502"/>
      <c r="AE3128" s="911"/>
      <c r="AF3128" s="502"/>
      <c r="AH3128" s="898"/>
      <c r="AI3128" s="502"/>
      <c r="AJ3128" s="502"/>
      <c r="AL3128" s="434"/>
      <c r="AM3128" s="436"/>
      <c r="AN3128" s="434"/>
      <c r="AO3128" s="434"/>
      <c r="AP3128" s="556"/>
      <c r="AQ3128" s="556"/>
      <c r="AR3128" s="556"/>
      <c r="CF3128" s="2"/>
    </row>
    <row r="3129" spans="3:84">
      <c r="C3129" s="2"/>
      <c r="AD3129" s="502"/>
      <c r="AE3129" s="911"/>
      <c r="AF3129" s="502"/>
      <c r="AH3129" s="898"/>
      <c r="AI3129" s="502"/>
      <c r="AJ3129" s="502"/>
      <c r="AL3129" s="434"/>
      <c r="AM3129" s="436"/>
      <c r="AN3129" s="434"/>
      <c r="AO3129" s="434"/>
      <c r="AP3129" s="556"/>
      <c r="AQ3129" s="556"/>
      <c r="AR3129" s="556"/>
      <c r="CF3129" s="2"/>
    </row>
    <row r="3130" spans="3:84">
      <c r="C3130" s="2"/>
      <c r="AD3130" s="502"/>
      <c r="AE3130" s="911"/>
      <c r="AF3130" s="502"/>
      <c r="AH3130" s="898"/>
      <c r="AI3130" s="502"/>
      <c r="AJ3130" s="502"/>
      <c r="AL3130" s="434"/>
      <c r="AM3130" s="436"/>
      <c r="AN3130" s="434"/>
      <c r="AO3130" s="434"/>
      <c r="AP3130" s="556"/>
      <c r="AQ3130" s="556"/>
      <c r="AR3130" s="556"/>
      <c r="CF3130" s="2"/>
    </row>
    <row r="3131" spans="3:84">
      <c r="C3131" s="2"/>
      <c r="AD3131" s="502"/>
      <c r="AE3131" s="911"/>
      <c r="AF3131" s="502"/>
      <c r="AH3131" s="898"/>
      <c r="AI3131" s="502"/>
      <c r="AJ3131" s="502"/>
      <c r="AL3131" s="434"/>
      <c r="AM3131" s="436"/>
      <c r="AN3131" s="434"/>
      <c r="AO3131" s="434"/>
      <c r="AP3131" s="556"/>
      <c r="AQ3131" s="556"/>
      <c r="AR3131" s="556"/>
      <c r="CF3131" s="2"/>
    </row>
    <row r="3132" spans="3:84">
      <c r="C3132" s="2"/>
      <c r="AD3132" s="502"/>
      <c r="AE3132" s="911"/>
      <c r="AF3132" s="502"/>
      <c r="AH3132" s="898"/>
      <c r="AI3132" s="502"/>
      <c r="AJ3132" s="502"/>
      <c r="AL3132" s="434"/>
      <c r="AM3132" s="436"/>
      <c r="AN3132" s="434"/>
      <c r="AO3132" s="434"/>
      <c r="AP3132" s="556"/>
      <c r="AQ3132" s="556"/>
      <c r="AR3132" s="556"/>
      <c r="CF3132" s="2"/>
    </row>
    <row r="3133" spans="3:84">
      <c r="C3133" s="2"/>
      <c r="AD3133" s="502"/>
      <c r="AE3133" s="911"/>
      <c r="AF3133" s="502"/>
      <c r="AH3133" s="898"/>
      <c r="AI3133" s="502"/>
      <c r="AJ3133" s="502"/>
      <c r="AL3133" s="434"/>
      <c r="AM3133" s="436"/>
      <c r="AN3133" s="434"/>
      <c r="AO3133" s="434"/>
      <c r="AP3133" s="556"/>
      <c r="AQ3133" s="556"/>
      <c r="AR3133" s="556"/>
      <c r="CF3133" s="2"/>
    </row>
    <row r="3134" spans="3:84">
      <c r="C3134" s="2"/>
      <c r="AD3134" s="502"/>
      <c r="AE3134" s="911"/>
      <c r="AF3134" s="502"/>
      <c r="AH3134" s="898"/>
      <c r="AI3134" s="502"/>
      <c r="AJ3134" s="502"/>
      <c r="AL3134" s="434"/>
      <c r="AM3134" s="436"/>
      <c r="AN3134" s="434"/>
      <c r="AO3134" s="434"/>
      <c r="AP3134" s="556"/>
      <c r="AQ3134" s="556"/>
      <c r="AR3134" s="556"/>
      <c r="CF3134" s="2"/>
    </row>
    <row r="3135" spans="3:84">
      <c r="C3135" s="2"/>
      <c r="AD3135" s="502"/>
      <c r="AE3135" s="911"/>
      <c r="AF3135" s="502"/>
      <c r="AH3135" s="898"/>
      <c r="AI3135" s="502"/>
      <c r="AJ3135" s="502"/>
      <c r="AL3135" s="434"/>
      <c r="AM3135" s="436"/>
      <c r="AN3135" s="434"/>
      <c r="AO3135" s="434"/>
      <c r="AP3135" s="556"/>
      <c r="AQ3135" s="556"/>
      <c r="AR3135" s="556"/>
      <c r="CF3135" s="2"/>
    </row>
    <row r="3136" spans="3:84">
      <c r="C3136" s="2"/>
      <c r="AD3136" s="502"/>
      <c r="AE3136" s="911"/>
      <c r="AF3136" s="502"/>
      <c r="AH3136" s="898"/>
      <c r="AI3136" s="502"/>
      <c r="AJ3136" s="502"/>
      <c r="AL3136" s="434"/>
      <c r="AM3136" s="436"/>
      <c r="AN3136" s="434"/>
      <c r="AO3136" s="434"/>
      <c r="AP3136" s="556"/>
      <c r="AQ3136" s="556"/>
      <c r="AR3136" s="556"/>
      <c r="CF3136" s="2"/>
    </row>
    <row r="3137" spans="3:84">
      <c r="C3137" s="2"/>
      <c r="AD3137" s="502"/>
      <c r="AE3137" s="911"/>
      <c r="AF3137" s="502"/>
      <c r="AH3137" s="898"/>
      <c r="AI3137" s="502"/>
      <c r="AJ3137" s="502"/>
      <c r="AL3137" s="434"/>
      <c r="AM3137" s="436"/>
      <c r="AN3137" s="434"/>
      <c r="AO3137" s="434"/>
      <c r="AP3137" s="556"/>
      <c r="AQ3137" s="556"/>
      <c r="AR3137" s="556"/>
      <c r="CF3137" s="2"/>
    </row>
    <row r="3138" spans="3:84">
      <c r="C3138" s="2"/>
      <c r="AD3138" s="502"/>
      <c r="AE3138" s="911"/>
      <c r="AF3138" s="502"/>
      <c r="AH3138" s="898"/>
      <c r="AI3138" s="502"/>
      <c r="AJ3138" s="502"/>
      <c r="AL3138" s="434"/>
      <c r="AM3138" s="436"/>
      <c r="AN3138" s="434"/>
      <c r="AO3138" s="434"/>
      <c r="AP3138" s="556"/>
      <c r="AQ3138" s="556"/>
      <c r="AR3138" s="556"/>
      <c r="CF3138" s="2"/>
    </row>
    <row r="3139" spans="3:84">
      <c r="C3139" s="2"/>
      <c r="AD3139" s="502"/>
      <c r="AE3139" s="911"/>
      <c r="AF3139" s="502"/>
      <c r="AH3139" s="898"/>
      <c r="AI3139" s="502"/>
      <c r="AJ3139" s="502"/>
      <c r="AL3139" s="434"/>
      <c r="AM3139" s="436"/>
      <c r="AN3139" s="434"/>
      <c r="AO3139" s="434"/>
      <c r="AP3139" s="556"/>
      <c r="AQ3139" s="556"/>
      <c r="AR3139" s="556"/>
      <c r="CF3139" s="2"/>
    </row>
    <row r="3140" spans="3:84">
      <c r="C3140" s="2"/>
      <c r="AD3140" s="502"/>
      <c r="AE3140" s="911"/>
      <c r="AF3140" s="502"/>
      <c r="AH3140" s="898"/>
      <c r="AI3140" s="502"/>
      <c r="AJ3140" s="502"/>
      <c r="AL3140" s="434"/>
      <c r="AM3140" s="436"/>
      <c r="AN3140" s="434"/>
      <c r="AO3140" s="434"/>
      <c r="AP3140" s="556"/>
      <c r="AQ3140" s="556"/>
      <c r="AR3140" s="556"/>
      <c r="CF3140" s="2"/>
    </row>
    <row r="3141" spans="3:84">
      <c r="C3141" s="2"/>
      <c r="AD3141" s="502"/>
      <c r="AE3141" s="911"/>
      <c r="AF3141" s="502"/>
      <c r="AH3141" s="898"/>
      <c r="AI3141" s="502"/>
      <c r="AJ3141" s="502"/>
      <c r="AL3141" s="434"/>
      <c r="AM3141" s="436"/>
      <c r="AN3141" s="434"/>
      <c r="AO3141" s="434"/>
      <c r="AP3141" s="556"/>
      <c r="AQ3141" s="556"/>
      <c r="AR3141" s="556"/>
      <c r="CF3141" s="2"/>
    </row>
    <row r="3142" spans="3:84">
      <c r="C3142" s="2"/>
      <c r="AD3142" s="502"/>
      <c r="AE3142" s="911"/>
      <c r="AF3142" s="502"/>
      <c r="AH3142" s="898"/>
      <c r="AI3142" s="502"/>
      <c r="AJ3142" s="502"/>
      <c r="AL3142" s="434"/>
      <c r="AM3142" s="436"/>
      <c r="AN3142" s="434"/>
      <c r="AO3142" s="434"/>
      <c r="AP3142" s="556"/>
      <c r="AQ3142" s="556"/>
      <c r="AR3142" s="556"/>
      <c r="CF3142" s="2"/>
    </row>
    <row r="3143" spans="3:84">
      <c r="C3143" s="2"/>
      <c r="AD3143" s="502"/>
      <c r="AE3143" s="911"/>
      <c r="AF3143" s="502"/>
      <c r="AH3143" s="898"/>
      <c r="AI3143" s="502"/>
      <c r="AJ3143" s="502"/>
      <c r="AL3143" s="434"/>
      <c r="AM3143" s="436"/>
      <c r="AN3143" s="434"/>
      <c r="AO3143" s="434"/>
      <c r="AP3143" s="556"/>
      <c r="AQ3143" s="556"/>
      <c r="AR3143" s="556"/>
      <c r="CF3143" s="2"/>
    </row>
    <row r="3144" spans="3:84">
      <c r="C3144" s="2"/>
      <c r="AD3144" s="502"/>
      <c r="AE3144" s="911"/>
      <c r="AF3144" s="502"/>
      <c r="AH3144" s="898"/>
      <c r="AI3144" s="502"/>
      <c r="AJ3144" s="502"/>
      <c r="AL3144" s="434"/>
      <c r="AM3144" s="436"/>
      <c r="AN3144" s="434"/>
      <c r="AO3144" s="434"/>
      <c r="AP3144" s="556"/>
      <c r="AQ3144" s="556"/>
      <c r="AR3144" s="556"/>
      <c r="CF3144" s="2"/>
    </row>
    <row r="3145" spans="3:84">
      <c r="C3145" s="2"/>
      <c r="AD3145" s="502"/>
      <c r="AE3145" s="911"/>
      <c r="AF3145" s="502"/>
      <c r="AH3145" s="898"/>
      <c r="AI3145" s="502"/>
      <c r="AJ3145" s="502"/>
      <c r="AL3145" s="434"/>
      <c r="AM3145" s="436"/>
      <c r="AN3145" s="434"/>
      <c r="AO3145" s="434"/>
      <c r="AP3145" s="556"/>
      <c r="AQ3145" s="556"/>
      <c r="AR3145" s="556"/>
      <c r="CF3145" s="2"/>
    </row>
    <row r="3146" spans="3:84">
      <c r="C3146" s="2"/>
      <c r="AD3146" s="502"/>
      <c r="AE3146" s="911"/>
      <c r="AF3146" s="502"/>
      <c r="AH3146" s="898"/>
      <c r="AI3146" s="502"/>
      <c r="AJ3146" s="502"/>
      <c r="AL3146" s="434"/>
      <c r="AM3146" s="436"/>
      <c r="AN3146" s="434"/>
      <c r="AO3146" s="434"/>
      <c r="AP3146" s="556"/>
      <c r="AQ3146" s="556"/>
      <c r="AR3146" s="556"/>
      <c r="CF3146" s="2"/>
    </row>
    <row r="3147" spans="3:84">
      <c r="C3147" s="2"/>
      <c r="AD3147" s="502"/>
      <c r="AE3147" s="911"/>
      <c r="AF3147" s="502"/>
      <c r="AH3147" s="898"/>
      <c r="AI3147" s="502"/>
      <c r="AJ3147" s="502"/>
      <c r="AL3147" s="434"/>
      <c r="AM3147" s="436"/>
      <c r="AN3147" s="434"/>
      <c r="AO3147" s="434"/>
      <c r="AP3147" s="556"/>
      <c r="AQ3147" s="556"/>
      <c r="AR3147" s="556"/>
      <c r="CF3147" s="2"/>
    </row>
    <row r="3148" spans="3:84">
      <c r="C3148" s="2"/>
      <c r="AD3148" s="502"/>
      <c r="AE3148" s="911"/>
      <c r="AF3148" s="502"/>
      <c r="AH3148" s="898"/>
      <c r="AI3148" s="502"/>
      <c r="AJ3148" s="502"/>
      <c r="AL3148" s="434"/>
      <c r="AM3148" s="436"/>
      <c r="AN3148" s="434"/>
      <c r="AO3148" s="434"/>
      <c r="AP3148" s="556"/>
      <c r="AQ3148" s="556"/>
      <c r="AR3148" s="556"/>
      <c r="CF3148" s="2"/>
    </row>
    <row r="3149" spans="3:84">
      <c r="C3149" s="2"/>
      <c r="AD3149" s="502"/>
      <c r="AE3149" s="911"/>
      <c r="AF3149" s="502"/>
      <c r="AH3149" s="898"/>
      <c r="AI3149" s="502"/>
      <c r="AJ3149" s="502"/>
      <c r="AL3149" s="434"/>
      <c r="AM3149" s="436"/>
      <c r="AN3149" s="434"/>
      <c r="AO3149" s="434"/>
      <c r="AP3149" s="556"/>
      <c r="AQ3149" s="556"/>
      <c r="AR3149" s="556"/>
      <c r="CF3149" s="2"/>
    </row>
    <row r="3150" spans="3:84">
      <c r="C3150" s="2"/>
      <c r="AD3150" s="502"/>
      <c r="AE3150" s="911"/>
      <c r="AF3150" s="502"/>
      <c r="AH3150" s="898"/>
      <c r="AI3150" s="502"/>
      <c r="AJ3150" s="502"/>
      <c r="AL3150" s="434"/>
      <c r="AM3150" s="436"/>
      <c r="AN3150" s="434"/>
      <c r="AO3150" s="434"/>
      <c r="AP3150" s="556"/>
      <c r="AQ3150" s="556"/>
      <c r="AR3150" s="556"/>
      <c r="CF3150" s="2"/>
    </row>
    <row r="3151" spans="3:84">
      <c r="C3151" s="2"/>
      <c r="AD3151" s="502"/>
      <c r="AE3151" s="911"/>
      <c r="AF3151" s="502"/>
      <c r="AH3151" s="898"/>
      <c r="AI3151" s="502"/>
      <c r="AJ3151" s="502"/>
      <c r="AL3151" s="434"/>
      <c r="AM3151" s="436"/>
      <c r="AN3151" s="434"/>
      <c r="AO3151" s="434"/>
      <c r="AP3151" s="556"/>
      <c r="AQ3151" s="556"/>
      <c r="AR3151" s="556"/>
      <c r="CF3151" s="2"/>
    </row>
    <row r="3152" spans="3:84">
      <c r="C3152" s="2"/>
      <c r="AD3152" s="502"/>
      <c r="AE3152" s="911"/>
      <c r="AF3152" s="502"/>
      <c r="AH3152" s="898"/>
      <c r="AI3152" s="502"/>
      <c r="AJ3152" s="502"/>
      <c r="AL3152" s="434"/>
      <c r="AM3152" s="436"/>
      <c r="AN3152" s="434"/>
      <c r="AO3152" s="434"/>
      <c r="AP3152" s="556"/>
      <c r="AQ3152" s="556"/>
      <c r="AR3152" s="556"/>
      <c r="CF3152" s="2"/>
    </row>
    <row r="3153" spans="3:84">
      <c r="C3153" s="2"/>
      <c r="AD3153" s="502"/>
      <c r="AE3153" s="911"/>
      <c r="AF3153" s="502"/>
      <c r="AH3153" s="898"/>
      <c r="AI3153" s="502"/>
      <c r="AJ3153" s="502"/>
      <c r="AL3153" s="434"/>
      <c r="AM3153" s="436"/>
      <c r="AN3153" s="434"/>
      <c r="AO3153" s="434"/>
      <c r="AP3153" s="556"/>
      <c r="AQ3153" s="556"/>
      <c r="AR3153" s="556"/>
      <c r="CF3153" s="2"/>
    </row>
    <row r="3154" spans="3:84">
      <c r="C3154" s="2"/>
      <c r="AD3154" s="502"/>
      <c r="AE3154" s="911"/>
      <c r="AF3154" s="502"/>
      <c r="AH3154" s="898"/>
      <c r="AI3154" s="502"/>
      <c r="AJ3154" s="502"/>
      <c r="AL3154" s="434"/>
      <c r="AM3154" s="436"/>
      <c r="AN3154" s="434"/>
      <c r="AO3154" s="434"/>
      <c r="AP3154" s="556"/>
      <c r="AQ3154" s="556"/>
      <c r="AR3154" s="556"/>
      <c r="CF3154" s="2"/>
    </row>
    <row r="3155" spans="3:84">
      <c r="C3155" s="2"/>
      <c r="AD3155" s="502"/>
      <c r="AE3155" s="911"/>
      <c r="AF3155" s="502"/>
      <c r="AH3155" s="898"/>
      <c r="AI3155" s="502"/>
      <c r="AJ3155" s="502"/>
      <c r="AL3155" s="434"/>
      <c r="AM3155" s="436"/>
      <c r="AN3155" s="434"/>
      <c r="AO3155" s="434"/>
      <c r="AP3155" s="556"/>
      <c r="AQ3155" s="556"/>
      <c r="AR3155" s="556"/>
      <c r="CF3155" s="2"/>
    </row>
    <row r="3156" spans="3:84">
      <c r="C3156" s="2"/>
      <c r="AD3156" s="502"/>
      <c r="AE3156" s="911"/>
      <c r="AF3156" s="502"/>
      <c r="AH3156" s="898"/>
      <c r="AI3156" s="502"/>
      <c r="AJ3156" s="502"/>
      <c r="AL3156" s="434"/>
      <c r="AM3156" s="436"/>
      <c r="AN3156" s="434"/>
      <c r="AO3156" s="434"/>
      <c r="AP3156" s="556"/>
      <c r="AQ3156" s="556"/>
      <c r="AR3156" s="556"/>
      <c r="CF3156" s="2"/>
    </row>
    <row r="3157" spans="3:84">
      <c r="C3157" s="2"/>
      <c r="AD3157" s="502"/>
      <c r="AE3157" s="911"/>
      <c r="AF3157" s="502"/>
      <c r="AH3157" s="898"/>
      <c r="AI3157" s="502"/>
      <c r="AJ3157" s="502"/>
      <c r="AL3157" s="434"/>
      <c r="AM3157" s="436"/>
      <c r="AN3157" s="434"/>
      <c r="AO3157" s="434"/>
      <c r="AP3157" s="556"/>
      <c r="AQ3157" s="556"/>
      <c r="AR3157" s="556"/>
      <c r="CF3157" s="2"/>
    </row>
    <row r="3158" spans="3:84">
      <c r="C3158" s="2"/>
      <c r="AD3158" s="502"/>
      <c r="AE3158" s="911"/>
      <c r="AF3158" s="502"/>
      <c r="AH3158" s="898"/>
      <c r="AI3158" s="502"/>
      <c r="AJ3158" s="502"/>
      <c r="AL3158" s="434"/>
      <c r="AM3158" s="436"/>
      <c r="AN3158" s="434"/>
      <c r="AO3158" s="434"/>
      <c r="AP3158" s="556"/>
      <c r="AQ3158" s="556"/>
      <c r="AR3158" s="556"/>
      <c r="CF3158" s="2"/>
    </row>
    <row r="3159" spans="3:84">
      <c r="C3159" s="2"/>
      <c r="AD3159" s="502"/>
      <c r="AE3159" s="911"/>
      <c r="AF3159" s="502"/>
      <c r="AH3159" s="898"/>
      <c r="AI3159" s="502"/>
      <c r="AJ3159" s="502"/>
      <c r="AL3159" s="434"/>
      <c r="AM3159" s="436"/>
      <c r="AN3159" s="434"/>
      <c r="AO3159" s="434"/>
      <c r="AP3159" s="556"/>
      <c r="AQ3159" s="556"/>
      <c r="AR3159" s="556"/>
      <c r="CF3159" s="2"/>
    </row>
    <row r="3160" spans="3:84">
      <c r="C3160" s="2"/>
      <c r="AD3160" s="502"/>
      <c r="AE3160" s="911"/>
      <c r="AF3160" s="502"/>
      <c r="AH3160" s="898"/>
      <c r="AI3160" s="502"/>
      <c r="AJ3160" s="502"/>
      <c r="AL3160" s="434"/>
      <c r="AM3160" s="436"/>
      <c r="AN3160" s="434"/>
      <c r="AO3160" s="434"/>
      <c r="AP3160" s="556"/>
      <c r="AQ3160" s="556"/>
      <c r="AR3160" s="556"/>
      <c r="CF3160" s="2"/>
    </row>
    <row r="3161" spans="3:84">
      <c r="C3161" s="2"/>
      <c r="AD3161" s="502"/>
      <c r="AE3161" s="911"/>
      <c r="AF3161" s="502"/>
      <c r="AH3161" s="898"/>
      <c r="AI3161" s="502"/>
      <c r="AJ3161" s="502"/>
      <c r="AL3161" s="434"/>
      <c r="AM3161" s="436"/>
      <c r="AN3161" s="434"/>
      <c r="AO3161" s="434"/>
      <c r="AP3161" s="556"/>
      <c r="AQ3161" s="556"/>
      <c r="AR3161" s="556"/>
      <c r="CF3161" s="2"/>
    </row>
    <row r="3162" spans="3:84">
      <c r="C3162" s="2"/>
      <c r="AD3162" s="502"/>
      <c r="AE3162" s="911"/>
      <c r="AF3162" s="502"/>
      <c r="AH3162" s="898"/>
      <c r="AI3162" s="502"/>
      <c r="AJ3162" s="502"/>
      <c r="AL3162" s="434"/>
      <c r="AM3162" s="436"/>
      <c r="AN3162" s="434"/>
      <c r="AO3162" s="434"/>
      <c r="AP3162" s="556"/>
      <c r="AQ3162" s="556"/>
      <c r="AR3162" s="556"/>
      <c r="CF3162" s="2"/>
    </row>
    <row r="3163" spans="3:84">
      <c r="C3163" s="2"/>
      <c r="AD3163" s="502"/>
      <c r="AE3163" s="911"/>
      <c r="AF3163" s="502"/>
      <c r="AH3163" s="898"/>
      <c r="AI3163" s="502"/>
      <c r="AJ3163" s="502"/>
      <c r="AL3163" s="434"/>
      <c r="AM3163" s="436"/>
      <c r="AN3163" s="434"/>
      <c r="AO3163" s="434"/>
      <c r="AP3163" s="556"/>
      <c r="AQ3163" s="556"/>
      <c r="AR3163" s="556"/>
      <c r="CF3163" s="2"/>
    </row>
    <row r="3164" spans="3:84">
      <c r="C3164" s="2"/>
      <c r="AD3164" s="502"/>
      <c r="AE3164" s="911"/>
      <c r="AF3164" s="502"/>
      <c r="AH3164" s="898"/>
      <c r="AI3164" s="502"/>
      <c r="AJ3164" s="502"/>
      <c r="AL3164" s="434"/>
      <c r="AM3164" s="436"/>
      <c r="AN3164" s="434"/>
      <c r="AO3164" s="434"/>
      <c r="AP3164" s="556"/>
      <c r="AQ3164" s="556"/>
      <c r="AR3164" s="556"/>
      <c r="CF3164" s="2"/>
    </row>
    <row r="3165" spans="3:84">
      <c r="C3165" s="2"/>
      <c r="AD3165" s="502"/>
      <c r="AE3165" s="911"/>
      <c r="AF3165" s="502"/>
      <c r="AH3165" s="898"/>
      <c r="AI3165" s="502"/>
      <c r="AJ3165" s="502"/>
      <c r="AL3165" s="434"/>
      <c r="AM3165" s="436"/>
      <c r="AN3165" s="434"/>
      <c r="AO3165" s="434"/>
      <c r="AP3165" s="556"/>
      <c r="AQ3165" s="556"/>
      <c r="AR3165" s="556"/>
      <c r="CF3165" s="2"/>
    </row>
    <row r="3166" spans="3:84">
      <c r="C3166" s="2"/>
      <c r="AD3166" s="502"/>
      <c r="AE3166" s="911"/>
      <c r="AF3166" s="502"/>
      <c r="AH3166" s="898"/>
      <c r="AI3166" s="502"/>
      <c r="AJ3166" s="502"/>
      <c r="AL3166" s="434"/>
      <c r="AM3166" s="436"/>
      <c r="AN3166" s="434"/>
      <c r="AO3166" s="434"/>
      <c r="AP3166" s="556"/>
      <c r="AQ3166" s="556"/>
      <c r="AR3166" s="556"/>
      <c r="CF3166" s="2"/>
    </row>
    <row r="3167" spans="3:84">
      <c r="C3167" s="2"/>
      <c r="AD3167" s="502"/>
      <c r="AE3167" s="911"/>
      <c r="AF3167" s="502"/>
      <c r="AH3167" s="898"/>
      <c r="AI3167" s="502"/>
      <c r="AJ3167" s="502"/>
      <c r="AL3167" s="434"/>
      <c r="AM3167" s="436"/>
      <c r="AN3167" s="434"/>
      <c r="AO3167" s="434"/>
      <c r="AP3167" s="556"/>
      <c r="AQ3167" s="556"/>
      <c r="AR3167" s="556"/>
      <c r="CF3167" s="2"/>
    </row>
    <row r="3168" spans="3:84">
      <c r="C3168" s="2"/>
      <c r="AD3168" s="502"/>
      <c r="AE3168" s="911"/>
      <c r="AF3168" s="502"/>
      <c r="AH3168" s="898"/>
      <c r="AI3168" s="502"/>
      <c r="AJ3168" s="502"/>
      <c r="AL3168" s="434"/>
      <c r="AM3168" s="436"/>
      <c r="AN3168" s="434"/>
      <c r="AO3168" s="434"/>
      <c r="AP3168" s="556"/>
      <c r="AQ3168" s="556"/>
      <c r="AR3168" s="556"/>
      <c r="CF3168" s="2"/>
    </row>
    <row r="3169" spans="3:84">
      <c r="C3169" s="2"/>
      <c r="AD3169" s="502"/>
      <c r="AE3169" s="911"/>
      <c r="AF3169" s="502"/>
      <c r="AH3169" s="898"/>
      <c r="AI3169" s="502"/>
      <c r="AJ3169" s="502"/>
      <c r="AL3169" s="434"/>
      <c r="AM3169" s="436"/>
      <c r="AN3169" s="434"/>
      <c r="AO3169" s="434"/>
      <c r="AP3169" s="556"/>
      <c r="AQ3169" s="556"/>
      <c r="AR3169" s="556"/>
      <c r="CF3169" s="2"/>
    </row>
    <row r="3170" spans="3:84">
      <c r="C3170" s="2"/>
      <c r="AD3170" s="502"/>
      <c r="AE3170" s="911"/>
      <c r="AF3170" s="502"/>
      <c r="AH3170" s="898"/>
      <c r="AI3170" s="502"/>
      <c r="AJ3170" s="502"/>
      <c r="AL3170" s="434"/>
      <c r="AM3170" s="436"/>
      <c r="AN3170" s="434"/>
      <c r="AO3170" s="434"/>
      <c r="AP3170" s="556"/>
      <c r="AQ3170" s="556"/>
      <c r="AR3170" s="556"/>
      <c r="CF3170" s="2"/>
    </row>
    <row r="3171" spans="3:84">
      <c r="C3171" s="2"/>
      <c r="AD3171" s="502"/>
      <c r="AE3171" s="911"/>
      <c r="AF3171" s="502"/>
      <c r="AH3171" s="898"/>
      <c r="AI3171" s="502"/>
      <c r="AJ3171" s="502"/>
      <c r="AL3171" s="434"/>
      <c r="AM3171" s="436"/>
      <c r="AN3171" s="434"/>
      <c r="AO3171" s="434"/>
      <c r="AP3171" s="556"/>
      <c r="AQ3171" s="556"/>
      <c r="AR3171" s="556"/>
      <c r="CF3171" s="2"/>
    </row>
    <row r="3172" spans="3:84">
      <c r="C3172" s="2"/>
      <c r="AD3172" s="502"/>
      <c r="AE3172" s="911"/>
      <c r="AF3172" s="502"/>
      <c r="AH3172" s="898"/>
      <c r="AI3172" s="502"/>
      <c r="AJ3172" s="502"/>
      <c r="AL3172" s="434"/>
      <c r="AM3172" s="436"/>
      <c r="AN3172" s="434"/>
      <c r="AO3172" s="434"/>
      <c r="AP3172" s="556"/>
      <c r="AQ3172" s="556"/>
      <c r="AR3172" s="556"/>
      <c r="CF3172" s="2"/>
    </row>
    <row r="3173" spans="3:84">
      <c r="C3173" s="2"/>
      <c r="AD3173" s="502"/>
      <c r="AE3173" s="911"/>
      <c r="AF3173" s="502"/>
      <c r="AH3173" s="898"/>
      <c r="AI3173" s="502"/>
      <c r="AJ3173" s="502"/>
      <c r="AL3173" s="434"/>
      <c r="AM3173" s="436"/>
      <c r="AN3173" s="434"/>
      <c r="AO3173" s="434"/>
      <c r="AP3173" s="556"/>
      <c r="AQ3173" s="556"/>
      <c r="AR3173" s="556"/>
      <c r="CF3173" s="2"/>
    </row>
    <row r="3174" spans="3:84">
      <c r="C3174" s="2"/>
      <c r="AD3174" s="502"/>
      <c r="AE3174" s="911"/>
      <c r="AF3174" s="502"/>
      <c r="AH3174" s="898"/>
      <c r="AI3174" s="502"/>
      <c r="AJ3174" s="502"/>
      <c r="AL3174" s="434"/>
      <c r="AM3174" s="436"/>
      <c r="AN3174" s="434"/>
      <c r="AO3174" s="434"/>
      <c r="AP3174" s="556"/>
      <c r="AQ3174" s="556"/>
      <c r="AR3174" s="556"/>
      <c r="CF3174" s="2"/>
    </row>
    <row r="3175" spans="3:84">
      <c r="C3175" s="2"/>
      <c r="AD3175" s="502"/>
      <c r="AE3175" s="911"/>
      <c r="AF3175" s="502"/>
      <c r="AH3175" s="898"/>
      <c r="AI3175" s="502"/>
      <c r="AJ3175" s="502"/>
      <c r="AL3175" s="434"/>
      <c r="AM3175" s="436"/>
      <c r="AN3175" s="434"/>
      <c r="AO3175" s="434"/>
      <c r="AP3175" s="556"/>
      <c r="AQ3175" s="556"/>
      <c r="AR3175" s="556"/>
      <c r="CF3175" s="2"/>
    </row>
    <row r="3176" spans="3:84">
      <c r="C3176" s="2"/>
      <c r="AD3176" s="502"/>
      <c r="AE3176" s="911"/>
      <c r="AF3176" s="502"/>
      <c r="AH3176" s="898"/>
      <c r="AI3176" s="502"/>
      <c r="AJ3176" s="502"/>
      <c r="AL3176" s="434"/>
      <c r="AM3176" s="436"/>
      <c r="AN3176" s="434"/>
      <c r="AO3176" s="434"/>
      <c r="AP3176" s="556"/>
      <c r="AQ3176" s="556"/>
      <c r="AR3176" s="556"/>
      <c r="CF3176" s="2"/>
    </row>
    <row r="3177" spans="3:84">
      <c r="C3177" s="2"/>
      <c r="AD3177" s="502"/>
      <c r="AE3177" s="911"/>
      <c r="AF3177" s="502"/>
      <c r="AH3177" s="898"/>
      <c r="AI3177" s="502"/>
      <c r="AJ3177" s="502"/>
      <c r="AL3177" s="434"/>
      <c r="AM3177" s="436"/>
      <c r="AN3177" s="434"/>
      <c r="AO3177" s="434"/>
      <c r="AP3177" s="556"/>
      <c r="AQ3177" s="556"/>
      <c r="AR3177" s="556"/>
      <c r="CF3177" s="2"/>
    </row>
    <row r="3178" spans="3:84">
      <c r="C3178" s="2"/>
      <c r="AD3178" s="502"/>
      <c r="AE3178" s="911"/>
      <c r="AF3178" s="502"/>
      <c r="AH3178" s="898"/>
      <c r="AI3178" s="502"/>
      <c r="AJ3178" s="502"/>
      <c r="AL3178" s="434"/>
      <c r="AM3178" s="436"/>
      <c r="AN3178" s="434"/>
      <c r="AO3178" s="434"/>
      <c r="AP3178" s="556"/>
      <c r="AQ3178" s="556"/>
      <c r="AR3178" s="556"/>
      <c r="CF3178" s="2"/>
    </row>
    <row r="3179" spans="3:84">
      <c r="C3179" s="2"/>
      <c r="AD3179" s="502"/>
      <c r="AE3179" s="911"/>
      <c r="AF3179" s="502"/>
      <c r="AH3179" s="898"/>
      <c r="AI3179" s="502"/>
      <c r="AJ3179" s="502"/>
      <c r="AL3179" s="434"/>
      <c r="AM3179" s="436"/>
      <c r="AN3179" s="434"/>
      <c r="AO3179" s="434"/>
      <c r="AP3179" s="556"/>
      <c r="AQ3179" s="556"/>
      <c r="AR3179" s="556"/>
      <c r="CF3179" s="2"/>
    </row>
    <row r="3180" spans="3:84">
      <c r="C3180" s="2"/>
      <c r="AD3180" s="502"/>
      <c r="AE3180" s="911"/>
      <c r="AF3180" s="502"/>
      <c r="AH3180" s="898"/>
      <c r="AI3180" s="502"/>
      <c r="AJ3180" s="502"/>
      <c r="AL3180" s="434"/>
      <c r="AM3180" s="436"/>
      <c r="AN3180" s="434"/>
      <c r="AO3180" s="434"/>
      <c r="AP3180" s="556"/>
      <c r="AQ3180" s="556"/>
      <c r="AR3180" s="556"/>
      <c r="CF3180" s="2"/>
    </row>
    <row r="3181" spans="3:84">
      <c r="C3181" s="2"/>
      <c r="AD3181" s="502"/>
      <c r="AE3181" s="911"/>
      <c r="AF3181" s="502"/>
      <c r="AH3181" s="898"/>
      <c r="AI3181" s="502"/>
      <c r="AJ3181" s="502"/>
      <c r="AL3181" s="434"/>
      <c r="AM3181" s="436"/>
      <c r="AN3181" s="434"/>
      <c r="AO3181" s="434"/>
      <c r="AP3181" s="556"/>
      <c r="AQ3181" s="556"/>
      <c r="AR3181" s="556"/>
      <c r="CF3181" s="2"/>
    </row>
    <row r="3182" spans="3:84">
      <c r="C3182" s="2"/>
      <c r="AD3182" s="502"/>
      <c r="AE3182" s="911"/>
      <c r="AF3182" s="502"/>
      <c r="AH3182" s="898"/>
      <c r="AI3182" s="502"/>
      <c r="AJ3182" s="502"/>
      <c r="AL3182" s="434"/>
      <c r="AM3182" s="436"/>
      <c r="AN3182" s="434"/>
      <c r="AO3182" s="434"/>
      <c r="AP3182" s="556"/>
      <c r="AQ3182" s="556"/>
      <c r="AR3182" s="556"/>
      <c r="CF3182" s="2"/>
    </row>
    <row r="3183" spans="3:84">
      <c r="C3183" s="2"/>
      <c r="AD3183" s="502"/>
      <c r="AE3183" s="911"/>
      <c r="AF3183" s="502"/>
      <c r="AH3183" s="898"/>
      <c r="AI3183" s="502"/>
      <c r="AJ3183" s="502"/>
      <c r="AL3183" s="434"/>
      <c r="AM3183" s="436"/>
      <c r="AN3183" s="434"/>
      <c r="AO3183" s="434"/>
      <c r="AP3183" s="556"/>
      <c r="AQ3183" s="556"/>
      <c r="AR3183" s="556"/>
      <c r="CF3183" s="2"/>
    </row>
    <row r="3184" spans="3:84">
      <c r="C3184" s="2"/>
      <c r="AD3184" s="502"/>
      <c r="AE3184" s="911"/>
      <c r="AF3184" s="502"/>
      <c r="AH3184" s="898"/>
      <c r="AI3184" s="502"/>
      <c r="AJ3184" s="502"/>
      <c r="AL3184" s="434"/>
      <c r="AM3184" s="436"/>
      <c r="AN3184" s="434"/>
      <c r="AO3184" s="434"/>
      <c r="AP3184" s="556"/>
      <c r="AQ3184" s="556"/>
      <c r="AR3184" s="556"/>
      <c r="CF3184" s="2"/>
    </row>
    <row r="3185" spans="3:84">
      <c r="C3185" s="2"/>
      <c r="AD3185" s="502"/>
      <c r="AE3185" s="911"/>
      <c r="AF3185" s="502"/>
      <c r="AH3185" s="898"/>
      <c r="AI3185" s="502"/>
      <c r="AJ3185" s="502"/>
      <c r="AL3185" s="434"/>
      <c r="AM3185" s="436"/>
      <c r="AN3185" s="434"/>
      <c r="AO3185" s="434"/>
      <c r="AP3185" s="556"/>
      <c r="AQ3185" s="556"/>
      <c r="AR3185" s="556"/>
      <c r="CF3185" s="2"/>
    </row>
    <row r="3186" spans="3:84">
      <c r="C3186" s="2"/>
      <c r="AD3186" s="502"/>
      <c r="AE3186" s="911"/>
      <c r="AF3186" s="502"/>
      <c r="AH3186" s="898"/>
      <c r="AI3186" s="502"/>
      <c r="AJ3186" s="502"/>
      <c r="AL3186" s="434"/>
      <c r="AM3186" s="436"/>
      <c r="AN3186" s="434"/>
      <c r="AO3186" s="434"/>
      <c r="AP3186" s="556"/>
      <c r="AQ3186" s="556"/>
      <c r="AR3186" s="556"/>
      <c r="CF3186" s="2"/>
    </row>
    <row r="3187" spans="3:84">
      <c r="C3187" s="2"/>
      <c r="AD3187" s="502"/>
      <c r="AE3187" s="911"/>
      <c r="AF3187" s="502"/>
      <c r="AH3187" s="898"/>
      <c r="AI3187" s="502"/>
      <c r="AJ3187" s="502"/>
      <c r="AL3187" s="434"/>
      <c r="AM3187" s="436"/>
      <c r="AN3187" s="434"/>
      <c r="AO3187" s="434"/>
      <c r="AP3187" s="556"/>
      <c r="AQ3187" s="556"/>
      <c r="AR3187" s="556"/>
      <c r="CF3187" s="2"/>
    </row>
    <row r="3188" spans="3:84">
      <c r="C3188" s="2"/>
      <c r="AD3188" s="502"/>
      <c r="AE3188" s="911"/>
      <c r="AF3188" s="502"/>
      <c r="AH3188" s="898"/>
      <c r="AI3188" s="502"/>
      <c r="AJ3188" s="502"/>
      <c r="AL3188" s="434"/>
      <c r="AM3188" s="436"/>
      <c r="AN3188" s="434"/>
      <c r="AO3188" s="434"/>
      <c r="AP3188" s="556"/>
      <c r="AQ3188" s="556"/>
      <c r="AR3188" s="556"/>
      <c r="CF3188" s="2"/>
    </row>
    <row r="3189" spans="3:84">
      <c r="C3189" s="2"/>
      <c r="AD3189" s="502"/>
      <c r="AE3189" s="911"/>
      <c r="AF3189" s="502"/>
      <c r="AH3189" s="898"/>
      <c r="AI3189" s="502"/>
      <c r="AJ3189" s="502"/>
      <c r="AL3189" s="434"/>
      <c r="AM3189" s="436"/>
      <c r="AN3189" s="434"/>
      <c r="AO3189" s="434"/>
      <c r="AP3189" s="556"/>
      <c r="AQ3189" s="556"/>
      <c r="AR3189" s="556"/>
      <c r="CF3189" s="2"/>
    </row>
    <row r="3190" spans="3:84">
      <c r="C3190" s="2"/>
      <c r="AD3190" s="502"/>
      <c r="AE3190" s="911"/>
      <c r="AF3190" s="502"/>
      <c r="AH3190" s="898"/>
      <c r="AI3190" s="502"/>
      <c r="AJ3190" s="502"/>
      <c r="AL3190" s="434"/>
      <c r="AM3190" s="436"/>
      <c r="AN3190" s="434"/>
      <c r="AO3190" s="434"/>
      <c r="AP3190" s="556"/>
      <c r="AQ3190" s="556"/>
      <c r="AR3190" s="556"/>
      <c r="CF3190" s="2"/>
    </row>
    <row r="3191" spans="3:84">
      <c r="C3191" s="2"/>
      <c r="AD3191" s="502"/>
      <c r="AE3191" s="911"/>
      <c r="AF3191" s="502"/>
      <c r="AH3191" s="898"/>
      <c r="AI3191" s="502"/>
      <c r="AJ3191" s="502"/>
      <c r="AL3191" s="434"/>
      <c r="AM3191" s="436"/>
      <c r="AN3191" s="434"/>
      <c r="AO3191" s="434"/>
      <c r="AP3191" s="556"/>
      <c r="AQ3191" s="556"/>
      <c r="AR3191" s="556"/>
      <c r="CF3191" s="2"/>
    </row>
    <row r="3192" spans="3:84">
      <c r="C3192" s="2"/>
      <c r="AD3192" s="502"/>
      <c r="AE3192" s="911"/>
      <c r="AF3192" s="502"/>
      <c r="AH3192" s="898"/>
      <c r="AI3192" s="502"/>
      <c r="AJ3192" s="502"/>
      <c r="AL3192" s="434"/>
      <c r="AM3192" s="436"/>
      <c r="AN3192" s="434"/>
      <c r="AO3192" s="434"/>
      <c r="AP3192" s="556"/>
      <c r="AQ3192" s="556"/>
      <c r="AR3192" s="556"/>
      <c r="CF3192" s="2"/>
    </row>
    <row r="3193" spans="3:84">
      <c r="C3193" s="2"/>
      <c r="AD3193" s="502"/>
      <c r="AE3193" s="911"/>
      <c r="AF3193" s="502"/>
      <c r="AH3193" s="898"/>
      <c r="AI3193" s="502"/>
      <c r="AJ3193" s="502"/>
      <c r="AL3193" s="434"/>
      <c r="AM3193" s="436"/>
      <c r="AN3193" s="434"/>
      <c r="AO3193" s="434"/>
      <c r="AP3193" s="556"/>
      <c r="AQ3193" s="556"/>
      <c r="AR3193" s="556"/>
      <c r="CF3193" s="2"/>
    </row>
    <row r="3194" spans="3:84">
      <c r="C3194" s="2"/>
      <c r="AD3194" s="502"/>
      <c r="AE3194" s="911"/>
      <c r="AF3194" s="502"/>
      <c r="AH3194" s="898"/>
      <c r="AI3194" s="502"/>
      <c r="AJ3194" s="502"/>
      <c r="AL3194" s="434"/>
      <c r="AM3194" s="436"/>
      <c r="AN3194" s="434"/>
      <c r="AO3194" s="434"/>
      <c r="AP3194" s="556"/>
      <c r="AQ3194" s="556"/>
      <c r="AR3194" s="556"/>
      <c r="CF3194" s="2"/>
    </row>
    <row r="3195" spans="3:84">
      <c r="C3195" s="2"/>
      <c r="AD3195" s="502"/>
      <c r="AE3195" s="911"/>
      <c r="AF3195" s="502"/>
      <c r="AH3195" s="898"/>
      <c r="AI3195" s="502"/>
      <c r="AJ3195" s="502"/>
      <c r="AL3195" s="434"/>
      <c r="AM3195" s="436"/>
      <c r="AN3195" s="434"/>
      <c r="AO3195" s="434"/>
      <c r="AP3195" s="556"/>
      <c r="AQ3195" s="556"/>
      <c r="AR3195" s="556"/>
      <c r="CF3195" s="2"/>
    </row>
    <row r="3196" spans="3:84">
      <c r="C3196" s="2"/>
      <c r="AD3196" s="502"/>
      <c r="AE3196" s="911"/>
      <c r="AF3196" s="502"/>
      <c r="AH3196" s="898"/>
      <c r="AI3196" s="502"/>
      <c r="AJ3196" s="502"/>
      <c r="AL3196" s="434"/>
      <c r="AM3196" s="436"/>
      <c r="AN3196" s="434"/>
      <c r="AO3196" s="434"/>
      <c r="AP3196" s="556"/>
      <c r="AQ3196" s="556"/>
      <c r="AR3196" s="556"/>
      <c r="CF3196" s="2"/>
    </row>
    <row r="3197" spans="3:84">
      <c r="C3197" s="2"/>
      <c r="AD3197" s="502"/>
      <c r="AE3197" s="911"/>
      <c r="AF3197" s="502"/>
      <c r="AH3197" s="898"/>
      <c r="AI3197" s="502"/>
      <c r="AJ3197" s="502"/>
      <c r="AL3197" s="434"/>
      <c r="AM3197" s="436"/>
      <c r="AN3197" s="434"/>
      <c r="AO3197" s="434"/>
      <c r="AP3197" s="556"/>
      <c r="AQ3197" s="556"/>
      <c r="AR3197" s="556"/>
      <c r="CF3197" s="2"/>
    </row>
    <row r="3198" spans="3:84">
      <c r="C3198" s="2"/>
      <c r="AD3198" s="502"/>
      <c r="AE3198" s="911"/>
      <c r="AF3198" s="502"/>
      <c r="AH3198" s="898"/>
      <c r="AI3198" s="502"/>
      <c r="AJ3198" s="502"/>
      <c r="AL3198" s="434"/>
      <c r="AM3198" s="436"/>
      <c r="AN3198" s="434"/>
      <c r="AO3198" s="434"/>
      <c r="AP3198" s="556"/>
      <c r="AQ3198" s="556"/>
      <c r="AR3198" s="556"/>
      <c r="CF3198" s="2"/>
    </row>
    <row r="3199" spans="3:84">
      <c r="C3199" s="2"/>
      <c r="AD3199" s="502"/>
      <c r="AE3199" s="911"/>
      <c r="AF3199" s="502"/>
      <c r="AH3199" s="898"/>
      <c r="AI3199" s="502"/>
      <c r="AJ3199" s="502"/>
      <c r="AL3199" s="434"/>
      <c r="AM3199" s="436"/>
      <c r="AN3199" s="434"/>
      <c r="AO3199" s="434"/>
      <c r="AP3199" s="556"/>
      <c r="AQ3199" s="556"/>
      <c r="AR3199" s="556"/>
      <c r="CF3199" s="2"/>
    </row>
    <row r="3200" spans="3:84">
      <c r="C3200" s="2"/>
      <c r="AD3200" s="502"/>
      <c r="AE3200" s="911"/>
      <c r="AF3200" s="502"/>
      <c r="AH3200" s="898"/>
      <c r="AI3200" s="502"/>
      <c r="AJ3200" s="502"/>
      <c r="AL3200" s="434"/>
      <c r="AM3200" s="436"/>
      <c r="AN3200" s="434"/>
      <c r="AO3200" s="434"/>
      <c r="AP3200" s="556"/>
      <c r="AQ3200" s="556"/>
      <c r="AR3200" s="556"/>
      <c r="CF3200" s="2"/>
    </row>
    <row r="3201" spans="3:84">
      <c r="C3201" s="2"/>
      <c r="AD3201" s="502"/>
      <c r="AE3201" s="911"/>
      <c r="AF3201" s="502"/>
      <c r="AH3201" s="898"/>
      <c r="AI3201" s="502"/>
      <c r="AJ3201" s="502"/>
      <c r="AL3201" s="434"/>
      <c r="AM3201" s="436"/>
      <c r="AN3201" s="434"/>
      <c r="AO3201" s="434"/>
      <c r="AP3201" s="556"/>
      <c r="AQ3201" s="556"/>
      <c r="AR3201" s="556"/>
      <c r="CF3201" s="2"/>
    </row>
    <row r="3202" spans="3:84">
      <c r="C3202" s="2"/>
      <c r="AD3202" s="502"/>
      <c r="AE3202" s="911"/>
      <c r="AF3202" s="502"/>
      <c r="AH3202" s="898"/>
      <c r="AI3202" s="502"/>
      <c r="AJ3202" s="502"/>
      <c r="AL3202" s="434"/>
      <c r="AM3202" s="436"/>
      <c r="AN3202" s="434"/>
      <c r="AO3202" s="434"/>
      <c r="AP3202" s="556"/>
      <c r="AQ3202" s="556"/>
      <c r="AR3202" s="556"/>
      <c r="CF3202" s="2"/>
    </row>
    <row r="3203" spans="3:84">
      <c r="C3203" s="2"/>
      <c r="AD3203" s="502"/>
      <c r="AE3203" s="911"/>
      <c r="AF3203" s="502"/>
      <c r="AH3203" s="898"/>
      <c r="AI3203" s="502"/>
      <c r="AJ3203" s="502"/>
      <c r="AL3203" s="434"/>
      <c r="AM3203" s="436"/>
      <c r="AN3203" s="434"/>
      <c r="AO3203" s="434"/>
      <c r="AP3203" s="556"/>
      <c r="AQ3203" s="556"/>
      <c r="AR3203" s="556"/>
      <c r="CF3203" s="2"/>
    </row>
    <row r="3204" spans="3:84">
      <c r="C3204" s="2"/>
      <c r="AD3204" s="502"/>
      <c r="AE3204" s="911"/>
      <c r="AF3204" s="502"/>
      <c r="AH3204" s="898"/>
      <c r="AI3204" s="502"/>
      <c r="AJ3204" s="502"/>
      <c r="AL3204" s="434"/>
      <c r="AM3204" s="436"/>
      <c r="AN3204" s="434"/>
      <c r="AO3204" s="434"/>
      <c r="AP3204" s="556"/>
      <c r="AQ3204" s="556"/>
      <c r="AR3204" s="556"/>
      <c r="CF3204" s="2"/>
    </row>
    <row r="3205" spans="3:84">
      <c r="C3205" s="2"/>
      <c r="AD3205" s="502"/>
      <c r="AE3205" s="911"/>
      <c r="AF3205" s="502"/>
      <c r="AH3205" s="898"/>
      <c r="AI3205" s="502"/>
      <c r="AJ3205" s="502"/>
      <c r="AL3205" s="434"/>
      <c r="AM3205" s="436"/>
      <c r="AN3205" s="434"/>
      <c r="AO3205" s="434"/>
      <c r="AP3205" s="556"/>
      <c r="AQ3205" s="556"/>
      <c r="AR3205" s="556"/>
      <c r="CF3205" s="2"/>
    </row>
    <row r="3206" spans="3:84">
      <c r="C3206" s="2"/>
      <c r="AD3206" s="502"/>
      <c r="AE3206" s="911"/>
      <c r="AF3206" s="502"/>
      <c r="AH3206" s="898"/>
      <c r="AI3206" s="502"/>
      <c r="AJ3206" s="502"/>
      <c r="AL3206" s="434"/>
      <c r="AM3206" s="436"/>
      <c r="AN3206" s="434"/>
      <c r="AO3206" s="434"/>
      <c r="AP3206" s="556"/>
      <c r="AQ3206" s="556"/>
      <c r="AR3206" s="556"/>
      <c r="CF3206" s="2"/>
    </row>
    <row r="3207" spans="3:84">
      <c r="C3207" s="2"/>
      <c r="AD3207" s="502"/>
      <c r="AE3207" s="911"/>
      <c r="AF3207" s="502"/>
      <c r="AH3207" s="898"/>
      <c r="AI3207" s="502"/>
      <c r="AJ3207" s="502"/>
      <c r="AL3207" s="434"/>
      <c r="AM3207" s="436"/>
      <c r="AN3207" s="434"/>
      <c r="AO3207" s="434"/>
      <c r="AP3207" s="556"/>
      <c r="AQ3207" s="556"/>
      <c r="AR3207" s="556"/>
      <c r="CF3207" s="2"/>
    </row>
    <row r="3208" spans="3:84">
      <c r="C3208" s="2"/>
      <c r="AD3208" s="502"/>
      <c r="AE3208" s="911"/>
      <c r="AF3208" s="502"/>
      <c r="AH3208" s="898"/>
      <c r="AI3208" s="502"/>
      <c r="AJ3208" s="502"/>
      <c r="AL3208" s="434"/>
      <c r="AM3208" s="436"/>
      <c r="AN3208" s="434"/>
      <c r="AO3208" s="434"/>
      <c r="AP3208" s="556"/>
      <c r="AQ3208" s="556"/>
      <c r="AR3208" s="556"/>
      <c r="CF3208" s="2"/>
    </row>
    <row r="3209" spans="3:84">
      <c r="C3209" s="2"/>
      <c r="AD3209" s="502"/>
      <c r="AE3209" s="911"/>
      <c r="AF3209" s="502"/>
      <c r="AH3209" s="898"/>
      <c r="AI3209" s="502"/>
      <c r="AJ3209" s="502"/>
      <c r="AL3209" s="434"/>
      <c r="AM3209" s="436"/>
      <c r="AN3209" s="434"/>
      <c r="AO3209" s="434"/>
      <c r="AP3209" s="556"/>
      <c r="AQ3209" s="556"/>
      <c r="AR3209" s="556"/>
      <c r="CF3209" s="2"/>
    </row>
    <row r="3210" spans="3:84">
      <c r="C3210" s="2"/>
      <c r="AD3210" s="502"/>
      <c r="AE3210" s="911"/>
      <c r="AF3210" s="502"/>
      <c r="AH3210" s="898"/>
      <c r="AI3210" s="502"/>
      <c r="AJ3210" s="502"/>
      <c r="AL3210" s="434"/>
      <c r="AM3210" s="436"/>
      <c r="AN3210" s="434"/>
      <c r="AO3210" s="434"/>
      <c r="AP3210" s="556"/>
      <c r="AQ3210" s="556"/>
      <c r="AR3210" s="556"/>
      <c r="CF3210" s="2"/>
    </row>
    <row r="3211" spans="3:84">
      <c r="C3211" s="2"/>
      <c r="AD3211" s="502"/>
      <c r="AE3211" s="911"/>
      <c r="AF3211" s="502"/>
      <c r="AH3211" s="898"/>
      <c r="AI3211" s="502"/>
      <c r="AJ3211" s="502"/>
      <c r="AL3211" s="434"/>
      <c r="AM3211" s="436"/>
      <c r="AN3211" s="434"/>
      <c r="AO3211" s="434"/>
      <c r="AP3211" s="556"/>
      <c r="AQ3211" s="556"/>
      <c r="AR3211" s="556"/>
      <c r="CF3211" s="2"/>
    </row>
    <row r="3212" spans="3:84">
      <c r="C3212" s="2"/>
      <c r="AD3212" s="502"/>
      <c r="AE3212" s="911"/>
      <c r="AF3212" s="502"/>
      <c r="AH3212" s="898"/>
      <c r="AI3212" s="502"/>
      <c r="AJ3212" s="502"/>
      <c r="AL3212" s="434"/>
      <c r="AM3212" s="436"/>
      <c r="AN3212" s="434"/>
      <c r="AO3212" s="434"/>
      <c r="AP3212" s="556"/>
      <c r="AQ3212" s="556"/>
      <c r="AR3212" s="556"/>
      <c r="CF3212" s="2"/>
    </row>
    <row r="3213" spans="3:84">
      <c r="C3213" s="2"/>
      <c r="AD3213" s="502"/>
      <c r="AE3213" s="911"/>
      <c r="AF3213" s="502"/>
      <c r="AH3213" s="898"/>
      <c r="AI3213" s="502"/>
      <c r="AJ3213" s="502"/>
      <c r="AL3213" s="434"/>
      <c r="AM3213" s="436"/>
      <c r="AN3213" s="434"/>
      <c r="AO3213" s="434"/>
      <c r="AP3213" s="556"/>
      <c r="AQ3213" s="556"/>
      <c r="AR3213" s="556"/>
      <c r="CF3213" s="2"/>
    </row>
    <row r="3214" spans="3:84">
      <c r="C3214" s="2"/>
      <c r="AD3214" s="502"/>
      <c r="AE3214" s="911"/>
      <c r="AF3214" s="502"/>
      <c r="AH3214" s="898"/>
      <c r="AI3214" s="502"/>
      <c r="AJ3214" s="502"/>
      <c r="AL3214" s="434"/>
      <c r="AM3214" s="436"/>
      <c r="AN3214" s="434"/>
      <c r="AO3214" s="434"/>
      <c r="AP3214" s="556"/>
      <c r="AQ3214" s="556"/>
      <c r="AR3214" s="556"/>
      <c r="CF3214" s="2"/>
    </row>
    <row r="3215" spans="3:84">
      <c r="C3215" s="2"/>
      <c r="AD3215" s="502"/>
      <c r="AE3215" s="911"/>
      <c r="AF3215" s="502"/>
      <c r="AH3215" s="898"/>
      <c r="AI3215" s="502"/>
      <c r="AJ3215" s="502"/>
      <c r="AL3215" s="434"/>
      <c r="AM3215" s="436"/>
      <c r="AN3215" s="434"/>
      <c r="AO3215" s="434"/>
      <c r="AP3215" s="556"/>
      <c r="AQ3215" s="556"/>
      <c r="AR3215" s="556"/>
      <c r="CF3215" s="2"/>
    </row>
    <row r="3216" spans="3:84">
      <c r="C3216" s="2"/>
      <c r="AD3216" s="502"/>
      <c r="AE3216" s="911"/>
      <c r="AF3216" s="502"/>
      <c r="AH3216" s="898"/>
      <c r="AI3216" s="502"/>
      <c r="AJ3216" s="502"/>
      <c r="AL3216" s="434"/>
      <c r="AM3216" s="436"/>
      <c r="AN3216" s="434"/>
      <c r="AO3216" s="434"/>
      <c r="AP3216" s="556"/>
      <c r="AQ3216" s="556"/>
      <c r="AR3216" s="556"/>
      <c r="CF3216" s="2"/>
    </row>
    <row r="3217" spans="3:84">
      <c r="C3217" s="2"/>
      <c r="AD3217" s="502"/>
      <c r="AE3217" s="911"/>
      <c r="AF3217" s="502"/>
      <c r="AH3217" s="898"/>
      <c r="AI3217" s="502"/>
      <c r="AJ3217" s="502"/>
      <c r="AL3217" s="434"/>
      <c r="AM3217" s="436"/>
      <c r="AN3217" s="434"/>
      <c r="AO3217" s="434"/>
      <c r="AP3217" s="556"/>
      <c r="AQ3217" s="556"/>
      <c r="AR3217" s="556"/>
      <c r="CF3217" s="2"/>
    </row>
    <row r="3218" spans="3:84">
      <c r="C3218" s="2"/>
      <c r="AD3218" s="502"/>
      <c r="AE3218" s="911"/>
      <c r="AF3218" s="502"/>
      <c r="AH3218" s="898"/>
      <c r="AI3218" s="502"/>
      <c r="AJ3218" s="502"/>
      <c r="AL3218" s="434"/>
      <c r="AM3218" s="436"/>
      <c r="AN3218" s="434"/>
      <c r="AO3218" s="434"/>
      <c r="AP3218" s="556"/>
      <c r="AQ3218" s="556"/>
      <c r="AR3218" s="556"/>
      <c r="CF3218" s="2"/>
    </row>
    <row r="3219" spans="3:84">
      <c r="C3219" s="2"/>
      <c r="AD3219" s="502"/>
      <c r="AE3219" s="911"/>
      <c r="AF3219" s="502"/>
      <c r="AH3219" s="898"/>
      <c r="AI3219" s="502"/>
      <c r="AJ3219" s="502"/>
      <c r="AL3219" s="434"/>
      <c r="AM3219" s="436"/>
      <c r="AN3219" s="434"/>
      <c r="AO3219" s="434"/>
      <c r="AP3219" s="556"/>
      <c r="AQ3219" s="556"/>
      <c r="AR3219" s="556"/>
      <c r="CF3219" s="2"/>
    </row>
    <row r="3220" spans="3:84">
      <c r="C3220" s="2"/>
      <c r="AD3220" s="502"/>
      <c r="AE3220" s="911"/>
      <c r="AF3220" s="502"/>
      <c r="AH3220" s="898"/>
      <c r="AI3220" s="502"/>
      <c r="AJ3220" s="502"/>
      <c r="AL3220" s="434"/>
      <c r="AM3220" s="436"/>
      <c r="AN3220" s="434"/>
      <c r="AO3220" s="434"/>
      <c r="AP3220" s="556"/>
      <c r="AQ3220" s="556"/>
      <c r="AR3220" s="556"/>
      <c r="CF3220" s="2"/>
    </row>
    <row r="3221" spans="3:84">
      <c r="C3221" s="2"/>
      <c r="AD3221" s="502"/>
      <c r="AE3221" s="911"/>
      <c r="AF3221" s="502"/>
      <c r="AH3221" s="898"/>
      <c r="AI3221" s="502"/>
      <c r="AJ3221" s="502"/>
      <c r="AL3221" s="434"/>
      <c r="AM3221" s="436"/>
      <c r="AN3221" s="434"/>
      <c r="AO3221" s="434"/>
      <c r="AP3221" s="556"/>
      <c r="AQ3221" s="556"/>
      <c r="AR3221" s="556"/>
      <c r="CF3221" s="2"/>
    </row>
    <row r="3222" spans="3:84">
      <c r="C3222" s="2"/>
      <c r="AD3222" s="502"/>
      <c r="AE3222" s="911"/>
      <c r="AF3222" s="502"/>
      <c r="AH3222" s="898"/>
      <c r="AI3222" s="502"/>
      <c r="AJ3222" s="502"/>
      <c r="AL3222" s="434"/>
      <c r="AM3222" s="436"/>
      <c r="AN3222" s="434"/>
      <c r="AO3222" s="434"/>
      <c r="AP3222" s="556"/>
      <c r="AQ3222" s="556"/>
      <c r="AR3222" s="556"/>
      <c r="CF3222" s="2"/>
    </row>
    <row r="3223" spans="3:84">
      <c r="C3223" s="2"/>
      <c r="AD3223" s="502"/>
      <c r="AE3223" s="911"/>
      <c r="AF3223" s="502"/>
      <c r="AH3223" s="898"/>
      <c r="AI3223" s="502"/>
      <c r="AJ3223" s="502"/>
      <c r="AL3223" s="434"/>
      <c r="AM3223" s="436"/>
      <c r="AN3223" s="434"/>
      <c r="AO3223" s="434"/>
      <c r="AP3223" s="556"/>
      <c r="AQ3223" s="556"/>
      <c r="AR3223" s="556"/>
      <c r="CF3223" s="2"/>
    </row>
    <row r="3224" spans="3:84">
      <c r="C3224" s="2"/>
      <c r="AD3224" s="502"/>
      <c r="AE3224" s="911"/>
      <c r="AF3224" s="502"/>
      <c r="AH3224" s="898"/>
      <c r="AI3224" s="502"/>
      <c r="AJ3224" s="502"/>
      <c r="AL3224" s="434"/>
      <c r="AM3224" s="436"/>
      <c r="AN3224" s="434"/>
      <c r="AO3224" s="434"/>
      <c r="AP3224" s="556"/>
      <c r="AQ3224" s="556"/>
      <c r="AR3224" s="556"/>
      <c r="CF3224" s="2"/>
    </row>
    <row r="3225" spans="3:84">
      <c r="C3225" s="2"/>
      <c r="AD3225" s="502"/>
      <c r="AE3225" s="911"/>
      <c r="AF3225" s="502"/>
      <c r="AH3225" s="898"/>
      <c r="AI3225" s="502"/>
      <c r="AJ3225" s="502"/>
      <c r="AL3225" s="434"/>
      <c r="AM3225" s="436"/>
      <c r="AN3225" s="434"/>
      <c r="AO3225" s="434"/>
      <c r="AP3225" s="556"/>
      <c r="AQ3225" s="556"/>
      <c r="AR3225" s="556"/>
      <c r="CF3225" s="2"/>
    </row>
    <row r="3226" spans="3:84">
      <c r="C3226" s="2"/>
      <c r="AD3226" s="502"/>
      <c r="AE3226" s="911"/>
      <c r="AF3226" s="502"/>
      <c r="AH3226" s="898"/>
      <c r="AI3226" s="502"/>
      <c r="AJ3226" s="502"/>
      <c r="AL3226" s="434"/>
      <c r="AM3226" s="436"/>
      <c r="AN3226" s="434"/>
      <c r="AO3226" s="434"/>
      <c r="AP3226" s="556"/>
      <c r="AQ3226" s="556"/>
      <c r="AR3226" s="556"/>
      <c r="CF3226" s="2"/>
    </row>
    <row r="3227" spans="3:84">
      <c r="C3227" s="2"/>
      <c r="AD3227" s="502"/>
      <c r="AE3227" s="911"/>
      <c r="AF3227" s="502"/>
      <c r="AH3227" s="898"/>
      <c r="AI3227" s="502"/>
      <c r="AJ3227" s="502"/>
      <c r="AL3227" s="434"/>
      <c r="AM3227" s="436"/>
      <c r="AN3227" s="434"/>
      <c r="AO3227" s="434"/>
      <c r="AP3227" s="556"/>
      <c r="AQ3227" s="556"/>
      <c r="AR3227" s="556"/>
      <c r="CF3227" s="2"/>
    </row>
    <row r="3228" spans="3:84">
      <c r="C3228" s="2"/>
      <c r="AD3228" s="502"/>
      <c r="AE3228" s="911"/>
      <c r="AF3228" s="502"/>
      <c r="AH3228" s="898"/>
      <c r="AI3228" s="502"/>
      <c r="AJ3228" s="502"/>
      <c r="AL3228" s="434"/>
      <c r="AM3228" s="436"/>
      <c r="AN3228" s="434"/>
      <c r="AO3228" s="434"/>
      <c r="AP3228" s="556"/>
      <c r="AQ3228" s="556"/>
      <c r="AR3228" s="556"/>
      <c r="CF3228" s="2"/>
    </row>
    <row r="3229" spans="3:84">
      <c r="C3229" s="2"/>
      <c r="AD3229" s="502"/>
      <c r="AE3229" s="911"/>
      <c r="AF3229" s="502"/>
      <c r="AH3229" s="898"/>
      <c r="AI3229" s="502"/>
      <c r="AJ3229" s="502"/>
      <c r="AL3229" s="434"/>
      <c r="AM3229" s="436"/>
      <c r="AN3229" s="434"/>
      <c r="AO3229" s="434"/>
      <c r="AP3229" s="556"/>
      <c r="AQ3229" s="556"/>
      <c r="AR3229" s="556"/>
      <c r="CF3229" s="2"/>
    </row>
    <row r="3230" spans="3:84">
      <c r="C3230" s="2"/>
      <c r="AD3230" s="502"/>
      <c r="AE3230" s="911"/>
      <c r="AF3230" s="502"/>
      <c r="AH3230" s="898"/>
      <c r="AI3230" s="502"/>
      <c r="AJ3230" s="502"/>
      <c r="AL3230" s="434"/>
      <c r="AM3230" s="436"/>
      <c r="AN3230" s="434"/>
      <c r="AO3230" s="434"/>
      <c r="AP3230" s="556"/>
      <c r="AQ3230" s="556"/>
      <c r="AR3230" s="556"/>
      <c r="CF3230" s="2"/>
    </row>
    <row r="3231" spans="3:84">
      <c r="C3231" s="2"/>
      <c r="AD3231" s="502"/>
      <c r="AE3231" s="911"/>
      <c r="AF3231" s="502"/>
      <c r="AH3231" s="898"/>
      <c r="AI3231" s="502"/>
      <c r="AJ3231" s="502"/>
      <c r="AL3231" s="434"/>
      <c r="AM3231" s="436"/>
      <c r="AN3231" s="434"/>
      <c r="AO3231" s="434"/>
      <c r="AP3231" s="556"/>
      <c r="AQ3231" s="556"/>
      <c r="AR3231" s="556"/>
      <c r="CF3231" s="2"/>
    </row>
    <row r="3232" spans="3:84">
      <c r="C3232" s="2"/>
      <c r="AD3232" s="502"/>
      <c r="AE3232" s="911"/>
      <c r="AF3232" s="502"/>
      <c r="AH3232" s="898"/>
      <c r="AI3232" s="502"/>
      <c r="AJ3232" s="502"/>
      <c r="AL3232" s="434"/>
      <c r="AM3232" s="436"/>
      <c r="AN3232" s="434"/>
      <c r="AO3232" s="434"/>
      <c r="AP3232" s="556"/>
      <c r="AQ3232" s="556"/>
      <c r="AR3232" s="556"/>
      <c r="CF3232" s="2"/>
    </row>
    <row r="3233" spans="3:84">
      <c r="C3233" s="2"/>
      <c r="AD3233" s="502"/>
      <c r="AE3233" s="911"/>
      <c r="AF3233" s="502"/>
      <c r="AH3233" s="898"/>
      <c r="AI3233" s="502"/>
      <c r="AJ3233" s="502"/>
      <c r="AL3233" s="434"/>
      <c r="AM3233" s="436"/>
      <c r="AN3233" s="434"/>
      <c r="AO3233" s="434"/>
      <c r="AP3233" s="556"/>
      <c r="AQ3233" s="556"/>
      <c r="AR3233" s="556"/>
      <c r="CF3233" s="2"/>
    </row>
    <row r="3234" spans="3:84">
      <c r="C3234" s="2"/>
      <c r="AD3234" s="502"/>
      <c r="AE3234" s="911"/>
      <c r="AF3234" s="502"/>
      <c r="AH3234" s="898"/>
      <c r="AI3234" s="502"/>
      <c r="AJ3234" s="502"/>
      <c r="AL3234" s="434"/>
      <c r="AM3234" s="436"/>
      <c r="AN3234" s="434"/>
      <c r="AO3234" s="434"/>
      <c r="AP3234" s="556"/>
      <c r="AQ3234" s="556"/>
      <c r="AR3234" s="556"/>
      <c r="CF3234" s="2"/>
    </row>
    <row r="3235" spans="3:84">
      <c r="C3235" s="2"/>
      <c r="AD3235" s="502"/>
      <c r="AE3235" s="911"/>
      <c r="AF3235" s="502"/>
      <c r="AH3235" s="898"/>
      <c r="AI3235" s="502"/>
      <c r="AJ3235" s="502"/>
      <c r="AL3235" s="434"/>
      <c r="AM3235" s="436"/>
      <c r="AN3235" s="434"/>
      <c r="AO3235" s="434"/>
      <c r="AP3235" s="556"/>
      <c r="AQ3235" s="556"/>
      <c r="AR3235" s="556"/>
      <c r="CF3235" s="2"/>
    </row>
    <row r="3236" spans="3:84">
      <c r="C3236" s="2"/>
      <c r="AD3236" s="502"/>
      <c r="AE3236" s="911"/>
      <c r="AF3236" s="502"/>
      <c r="AH3236" s="898"/>
      <c r="AI3236" s="502"/>
      <c r="AJ3236" s="502"/>
      <c r="AL3236" s="434"/>
      <c r="AM3236" s="436"/>
      <c r="AN3236" s="434"/>
      <c r="AO3236" s="434"/>
      <c r="AP3236" s="556"/>
      <c r="AQ3236" s="556"/>
      <c r="AR3236" s="556"/>
      <c r="CF3236" s="2"/>
    </row>
    <row r="3237" spans="3:84">
      <c r="C3237" s="2"/>
      <c r="AD3237" s="502"/>
      <c r="AE3237" s="911"/>
      <c r="AF3237" s="502"/>
      <c r="AH3237" s="898"/>
      <c r="AI3237" s="502"/>
      <c r="AJ3237" s="502"/>
      <c r="AL3237" s="434"/>
      <c r="AM3237" s="436"/>
      <c r="AN3237" s="434"/>
      <c r="AO3237" s="434"/>
      <c r="AP3237" s="556"/>
      <c r="AQ3237" s="556"/>
      <c r="AR3237" s="556"/>
      <c r="CF3237" s="2"/>
    </row>
    <row r="3238" spans="3:84">
      <c r="C3238" s="2"/>
      <c r="AD3238" s="502"/>
      <c r="AE3238" s="911"/>
      <c r="AF3238" s="502"/>
      <c r="AH3238" s="898"/>
      <c r="AI3238" s="502"/>
      <c r="AJ3238" s="502"/>
      <c r="AL3238" s="434"/>
      <c r="AM3238" s="436"/>
      <c r="AN3238" s="434"/>
      <c r="AO3238" s="434"/>
      <c r="AP3238" s="556"/>
      <c r="AQ3238" s="556"/>
      <c r="AR3238" s="556"/>
      <c r="CF3238" s="2"/>
    </row>
    <row r="3239" spans="3:84">
      <c r="C3239" s="2"/>
      <c r="AD3239" s="502"/>
      <c r="AE3239" s="911"/>
      <c r="AF3239" s="502"/>
      <c r="AH3239" s="898"/>
      <c r="AI3239" s="502"/>
      <c r="AJ3239" s="502"/>
      <c r="AL3239" s="434"/>
      <c r="AM3239" s="436"/>
      <c r="AN3239" s="434"/>
      <c r="AO3239" s="434"/>
      <c r="AP3239" s="556"/>
      <c r="AQ3239" s="556"/>
      <c r="AR3239" s="556"/>
      <c r="CF3239" s="2"/>
    </row>
    <row r="3240" spans="3:84">
      <c r="C3240" s="2"/>
      <c r="AD3240" s="502"/>
      <c r="AE3240" s="911"/>
      <c r="AF3240" s="502"/>
      <c r="AH3240" s="898"/>
      <c r="AI3240" s="502"/>
      <c r="AJ3240" s="502"/>
      <c r="AL3240" s="434"/>
      <c r="AM3240" s="436"/>
      <c r="AN3240" s="434"/>
      <c r="AO3240" s="434"/>
      <c r="AP3240" s="556"/>
      <c r="AQ3240" s="556"/>
      <c r="AR3240" s="556"/>
      <c r="CF3240" s="2"/>
    </row>
    <row r="3241" spans="3:84">
      <c r="C3241" s="2"/>
      <c r="AD3241" s="502"/>
      <c r="AE3241" s="911"/>
      <c r="AF3241" s="502"/>
      <c r="AH3241" s="898"/>
      <c r="AI3241" s="502"/>
      <c r="AJ3241" s="502"/>
      <c r="AL3241" s="434"/>
      <c r="AM3241" s="436"/>
      <c r="AN3241" s="434"/>
      <c r="AO3241" s="434"/>
      <c r="AP3241" s="556"/>
      <c r="AQ3241" s="556"/>
      <c r="AR3241" s="556"/>
      <c r="CF3241" s="2"/>
    </row>
    <row r="3242" spans="3:84">
      <c r="C3242" s="2"/>
      <c r="AD3242" s="502"/>
      <c r="AE3242" s="911"/>
      <c r="AF3242" s="502"/>
      <c r="AH3242" s="898"/>
      <c r="AI3242" s="502"/>
      <c r="AJ3242" s="502"/>
      <c r="AL3242" s="434"/>
      <c r="AM3242" s="436"/>
      <c r="AN3242" s="434"/>
      <c r="AO3242" s="434"/>
      <c r="AP3242" s="556"/>
      <c r="AQ3242" s="556"/>
      <c r="AR3242" s="556"/>
      <c r="CF3242" s="2"/>
    </row>
    <row r="3243" spans="3:84">
      <c r="C3243" s="2"/>
      <c r="AD3243" s="502"/>
      <c r="AE3243" s="911"/>
      <c r="AF3243" s="502"/>
      <c r="AH3243" s="898"/>
      <c r="AI3243" s="502"/>
      <c r="AJ3243" s="502"/>
      <c r="AL3243" s="434"/>
      <c r="AM3243" s="436"/>
      <c r="AN3243" s="434"/>
      <c r="AO3243" s="434"/>
      <c r="AP3243" s="556"/>
      <c r="AQ3243" s="556"/>
      <c r="AR3243" s="556"/>
      <c r="CF3243" s="2"/>
    </row>
    <row r="3244" spans="3:84">
      <c r="C3244" s="2"/>
      <c r="AD3244" s="502"/>
      <c r="AE3244" s="911"/>
      <c r="AF3244" s="502"/>
      <c r="AH3244" s="898"/>
      <c r="AI3244" s="502"/>
      <c r="AJ3244" s="502"/>
      <c r="AL3244" s="434"/>
      <c r="AM3244" s="436"/>
      <c r="AN3244" s="434"/>
      <c r="AO3244" s="434"/>
      <c r="AP3244" s="556"/>
      <c r="AQ3244" s="556"/>
      <c r="AR3244" s="556"/>
      <c r="CF3244" s="2"/>
    </row>
    <row r="3245" spans="3:84">
      <c r="C3245" s="2"/>
      <c r="AD3245" s="502"/>
      <c r="AE3245" s="911"/>
      <c r="AF3245" s="502"/>
      <c r="AH3245" s="898"/>
      <c r="AI3245" s="502"/>
      <c r="AJ3245" s="502"/>
      <c r="AL3245" s="434"/>
      <c r="AM3245" s="436"/>
      <c r="AN3245" s="434"/>
      <c r="AO3245" s="434"/>
      <c r="AP3245" s="556"/>
      <c r="AQ3245" s="556"/>
      <c r="AR3245" s="556"/>
      <c r="CF3245" s="2"/>
    </row>
    <row r="3246" spans="3:84">
      <c r="C3246" s="2"/>
      <c r="AD3246" s="502"/>
      <c r="AE3246" s="911"/>
      <c r="AF3246" s="502"/>
      <c r="AH3246" s="898"/>
      <c r="AI3246" s="502"/>
      <c r="AJ3246" s="502"/>
      <c r="AL3246" s="434"/>
      <c r="AM3246" s="436"/>
      <c r="AN3246" s="434"/>
      <c r="AO3246" s="434"/>
      <c r="AP3246" s="556"/>
      <c r="AQ3246" s="556"/>
      <c r="AR3246" s="556"/>
      <c r="CF3246" s="2"/>
    </row>
    <row r="3247" spans="3:84">
      <c r="C3247" s="2"/>
      <c r="AD3247" s="502"/>
      <c r="AE3247" s="911"/>
      <c r="AF3247" s="502"/>
      <c r="AH3247" s="898"/>
      <c r="AI3247" s="502"/>
      <c r="AJ3247" s="502"/>
      <c r="AL3247" s="434"/>
      <c r="AM3247" s="436"/>
      <c r="AN3247" s="434"/>
      <c r="AO3247" s="434"/>
      <c r="AP3247" s="556"/>
      <c r="AQ3247" s="556"/>
      <c r="AR3247" s="556"/>
      <c r="CF3247" s="2"/>
    </row>
    <row r="3248" spans="3:84">
      <c r="C3248" s="2"/>
      <c r="AD3248" s="502"/>
      <c r="AE3248" s="911"/>
      <c r="AF3248" s="502"/>
      <c r="AH3248" s="898"/>
      <c r="AI3248" s="502"/>
      <c r="AJ3248" s="502"/>
      <c r="AL3248" s="434"/>
      <c r="AM3248" s="436"/>
      <c r="AN3248" s="434"/>
      <c r="AO3248" s="434"/>
      <c r="AP3248" s="556"/>
      <c r="AQ3248" s="556"/>
      <c r="AR3248" s="556"/>
      <c r="CF3248" s="2"/>
    </row>
    <row r="3249" spans="3:84">
      <c r="C3249" s="2"/>
      <c r="AD3249" s="502"/>
      <c r="AE3249" s="911"/>
      <c r="AF3249" s="502"/>
      <c r="AH3249" s="898"/>
      <c r="AI3249" s="502"/>
      <c r="AJ3249" s="502"/>
      <c r="AL3249" s="434"/>
      <c r="AM3249" s="436"/>
      <c r="AN3249" s="434"/>
      <c r="AO3249" s="434"/>
      <c r="AP3249" s="556"/>
      <c r="AQ3249" s="556"/>
      <c r="AR3249" s="556"/>
      <c r="CF3249" s="2"/>
    </row>
    <row r="3250" spans="3:84">
      <c r="C3250" s="2"/>
      <c r="AD3250" s="502"/>
      <c r="AE3250" s="911"/>
      <c r="AF3250" s="502"/>
      <c r="AH3250" s="898"/>
      <c r="AI3250" s="502"/>
      <c r="AJ3250" s="502"/>
      <c r="AL3250" s="434"/>
      <c r="AM3250" s="436"/>
      <c r="AN3250" s="434"/>
      <c r="AO3250" s="434"/>
      <c r="AP3250" s="556"/>
      <c r="AQ3250" s="556"/>
      <c r="AR3250" s="556"/>
      <c r="CF3250" s="2"/>
    </row>
    <row r="3251" spans="3:84">
      <c r="C3251" s="2"/>
      <c r="AD3251" s="502"/>
      <c r="AE3251" s="911"/>
      <c r="AF3251" s="502"/>
      <c r="AH3251" s="898"/>
      <c r="AI3251" s="502"/>
      <c r="AJ3251" s="502"/>
      <c r="AL3251" s="434"/>
      <c r="AM3251" s="436"/>
      <c r="AN3251" s="434"/>
      <c r="AO3251" s="434"/>
      <c r="AP3251" s="556"/>
      <c r="AQ3251" s="556"/>
      <c r="AR3251" s="556"/>
      <c r="CF3251" s="2"/>
    </row>
    <row r="3252" spans="3:84">
      <c r="C3252" s="2"/>
      <c r="AD3252" s="502"/>
      <c r="AE3252" s="911"/>
      <c r="AF3252" s="502"/>
      <c r="AH3252" s="898"/>
      <c r="AI3252" s="502"/>
      <c r="AJ3252" s="502"/>
      <c r="AL3252" s="434"/>
      <c r="AM3252" s="436"/>
      <c r="AN3252" s="434"/>
      <c r="AO3252" s="434"/>
      <c r="AP3252" s="556"/>
      <c r="AQ3252" s="556"/>
      <c r="AR3252" s="556"/>
      <c r="CF3252" s="2"/>
    </row>
    <row r="3253" spans="3:84">
      <c r="C3253" s="2"/>
      <c r="AD3253" s="502"/>
      <c r="AE3253" s="911"/>
      <c r="AF3253" s="502"/>
      <c r="AH3253" s="898"/>
      <c r="AI3253" s="502"/>
      <c r="AJ3253" s="502"/>
      <c r="AL3253" s="434"/>
      <c r="AM3253" s="436"/>
      <c r="AN3253" s="434"/>
      <c r="AO3253" s="434"/>
      <c r="AP3253" s="556"/>
      <c r="AQ3253" s="556"/>
      <c r="AR3253" s="556"/>
      <c r="CF3253" s="2"/>
    </row>
    <row r="3254" spans="3:84">
      <c r="C3254" s="2"/>
      <c r="AD3254" s="502"/>
      <c r="AE3254" s="911"/>
      <c r="AF3254" s="502"/>
      <c r="AH3254" s="898"/>
      <c r="AI3254" s="502"/>
      <c r="AJ3254" s="502"/>
      <c r="AL3254" s="434"/>
      <c r="AM3254" s="436"/>
      <c r="AN3254" s="434"/>
      <c r="AO3254" s="434"/>
      <c r="AP3254" s="556"/>
      <c r="AQ3254" s="556"/>
      <c r="AR3254" s="556"/>
      <c r="CF3254" s="2"/>
    </row>
    <row r="3255" spans="3:84">
      <c r="C3255" s="2"/>
      <c r="AD3255" s="502"/>
      <c r="AE3255" s="911"/>
      <c r="AF3255" s="502"/>
      <c r="AH3255" s="898"/>
      <c r="AI3255" s="502"/>
      <c r="AJ3255" s="502"/>
      <c r="AL3255" s="434"/>
      <c r="AM3255" s="436"/>
      <c r="AN3255" s="434"/>
      <c r="AO3255" s="434"/>
      <c r="AP3255" s="556"/>
      <c r="AQ3255" s="556"/>
      <c r="AR3255" s="556"/>
      <c r="CF3255" s="2"/>
    </row>
    <row r="3256" spans="3:84">
      <c r="C3256" s="2"/>
      <c r="AD3256" s="502"/>
      <c r="AE3256" s="911"/>
      <c r="AF3256" s="502"/>
      <c r="AH3256" s="898"/>
      <c r="AI3256" s="502"/>
      <c r="AJ3256" s="502"/>
      <c r="AL3256" s="434"/>
      <c r="AM3256" s="436"/>
      <c r="AN3256" s="434"/>
      <c r="AO3256" s="434"/>
      <c r="AP3256" s="556"/>
      <c r="AQ3256" s="556"/>
      <c r="AR3256" s="556"/>
      <c r="CF3256" s="2"/>
    </row>
    <row r="3257" spans="3:84">
      <c r="C3257" s="2"/>
      <c r="AD3257" s="502"/>
      <c r="AE3257" s="911"/>
      <c r="AF3257" s="502"/>
      <c r="AH3257" s="898"/>
      <c r="AI3257" s="502"/>
      <c r="AJ3257" s="502"/>
      <c r="AL3257" s="434"/>
      <c r="AM3257" s="436"/>
      <c r="AN3257" s="434"/>
      <c r="AO3257" s="434"/>
      <c r="AP3257" s="556"/>
      <c r="AQ3257" s="556"/>
      <c r="AR3257" s="556"/>
      <c r="CF3257" s="2"/>
    </row>
    <row r="3258" spans="3:84">
      <c r="C3258" s="2"/>
      <c r="AD3258" s="502"/>
      <c r="AE3258" s="911"/>
      <c r="AF3258" s="502"/>
      <c r="AH3258" s="898"/>
      <c r="AI3258" s="502"/>
      <c r="AJ3258" s="502"/>
      <c r="AL3258" s="434"/>
      <c r="AM3258" s="436"/>
      <c r="AN3258" s="434"/>
      <c r="AO3258" s="434"/>
      <c r="AP3258" s="556"/>
      <c r="AQ3258" s="556"/>
      <c r="AR3258" s="556"/>
      <c r="CF3258" s="2"/>
    </row>
    <row r="3259" spans="3:84">
      <c r="C3259" s="2"/>
      <c r="AD3259" s="502"/>
      <c r="AE3259" s="911"/>
      <c r="AF3259" s="502"/>
      <c r="AH3259" s="898"/>
      <c r="AI3259" s="502"/>
      <c r="AJ3259" s="502"/>
      <c r="AL3259" s="434"/>
      <c r="AM3259" s="436"/>
      <c r="AN3259" s="434"/>
      <c r="AO3259" s="434"/>
      <c r="AP3259" s="556"/>
      <c r="AQ3259" s="556"/>
      <c r="AR3259" s="556"/>
      <c r="CF3259" s="2"/>
    </row>
    <row r="3260" spans="3:84">
      <c r="C3260" s="2"/>
      <c r="AD3260" s="502"/>
      <c r="AE3260" s="911"/>
      <c r="AF3260" s="502"/>
      <c r="AH3260" s="898"/>
      <c r="AI3260" s="502"/>
      <c r="AJ3260" s="502"/>
      <c r="AL3260" s="434"/>
      <c r="AM3260" s="436"/>
      <c r="AN3260" s="434"/>
      <c r="AO3260" s="434"/>
      <c r="AP3260" s="556"/>
      <c r="AQ3260" s="556"/>
      <c r="AR3260" s="556"/>
      <c r="CF3260" s="2"/>
    </row>
    <row r="3261" spans="3:84">
      <c r="C3261" s="2"/>
      <c r="AD3261" s="502"/>
      <c r="AE3261" s="911"/>
      <c r="AF3261" s="502"/>
      <c r="AH3261" s="898"/>
      <c r="AI3261" s="502"/>
      <c r="AJ3261" s="502"/>
      <c r="AL3261" s="434"/>
      <c r="AM3261" s="436"/>
      <c r="AN3261" s="434"/>
      <c r="AO3261" s="434"/>
      <c r="AP3261" s="556"/>
      <c r="AQ3261" s="556"/>
      <c r="AR3261" s="556"/>
      <c r="CF3261" s="2"/>
    </row>
    <row r="3262" spans="3:84">
      <c r="C3262" s="2"/>
      <c r="AD3262" s="502"/>
      <c r="AE3262" s="911"/>
      <c r="AF3262" s="502"/>
      <c r="AH3262" s="898"/>
      <c r="AI3262" s="502"/>
      <c r="AJ3262" s="502"/>
      <c r="AL3262" s="434"/>
      <c r="AM3262" s="436"/>
      <c r="AN3262" s="434"/>
      <c r="AO3262" s="434"/>
      <c r="AP3262" s="556"/>
      <c r="AQ3262" s="556"/>
      <c r="AR3262" s="556"/>
      <c r="CF3262" s="2"/>
    </row>
    <row r="3263" spans="3:84">
      <c r="C3263" s="2"/>
      <c r="AD3263" s="502"/>
      <c r="AE3263" s="911"/>
      <c r="AF3263" s="502"/>
      <c r="AH3263" s="898"/>
      <c r="AI3263" s="502"/>
      <c r="AJ3263" s="502"/>
      <c r="AL3263" s="434"/>
      <c r="AM3263" s="436"/>
      <c r="AN3263" s="434"/>
      <c r="AO3263" s="434"/>
      <c r="AP3263" s="556"/>
      <c r="AQ3263" s="556"/>
      <c r="AR3263" s="556"/>
      <c r="CF3263" s="2"/>
    </row>
    <row r="3264" spans="3:84">
      <c r="C3264" s="2"/>
      <c r="AD3264" s="502"/>
      <c r="AE3264" s="911"/>
      <c r="AF3264" s="502"/>
      <c r="AH3264" s="898"/>
      <c r="AI3264" s="502"/>
      <c r="AJ3264" s="502"/>
      <c r="AL3264" s="434"/>
      <c r="AM3264" s="436"/>
      <c r="AN3264" s="434"/>
      <c r="AO3264" s="434"/>
      <c r="AP3264" s="556"/>
      <c r="AQ3264" s="556"/>
      <c r="AR3264" s="556"/>
      <c r="CF3264" s="2"/>
    </row>
    <row r="3265" spans="3:84">
      <c r="C3265" s="2"/>
      <c r="AD3265" s="502"/>
      <c r="AE3265" s="911"/>
      <c r="AF3265" s="502"/>
      <c r="AH3265" s="898"/>
      <c r="AI3265" s="502"/>
      <c r="AJ3265" s="502"/>
      <c r="AL3265" s="434"/>
      <c r="AM3265" s="436"/>
      <c r="AN3265" s="434"/>
      <c r="AO3265" s="434"/>
      <c r="AP3265" s="556"/>
      <c r="AQ3265" s="556"/>
      <c r="AR3265" s="556"/>
      <c r="CF3265" s="2"/>
    </row>
    <row r="3266" spans="3:84">
      <c r="C3266" s="2"/>
      <c r="AD3266" s="502"/>
      <c r="AE3266" s="911"/>
      <c r="AF3266" s="502"/>
      <c r="AH3266" s="898"/>
      <c r="AI3266" s="502"/>
      <c r="AJ3266" s="502"/>
      <c r="AL3266" s="434"/>
      <c r="AM3266" s="436"/>
      <c r="AN3266" s="434"/>
      <c r="AO3266" s="434"/>
      <c r="AP3266" s="556"/>
      <c r="AQ3266" s="556"/>
      <c r="AR3266" s="556"/>
      <c r="CF3266" s="2"/>
    </row>
    <row r="3267" spans="3:84">
      <c r="C3267" s="2"/>
      <c r="AD3267" s="502"/>
      <c r="AE3267" s="911"/>
      <c r="AF3267" s="502"/>
      <c r="AH3267" s="898"/>
      <c r="AI3267" s="502"/>
      <c r="AJ3267" s="502"/>
      <c r="AL3267" s="434"/>
      <c r="AM3267" s="436"/>
      <c r="AN3267" s="434"/>
      <c r="AO3267" s="434"/>
      <c r="AP3267" s="556"/>
      <c r="AQ3267" s="556"/>
      <c r="AR3267" s="556"/>
      <c r="CF3267" s="2"/>
    </row>
    <row r="3268" spans="3:84">
      <c r="C3268" s="2"/>
      <c r="AD3268" s="502"/>
      <c r="AE3268" s="911"/>
      <c r="AF3268" s="502"/>
      <c r="AH3268" s="898"/>
      <c r="AI3268" s="502"/>
      <c r="AJ3268" s="502"/>
      <c r="AL3268" s="434"/>
      <c r="AM3268" s="436"/>
      <c r="AN3268" s="434"/>
      <c r="AO3268" s="434"/>
      <c r="AP3268" s="556"/>
      <c r="AQ3268" s="556"/>
      <c r="AR3268" s="556"/>
      <c r="CF3268" s="2"/>
    </row>
    <row r="3269" spans="3:84">
      <c r="C3269" s="2"/>
      <c r="AD3269" s="502"/>
      <c r="AE3269" s="911"/>
      <c r="AF3269" s="502"/>
      <c r="AH3269" s="898"/>
      <c r="AI3269" s="502"/>
      <c r="AJ3269" s="502"/>
      <c r="AL3269" s="434"/>
      <c r="AM3269" s="436"/>
      <c r="AN3269" s="434"/>
      <c r="AO3269" s="434"/>
      <c r="AP3269" s="556"/>
      <c r="AQ3269" s="556"/>
      <c r="AR3269" s="556"/>
      <c r="CF3269" s="2"/>
    </row>
    <row r="3270" spans="3:84">
      <c r="C3270" s="2"/>
      <c r="AD3270" s="502"/>
      <c r="AE3270" s="911"/>
      <c r="AF3270" s="502"/>
      <c r="AH3270" s="898"/>
      <c r="AI3270" s="502"/>
      <c r="AJ3270" s="502"/>
      <c r="AL3270" s="434"/>
      <c r="AM3270" s="436"/>
      <c r="AN3270" s="434"/>
      <c r="AO3270" s="434"/>
      <c r="AP3270" s="556"/>
      <c r="AQ3270" s="556"/>
      <c r="AR3270" s="556"/>
      <c r="CF3270" s="2"/>
    </row>
    <row r="3271" spans="3:84">
      <c r="C3271" s="2"/>
      <c r="AD3271" s="502"/>
      <c r="AE3271" s="911"/>
      <c r="AF3271" s="502"/>
      <c r="AH3271" s="898"/>
      <c r="AI3271" s="502"/>
      <c r="AJ3271" s="502"/>
      <c r="AL3271" s="434"/>
      <c r="AM3271" s="436"/>
      <c r="AN3271" s="434"/>
      <c r="AO3271" s="434"/>
      <c r="AP3271" s="556"/>
      <c r="AQ3271" s="556"/>
      <c r="AR3271" s="556"/>
      <c r="CF3271" s="2"/>
    </row>
    <row r="3272" spans="3:84">
      <c r="C3272" s="2"/>
      <c r="AD3272" s="502"/>
      <c r="AE3272" s="911"/>
      <c r="AF3272" s="502"/>
      <c r="AH3272" s="898"/>
      <c r="AI3272" s="502"/>
      <c r="AJ3272" s="502"/>
      <c r="AL3272" s="434"/>
      <c r="AM3272" s="436"/>
      <c r="AN3272" s="434"/>
      <c r="AO3272" s="434"/>
      <c r="AP3272" s="556"/>
      <c r="AQ3272" s="556"/>
      <c r="AR3272" s="556"/>
      <c r="CF3272" s="2"/>
    </row>
    <row r="3273" spans="3:84">
      <c r="C3273" s="2"/>
      <c r="AD3273" s="502"/>
      <c r="AE3273" s="911"/>
      <c r="AF3273" s="502"/>
      <c r="AH3273" s="898"/>
      <c r="AI3273" s="502"/>
      <c r="AJ3273" s="502"/>
      <c r="AL3273" s="434"/>
      <c r="AM3273" s="436"/>
      <c r="AN3273" s="434"/>
      <c r="AO3273" s="434"/>
      <c r="AP3273" s="556"/>
      <c r="AQ3273" s="556"/>
      <c r="AR3273" s="556"/>
      <c r="CF3273" s="2"/>
    </row>
    <row r="3274" spans="3:84">
      <c r="C3274" s="2"/>
      <c r="AD3274" s="502"/>
      <c r="AE3274" s="911"/>
      <c r="AF3274" s="502"/>
      <c r="AH3274" s="898"/>
      <c r="AI3274" s="502"/>
      <c r="AJ3274" s="502"/>
      <c r="AL3274" s="434"/>
      <c r="AM3274" s="436"/>
      <c r="AN3274" s="434"/>
      <c r="AO3274" s="434"/>
      <c r="AP3274" s="556"/>
      <c r="AQ3274" s="556"/>
      <c r="AR3274" s="556"/>
      <c r="CF3274" s="2"/>
    </row>
    <row r="3275" spans="3:84">
      <c r="C3275" s="2"/>
      <c r="AD3275" s="502"/>
      <c r="AE3275" s="911"/>
      <c r="AF3275" s="502"/>
      <c r="AH3275" s="898"/>
      <c r="AI3275" s="502"/>
      <c r="AJ3275" s="502"/>
      <c r="AL3275" s="434"/>
      <c r="AM3275" s="436"/>
      <c r="AN3275" s="434"/>
      <c r="AO3275" s="434"/>
      <c r="AP3275" s="556"/>
      <c r="AQ3275" s="556"/>
      <c r="AR3275" s="556"/>
      <c r="CF3275" s="2"/>
    </row>
    <row r="3276" spans="3:84">
      <c r="C3276" s="2"/>
      <c r="AD3276" s="502"/>
      <c r="AE3276" s="911"/>
      <c r="AF3276" s="502"/>
      <c r="AH3276" s="898"/>
      <c r="AI3276" s="502"/>
      <c r="AJ3276" s="502"/>
      <c r="AL3276" s="434"/>
      <c r="AM3276" s="436"/>
      <c r="AN3276" s="434"/>
      <c r="AO3276" s="434"/>
      <c r="AP3276" s="556"/>
      <c r="AQ3276" s="556"/>
      <c r="AR3276" s="556"/>
      <c r="CF3276" s="2"/>
    </row>
    <row r="3277" spans="3:84">
      <c r="C3277" s="2"/>
      <c r="AD3277" s="502"/>
      <c r="AE3277" s="911"/>
      <c r="AF3277" s="502"/>
      <c r="AH3277" s="898"/>
      <c r="AI3277" s="502"/>
      <c r="AJ3277" s="502"/>
      <c r="AL3277" s="434"/>
      <c r="AM3277" s="436"/>
      <c r="AN3277" s="434"/>
      <c r="AO3277" s="434"/>
      <c r="AP3277" s="556"/>
      <c r="AQ3277" s="556"/>
      <c r="AR3277" s="556"/>
      <c r="CF3277" s="2"/>
    </row>
    <row r="3278" spans="3:84">
      <c r="C3278" s="2"/>
      <c r="AD3278" s="502"/>
      <c r="AE3278" s="911"/>
      <c r="AF3278" s="502"/>
      <c r="AH3278" s="898"/>
      <c r="AI3278" s="502"/>
      <c r="AJ3278" s="502"/>
      <c r="AL3278" s="434"/>
      <c r="AM3278" s="436"/>
      <c r="AN3278" s="434"/>
      <c r="AO3278" s="434"/>
      <c r="AP3278" s="556"/>
      <c r="AQ3278" s="556"/>
      <c r="AR3278" s="556"/>
      <c r="CF3278" s="2"/>
    </row>
    <row r="3279" spans="3:84">
      <c r="C3279" s="2"/>
      <c r="AD3279" s="502"/>
      <c r="AE3279" s="911"/>
      <c r="AF3279" s="502"/>
      <c r="AH3279" s="898"/>
      <c r="AI3279" s="502"/>
      <c r="AJ3279" s="502"/>
      <c r="AL3279" s="434"/>
      <c r="AM3279" s="436"/>
      <c r="AN3279" s="434"/>
      <c r="AO3279" s="434"/>
      <c r="AP3279" s="556"/>
      <c r="AQ3279" s="556"/>
      <c r="AR3279" s="556"/>
      <c r="CF3279" s="2"/>
    </row>
    <row r="3280" spans="3:84">
      <c r="C3280" s="2"/>
      <c r="AD3280" s="502"/>
      <c r="AE3280" s="911"/>
      <c r="AF3280" s="502"/>
      <c r="AH3280" s="898"/>
      <c r="AI3280" s="502"/>
      <c r="AJ3280" s="502"/>
      <c r="AL3280" s="434"/>
      <c r="AM3280" s="436"/>
      <c r="AN3280" s="434"/>
      <c r="AO3280" s="434"/>
      <c r="AP3280" s="556"/>
      <c r="AQ3280" s="556"/>
      <c r="AR3280" s="556"/>
      <c r="CF3280" s="2"/>
    </row>
    <row r="3281" spans="3:84">
      <c r="C3281" s="2"/>
      <c r="AD3281" s="502"/>
      <c r="AE3281" s="911"/>
      <c r="AF3281" s="502"/>
      <c r="AH3281" s="898"/>
      <c r="AI3281" s="502"/>
      <c r="AJ3281" s="502"/>
      <c r="AL3281" s="434"/>
      <c r="AM3281" s="436"/>
      <c r="AN3281" s="434"/>
      <c r="AO3281" s="434"/>
      <c r="AP3281" s="556"/>
      <c r="AQ3281" s="556"/>
      <c r="AR3281" s="556"/>
      <c r="CF3281" s="2"/>
    </row>
    <row r="3282" spans="3:84">
      <c r="C3282" s="2"/>
      <c r="AD3282" s="502"/>
      <c r="AE3282" s="911"/>
      <c r="AF3282" s="502"/>
      <c r="AH3282" s="898"/>
      <c r="AI3282" s="502"/>
      <c r="AJ3282" s="502"/>
      <c r="AL3282" s="434"/>
      <c r="AM3282" s="436"/>
      <c r="AN3282" s="434"/>
      <c r="AO3282" s="434"/>
      <c r="AP3282" s="556"/>
      <c r="AQ3282" s="556"/>
      <c r="AR3282" s="556"/>
      <c r="CF3282" s="2"/>
    </row>
    <row r="3283" spans="3:84">
      <c r="C3283" s="2"/>
      <c r="AD3283" s="502"/>
      <c r="AE3283" s="911"/>
      <c r="AF3283" s="502"/>
      <c r="AH3283" s="898"/>
      <c r="AI3283" s="502"/>
      <c r="AJ3283" s="502"/>
      <c r="AL3283" s="434"/>
      <c r="AM3283" s="436"/>
      <c r="AN3283" s="434"/>
      <c r="AO3283" s="434"/>
      <c r="AP3283" s="556"/>
      <c r="AQ3283" s="556"/>
      <c r="AR3283" s="556"/>
      <c r="CF3283" s="2"/>
    </row>
    <row r="3284" spans="3:84">
      <c r="C3284" s="2"/>
      <c r="AD3284" s="502"/>
      <c r="AE3284" s="911"/>
      <c r="AF3284" s="502"/>
      <c r="AH3284" s="898"/>
      <c r="AI3284" s="502"/>
      <c r="AJ3284" s="502"/>
      <c r="AL3284" s="434"/>
      <c r="AM3284" s="436"/>
      <c r="AN3284" s="434"/>
      <c r="AO3284" s="434"/>
      <c r="AP3284" s="556"/>
      <c r="AQ3284" s="556"/>
      <c r="AR3284" s="556"/>
      <c r="CF3284" s="2"/>
    </row>
    <row r="3285" spans="3:84">
      <c r="C3285" s="2"/>
      <c r="AD3285" s="502"/>
      <c r="AE3285" s="911"/>
      <c r="AF3285" s="502"/>
      <c r="AH3285" s="898"/>
      <c r="AI3285" s="502"/>
      <c r="AJ3285" s="502"/>
      <c r="AL3285" s="434"/>
      <c r="AM3285" s="436"/>
      <c r="AN3285" s="434"/>
      <c r="AO3285" s="434"/>
      <c r="AP3285" s="556"/>
      <c r="AQ3285" s="556"/>
      <c r="AR3285" s="556"/>
      <c r="CF3285" s="2"/>
    </row>
    <row r="3286" spans="3:84">
      <c r="C3286" s="2"/>
      <c r="AD3286" s="502"/>
      <c r="AE3286" s="911"/>
      <c r="AF3286" s="502"/>
      <c r="AH3286" s="898"/>
      <c r="AI3286" s="502"/>
      <c r="AJ3286" s="502"/>
      <c r="AL3286" s="434"/>
      <c r="AM3286" s="436"/>
      <c r="AN3286" s="434"/>
      <c r="AO3286" s="434"/>
      <c r="AP3286" s="556"/>
      <c r="AQ3286" s="556"/>
      <c r="AR3286" s="556"/>
      <c r="CF3286" s="2"/>
    </row>
    <row r="3287" spans="3:84">
      <c r="C3287" s="2"/>
      <c r="AD3287" s="502"/>
      <c r="AE3287" s="911"/>
      <c r="AF3287" s="502"/>
      <c r="AH3287" s="898"/>
      <c r="AI3287" s="502"/>
      <c r="AJ3287" s="502"/>
      <c r="AL3287" s="434"/>
      <c r="AM3287" s="436"/>
      <c r="AN3287" s="434"/>
      <c r="AO3287" s="434"/>
      <c r="AP3287" s="556"/>
      <c r="AQ3287" s="556"/>
      <c r="AR3287" s="556"/>
      <c r="CF3287" s="2"/>
    </row>
    <row r="3288" spans="3:84">
      <c r="C3288" s="2"/>
      <c r="AD3288" s="502"/>
      <c r="AE3288" s="911"/>
      <c r="AF3288" s="502"/>
      <c r="AH3288" s="898"/>
      <c r="AI3288" s="502"/>
      <c r="AJ3288" s="502"/>
      <c r="AL3288" s="434"/>
      <c r="AM3288" s="436"/>
      <c r="AN3288" s="434"/>
      <c r="AO3288" s="434"/>
      <c r="AP3288" s="556"/>
      <c r="AQ3288" s="556"/>
      <c r="AR3288" s="556"/>
      <c r="CF3288" s="2"/>
    </row>
    <row r="3289" spans="3:84">
      <c r="C3289" s="2"/>
      <c r="AD3289" s="502"/>
      <c r="AE3289" s="911"/>
      <c r="AF3289" s="502"/>
      <c r="AH3289" s="898"/>
      <c r="AI3289" s="502"/>
      <c r="AJ3289" s="502"/>
      <c r="AL3289" s="434"/>
      <c r="AM3289" s="436"/>
      <c r="AN3289" s="434"/>
      <c r="AO3289" s="434"/>
      <c r="AP3289" s="556"/>
      <c r="AQ3289" s="556"/>
      <c r="AR3289" s="556"/>
      <c r="CF3289" s="2"/>
    </row>
    <row r="3290" spans="3:84">
      <c r="C3290" s="2"/>
      <c r="AD3290" s="502"/>
      <c r="AE3290" s="911"/>
      <c r="AF3290" s="502"/>
      <c r="AH3290" s="898"/>
      <c r="AI3290" s="502"/>
      <c r="AJ3290" s="502"/>
      <c r="AL3290" s="434"/>
      <c r="AM3290" s="436"/>
      <c r="AN3290" s="434"/>
      <c r="AO3290" s="434"/>
      <c r="AP3290" s="556"/>
      <c r="AQ3290" s="556"/>
      <c r="AR3290" s="556"/>
      <c r="CF3290" s="2"/>
    </row>
    <row r="3291" spans="3:84">
      <c r="C3291" s="2"/>
      <c r="AD3291" s="502"/>
      <c r="AE3291" s="911"/>
      <c r="AF3291" s="502"/>
      <c r="AH3291" s="898"/>
      <c r="AI3291" s="502"/>
      <c r="AJ3291" s="502"/>
      <c r="AL3291" s="434"/>
      <c r="AM3291" s="436"/>
      <c r="AN3291" s="434"/>
      <c r="AO3291" s="434"/>
      <c r="AP3291" s="556"/>
      <c r="AQ3291" s="556"/>
      <c r="AR3291" s="556"/>
      <c r="CF3291" s="2"/>
    </row>
    <row r="3292" spans="3:84">
      <c r="C3292" s="2"/>
      <c r="AD3292" s="502"/>
      <c r="AE3292" s="911"/>
      <c r="AF3292" s="502"/>
      <c r="AH3292" s="898"/>
      <c r="AI3292" s="502"/>
      <c r="AJ3292" s="502"/>
      <c r="AL3292" s="434"/>
      <c r="AM3292" s="436"/>
      <c r="AN3292" s="434"/>
      <c r="AO3292" s="434"/>
      <c r="AP3292" s="556"/>
      <c r="AQ3292" s="556"/>
      <c r="AR3292" s="556"/>
      <c r="CF3292" s="2"/>
    </row>
    <row r="3293" spans="3:84">
      <c r="C3293" s="2"/>
      <c r="AD3293" s="502"/>
      <c r="AE3293" s="911"/>
      <c r="AF3293" s="502"/>
      <c r="AH3293" s="898"/>
      <c r="AI3293" s="502"/>
      <c r="AJ3293" s="502"/>
      <c r="AL3293" s="434"/>
      <c r="AM3293" s="436"/>
      <c r="AN3293" s="434"/>
      <c r="AO3293" s="434"/>
      <c r="AP3293" s="556"/>
      <c r="AQ3293" s="556"/>
      <c r="AR3293" s="556"/>
      <c r="CF3293" s="2"/>
    </row>
    <row r="3294" spans="3:84">
      <c r="C3294" s="2"/>
      <c r="AD3294" s="502"/>
      <c r="AE3294" s="911"/>
      <c r="AF3294" s="502"/>
      <c r="AH3294" s="898"/>
      <c r="AI3294" s="502"/>
      <c r="AJ3294" s="502"/>
      <c r="AL3294" s="434"/>
      <c r="AM3294" s="436"/>
      <c r="AN3294" s="434"/>
      <c r="AO3294" s="434"/>
      <c r="AP3294" s="556"/>
      <c r="AQ3294" s="556"/>
      <c r="AR3294" s="556"/>
      <c r="CF3294" s="2"/>
    </row>
    <row r="3295" spans="3:84">
      <c r="C3295" s="2"/>
      <c r="AD3295" s="502"/>
      <c r="AE3295" s="911"/>
      <c r="AF3295" s="502"/>
      <c r="AH3295" s="898"/>
      <c r="AI3295" s="502"/>
      <c r="AJ3295" s="502"/>
      <c r="AL3295" s="434"/>
      <c r="AM3295" s="436"/>
      <c r="AN3295" s="434"/>
      <c r="AO3295" s="434"/>
      <c r="AP3295" s="556"/>
      <c r="AQ3295" s="556"/>
      <c r="AR3295" s="556"/>
      <c r="CF3295" s="2"/>
    </row>
    <row r="3296" spans="3:84">
      <c r="C3296" s="2"/>
      <c r="AD3296" s="502"/>
      <c r="AE3296" s="911"/>
      <c r="AF3296" s="502"/>
      <c r="AH3296" s="898"/>
      <c r="AI3296" s="502"/>
      <c r="AJ3296" s="502"/>
      <c r="AL3296" s="434"/>
      <c r="AM3296" s="436"/>
      <c r="AN3296" s="434"/>
      <c r="AO3296" s="434"/>
      <c r="AP3296" s="556"/>
      <c r="AQ3296" s="556"/>
      <c r="AR3296" s="556"/>
      <c r="CF3296" s="2"/>
    </row>
    <row r="3297" spans="3:84">
      <c r="C3297" s="2"/>
      <c r="AD3297" s="502"/>
      <c r="AE3297" s="911"/>
      <c r="AF3297" s="502"/>
      <c r="AH3297" s="898"/>
      <c r="AI3297" s="502"/>
      <c r="AJ3297" s="502"/>
      <c r="AL3297" s="434"/>
      <c r="AM3297" s="436"/>
      <c r="AN3297" s="434"/>
      <c r="AO3297" s="434"/>
      <c r="AP3297" s="556"/>
      <c r="AQ3297" s="556"/>
      <c r="AR3297" s="556"/>
      <c r="CF3297" s="2"/>
    </row>
    <row r="3298" spans="3:84">
      <c r="C3298" s="2"/>
      <c r="AD3298" s="502"/>
      <c r="AE3298" s="911"/>
      <c r="AF3298" s="502"/>
      <c r="AH3298" s="898"/>
      <c r="AI3298" s="502"/>
      <c r="AJ3298" s="502"/>
      <c r="AL3298" s="434"/>
      <c r="AM3298" s="436"/>
      <c r="AN3298" s="434"/>
      <c r="AO3298" s="434"/>
      <c r="AP3298" s="556"/>
      <c r="AQ3298" s="556"/>
      <c r="AR3298" s="556"/>
      <c r="CF3298" s="2"/>
    </row>
    <row r="3299" spans="3:84">
      <c r="C3299" s="2"/>
      <c r="AD3299" s="502"/>
      <c r="AE3299" s="911"/>
      <c r="AF3299" s="502"/>
      <c r="AH3299" s="898"/>
      <c r="AI3299" s="502"/>
      <c r="AJ3299" s="502"/>
      <c r="AL3299" s="434"/>
      <c r="AM3299" s="436"/>
      <c r="AN3299" s="434"/>
      <c r="AO3299" s="434"/>
      <c r="AP3299" s="556"/>
      <c r="AQ3299" s="556"/>
      <c r="AR3299" s="556"/>
      <c r="CF3299" s="2"/>
    </row>
    <row r="3300" spans="3:84">
      <c r="C3300" s="2"/>
      <c r="AD3300" s="502"/>
      <c r="AE3300" s="911"/>
      <c r="AF3300" s="502"/>
      <c r="AH3300" s="898"/>
      <c r="AI3300" s="502"/>
      <c r="AJ3300" s="502"/>
      <c r="AL3300" s="434"/>
      <c r="AM3300" s="436"/>
      <c r="AN3300" s="434"/>
      <c r="AO3300" s="434"/>
      <c r="AP3300" s="556"/>
      <c r="AQ3300" s="556"/>
      <c r="AR3300" s="556"/>
      <c r="CF3300" s="2"/>
    </row>
    <row r="3301" spans="3:84">
      <c r="C3301" s="2"/>
      <c r="AD3301" s="502"/>
      <c r="AE3301" s="911"/>
      <c r="AF3301" s="502"/>
      <c r="AH3301" s="898"/>
      <c r="AI3301" s="502"/>
      <c r="AJ3301" s="502"/>
      <c r="AL3301" s="434"/>
      <c r="AM3301" s="436"/>
      <c r="AN3301" s="434"/>
      <c r="AO3301" s="434"/>
      <c r="AP3301" s="556"/>
      <c r="AQ3301" s="556"/>
      <c r="AR3301" s="556"/>
      <c r="CF3301" s="2"/>
    </row>
    <row r="3302" spans="3:84">
      <c r="C3302" s="2"/>
      <c r="AD3302" s="502"/>
      <c r="AE3302" s="911"/>
      <c r="AF3302" s="502"/>
      <c r="AH3302" s="898"/>
      <c r="AI3302" s="502"/>
      <c r="AJ3302" s="502"/>
      <c r="AL3302" s="434"/>
      <c r="AM3302" s="436"/>
      <c r="AN3302" s="434"/>
      <c r="AO3302" s="434"/>
      <c r="AP3302" s="556"/>
      <c r="AQ3302" s="556"/>
      <c r="AR3302" s="556"/>
      <c r="CF3302" s="2"/>
    </row>
    <row r="3303" spans="3:84">
      <c r="C3303" s="2"/>
      <c r="AD3303" s="502"/>
      <c r="AE3303" s="911"/>
      <c r="AF3303" s="502"/>
      <c r="AH3303" s="898"/>
      <c r="AI3303" s="502"/>
      <c r="AJ3303" s="502"/>
      <c r="AL3303" s="434"/>
      <c r="AM3303" s="436"/>
      <c r="AN3303" s="434"/>
      <c r="AO3303" s="434"/>
      <c r="AP3303" s="556"/>
      <c r="AQ3303" s="556"/>
      <c r="AR3303" s="556"/>
      <c r="CF3303" s="2"/>
    </row>
    <row r="3304" spans="3:84">
      <c r="C3304" s="2"/>
      <c r="AD3304" s="502"/>
      <c r="AE3304" s="911"/>
      <c r="AF3304" s="502"/>
      <c r="AH3304" s="898"/>
      <c r="AI3304" s="502"/>
      <c r="AJ3304" s="502"/>
      <c r="AL3304" s="434"/>
      <c r="AM3304" s="436"/>
      <c r="AN3304" s="434"/>
      <c r="AO3304" s="434"/>
      <c r="AP3304" s="556"/>
      <c r="AQ3304" s="556"/>
      <c r="AR3304" s="556"/>
      <c r="CF3304" s="2"/>
    </row>
    <row r="3305" spans="3:84">
      <c r="C3305" s="2"/>
      <c r="AD3305" s="502"/>
      <c r="AE3305" s="911"/>
      <c r="AF3305" s="502"/>
      <c r="AH3305" s="898"/>
      <c r="AI3305" s="502"/>
      <c r="AJ3305" s="502"/>
      <c r="AL3305" s="434"/>
      <c r="AM3305" s="436"/>
      <c r="AN3305" s="434"/>
      <c r="AO3305" s="434"/>
      <c r="AP3305" s="556"/>
      <c r="AQ3305" s="556"/>
      <c r="AR3305" s="556"/>
      <c r="CF3305" s="2"/>
    </row>
    <row r="3306" spans="3:84">
      <c r="C3306" s="2"/>
      <c r="AD3306" s="502"/>
      <c r="AE3306" s="911"/>
      <c r="AF3306" s="502"/>
      <c r="AH3306" s="898"/>
      <c r="AI3306" s="502"/>
      <c r="AJ3306" s="502"/>
      <c r="AL3306" s="434"/>
      <c r="AM3306" s="436"/>
      <c r="AN3306" s="434"/>
      <c r="AO3306" s="434"/>
      <c r="AP3306" s="556"/>
      <c r="AQ3306" s="556"/>
      <c r="AR3306" s="556"/>
      <c r="CF3306" s="2"/>
    </row>
    <row r="3307" spans="3:84">
      <c r="C3307" s="2"/>
      <c r="AD3307" s="502"/>
      <c r="AE3307" s="911"/>
      <c r="AF3307" s="502"/>
      <c r="AH3307" s="898"/>
      <c r="AI3307" s="502"/>
      <c r="AJ3307" s="502"/>
      <c r="AL3307" s="434"/>
      <c r="AM3307" s="436"/>
      <c r="AN3307" s="434"/>
      <c r="AO3307" s="434"/>
      <c r="AP3307" s="556"/>
      <c r="AQ3307" s="556"/>
      <c r="AR3307" s="556"/>
      <c r="CF3307" s="2"/>
    </row>
    <row r="3308" spans="3:84">
      <c r="C3308" s="2"/>
      <c r="AD3308" s="502"/>
      <c r="AE3308" s="911"/>
      <c r="AF3308" s="502"/>
      <c r="AH3308" s="898"/>
      <c r="AI3308" s="502"/>
      <c r="AJ3308" s="502"/>
      <c r="AL3308" s="434"/>
      <c r="AM3308" s="436"/>
      <c r="AN3308" s="434"/>
      <c r="AO3308" s="434"/>
      <c r="AP3308" s="556"/>
      <c r="AQ3308" s="556"/>
      <c r="AR3308" s="556"/>
      <c r="CF3308" s="2"/>
    </row>
    <row r="3309" spans="3:84">
      <c r="C3309" s="2"/>
      <c r="AD3309" s="502"/>
      <c r="AE3309" s="911"/>
      <c r="AF3309" s="502"/>
      <c r="AH3309" s="898"/>
      <c r="AI3309" s="502"/>
      <c r="AJ3309" s="502"/>
      <c r="AL3309" s="434"/>
      <c r="AM3309" s="436"/>
      <c r="AN3309" s="434"/>
      <c r="AO3309" s="434"/>
      <c r="AP3309" s="556"/>
      <c r="AQ3309" s="556"/>
      <c r="AR3309" s="556"/>
      <c r="CF3309" s="2"/>
    </row>
    <row r="3310" spans="3:84">
      <c r="C3310" s="2"/>
      <c r="AD3310" s="502"/>
      <c r="AE3310" s="911"/>
      <c r="AF3310" s="502"/>
      <c r="AH3310" s="898"/>
      <c r="AI3310" s="502"/>
      <c r="AJ3310" s="502"/>
      <c r="AL3310" s="434"/>
      <c r="AM3310" s="436"/>
      <c r="AN3310" s="434"/>
      <c r="AO3310" s="434"/>
      <c r="AP3310" s="556"/>
      <c r="AQ3310" s="556"/>
      <c r="AR3310" s="556"/>
      <c r="CF3310" s="2"/>
    </row>
    <row r="3311" spans="3:84">
      <c r="C3311" s="2"/>
      <c r="AD3311" s="502"/>
      <c r="AE3311" s="911"/>
      <c r="AF3311" s="502"/>
      <c r="AH3311" s="898"/>
      <c r="AI3311" s="502"/>
      <c r="AJ3311" s="502"/>
      <c r="AL3311" s="434"/>
      <c r="AM3311" s="436"/>
      <c r="AN3311" s="434"/>
      <c r="AO3311" s="434"/>
      <c r="AP3311" s="556"/>
      <c r="AQ3311" s="556"/>
      <c r="AR3311" s="556"/>
      <c r="CF3311" s="2"/>
    </row>
    <row r="3312" spans="3:84">
      <c r="C3312" s="2"/>
      <c r="AD3312" s="502"/>
      <c r="AE3312" s="911"/>
      <c r="AF3312" s="502"/>
      <c r="AH3312" s="898"/>
      <c r="AI3312" s="502"/>
      <c r="AJ3312" s="502"/>
      <c r="AL3312" s="434"/>
      <c r="AM3312" s="436"/>
      <c r="AN3312" s="434"/>
      <c r="AO3312" s="434"/>
      <c r="AP3312" s="556"/>
      <c r="AQ3312" s="556"/>
      <c r="AR3312" s="556"/>
      <c r="CF3312" s="2"/>
    </row>
    <row r="3313" spans="3:84">
      <c r="C3313" s="2"/>
      <c r="AD3313" s="502"/>
      <c r="AE3313" s="911"/>
      <c r="AF3313" s="502"/>
      <c r="AH3313" s="898"/>
      <c r="AI3313" s="502"/>
      <c r="AJ3313" s="502"/>
      <c r="AL3313" s="434"/>
      <c r="AM3313" s="436"/>
      <c r="AN3313" s="434"/>
      <c r="AO3313" s="434"/>
      <c r="AP3313" s="556"/>
      <c r="AQ3313" s="556"/>
      <c r="AR3313" s="556"/>
      <c r="CF3313" s="2"/>
    </row>
    <row r="3314" spans="3:84">
      <c r="C3314" s="2"/>
      <c r="AD3314" s="502"/>
      <c r="AE3314" s="911"/>
      <c r="AF3314" s="502"/>
      <c r="AH3314" s="898"/>
      <c r="AI3314" s="502"/>
      <c r="AJ3314" s="502"/>
      <c r="AL3314" s="434"/>
      <c r="AM3314" s="436"/>
      <c r="AN3314" s="434"/>
      <c r="AO3314" s="434"/>
      <c r="AP3314" s="556"/>
      <c r="AQ3314" s="556"/>
      <c r="AR3314" s="556"/>
      <c r="CF3314" s="2"/>
    </row>
    <row r="3315" spans="3:84">
      <c r="C3315" s="2"/>
      <c r="AD3315" s="502"/>
      <c r="AE3315" s="911"/>
      <c r="AF3315" s="502"/>
      <c r="AH3315" s="898"/>
      <c r="AI3315" s="502"/>
      <c r="AJ3315" s="502"/>
      <c r="AL3315" s="434"/>
      <c r="AM3315" s="436"/>
      <c r="AN3315" s="434"/>
      <c r="AO3315" s="434"/>
      <c r="AP3315" s="556"/>
      <c r="AQ3315" s="556"/>
      <c r="AR3315" s="556"/>
      <c r="CF3315" s="2"/>
    </row>
    <row r="3316" spans="3:84">
      <c r="C3316" s="2"/>
      <c r="AD3316" s="502"/>
      <c r="AE3316" s="911"/>
      <c r="AF3316" s="502"/>
      <c r="AH3316" s="898"/>
      <c r="AI3316" s="502"/>
      <c r="AJ3316" s="502"/>
      <c r="AL3316" s="434"/>
      <c r="AM3316" s="436"/>
      <c r="AN3316" s="434"/>
      <c r="AO3316" s="434"/>
      <c r="AP3316" s="556"/>
      <c r="AQ3316" s="556"/>
      <c r="AR3316" s="556"/>
      <c r="CF3316" s="2"/>
    </row>
    <row r="3317" spans="3:84">
      <c r="C3317" s="2"/>
      <c r="AD3317" s="502"/>
      <c r="AE3317" s="911"/>
      <c r="AF3317" s="502"/>
      <c r="AH3317" s="898"/>
      <c r="AI3317" s="502"/>
      <c r="AJ3317" s="502"/>
      <c r="AL3317" s="434"/>
      <c r="AM3317" s="436"/>
      <c r="AN3317" s="434"/>
      <c r="AO3317" s="434"/>
      <c r="AP3317" s="556"/>
      <c r="AQ3317" s="556"/>
      <c r="AR3317" s="556"/>
      <c r="CF3317" s="2"/>
    </row>
    <row r="3318" spans="3:84">
      <c r="C3318" s="2"/>
      <c r="AD3318" s="502"/>
      <c r="AE3318" s="911"/>
      <c r="AF3318" s="502"/>
      <c r="AH3318" s="898"/>
      <c r="AI3318" s="502"/>
      <c r="AJ3318" s="502"/>
      <c r="AL3318" s="434"/>
      <c r="AM3318" s="436"/>
      <c r="AN3318" s="434"/>
      <c r="AO3318" s="434"/>
      <c r="AP3318" s="556"/>
      <c r="AQ3318" s="556"/>
      <c r="AR3318" s="556"/>
      <c r="CF3318" s="2"/>
    </row>
    <row r="3319" spans="3:84">
      <c r="C3319" s="2"/>
      <c r="AD3319" s="502"/>
      <c r="AE3319" s="911"/>
      <c r="AF3319" s="502"/>
      <c r="AH3319" s="898"/>
      <c r="AI3319" s="502"/>
      <c r="AJ3319" s="502"/>
      <c r="AL3319" s="434"/>
      <c r="AM3319" s="436"/>
      <c r="AN3319" s="434"/>
      <c r="AO3319" s="434"/>
      <c r="AP3319" s="556"/>
      <c r="AQ3319" s="556"/>
      <c r="AR3319" s="556"/>
      <c r="CF3319" s="2"/>
    </row>
    <row r="3320" spans="3:84">
      <c r="C3320" s="2"/>
      <c r="AD3320" s="502"/>
      <c r="AE3320" s="911"/>
      <c r="AF3320" s="502"/>
      <c r="AH3320" s="898"/>
      <c r="AI3320" s="502"/>
      <c r="AJ3320" s="502"/>
      <c r="AL3320" s="434"/>
      <c r="AM3320" s="436"/>
      <c r="AN3320" s="434"/>
      <c r="AO3320" s="434"/>
      <c r="AP3320" s="556"/>
      <c r="AQ3320" s="556"/>
      <c r="AR3320" s="556"/>
      <c r="CF3320" s="2"/>
    </row>
    <row r="3321" spans="3:84">
      <c r="C3321" s="2"/>
      <c r="AD3321" s="502"/>
      <c r="AE3321" s="911"/>
      <c r="AF3321" s="502"/>
      <c r="AH3321" s="898"/>
      <c r="AI3321" s="502"/>
      <c r="AJ3321" s="502"/>
      <c r="AL3321" s="434"/>
      <c r="AM3321" s="436"/>
      <c r="AN3321" s="434"/>
      <c r="AO3321" s="434"/>
      <c r="AP3321" s="556"/>
      <c r="AQ3321" s="556"/>
      <c r="AR3321" s="556"/>
      <c r="CF3321" s="2"/>
    </row>
    <row r="3322" spans="3:84">
      <c r="C3322" s="2"/>
      <c r="AD3322" s="502"/>
      <c r="AE3322" s="911"/>
      <c r="AF3322" s="502"/>
      <c r="AH3322" s="898"/>
      <c r="AI3322" s="502"/>
      <c r="AJ3322" s="502"/>
      <c r="AL3322" s="434"/>
      <c r="AM3322" s="436"/>
      <c r="AN3322" s="434"/>
      <c r="AO3322" s="434"/>
      <c r="AP3322" s="556"/>
      <c r="AQ3322" s="556"/>
      <c r="AR3322" s="556"/>
      <c r="CF3322" s="2"/>
    </row>
    <row r="3323" spans="3:84">
      <c r="C3323" s="2"/>
      <c r="AD3323" s="502"/>
      <c r="AE3323" s="911"/>
      <c r="AF3323" s="502"/>
      <c r="AH3323" s="898"/>
      <c r="AI3323" s="502"/>
      <c r="AJ3323" s="502"/>
      <c r="AL3323" s="434"/>
      <c r="AM3323" s="436"/>
      <c r="AN3323" s="434"/>
      <c r="AO3323" s="434"/>
      <c r="AP3323" s="556"/>
      <c r="AQ3323" s="556"/>
      <c r="AR3323" s="556"/>
      <c r="CF3323" s="2"/>
    </row>
    <row r="3324" spans="3:84">
      <c r="C3324" s="2"/>
      <c r="AD3324" s="502"/>
      <c r="AE3324" s="911"/>
      <c r="AF3324" s="502"/>
      <c r="AH3324" s="898"/>
      <c r="AI3324" s="502"/>
      <c r="AJ3324" s="502"/>
      <c r="AL3324" s="434"/>
      <c r="AM3324" s="436"/>
      <c r="AN3324" s="434"/>
      <c r="AO3324" s="434"/>
      <c r="AP3324" s="556"/>
      <c r="AQ3324" s="556"/>
      <c r="AR3324" s="556"/>
      <c r="CF3324" s="2"/>
    </row>
    <row r="3325" spans="3:84">
      <c r="C3325" s="2"/>
      <c r="AD3325" s="502"/>
      <c r="AE3325" s="911"/>
      <c r="AF3325" s="502"/>
      <c r="AH3325" s="898"/>
      <c r="AI3325" s="502"/>
      <c r="AJ3325" s="502"/>
      <c r="AL3325" s="434"/>
      <c r="AM3325" s="436"/>
      <c r="AN3325" s="434"/>
      <c r="AO3325" s="434"/>
      <c r="AP3325" s="556"/>
      <c r="AQ3325" s="556"/>
      <c r="AR3325" s="556"/>
      <c r="CF3325" s="2"/>
    </row>
    <row r="3326" spans="3:84">
      <c r="C3326" s="2"/>
      <c r="AD3326" s="502"/>
      <c r="AE3326" s="911"/>
      <c r="AF3326" s="502"/>
      <c r="AH3326" s="898"/>
      <c r="AI3326" s="502"/>
      <c r="AJ3326" s="502"/>
      <c r="AL3326" s="434"/>
      <c r="AM3326" s="436"/>
      <c r="AN3326" s="434"/>
      <c r="AO3326" s="434"/>
      <c r="AP3326" s="556"/>
      <c r="AQ3326" s="556"/>
      <c r="AR3326" s="556"/>
      <c r="CF3326" s="2"/>
    </row>
    <row r="3327" spans="3:84">
      <c r="C3327" s="2"/>
      <c r="AD3327" s="502"/>
      <c r="AE3327" s="911"/>
      <c r="AF3327" s="502"/>
      <c r="AH3327" s="898"/>
      <c r="AI3327" s="502"/>
      <c r="AJ3327" s="502"/>
      <c r="AL3327" s="434"/>
      <c r="AM3327" s="436"/>
      <c r="AN3327" s="434"/>
      <c r="AO3327" s="434"/>
      <c r="AP3327" s="556"/>
      <c r="AQ3327" s="556"/>
      <c r="AR3327" s="556"/>
      <c r="CF3327" s="2"/>
    </row>
    <row r="3328" spans="3:84">
      <c r="C3328" s="2"/>
      <c r="AD3328" s="502"/>
      <c r="AE3328" s="911"/>
      <c r="AF3328" s="502"/>
      <c r="AH3328" s="898"/>
      <c r="AI3328" s="502"/>
      <c r="AJ3328" s="502"/>
      <c r="AL3328" s="434"/>
      <c r="AM3328" s="436"/>
      <c r="AN3328" s="434"/>
      <c r="AO3328" s="434"/>
      <c r="AP3328" s="556"/>
      <c r="AQ3328" s="556"/>
      <c r="AR3328" s="556"/>
      <c r="CF3328" s="2"/>
    </row>
    <row r="3329" spans="3:84">
      <c r="C3329" s="2"/>
      <c r="AD3329" s="502"/>
      <c r="AE3329" s="911"/>
      <c r="AF3329" s="502"/>
      <c r="AH3329" s="898"/>
      <c r="AI3329" s="502"/>
      <c r="AJ3329" s="502"/>
      <c r="AL3329" s="434"/>
      <c r="AM3329" s="436"/>
      <c r="AN3329" s="434"/>
      <c r="AO3329" s="434"/>
      <c r="AP3329" s="556"/>
      <c r="AQ3329" s="556"/>
      <c r="AR3329" s="556"/>
      <c r="CF3329" s="2"/>
    </row>
    <row r="3330" spans="3:84">
      <c r="C3330" s="2"/>
      <c r="AD3330" s="502"/>
      <c r="AE3330" s="911"/>
      <c r="AF3330" s="502"/>
      <c r="AH3330" s="898"/>
      <c r="AI3330" s="502"/>
      <c r="AJ3330" s="502"/>
      <c r="AL3330" s="434"/>
      <c r="AM3330" s="436"/>
      <c r="AN3330" s="434"/>
      <c r="AO3330" s="434"/>
      <c r="AP3330" s="556"/>
      <c r="AQ3330" s="556"/>
      <c r="AR3330" s="556"/>
      <c r="CF3330" s="2"/>
    </row>
    <row r="3331" spans="3:84">
      <c r="C3331" s="2"/>
      <c r="AD3331" s="502"/>
      <c r="AE3331" s="911"/>
      <c r="AF3331" s="502"/>
      <c r="AH3331" s="898"/>
      <c r="AI3331" s="502"/>
      <c r="AJ3331" s="502"/>
      <c r="AL3331" s="434"/>
      <c r="AM3331" s="436"/>
      <c r="AN3331" s="434"/>
      <c r="AO3331" s="434"/>
      <c r="AP3331" s="556"/>
      <c r="AQ3331" s="556"/>
      <c r="AR3331" s="556"/>
      <c r="CF3331" s="2"/>
    </row>
    <row r="3332" spans="3:84">
      <c r="C3332" s="2"/>
      <c r="AD3332" s="502"/>
      <c r="AE3332" s="911"/>
      <c r="AF3332" s="502"/>
      <c r="AH3332" s="898"/>
      <c r="AI3332" s="502"/>
      <c r="AJ3332" s="502"/>
      <c r="AL3332" s="434"/>
      <c r="AM3332" s="436"/>
      <c r="AN3332" s="434"/>
      <c r="AO3332" s="434"/>
      <c r="AP3332" s="556"/>
      <c r="AQ3332" s="556"/>
      <c r="AR3332" s="556"/>
      <c r="CF3332" s="2"/>
    </row>
    <row r="3333" spans="3:84">
      <c r="C3333" s="2"/>
      <c r="AD3333" s="502"/>
      <c r="AE3333" s="911"/>
      <c r="AF3333" s="502"/>
      <c r="AH3333" s="898"/>
      <c r="AI3333" s="502"/>
      <c r="AJ3333" s="502"/>
      <c r="AL3333" s="434"/>
      <c r="AM3333" s="436"/>
      <c r="AN3333" s="434"/>
      <c r="AO3333" s="434"/>
      <c r="AP3333" s="556"/>
      <c r="AQ3333" s="556"/>
      <c r="AR3333" s="556"/>
      <c r="CF3333" s="2"/>
    </row>
    <row r="3334" spans="3:84">
      <c r="C3334" s="2"/>
      <c r="AD3334" s="502"/>
      <c r="AE3334" s="911"/>
      <c r="AF3334" s="502"/>
      <c r="AH3334" s="898"/>
      <c r="AI3334" s="502"/>
      <c r="AJ3334" s="502"/>
      <c r="AL3334" s="434"/>
      <c r="AM3334" s="436"/>
      <c r="AN3334" s="434"/>
      <c r="AO3334" s="434"/>
      <c r="AP3334" s="556"/>
      <c r="AQ3334" s="556"/>
      <c r="AR3334" s="556"/>
      <c r="CF3334" s="2"/>
    </row>
    <row r="3335" spans="3:84">
      <c r="C3335" s="2"/>
      <c r="AD3335" s="502"/>
      <c r="AE3335" s="911"/>
      <c r="AF3335" s="502"/>
      <c r="AH3335" s="898"/>
      <c r="AI3335" s="502"/>
      <c r="AJ3335" s="502"/>
      <c r="AL3335" s="434"/>
      <c r="AM3335" s="436"/>
      <c r="AN3335" s="434"/>
      <c r="AO3335" s="434"/>
      <c r="AP3335" s="556"/>
      <c r="AQ3335" s="556"/>
      <c r="AR3335" s="556"/>
      <c r="CF3335" s="2"/>
    </row>
    <row r="3336" spans="3:84">
      <c r="C3336" s="2"/>
      <c r="AD3336" s="502"/>
      <c r="AE3336" s="911"/>
      <c r="AF3336" s="502"/>
      <c r="AH3336" s="898"/>
      <c r="AI3336" s="502"/>
      <c r="AJ3336" s="502"/>
      <c r="AL3336" s="434"/>
      <c r="AM3336" s="436"/>
      <c r="AN3336" s="434"/>
      <c r="AO3336" s="434"/>
      <c r="AP3336" s="556"/>
      <c r="AQ3336" s="556"/>
      <c r="AR3336" s="556"/>
      <c r="CF3336" s="2"/>
    </row>
    <row r="3337" spans="3:84">
      <c r="C3337" s="2"/>
      <c r="AD3337" s="502"/>
      <c r="AE3337" s="911"/>
      <c r="AF3337" s="502"/>
      <c r="AH3337" s="898"/>
      <c r="AI3337" s="502"/>
      <c r="AJ3337" s="502"/>
      <c r="AL3337" s="434"/>
      <c r="AM3337" s="436"/>
      <c r="AN3337" s="434"/>
      <c r="AO3337" s="434"/>
      <c r="AP3337" s="556"/>
      <c r="AQ3337" s="556"/>
      <c r="AR3337" s="556"/>
      <c r="CF3337" s="2"/>
    </row>
    <row r="3338" spans="3:84">
      <c r="C3338" s="2"/>
      <c r="AD3338" s="502"/>
      <c r="AE3338" s="911"/>
      <c r="AF3338" s="502"/>
      <c r="AH3338" s="898"/>
      <c r="AI3338" s="502"/>
      <c r="AJ3338" s="502"/>
      <c r="AL3338" s="434"/>
      <c r="AM3338" s="436"/>
      <c r="AN3338" s="434"/>
      <c r="AO3338" s="434"/>
      <c r="AP3338" s="556"/>
      <c r="AQ3338" s="556"/>
      <c r="AR3338" s="556"/>
      <c r="CF3338" s="2"/>
    </row>
    <row r="3339" spans="3:84">
      <c r="C3339" s="2"/>
      <c r="AD3339" s="502"/>
      <c r="AE3339" s="911"/>
      <c r="AF3339" s="502"/>
      <c r="AH3339" s="898"/>
      <c r="AI3339" s="502"/>
      <c r="AJ3339" s="502"/>
      <c r="AL3339" s="434"/>
      <c r="AM3339" s="436"/>
      <c r="AN3339" s="434"/>
      <c r="AO3339" s="434"/>
      <c r="AP3339" s="556"/>
      <c r="AQ3339" s="556"/>
      <c r="AR3339" s="556"/>
      <c r="CF3339" s="2"/>
    </row>
    <row r="3340" spans="3:84">
      <c r="C3340" s="2"/>
      <c r="AD3340" s="502"/>
      <c r="AE3340" s="911"/>
      <c r="AF3340" s="502"/>
      <c r="AH3340" s="898"/>
      <c r="AI3340" s="502"/>
      <c r="AJ3340" s="502"/>
      <c r="AL3340" s="434"/>
      <c r="AM3340" s="436"/>
      <c r="AN3340" s="434"/>
      <c r="AO3340" s="434"/>
      <c r="AP3340" s="556"/>
      <c r="AQ3340" s="556"/>
      <c r="AR3340" s="556"/>
      <c r="CF3340" s="2"/>
    </row>
    <row r="3341" spans="3:84">
      <c r="C3341" s="2"/>
      <c r="AD3341" s="502"/>
      <c r="AE3341" s="911"/>
      <c r="AF3341" s="502"/>
      <c r="AH3341" s="898"/>
      <c r="AI3341" s="502"/>
      <c r="AJ3341" s="502"/>
      <c r="AL3341" s="434"/>
      <c r="AM3341" s="436"/>
      <c r="AN3341" s="434"/>
      <c r="AO3341" s="434"/>
      <c r="AP3341" s="556"/>
      <c r="AQ3341" s="556"/>
      <c r="AR3341" s="556"/>
      <c r="CF3341" s="2"/>
    </row>
    <row r="3342" spans="3:84">
      <c r="C3342" s="2"/>
      <c r="AD3342" s="502"/>
      <c r="AE3342" s="911"/>
      <c r="AF3342" s="502"/>
      <c r="AH3342" s="898"/>
      <c r="AI3342" s="502"/>
      <c r="AJ3342" s="502"/>
      <c r="AL3342" s="434"/>
      <c r="AM3342" s="436"/>
      <c r="AN3342" s="434"/>
      <c r="AO3342" s="434"/>
      <c r="AP3342" s="556"/>
      <c r="AQ3342" s="556"/>
      <c r="AR3342" s="556"/>
      <c r="CF3342" s="2"/>
    </row>
    <row r="3343" spans="3:84">
      <c r="C3343" s="2"/>
      <c r="AD3343" s="502"/>
      <c r="AE3343" s="911"/>
      <c r="AF3343" s="502"/>
      <c r="AH3343" s="898"/>
      <c r="AI3343" s="502"/>
      <c r="AJ3343" s="502"/>
      <c r="AL3343" s="434"/>
      <c r="AM3343" s="436"/>
      <c r="AN3343" s="434"/>
      <c r="AO3343" s="434"/>
      <c r="AP3343" s="556"/>
      <c r="AQ3343" s="556"/>
      <c r="AR3343" s="556"/>
      <c r="CF3343" s="2"/>
    </row>
    <row r="3344" spans="3:84">
      <c r="C3344" s="2"/>
      <c r="AD3344" s="502"/>
      <c r="AE3344" s="911"/>
      <c r="AF3344" s="502"/>
      <c r="AH3344" s="898"/>
      <c r="AI3344" s="502"/>
      <c r="AJ3344" s="502"/>
      <c r="AL3344" s="434"/>
      <c r="AM3344" s="436"/>
      <c r="AN3344" s="434"/>
      <c r="AO3344" s="434"/>
      <c r="AP3344" s="556"/>
      <c r="AQ3344" s="556"/>
      <c r="AR3344" s="556"/>
      <c r="CF3344" s="2"/>
    </row>
    <row r="3345" spans="3:84">
      <c r="C3345" s="2"/>
      <c r="AD3345" s="502"/>
      <c r="AE3345" s="911"/>
      <c r="AF3345" s="502"/>
      <c r="AH3345" s="898"/>
      <c r="AI3345" s="502"/>
      <c r="AJ3345" s="502"/>
      <c r="AL3345" s="434"/>
      <c r="AM3345" s="436"/>
      <c r="AN3345" s="434"/>
      <c r="AO3345" s="434"/>
      <c r="AP3345" s="556"/>
      <c r="AQ3345" s="556"/>
      <c r="AR3345" s="556"/>
      <c r="CF3345" s="2"/>
    </row>
    <row r="3346" spans="3:84">
      <c r="C3346" s="2"/>
      <c r="AD3346" s="502"/>
      <c r="AE3346" s="911"/>
      <c r="AF3346" s="502"/>
      <c r="AH3346" s="898"/>
      <c r="AI3346" s="502"/>
      <c r="AJ3346" s="502"/>
      <c r="AL3346" s="434"/>
      <c r="AM3346" s="436"/>
      <c r="AN3346" s="434"/>
      <c r="AO3346" s="434"/>
      <c r="AP3346" s="556"/>
      <c r="AQ3346" s="556"/>
      <c r="AR3346" s="556"/>
      <c r="CF3346" s="2"/>
    </row>
    <row r="3347" spans="3:84">
      <c r="C3347" s="2"/>
      <c r="AD3347" s="502"/>
      <c r="AE3347" s="911"/>
      <c r="AF3347" s="502"/>
      <c r="AH3347" s="898"/>
      <c r="AI3347" s="502"/>
      <c r="AJ3347" s="502"/>
      <c r="AL3347" s="434"/>
      <c r="AM3347" s="436"/>
      <c r="AN3347" s="434"/>
      <c r="AO3347" s="434"/>
      <c r="AP3347" s="556"/>
      <c r="AQ3347" s="556"/>
      <c r="AR3347" s="556"/>
      <c r="CF3347" s="2"/>
    </row>
    <row r="3348" spans="3:84">
      <c r="C3348" s="2"/>
      <c r="AD3348" s="502"/>
      <c r="AE3348" s="911"/>
      <c r="AF3348" s="502"/>
      <c r="AH3348" s="898"/>
      <c r="AI3348" s="502"/>
      <c r="AJ3348" s="502"/>
      <c r="AL3348" s="434"/>
      <c r="AM3348" s="436"/>
      <c r="AN3348" s="434"/>
      <c r="AO3348" s="434"/>
      <c r="AP3348" s="556"/>
      <c r="AQ3348" s="556"/>
      <c r="AR3348" s="556"/>
      <c r="CF3348" s="2"/>
    </row>
    <row r="3349" spans="3:84">
      <c r="C3349" s="2"/>
      <c r="AD3349" s="502"/>
      <c r="AE3349" s="911"/>
      <c r="AF3349" s="502"/>
      <c r="AH3349" s="898"/>
      <c r="AI3349" s="502"/>
      <c r="AJ3349" s="502"/>
      <c r="AL3349" s="434"/>
      <c r="AM3349" s="436"/>
      <c r="AN3349" s="434"/>
      <c r="AO3349" s="434"/>
      <c r="AP3349" s="556"/>
      <c r="AQ3349" s="556"/>
      <c r="AR3349" s="556"/>
      <c r="CF3349" s="2"/>
    </row>
    <row r="3350" spans="3:84">
      <c r="C3350" s="2"/>
      <c r="AD3350" s="502"/>
      <c r="AE3350" s="911"/>
      <c r="AF3350" s="502"/>
      <c r="AH3350" s="898"/>
      <c r="AI3350" s="502"/>
      <c r="AJ3350" s="502"/>
      <c r="AL3350" s="434"/>
      <c r="AM3350" s="436"/>
      <c r="AN3350" s="434"/>
      <c r="AO3350" s="434"/>
      <c r="AP3350" s="556"/>
      <c r="AQ3350" s="556"/>
      <c r="AR3350" s="556"/>
      <c r="CF3350" s="2"/>
    </row>
    <row r="3351" spans="3:84">
      <c r="C3351" s="2"/>
      <c r="AD3351" s="502"/>
      <c r="AE3351" s="911"/>
      <c r="AF3351" s="502"/>
      <c r="AH3351" s="898"/>
      <c r="AI3351" s="502"/>
      <c r="AJ3351" s="502"/>
      <c r="AL3351" s="434"/>
      <c r="AM3351" s="436"/>
      <c r="AN3351" s="434"/>
      <c r="AO3351" s="434"/>
      <c r="AP3351" s="556"/>
      <c r="AQ3351" s="556"/>
      <c r="AR3351" s="556"/>
      <c r="CF3351" s="2"/>
    </row>
    <row r="3352" spans="3:84">
      <c r="C3352" s="2"/>
      <c r="AD3352" s="502"/>
      <c r="AE3352" s="911"/>
      <c r="AF3352" s="502"/>
      <c r="AH3352" s="898"/>
      <c r="AI3352" s="502"/>
      <c r="AJ3352" s="502"/>
      <c r="AL3352" s="434"/>
      <c r="AM3352" s="436"/>
      <c r="AN3352" s="434"/>
      <c r="AO3352" s="434"/>
      <c r="AP3352" s="556"/>
      <c r="AQ3352" s="556"/>
      <c r="AR3352" s="556"/>
      <c r="CF3352" s="2"/>
    </row>
    <row r="3353" spans="3:84">
      <c r="C3353" s="2"/>
      <c r="AD3353" s="502"/>
      <c r="AE3353" s="911"/>
      <c r="AF3353" s="502"/>
      <c r="AH3353" s="898"/>
      <c r="AI3353" s="502"/>
      <c r="AJ3353" s="502"/>
      <c r="AL3353" s="434"/>
      <c r="AM3353" s="436"/>
      <c r="AN3353" s="434"/>
      <c r="AO3353" s="434"/>
      <c r="AP3353" s="556"/>
      <c r="AQ3353" s="556"/>
      <c r="AR3353" s="556"/>
      <c r="CF3353" s="2"/>
    </row>
    <row r="3354" spans="3:84">
      <c r="C3354" s="2"/>
      <c r="AD3354" s="502"/>
      <c r="AE3354" s="911"/>
      <c r="AF3354" s="502"/>
      <c r="AH3354" s="898"/>
      <c r="AI3354" s="502"/>
      <c r="AJ3354" s="502"/>
      <c r="AL3354" s="434"/>
      <c r="AM3354" s="436"/>
      <c r="AN3354" s="434"/>
      <c r="AO3354" s="434"/>
      <c r="AP3354" s="556"/>
      <c r="AQ3354" s="556"/>
      <c r="AR3354" s="556"/>
      <c r="CF3354" s="2"/>
    </row>
    <row r="3355" spans="3:84">
      <c r="C3355" s="2"/>
      <c r="AD3355" s="502"/>
      <c r="AE3355" s="911"/>
      <c r="AF3355" s="502"/>
      <c r="AH3355" s="898"/>
      <c r="AI3355" s="502"/>
      <c r="AJ3355" s="502"/>
      <c r="AL3355" s="434"/>
      <c r="AM3355" s="436"/>
      <c r="AN3355" s="434"/>
      <c r="AO3355" s="434"/>
      <c r="AP3355" s="556"/>
      <c r="AQ3355" s="556"/>
      <c r="AR3355" s="556"/>
      <c r="CF3355" s="2"/>
    </row>
    <row r="3356" spans="3:84">
      <c r="C3356" s="2"/>
      <c r="AD3356" s="502"/>
      <c r="AE3356" s="911"/>
      <c r="AF3356" s="502"/>
      <c r="AH3356" s="898"/>
      <c r="AI3356" s="502"/>
      <c r="AJ3356" s="502"/>
      <c r="AL3356" s="434"/>
      <c r="AM3356" s="436"/>
      <c r="AN3356" s="434"/>
      <c r="AO3356" s="434"/>
      <c r="AP3356" s="556"/>
      <c r="AQ3356" s="556"/>
      <c r="AR3356" s="556"/>
      <c r="CF3356" s="2"/>
    </row>
    <row r="3357" spans="3:84">
      <c r="C3357" s="2"/>
      <c r="AD3357" s="502"/>
      <c r="AE3357" s="911"/>
      <c r="AF3357" s="502"/>
      <c r="AH3357" s="898"/>
      <c r="AI3357" s="502"/>
      <c r="AJ3357" s="502"/>
      <c r="AL3357" s="434"/>
      <c r="AM3357" s="436"/>
      <c r="AN3357" s="434"/>
      <c r="AO3357" s="434"/>
      <c r="AP3357" s="556"/>
      <c r="AQ3357" s="556"/>
      <c r="AR3357" s="556"/>
      <c r="CF3357" s="2"/>
    </row>
    <row r="3358" spans="3:84">
      <c r="C3358" s="2"/>
      <c r="AD3358" s="502"/>
      <c r="AE3358" s="911"/>
      <c r="AF3358" s="502"/>
      <c r="AH3358" s="898"/>
      <c r="AI3358" s="502"/>
      <c r="AJ3358" s="502"/>
      <c r="AL3358" s="434"/>
      <c r="AM3358" s="436"/>
      <c r="AN3358" s="434"/>
      <c r="AO3358" s="434"/>
      <c r="AP3358" s="556"/>
      <c r="AQ3358" s="556"/>
      <c r="AR3358" s="556"/>
      <c r="CF3358" s="2"/>
    </row>
    <row r="3359" spans="3:84">
      <c r="C3359" s="2"/>
      <c r="AD3359" s="502"/>
      <c r="AE3359" s="911"/>
      <c r="AF3359" s="502"/>
      <c r="AH3359" s="898"/>
      <c r="AI3359" s="502"/>
      <c r="AJ3359" s="502"/>
      <c r="AL3359" s="434"/>
      <c r="AM3359" s="436"/>
      <c r="AN3359" s="434"/>
      <c r="AO3359" s="434"/>
      <c r="AP3359" s="556"/>
      <c r="AQ3359" s="556"/>
      <c r="AR3359" s="556"/>
      <c r="CF3359" s="2"/>
    </row>
    <row r="3360" spans="3:84">
      <c r="C3360" s="2"/>
      <c r="AD3360" s="502"/>
      <c r="AE3360" s="911"/>
      <c r="AF3360" s="502"/>
      <c r="AH3360" s="898"/>
      <c r="AI3360" s="502"/>
      <c r="AJ3360" s="502"/>
      <c r="AL3360" s="434"/>
      <c r="AM3360" s="436"/>
      <c r="AN3360" s="434"/>
      <c r="AO3360" s="434"/>
      <c r="AP3360" s="556"/>
      <c r="AQ3360" s="556"/>
      <c r="AR3360" s="556"/>
      <c r="CF3360" s="2"/>
    </row>
    <row r="3361" spans="3:84">
      <c r="C3361" s="2"/>
      <c r="AD3361" s="502"/>
      <c r="AE3361" s="911"/>
      <c r="AF3361" s="502"/>
      <c r="AH3361" s="898"/>
      <c r="AI3361" s="502"/>
      <c r="AJ3361" s="502"/>
      <c r="AL3361" s="434"/>
      <c r="AM3361" s="436"/>
      <c r="AN3361" s="434"/>
      <c r="AO3361" s="434"/>
      <c r="AP3361" s="556"/>
      <c r="AQ3361" s="556"/>
      <c r="AR3361" s="556"/>
      <c r="CF3361" s="2"/>
    </row>
    <row r="3362" spans="3:84">
      <c r="C3362" s="2"/>
      <c r="AD3362" s="502"/>
      <c r="AE3362" s="911"/>
      <c r="AF3362" s="502"/>
      <c r="AH3362" s="898"/>
      <c r="AI3362" s="502"/>
      <c r="AJ3362" s="502"/>
      <c r="AL3362" s="434"/>
      <c r="AM3362" s="436"/>
      <c r="AN3362" s="434"/>
      <c r="AO3362" s="434"/>
      <c r="AP3362" s="556"/>
      <c r="AQ3362" s="556"/>
      <c r="AR3362" s="556"/>
      <c r="CF3362" s="2"/>
    </row>
    <row r="3363" spans="3:84">
      <c r="C3363" s="2"/>
      <c r="AD3363" s="502"/>
      <c r="AE3363" s="911"/>
      <c r="AF3363" s="502"/>
      <c r="AH3363" s="898"/>
      <c r="AI3363" s="502"/>
      <c r="AJ3363" s="502"/>
      <c r="AL3363" s="434"/>
      <c r="AM3363" s="436"/>
      <c r="AN3363" s="434"/>
      <c r="AO3363" s="434"/>
      <c r="AP3363" s="556"/>
      <c r="AQ3363" s="556"/>
      <c r="AR3363" s="556"/>
      <c r="CF3363" s="2"/>
    </row>
    <row r="3364" spans="3:84">
      <c r="C3364" s="2"/>
      <c r="AD3364" s="502"/>
      <c r="AE3364" s="911"/>
      <c r="AF3364" s="502"/>
      <c r="AH3364" s="898"/>
      <c r="AI3364" s="502"/>
      <c r="AJ3364" s="502"/>
      <c r="AL3364" s="434"/>
      <c r="AM3364" s="436"/>
      <c r="AN3364" s="434"/>
      <c r="AO3364" s="434"/>
      <c r="AP3364" s="556"/>
      <c r="AQ3364" s="556"/>
      <c r="AR3364" s="556"/>
      <c r="CF3364" s="2"/>
    </row>
    <row r="3365" spans="3:84">
      <c r="C3365" s="2"/>
      <c r="AD3365" s="502"/>
      <c r="AE3365" s="911"/>
      <c r="AF3365" s="502"/>
      <c r="AH3365" s="898"/>
      <c r="AI3365" s="502"/>
      <c r="AJ3365" s="502"/>
      <c r="AL3365" s="434"/>
      <c r="AM3365" s="436"/>
      <c r="AN3365" s="434"/>
      <c r="AO3365" s="434"/>
      <c r="AP3365" s="556"/>
      <c r="AQ3365" s="556"/>
      <c r="AR3365" s="556"/>
      <c r="CF3365" s="2"/>
    </row>
    <row r="3366" spans="3:84">
      <c r="C3366" s="2"/>
      <c r="AD3366" s="502"/>
      <c r="AE3366" s="911"/>
      <c r="AF3366" s="502"/>
      <c r="AH3366" s="898"/>
      <c r="AI3366" s="502"/>
      <c r="AJ3366" s="502"/>
      <c r="AL3366" s="434"/>
      <c r="AM3366" s="436"/>
      <c r="AN3366" s="434"/>
      <c r="AO3366" s="434"/>
      <c r="AP3366" s="556"/>
      <c r="AQ3366" s="556"/>
      <c r="AR3366" s="556"/>
      <c r="CF3366" s="2"/>
    </row>
    <row r="3367" spans="3:84">
      <c r="C3367" s="2"/>
      <c r="AD3367" s="502"/>
      <c r="AE3367" s="911"/>
      <c r="AF3367" s="502"/>
      <c r="AH3367" s="898"/>
      <c r="AI3367" s="502"/>
      <c r="AJ3367" s="502"/>
      <c r="AL3367" s="434"/>
      <c r="AM3367" s="436"/>
      <c r="AN3367" s="434"/>
      <c r="AO3367" s="434"/>
      <c r="AP3367" s="556"/>
      <c r="AQ3367" s="556"/>
      <c r="AR3367" s="556"/>
      <c r="CF3367" s="2"/>
    </row>
    <row r="3368" spans="3:84">
      <c r="C3368" s="2"/>
      <c r="AD3368" s="502"/>
      <c r="AE3368" s="911"/>
      <c r="AF3368" s="502"/>
      <c r="AH3368" s="898"/>
      <c r="AI3368" s="502"/>
      <c r="AJ3368" s="502"/>
      <c r="AL3368" s="434"/>
      <c r="AM3368" s="436"/>
      <c r="AN3368" s="434"/>
      <c r="AO3368" s="434"/>
      <c r="AP3368" s="556"/>
      <c r="AQ3368" s="556"/>
      <c r="AR3368" s="556"/>
      <c r="CF3368" s="2"/>
    </row>
    <row r="3369" spans="3:84">
      <c r="C3369" s="2"/>
      <c r="AD3369" s="502"/>
      <c r="AE3369" s="911"/>
      <c r="AF3369" s="502"/>
      <c r="AH3369" s="898"/>
      <c r="AI3369" s="502"/>
      <c r="AJ3369" s="502"/>
      <c r="AL3369" s="434"/>
      <c r="AM3369" s="436"/>
      <c r="AN3369" s="434"/>
      <c r="AO3369" s="434"/>
      <c r="AP3369" s="556"/>
      <c r="AQ3369" s="556"/>
      <c r="AR3369" s="556"/>
      <c r="CF3369" s="2"/>
    </row>
    <row r="3370" spans="3:84">
      <c r="C3370" s="2"/>
      <c r="AD3370" s="502"/>
      <c r="AE3370" s="911"/>
      <c r="AF3370" s="502"/>
      <c r="AH3370" s="898"/>
      <c r="AI3370" s="502"/>
      <c r="AJ3370" s="502"/>
      <c r="AL3370" s="434"/>
      <c r="AM3370" s="436"/>
      <c r="AN3370" s="434"/>
      <c r="AO3370" s="434"/>
      <c r="AP3370" s="556"/>
      <c r="AQ3370" s="556"/>
      <c r="AR3370" s="556"/>
      <c r="CF3370" s="2"/>
    </row>
    <row r="3371" spans="3:84">
      <c r="C3371" s="2"/>
      <c r="AD3371" s="502"/>
      <c r="AE3371" s="911"/>
      <c r="AF3371" s="502"/>
      <c r="AH3371" s="898"/>
      <c r="AI3371" s="502"/>
      <c r="AJ3371" s="502"/>
      <c r="AL3371" s="434"/>
      <c r="AM3371" s="436"/>
      <c r="AN3371" s="434"/>
      <c r="AO3371" s="434"/>
      <c r="AP3371" s="556"/>
      <c r="AQ3371" s="556"/>
      <c r="AR3371" s="556"/>
      <c r="CF3371" s="2"/>
    </row>
    <row r="3372" spans="3:84">
      <c r="C3372" s="2"/>
      <c r="AD3372" s="502"/>
      <c r="AE3372" s="911"/>
      <c r="AF3372" s="502"/>
      <c r="AH3372" s="898"/>
      <c r="AI3372" s="502"/>
      <c r="AJ3372" s="502"/>
      <c r="AL3372" s="434"/>
      <c r="AM3372" s="436"/>
      <c r="AN3372" s="434"/>
      <c r="AO3372" s="434"/>
      <c r="AP3372" s="556"/>
      <c r="AQ3372" s="556"/>
      <c r="AR3372" s="556"/>
      <c r="CF3372" s="2"/>
    </row>
    <row r="3373" spans="3:84">
      <c r="C3373" s="2"/>
      <c r="AD3373" s="502"/>
      <c r="AE3373" s="911"/>
      <c r="AF3373" s="502"/>
      <c r="AH3373" s="898"/>
      <c r="AI3373" s="502"/>
      <c r="AJ3373" s="502"/>
      <c r="AL3373" s="434"/>
      <c r="AM3373" s="436"/>
      <c r="AN3373" s="434"/>
      <c r="AO3373" s="434"/>
      <c r="AP3373" s="556"/>
      <c r="AQ3373" s="556"/>
      <c r="AR3373" s="556"/>
      <c r="CF3373" s="2"/>
    </row>
    <row r="3374" spans="3:84">
      <c r="C3374" s="2"/>
      <c r="AD3374" s="502"/>
      <c r="AE3374" s="911"/>
      <c r="AF3374" s="502"/>
      <c r="AH3374" s="898"/>
      <c r="AI3374" s="502"/>
      <c r="AJ3374" s="502"/>
      <c r="AL3374" s="434"/>
      <c r="AM3374" s="436"/>
      <c r="AN3374" s="434"/>
      <c r="AO3374" s="434"/>
      <c r="AP3374" s="556"/>
      <c r="AQ3374" s="556"/>
      <c r="AR3374" s="556"/>
      <c r="CF3374" s="2"/>
    </row>
    <row r="3375" spans="3:84">
      <c r="C3375" s="2"/>
      <c r="AD3375" s="502"/>
      <c r="AE3375" s="911"/>
      <c r="AF3375" s="502"/>
      <c r="AH3375" s="898"/>
      <c r="AI3375" s="502"/>
      <c r="AJ3375" s="502"/>
      <c r="AL3375" s="434"/>
      <c r="AM3375" s="436"/>
      <c r="AN3375" s="434"/>
      <c r="AO3375" s="434"/>
      <c r="AP3375" s="556"/>
      <c r="AQ3375" s="556"/>
      <c r="AR3375" s="556"/>
      <c r="CF3375" s="2"/>
    </row>
    <row r="3376" spans="3:84">
      <c r="C3376" s="2"/>
      <c r="AD3376" s="502"/>
      <c r="AE3376" s="911"/>
      <c r="AF3376" s="502"/>
      <c r="AH3376" s="898"/>
      <c r="AI3376" s="502"/>
      <c r="AJ3376" s="502"/>
      <c r="AL3376" s="434"/>
      <c r="AM3376" s="436"/>
      <c r="AN3376" s="434"/>
      <c r="AO3376" s="434"/>
      <c r="AP3376" s="556"/>
      <c r="AQ3376" s="556"/>
      <c r="AR3376" s="556"/>
      <c r="CF3376" s="2"/>
    </row>
    <row r="3377" spans="3:84">
      <c r="C3377" s="2"/>
      <c r="AD3377" s="502"/>
      <c r="AE3377" s="911"/>
      <c r="AF3377" s="502"/>
      <c r="AH3377" s="898"/>
      <c r="AI3377" s="502"/>
      <c r="AJ3377" s="502"/>
      <c r="AL3377" s="434"/>
      <c r="AM3377" s="436"/>
      <c r="AN3377" s="434"/>
      <c r="AO3377" s="434"/>
      <c r="AP3377" s="556"/>
      <c r="AQ3377" s="556"/>
      <c r="AR3377" s="556"/>
      <c r="CF3377" s="2"/>
    </row>
    <row r="3378" spans="3:84">
      <c r="C3378" s="2"/>
      <c r="AD3378" s="502"/>
      <c r="AE3378" s="911"/>
      <c r="AF3378" s="502"/>
      <c r="AH3378" s="898"/>
      <c r="AI3378" s="502"/>
      <c r="AJ3378" s="502"/>
      <c r="AL3378" s="434"/>
      <c r="AM3378" s="436"/>
      <c r="AN3378" s="434"/>
      <c r="AO3378" s="434"/>
      <c r="AP3378" s="556"/>
      <c r="AQ3378" s="556"/>
      <c r="AR3378" s="556"/>
      <c r="CF3378" s="2"/>
    </row>
    <row r="3379" spans="3:84">
      <c r="C3379" s="2"/>
      <c r="AD3379" s="502"/>
      <c r="AE3379" s="911"/>
      <c r="AF3379" s="502"/>
      <c r="AH3379" s="898"/>
      <c r="AI3379" s="502"/>
      <c r="AJ3379" s="502"/>
      <c r="AL3379" s="434"/>
      <c r="AM3379" s="436"/>
      <c r="AN3379" s="434"/>
      <c r="AO3379" s="434"/>
      <c r="AP3379" s="556"/>
      <c r="AQ3379" s="556"/>
      <c r="AR3379" s="556"/>
      <c r="CF3379" s="2"/>
    </row>
    <row r="3380" spans="3:84">
      <c r="C3380" s="2"/>
      <c r="AD3380" s="502"/>
      <c r="AE3380" s="911"/>
      <c r="AF3380" s="502"/>
      <c r="AH3380" s="898"/>
      <c r="AI3380" s="502"/>
      <c r="AJ3380" s="502"/>
      <c r="AL3380" s="434"/>
      <c r="AM3380" s="436"/>
      <c r="AN3380" s="434"/>
      <c r="AO3380" s="434"/>
      <c r="AP3380" s="556"/>
      <c r="AQ3380" s="556"/>
      <c r="AR3380" s="556"/>
      <c r="CF3380" s="2"/>
    </row>
    <row r="3381" spans="3:84">
      <c r="C3381" s="2"/>
      <c r="AD3381" s="502"/>
      <c r="AE3381" s="911"/>
      <c r="AF3381" s="502"/>
      <c r="AH3381" s="898"/>
      <c r="AI3381" s="502"/>
      <c r="AJ3381" s="502"/>
      <c r="AL3381" s="434"/>
      <c r="AM3381" s="436"/>
      <c r="AN3381" s="434"/>
      <c r="AO3381" s="434"/>
      <c r="AP3381" s="556"/>
      <c r="AQ3381" s="556"/>
      <c r="AR3381" s="556"/>
      <c r="CF3381" s="2"/>
    </row>
    <row r="3382" spans="3:84">
      <c r="C3382" s="2"/>
      <c r="AD3382" s="502"/>
      <c r="AE3382" s="911"/>
      <c r="AF3382" s="502"/>
      <c r="AH3382" s="898"/>
      <c r="AI3382" s="502"/>
      <c r="AJ3382" s="502"/>
      <c r="AL3382" s="434"/>
      <c r="AM3382" s="436"/>
      <c r="AN3382" s="434"/>
      <c r="AO3382" s="434"/>
      <c r="AP3382" s="556"/>
      <c r="AQ3382" s="556"/>
      <c r="AR3382" s="556"/>
      <c r="CF3382" s="2"/>
    </row>
    <row r="3383" spans="3:84">
      <c r="C3383" s="2"/>
      <c r="AD3383" s="502"/>
      <c r="AE3383" s="911"/>
      <c r="AF3383" s="502"/>
      <c r="AH3383" s="898"/>
      <c r="AI3383" s="502"/>
      <c r="AJ3383" s="502"/>
      <c r="AL3383" s="434"/>
      <c r="AM3383" s="436"/>
      <c r="AN3383" s="434"/>
      <c r="AO3383" s="434"/>
      <c r="AP3383" s="556"/>
      <c r="AQ3383" s="556"/>
      <c r="AR3383" s="556"/>
      <c r="CF3383" s="2"/>
    </row>
    <row r="3384" spans="3:84">
      <c r="C3384" s="2"/>
      <c r="AD3384" s="502"/>
      <c r="AE3384" s="911"/>
      <c r="AF3384" s="502"/>
      <c r="AH3384" s="898"/>
      <c r="AI3384" s="502"/>
      <c r="AJ3384" s="502"/>
      <c r="AL3384" s="434"/>
      <c r="AM3384" s="436"/>
      <c r="AN3384" s="434"/>
      <c r="AO3384" s="434"/>
      <c r="AP3384" s="556"/>
      <c r="AQ3384" s="556"/>
      <c r="AR3384" s="556"/>
      <c r="CF3384" s="2"/>
    </row>
    <row r="3385" spans="3:84">
      <c r="C3385" s="2"/>
      <c r="AD3385" s="502"/>
      <c r="AE3385" s="911"/>
      <c r="AF3385" s="502"/>
      <c r="AH3385" s="898"/>
      <c r="AI3385" s="502"/>
      <c r="AJ3385" s="502"/>
      <c r="AL3385" s="434"/>
      <c r="AM3385" s="436"/>
      <c r="AN3385" s="434"/>
      <c r="AO3385" s="434"/>
      <c r="AP3385" s="556"/>
      <c r="AQ3385" s="556"/>
      <c r="AR3385" s="556"/>
      <c r="CF3385" s="2"/>
    </row>
    <row r="3386" spans="3:84">
      <c r="C3386" s="2"/>
      <c r="AD3386" s="502"/>
      <c r="AE3386" s="911"/>
      <c r="AF3386" s="502"/>
      <c r="AH3386" s="898"/>
      <c r="AI3386" s="502"/>
      <c r="AJ3386" s="502"/>
      <c r="AL3386" s="434"/>
      <c r="AM3386" s="436"/>
      <c r="AN3386" s="434"/>
      <c r="AO3386" s="434"/>
      <c r="AP3386" s="556"/>
      <c r="AQ3386" s="556"/>
      <c r="AR3386" s="556"/>
      <c r="CF3386" s="2"/>
    </row>
    <row r="3387" spans="3:84">
      <c r="C3387" s="2"/>
      <c r="AD3387" s="502"/>
      <c r="AE3387" s="911"/>
      <c r="AF3387" s="502"/>
      <c r="AH3387" s="898"/>
      <c r="AI3387" s="502"/>
      <c r="AJ3387" s="502"/>
      <c r="AL3387" s="434"/>
      <c r="AM3387" s="436"/>
      <c r="AN3387" s="434"/>
      <c r="AO3387" s="434"/>
      <c r="AP3387" s="556"/>
      <c r="AQ3387" s="556"/>
      <c r="AR3387" s="556"/>
      <c r="CF3387" s="2"/>
    </row>
    <row r="3388" spans="3:84">
      <c r="C3388" s="2"/>
      <c r="AD3388" s="502"/>
      <c r="AE3388" s="911"/>
      <c r="AF3388" s="502"/>
      <c r="AH3388" s="898"/>
      <c r="AI3388" s="502"/>
      <c r="AJ3388" s="502"/>
      <c r="AL3388" s="434"/>
      <c r="AM3388" s="436"/>
      <c r="AN3388" s="434"/>
      <c r="AO3388" s="434"/>
      <c r="AP3388" s="556"/>
      <c r="AQ3388" s="556"/>
      <c r="AR3388" s="556"/>
      <c r="CF3388" s="2"/>
    </row>
    <row r="3389" spans="3:84">
      <c r="C3389" s="2"/>
      <c r="AD3389" s="502"/>
      <c r="AE3389" s="911"/>
      <c r="AF3389" s="502"/>
      <c r="AH3389" s="898"/>
      <c r="AI3389" s="502"/>
      <c r="AJ3389" s="502"/>
      <c r="AL3389" s="434"/>
      <c r="AM3389" s="436"/>
      <c r="AN3389" s="434"/>
      <c r="AO3389" s="434"/>
      <c r="AP3389" s="556"/>
      <c r="AQ3389" s="556"/>
      <c r="AR3389" s="556"/>
      <c r="CF3389" s="2"/>
    </row>
    <row r="3390" spans="3:84">
      <c r="C3390" s="2"/>
      <c r="AD3390" s="502"/>
      <c r="AE3390" s="911"/>
      <c r="AF3390" s="502"/>
      <c r="AH3390" s="898"/>
      <c r="AI3390" s="502"/>
      <c r="AJ3390" s="502"/>
      <c r="AL3390" s="434"/>
      <c r="AM3390" s="436"/>
      <c r="AN3390" s="434"/>
      <c r="AO3390" s="434"/>
      <c r="AP3390" s="556"/>
      <c r="AQ3390" s="556"/>
      <c r="AR3390" s="556"/>
      <c r="CF3390" s="2"/>
    </row>
    <row r="3391" spans="3:84">
      <c r="C3391" s="2"/>
      <c r="AD3391" s="502"/>
      <c r="AE3391" s="911"/>
      <c r="AF3391" s="502"/>
      <c r="AH3391" s="898"/>
      <c r="AI3391" s="502"/>
      <c r="AJ3391" s="502"/>
      <c r="AL3391" s="434"/>
      <c r="AM3391" s="436"/>
      <c r="AN3391" s="434"/>
      <c r="AO3391" s="434"/>
      <c r="AP3391" s="556"/>
      <c r="AQ3391" s="556"/>
      <c r="AR3391" s="556"/>
      <c r="CF3391" s="2"/>
    </row>
    <row r="3392" spans="3:84">
      <c r="C3392" s="2"/>
      <c r="AD3392" s="502"/>
      <c r="AE3392" s="911"/>
      <c r="AF3392" s="502"/>
      <c r="AH3392" s="898"/>
      <c r="AI3392" s="502"/>
      <c r="AJ3392" s="502"/>
      <c r="AL3392" s="434"/>
      <c r="AM3392" s="436"/>
      <c r="AN3392" s="434"/>
      <c r="AO3392" s="434"/>
      <c r="AP3392" s="556"/>
      <c r="AQ3392" s="556"/>
      <c r="AR3392" s="556"/>
      <c r="CF3392" s="2"/>
    </row>
    <row r="3393" spans="3:84">
      <c r="C3393" s="2"/>
      <c r="AD3393" s="502"/>
      <c r="AE3393" s="911"/>
      <c r="AF3393" s="502"/>
      <c r="AH3393" s="898"/>
      <c r="AI3393" s="502"/>
      <c r="AJ3393" s="502"/>
      <c r="AL3393" s="434"/>
      <c r="AM3393" s="436"/>
      <c r="AN3393" s="434"/>
      <c r="AO3393" s="434"/>
      <c r="AP3393" s="556"/>
      <c r="AQ3393" s="556"/>
      <c r="AR3393" s="556"/>
      <c r="CF3393" s="2"/>
    </row>
    <row r="3394" spans="3:84">
      <c r="C3394" s="2"/>
      <c r="AD3394" s="502"/>
      <c r="AE3394" s="911"/>
      <c r="AF3394" s="502"/>
      <c r="AH3394" s="898"/>
      <c r="AI3394" s="502"/>
      <c r="AJ3394" s="502"/>
      <c r="AL3394" s="434"/>
      <c r="AM3394" s="436"/>
      <c r="AN3394" s="434"/>
      <c r="AO3394" s="434"/>
      <c r="AP3394" s="556"/>
      <c r="AQ3394" s="556"/>
      <c r="AR3394" s="556"/>
      <c r="CF3394" s="2"/>
    </row>
    <row r="3395" spans="3:84">
      <c r="C3395" s="2"/>
      <c r="AD3395" s="502"/>
      <c r="AE3395" s="911"/>
      <c r="AF3395" s="502"/>
      <c r="AH3395" s="898"/>
      <c r="AI3395" s="502"/>
      <c r="AJ3395" s="502"/>
      <c r="AL3395" s="434"/>
      <c r="AM3395" s="436"/>
      <c r="AN3395" s="434"/>
      <c r="AO3395" s="434"/>
      <c r="AP3395" s="556"/>
      <c r="AQ3395" s="556"/>
      <c r="AR3395" s="556"/>
      <c r="CF3395" s="2"/>
    </row>
    <row r="3396" spans="3:84">
      <c r="C3396" s="2"/>
      <c r="AD3396" s="502"/>
      <c r="AE3396" s="911"/>
      <c r="AF3396" s="502"/>
      <c r="AH3396" s="898"/>
      <c r="AI3396" s="502"/>
      <c r="AJ3396" s="502"/>
      <c r="AL3396" s="434"/>
      <c r="AM3396" s="436"/>
      <c r="AN3396" s="434"/>
      <c r="AO3396" s="434"/>
      <c r="AP3396" s="556"/>
      <c r="AQ3396" s="556"/>
      <c r="AR3396" s="556"/>
      <c r="CF3396" s="2"/>
    </row>
    <row r="3397" spans="3:84">
      <c r="C3397" s="2"/>
      <c r="AD3397" s="502"/>
      <c r="AE3397" s="911"/>
      <c r="AF3397" s="502"/>
      <c r="AH3397" s="898"/>
      <c r="AI3397" s="502"/>
      <c r="AJ3397" s="502"/>
      <c r="AL3397" s="434"/>
      <c r="AM3397" s="436"/>
      <c r="AN3397" s="434"/>
      <c r="AO3397" s="434"/>
      <c r="AP3397" s="556"/>
      <c r="AQ3397" s="556"/>
      <c r="AR3397" s="556"/>
      <c r="CF3397" s="2"/>
    </row>
    <row r="3398" spans="3:84">
      <c r="C3398" s="2"/>
      <c r="AD3398" s="502"/>
      <c r="AE3398" s="911"/>
      <c r="AF3398" s="502"/>
      <c r="AH3398" s="898"/>
      <c r="AI3398" s="502"/>
      <c r="AJ3398" s="502"/>
      <c r="AL3398" s="434"/>
      <c r="AM3398" s="436"/>
      <c r="AN3398" s="434"/>
      <c r="AO3398" s="434"/>
      <c r="AP3398" s="556"/>
      <c r="AQ3398" s="556"/>
      <c r="AR3398" s="556"/>
      <c r="CF3398" s="2"/>
    </row>
    <row r="3399" spans="3:84">
      <c r="C3399" s="2"/>
      <c r="AD3399" s="502"/>
      <c r="AE3399" s="911"/>
      <c r="AF3399" s="502"/>
      <c r="AH3399" s="898"/>
      <c r="AI3399" s="502"/>
      <c r="AJ3399" s="502"/>
      <c r="AL3399" s="434"/>
      <c r="AM3399" s="436"/>
      <c r="AN3399" s="434"/>
      <c r="AO3399" s="434"/>
      <c r="AP3399" s="556"/>
      <c r="AQ3399" s="556"/>
      <c r="AR3399" s="556"/>
      <c r="CF3399" s="2"/>
    </row>
    <row r="3400" spans="3:84">
      <c r="C3400" s="2"/>
      <c r="AD3400" s="502"/>
      <c r="AE3400" s="911"/>
      <c r="AF3400" s="502"/>
      <c r="AH3400" s="898"/>
      <c r="AI3400" s="502"/>
      <c r="AJ3400" s="502"/>
      <c r="AL3400" s="434"/>
      <c r="AM3400" s="436"/>
      <c r="AN3400" s="434"/>
      <c r="AO3400" s="434"/>
      <c r="AP3400" s="556"/>
      <c r="AQ3400" s="556"/>
      <c r="AR3400" s="556"/>
      <c r="CF3400" s="2"/>
    </row>
    <row r="3401" spans="3:84">
      <c r="C3401" s="2"/>
      <c r="AD3401" s="502"/>
      <c r="AE3401" s="911"/>
      <c r="AF3401" s="502"/>
      <c r="AH3401" s="898"/>
      <c r="AI3401" s="502"/>
      <c r="AJ3401" s="502"/>
      <c r="AL3401" s="434"/>
      <c r="AM3401" s="436"/>
      <c r="AN3401" s="434"/>
      <c r="AO3401" s="434"/>
      <c r="AP3401" s="556"/>
      <c r="AQ3401" s="556"/>
      <c r="AR3401" s="556"/>
      <c r="CF3401" s="2"/>
    </row>
    <row r="3402" spans="3:84">
      <c r="C3402" s="2"/>
      <c r="AD3402" s="502"/>
      <c r="AE3402" s="911"/>
      <c r="AF3402" s="502"/>
      <c r="AH3402" s="898"/>
      <c r="AI3402" s="502"/>
      <c r="AJ3402" s="502"/>
      <c r="AL3402" s="434"/>
      <c r="AM3402" s="436"/>
      <c r="AN3402" s="434"/>
      <c r="AO3402" s="434"/>
      <c r="AP3402" s="556"/>
      <c r="AQ3402" s="556"/>
      <c r="AR3402" s="556"/>
      <c r="CF3402" s="2"/>
    </row>
    <row r="3403" spans="3:84">
      <c r="C3403" s="2"/>
      <c r="AD3403" s="502"/>
      <c r="AE3403" s="911"/>
      <c r="AF3403" s="502"/>
      <c r="AH3403" s="898"/>
      <c r="AI3403" s="502"/>
      <c r="AJ3403" s="502"/>
      <c r="AL3403" s="434"/>
      <c r="AM3403" s="436"/>
      <c r="AN3403" s="434"/>
      <c r="AO3403" s="434"/>
      <c r="AP3403" s="556"/>
      <c r="AQ3403" s="556"/>
      <c r="AR3403" s="556"/>
      <c r="CF3403" s="2"/>
    </row>
    <row r="3404" spans="3:84">
      <c r="C3404" s="2"/>
      <c r="AD3404" s="502"/>
      <c r="AE3404" s="911"/>
      <c r="AF3404" s="502"/>
      <c r="AH3404" s="898"/>
      <c r="AI3404" s="502"/>
      <c r="AJ3404" s="502"/>
      <c r="AL3404" s="434"/>
      <c r="AM3404" s="436"/>
      <c r="AN3404" s="434"/>
      <c r="AO3404" s="434"/>
      <c r="AP3404" s="556"/>
      <c r="AQ3404" s="556"/>
      <c r="AR3404" s="556"/>
      <c r="CF3404" s="2"/>
    </row>
    <row r="3405" spans="3:84">
      <c r="C3405" s="2"/>
      <c r="AD3405" s="502"/>
      <c r="AE3405" s="911"/>
      <c r="AF3405" s="502"/>
      <c r="AH3405" s="898"/>
      <c r="AI3405" s="502"/>
      <c r="AJ3405" s="502"/>
      <c r="AL3405" s="434"/>
      <c r="AM3405" s="436"/>
      <c r="AN3405" s="434"/>
      <c r="AO3405" s="434"/>
      <c r="AP3405" s="556"/>
      <c r="AQ3405" s="556"/>
      <c r="AR3405" s="556"/>
      <c r="CF3405" s="2"/>
    </row>
    <row r="3406" spans="3:84">
      <c r="C3406" s="2"/>
      <c r="AD3406" s="502"/>
      <c r="AE3406" s="911"/>
      <c r="AF3406" s="502"/>
      <c r="AH3406" s="898"/>
      <c r="AI3406" s="502"/>
      <c r="AJ3406" s="502"/>
      <c r="AL3406" s="434"/>
      <c r="AM3406" s="436"/>
      <c r="AN3406" s="434"/>
      <c r="AO3406" s="434"/>
      <c r="AP3406" s="556"/>
      <c r="AQ3406" s="556"/>
      <c r="AR3406" s="556"/>
      <c r="CF3406" s="2"/>
    </row>
    <row r="3407" spans="3:84">
      <c r="C3407" s="2"/>
      <c r="AD3407" s="502"/>
      <c r="AE3407" s="911"/>
      <c r="AF3407" s="502"/>
      <c r="AH3407" s="898"/>
      <c r="AI3407" s="502"/>
      <c r="AJ3407" s="502"/>
      <c r="AL3407" s="434"/>
      <c r="AM3407" s="436"/>
      <c r="AN3407" s="434"/>
      <c r="AO3407" s="434"/>
      <c r="AP3407" s="556"/>
      <c r="AQ3407" s="556"/>
      <c r="AR3407" s="556"/>
      <c r="CF3407" s="2"/>
    </row>
    <row r="3408" spans="3:84">
      <c r="C3408" s="2"/>
      <c r="AD3408" s="502"/>
      <c r="AE3408" s="911"/>
      <c r="AF3408" s="502"/>
      <c r="AH3408" s="898"/>
      <c r="AI3408" s="502"/>
      <c r="AJ3408" s="502"/>
      <c r="AL3408" s="434"/>
      <c r="AM3408" s="436"/>
      <c r="AN3408" s="434"/>
      <c r="AO3408" s="434"/>
      <c r="AP3408" s="556"/>
      <c r="AQ3408" s="556"/>
      <c r="AR3408" s="556"/>
      <c r="CF3408" s="2"/>
    </row>
    <row r="3409" spans="3:84">
      <c r="C3409" s="2"/>
      <c r="AD3409" s="502"/>
      <c r="AE3409" s="911"/>
      <c r="AF3409" s="502"/>
      <c r="AH3409" s="898"/>
      <c r="AI3409" s="502"/>
      <c r="AJ3409" s="502"/>
      <c r="AL3409" s="434"/>
      <c r="AM3409" s="436"/>
      <c r="AN3409" s="434"/>
      <c r="AO3409" s="434"/>
      <c r="AP3409" s="556"/>
      <c r="AQ3409" s="556"/>
      <c r="AR3409" s="556"/>
      <c r="CF3409" s="2"/>
    </row>
    <row r="3410" spans="3:84">
      <c r="C3410" s="2"/>
      <c r="AD3410" s="502"/>
      <c r="AE3410" s="911"/>
      <c r="AF3410" s="502"/>
      <c r="AH3410" s="898"/>
      <c r="AI3410" s="502"/>
      <c r="AJ3410" s="502"/>
      <c r="AL3410" s="434"/>
      <c r="AM3410" s="436"/>
      <c r="AN3410" s="434"/>
      <c r="AO3410" s="434"/>
      <c r="AP3410" s="556"/>
      <c r="AQ3410" s="556"/>
      <c r="AR3410" s="556"/>
      <c r="CF3410" s="2"/>
    </row>
    <row r="3411" spans="3:84">
      <c r="C3411" s="2"/>
      <c r="AD3411" s="502"/>
      <c r="AE3411" s="911"/>
      <c r="AF3411" s="502"/>
      <c r="AH3411" s="898"/>
      <c r="AI3411" s="502"/>
      <c r="AJ3411" s="502"/>
      <c r="AL3411" s="434"/>
      <c r="AM3411" s="436"/>
      <c r="AN3411" s="434"/>
      <c r="AO3411" s="434"/>
      <c r="AP3411" s="556"/>
      <c r="AQ3411" s="556"/>
      <c r="AR3411" s="556"/>
      <c r="CF3411" s="2"/>
    </row>
    <row r="3412" spans="3:84">
      <c r="C3412" s="2"/>
      <c r="AD3412" s="502"/>
      <c r="AE3412" s="911"/>
      <c r="AF3412" s="502"/>
      <c r="AH3412" s="898"/>
      <c r="AI3412" s="502"/>
      <c r="AJ3412" s="502"/>
      <c r="AL3412" s="434"/>
      <c r="AM3412" s="436"/>
      <c r="AN3412" s="434"/>
      <c r="AO3412" s="434"/>
      <c r="AP3412" s="556"/>
      <c r="AQ3412" s="556"/>
      <c r="AR3412" s="556"/>
      <c r="CF3412" s="2"/>
    </row>
    <row r="3413" spans="3:84">
      <c r="C3413" s="2"/>
      <c r="AD3413" s="502"/>
      <c r="AE3413" s="911"/>
      <c r="AF3413" s="502"/>
      <c r="AH3413" s="898"/>
      <c r="AI3413" s="502"/>
      <c r="AJ3413" s="502"/>
      <c r="AL3413" s="434"/>
      <c r="AM3413" s="436"/>
      <c r="AN3413" s="434"/>
      <c r="AO3413" s="434"/>
      <c r="AP3413" s="556"/>
      <c r="AQ3413" s="556"/>
      <c r="AR3413" s="556"/>
      <c r="CF3413" s="2"/>
    </row>
    <row r="3414" spans="3:84">
      <c r="C3414" s="2"/>
      <c r="AD3414" s="502"/>
      <c r="AE3414" s="911"/>
      <c r="AF3414" s="502"/>
      <c r="AH3414" s="898"/>
      <c r="AI3414" s="502"/>
      <c r="AJ3414" s="502"/>
      <c r="AL3414" s="434"/>
      <c r="AM3414" s="436"/>
      <c r="AN3414" s="434"/>
      <c r="AO3414" s="434"/>
      <c r="AP3414" s="556"/>
      <c r="AQ3414" s="556"/>
      <c r="AR3414" s="556"/>
      <c r="CF3414" s="2"/>
    </row>
    <row r="3415" spans="3:84">
      <c r="C3415" s="2"/>
      <c r="AD3415" s="502"/>
      <c r="AE3415" s="911"/>
      <c r="AF3415" s="502"/>
      <c r="AH3415" s="898"/>
      <c r="AI3415" s="502"/>
      <c r="AJ3415" s="502"/>
      <c r="AL3415" s="434"/>
      <c r="AM3415" s="436"/>
      <c r="AN3415" s="434"/>
      <c r="AO3415" s="434"/>
      <c r="AP3415" s="556"/>
      <c r="AQ3415" s="556"/>
      <c r="AR3415" s="556"/>
      <c r="CF3415" s="2"/>
    </row>
    <row r="3416" spans="3:84">
      <c r="C3416" s="2"/>
      <c r="AD3416" s="502"/>
      <c r="AE3416" s="911"/>
      <c r="AF3416" s="502"/>
      <c r="AH3416" s="898"/>
      <c r="AI3416" s="502"/>
      <c r="AJ3416" s="502"/>
      <c r="AL3416" s="434"/>
      <c r="AM3416" s="436"/>
      <c r="AN3416" s="434"/>
      <c r="AO3416" s="434"/>
      <c r="AP3416" s="556"/>
      <c r="AQ3416" s="556"/>
      <c r="AR3416" s="556"/>
      <c r="CF3416" s="2"/>
    </row>
    <row r="3417" spans="3:84">
      <c r="C3417" s="2"/>
      <c r="AD3417" s="502"/>
      <c r="AE3417" s="911"/>
      <c r="AF3417" s="502"/>
      <c r="AH3417" s="898"/>
      <c r="AI3417" s="502"/>
      <c r="AJ3417" s="502"/>
      <c r="AL3417" s="434"/>
      <c r="AM3417" s="436"/>
      <c r="AN3417" s="434"/>
      <c r="AO3417" s="434"/>
      <c r="AP3417" s="556"/>
      <c r="AQ3417" s="556"/>
      <c r="AR3417" s="556"/>
      <c r="CF3417" s="2"/>
    </row>
    <row r="3418" spans="3:84">
      <c r="C3418" s="2"/>
      <c r="AD3418" s="502"/>
      <c r="AE3418" s="911"/>
      <c r="AF3418" s="502"/>
      <c r="AH3418" s="898"/>
      <c r="AI3418" s="502"/>
      <c r="AJ3418" s="502"/>
      <c r="AL3418" s="434"/>
      <c r="AM3418" s="436"/>
      <c r="AN3418" s="434"/>
      <c r="AO3418" s="434"/>
      <c r="AP3418" s="556"/>
      <c r="AQ3418" s="556"/>
      <c r="AR3418" s="556"/>
      <c r="CF3418" s="2"/>
    </row>
    <row r="3419" spans="3:84">
      <c r="C3419" s="2"/>
      <c r="AD3419" s="502"/>
      <c r="AE3419" s="911"/>
      <c r="AF3419" s="502"/>
      <c r="AH3419" s="898"/>
      <c r="AI3419" s="502"/>
      <c r="AJ3419" s="502"/>
      <c r="AL3419" s="434"/>
      <c r="AM3419" s="436"/>
      <c r="AN3419" s="434"/>
      <c r="AO3419" s="434"/>
      <c r="AP3419" s="556"/>
      <c r="AQ3419" s="556"/>
      <c r="AR3419" s="556"/>
      <c r="CF3419" s="2"/>
    </row>
    <row r="3420" spans="3:84">
      <c r="C3420" s="2"/>
      <c r="AD3420" s="502"/>
      <c r="AE3420" s="911"/>
      <c r="AF3420" s="502"/>
      <c r="AH3420" s="898"/>
      <c r="AI3420" s="502"/>
      <c r="AJ3420" s="502"/>
      <c r="AL3420" s="434"/>
      <c r="AM3420" s="436"/>
      <c r="AN3420" s="434"/>
      <c r="AO3420" s="434"/>
      <c r="AP3420" s="556"/>
      <c r="AQ3420" s="556"/>
      <c r="AR3420" s="556"/>
      <c r="CF3420" s="2"/>
    </row>
    <row r="3421" spans="3:84">
      <c r="C3421" s="2"/>
      <c r="AD3421" s="502"/>
      <c r="AE3421" s="911"/>
      <c r="AF3421" s="502"/>
      <c r="AH3421" s="898"/>
      <c r="AI3421" s="502"/>
      <c r="AJ3421" s="502"/>
      <c r="AL3421" s="434"/>
      <c r="AM3421" s="436"/>
      <c r="AN3421" s="434"/>
      <c r="AO3421" s="434"/>
      <c r="AP3421" s="556"/>
      <c r="AQ3421" s="556"/>
      <c r="AR3421" s="556"/>
      <c r="CF3421" s="2"/>
    </row>
    <row r="3422" spans="3:84">
      <c r="C3422" s="2"/>
      <c r="AD3422" s="502"/>
      <c r="AE3422" s="911"/>
      <c r="AF3422" s="502"/>
      <c r="AH3422" s="898"/>
      <c r="AI3422" s="502"/>
      <c r="AJ3422" s="502"/>
      <c r="AL3422" s="434"/>
      <c r="AM3422" s="436"/>
      <c r="AN3422" s="434"/>
      <c r="AO3422" s="434"/>
      <c r="AP3422" s="556"/>
      <c r="AQ3422" s="556"/>
      <c r="AR3422" s="556"/>
      <c r="CF3422" s="2"/>
    </row>
    <row r="3423" spans="3:84">
      <c r="C3423" s="2"/>
      <c r="AD3423" s="502"/>
      <c r="AE3423" s="911"/>
      <c r="AF3423" s="502"/>
      <c r="AH3423" s="898"/>
      <c r="AI3423" s="502"/>
      <c r="AJ3423" s="502"/>
      <c r="AL3423" s="434"/>
      <c r="AM3423" s="436"/>
      <c r="AN3423" s="434"/>
      <c r="AO3423" s="434"/>
      <c r="AP3423" s="556"/>
      <c r="AQ3423" s="556"/>
      <c r="AR3423" s="556"/>
      <c r="CF3423" s="2"/>
    </row>
    <row r="3424" spans="3:84">
      <c r="C3424" s="2"/>
      <c r="AD3424" s="502"/>
      <c r="AE3424" s="911"/>
      <c r="AF3424" s="502"/>
      <c r="AH3424" s="898"/>
      <c r="AI3424" s="502"/>
      <c r="AJ3424" s="502"/>
      <c r="AL3424" s="434"/>
      <c r="AM3424" s="436"/>
      <c r="AN3424" s="434"/>
      <c r="AO3424" s="434"/>
      <c r="AP3424" s="556"/>
      <c r="AQ3424" s="556"/>
      <c r="AR3424" s="556"/>
      <c r="CF3424" s="2"/>
    </row>
    <row r="3425" spans="3:84">
      <c r="C3425" s="2"/>
      <c r="AD3425" s="502"/>
      <c r="AE3425" s="911"/>
      <c r="AF3425" s="502"/>
      <c r="AH3425" s="898"/>
      <c r="AI3425" s="502"/>
      <c r="AJ3425" s="502"/>
      <c r="AL3425" s="434"/>
      <c r="AM3425" s="436"/>
      <c r="AN3425" s="434"/>
      <c r="AO3425" s="434"/>
      <c r="AP3425" s="556"/>
      <c r="AQ3425" s="556"/>
      <c r="AR3425" s="556"/>
      <c r="CF3425" s="2"/>
    </row>
    <row r="3426" spans="3:84">
      <c r="C3426" s="2"/>
      <c r="AD3426" s="502"/>
      <c r="AE3426" s="911"/>
      <c r="AF3426" s="502"/>
      <c r="AH3426" s="898"/>
      <c r="AI3426" s="502"/>
      <c r="AJ3426" s="502"/>
      <c r="AL3426" s="434"/>
      <c r="AM3426" s="436"/>
      <c r="AN3426" s="434"/>
      <c r="AO3426" s="434"/>
      <c r="AP3426" s="556"/>
      <c r="AQ3426" s="556"/>
      <c r="AR3426" s="556"/>
      <c r="CF3426" s="2"/>
    </row>
    <row r="3427" spans="3:84">
      <c r="C3427" s="2"/>
      <c r="AD3427" s="502"/>
      <c r="AE3427" s="911"/>
      <c r="AF3427" s="502"/>
      <c r="AH3427" s="898"/>
      <c r="AI3427" s="502"/>
      <c r="AJ3427" s="502"/>
      <c r="AL3427" s="434"/>
      <c r="AM3427" s="436"/>
      <c r="AN3427" s="434"/>
      <c r="AO3427" s="434"/>
      <c r="AP3427" s="556"/>
      <c r="AQ3427" s="556"/>
      <c r="AR3427" s="556"/>
      <c r="CF3427" s="2"/>
    </row>
    <row r="3428" spans="3:84">
      <c r="C3428" s="2"/>
      <c r="AD3428" s="502"/>
      <c r="AE3428" s="911"/>
      <c r="AF3428" s="502"/>
      <c r="AH3428" s="898"/>
      <c r="AI3428" s="502"/>
      <c r="AJ3428" s="502"/>
      <c r="AL3428" s="434"/>
      <c r="AM3428" s="436"/>
      <c r="AN3428" s="434"/>
      <c r="AO3428" s="434"/>
      <c r="AP3428" s="556"/>
      <c r="AQ3428" s="556"/>
      <c r="AR3428" s="556"/>
      <c r="CF3428" s="2"/>
    </row>
    <row r="3429" spans="3:84">
      <c r="C3429" s="2"/>
      <c r="AD3429" s="502"/>
      <c r="AE3429" s="911"/>
      <c r="AF3429" s="502"/>
      <c r="AH3429" s="898"/>
      <c r="AI3429" s="502"/>
      <c r="AJ3429" s="502"/>
      <c r="AL3429" s="434"/>
      <c r="AM3429" s="436"/>
      <c r="AN3429" s="434"/>
      <c r="AO3429" s="434"/>
      <c r="AP3429" s="556"/>
      <c r="AQ3429" s="556"/>
      <c r="AR3429" s="556"/>
      <c r="CF3429" s="2"/>
    </row>
    <row r="3430" spans="3:84">
      <c r="C3430" s="2"/>
      <c r="AD3430" s="502"/>
      <c r="AE3430" s="911"/>
      <c r="AF3430" s="502"/>
      <c r="AH3430" s="898"/>
      <c r="AI3430" s="502"/>
      <c r="AJ3430" s="502"/>
      <c r="AL3430" s="434"/>
      <c r="AM3430" s="436"/>
      <c r="AN3430" s="434"/>
      <c r="AO3430" s="434"/>
      <c r="AP3430" s="556"/>
      <c r="AQ3430" s="556"/>
      <c r="AR3430" s="556"/>
      <c r="CF3430" s="2"/>
    </row>
    <row r="3431" spans="3:84">
      <c r="C3431" s="2"/>
      <c r="AD3431" s="502"/>
      <c r="AE3431" s="911"/>
      <c r="AF3431" s="502"/>
      <c r="AH3431" s="898"/>
      <c r="AI3431" s="502"/>
      <c r="AJ3431" s="502"/>
      <c r="AL3431" s="434"/>
      <c r="AM3431" s="436"/>
      <c r="AN3431" s="434"/>
      <c r="AO3431" s="434"/>
      <c r="AP3431" s="556"/>
      <c r="AQ3431" s="556"/>
      <c r="AR3431" s="556"/>
      <c r="CF3431" s="2"/>
    </row>
    <row r="3432" spans="3:84">
      <c r="C3432" s="2"/>
      <c r="AD3432" s="502"/>
      <c r="AE3432" s="911"/>
      <c r="AF3432" s="502"/>
      <c r="AH3432" s="898"/>
      <c r="AI3432" s="502"/>
      <c r="AJ3432" s="502"/>
      <c r="AL3432" s="434"/>
      <c r="AM3432" s="436"/>
      <c r="AN3432" s="434"/>
      <c r="AO3432" s="434"/>
      <c r="AP3432" s="556"/>
      <c r="AQ3432" s="556"/>
      <c r="AR3432" s="556"/>
      <c r="CF3432" s="2"/>
    </row>
    <row r="3433" spans="3:84">
      <c r="C3433" s="2"/>
      <c r="AD3433" s="502"/>
      <c r="AE3433" s="911"/>
      <c r="AF3433" s="502"/>
      <c r="AH3433" s="898"/>
      <c r="AI3433" s="502"/>
      <c r="AJ3433" s="502"/>
      <c r="AL3433" s="434"/>
      <c r="AM3433" s="436"/>
      <c r="AN3433" s="434"/>
      <c r="AO3433" s="434"/>
      <c r="AP3433" s="556"/>
      <c r="AQ3433" s="556"/>
      <c r="AR3433" s="556"/>
      <c r="CF3433" s="2"/>
    </row>
    <row r="3434" spans="3:84">
      <c r="C3434" s="2"/>
      <c r="AD3434" s="502"/>
      <c r="AE3434" s="911"/>
      <c r="AF3434" s="502"/>
      <c r="AH3434" s="898"/>
      <c r="AI3434" s="502"/>
      <c r="AJ3434" s="502"/>
      <c r="AL3434" s="434"/>
      <c r="AM3434" s="436"/>
      <c r="AN3434" s="434"/>
      <c r="AO3434" s="434"/>
      <c r="AP3434" s="556"/>
      <c r="AQ3434" s="556"/>
      <c r="AR3434" s="556"/>
      <c r="CF3434" s="2"/>
    </row>
    <row r="3435" spans="3:84">
      <c r="C3435" s="2"/>
      <c r="AD3435" s="502"/>
      <c r="AE3435" s="911"/>
      <c r="AF3435" s="502"/>
      <c r="AH3435" s="898"/>
      <c r="AI3435" s="502"/>
      <c r="AJ3435" s="502"/>
      <c r="AL3435" s="434"/>
      <c r="AM3435" s="436"/>
      <c r="AN3435" s="434"/>
      <c r="AO3435" s="434"/>
      <c r="AP3435" s="556"/>
      <c r="AQ3435" s="556"/>
      <c r="AR3435" s="556"/>
      <c r="CF3435" s="2"/>
    </row>
    <row r="3436" spans="3:84">
      <c r="C3436" s="2"/>
      <c r="AD3436" s="502"/>
      <c r="AE3436" s="911"/>
      <c r="AF3436" s="502"/>
      <c r="AH3436" s="898"/>
      <c r="AI3436" s="502"/>
      <c r="AJ3436" s="502"/>
      <c r="AL3436" s="434"/>
      <c r="AM3436" s="436"/>
      <c r="AN3436" s="434"/>
      <c r="AO3436" s="434"/>
      <c r="AP3436" s="556"/>
      <c r="AQ3436" s="556"/>
      <c r="AR3436" s="556"/>
      <c r="CF3436" s="2"/>
    </row>
    <row r="3437" spans="3:84">
      <c r="C3437" s="2"/>
      <c r="AD3437" s="502"/>
      <c r="AE3437" s="911"/>
      <c r="AF3437" s="502"/>
      <c r="AH3437" s="898"/>
      <c r="AI3437" s="502"/>
      <c r="AJ3437" s="502"/>
      <c r="AL3437" s="434"/>
      <c r="AM3437" s="436"/>
      <c r="AN3437" s="434"/>
      <c r="AO3437" s="434"/>
      <c r="AP3437" s="556"/>
      <c r="AQ3437" s="556"/>
      <c r="AR3437" s="556"/>
      <c r="CF3437" s="2"/>
    </row>
    <row r="3438" spans="3:84">
      <c r="C3438" s="2"/>
      <c r="AD3438" s="502"/>
      <c r="AE3438" s="911"/>
      <c r="AF3438" s="502"/>
      <c r="AH3438" s="898"/>
      <c r="AI3438" s="502"/>
      <c r="AJ3438" s="502"/>
      <c r="AL3438" s="434"/>
      <c r="AM3438" s="436"/>
      <c r="AN3438" s="434"/>
      <c r="AO3438" s="434"/>
      <c r="AP3438" s="556"/>
      <c r="AQ3438" s="556"/>
      <c r="AR3438" s="556"/>
      <c r="CF3438" s="2"/>
    </row>
    <row r="3439" spans="3:84">
      <c r="C3439" s="2"/>
      <c r="AD3439" s="502"/>
      <c r="AE3439" s="911"/>
      <c r="AF3439" s="502"/>
      <c r="AH3439" s="898"/>
      <c r="AI3439" s="502"/>
      <c r="AJ3439" s="502"/>
      <c r="AL3439" s="434"/>
      <c r="AM3439" s="436"/>
      <c r="AN3439" s="434"/>
      <c r="AO3439" s="434"/>
      <c r="AP3439" s="556"/>
      <c r="AQ3439" s="556"/>
      <c r="AR3439" s="556"/>
      <c r="CF3439" s="2"/>
    </row>
    <row r="3440" spans="3:84">
      <c r="C3440" s="2"/>
      <c r="AD3440" s="502"/>
      <c r="AE3440" s="911"/>
      <c r="AF3440" s="502"/>
      <c r="AH3440" s="898"/>
      <c r="AI3440" s="502"/>
      <c r="AJ3440" s="502"/>
      <c r="AL3440" s="434"/>
      <c r="AM3440" s="436"/>
      <c r="AN3440" s="434"/>
      <c r="AO3440" s="434"/>
      <c r="AP3440" s="556"/>
      <c r="AQ3440" s="556"/>
      <c r="AR3440" s="556"/>
      <c r="CF3440" s="2"/>
    </row>
    <row r="3441" spans="3:84">
      <c r="C3441" s="2"/>
      <c r="AD3441" s="502"/>
      <c r="AE3441" s="911"/>
      <c r="AF3441" s="502"/>
      <c r="AH3441" s="898"/>
      <c r="AI3441" s="502"/>
      <c r="AJ3441" s="502"/>
      <c r="AL3441" s="434"/>
      <c r="AM3441" s="436"/>
      <c r="AN3441" s="434"/>
      <c r="AO3441" s="434"/>
      <c r="AP3441" s="556"/>
      <c r="AQ3441" s="556"/>
      <c r="AR3441" s="556"/>
      <c r="CF3441" s="2"/>
    </row>
    <row r="3442" spans="3:84">
      <c r="C3442" s="2"/>
      <c r="AD3442" s="502"/>
      <c r="AE3442" s="911"/>
      <c r="AF3442" s="502"/>
      <c r="AH3442" s="898"/>
      <c r="AI3442" s="502"/>
      <c r="AJ3442" s="502"/>
      <c r="AL3442" s="434"/>
      <c r="AM3442" s="436"/>
      <c r="AN3442" s="434"/>
      <c r="AO3442" s="434"/>
      <c r="AP3442" s="556"/>
      <c r="AQ3442" s="556"/>
      <c r="AR3442" s="556"/>
      <c r="CF3442" s="2"/>
    </row>
    <row r="3443" spans="3:84">
      <c r="C3443" s="2"/>
      <c r="AD3443" s="502"/>
      <c r="AE3443" s="911"/>
      <c r="AF3443" s="502"/>
      <c r="AH3443" s="898"/>
      <c r="AI3443" s="502"/>
      <c r="AJ3443" s="502"/>
      <c r="AL3443" s="434"/>
      <c r="AM3443" s="436"/>
      <c r="AN3443" s="434"/>
      <c r="AO3443" s="434"/>
      <c r="AP3443" s="556"/>
      <c r="AQ3443" s="556"/>
      <c r="AR3443" s="556"/>
      <c r="CF3443" s="2"/>
    </row>
    <row r="3444" spans="3:84">
      <c r="C3444" s="2"/>
      <c r="AD3444" s="502"/>
      <c r="AE3444" s="911"/>
      <c r="AF3444" s="502"/>
      <c r="AH3444" s="898"/>
      <c r="AI3444" s="502"/>
      <c r="AJ3444" s="502"/>
      <c r="AL3444" s="434"/>
      <c r="AM3444" s="436"/>
      <c r="AN3444" s="434"/>
      <c r="AO3444" s="434"/>
      <c r="AP3444" s="556"/>
      <c r="AQ3444" s="556"/>
      <c r="AR3444" s="556"/>
      <c r="CF3444" s="2"/>
    </row>
    <row r="3445" spans="3:84">
      <c r="C3445" s="2"/>
      <c r="AD3445" s="502"/>
      <c r="AE3445" s="911"/>
      <c r="AF3445" s="502"/>
      <c r="AH3445" s="898"/>
      <c r="AI3445" s="502"/>
      <c r="AJ3445" s="502"/>
      <c r="AL3445" s="434"/>
      <c r="AM3445" s="436"/>
      <c r="AN3445" s="434"/>
      <c r="AO3445" s="434"/>
      <c r="AP3445" s="556"/>
      <c r="AQ3445" s="556"/>
      <c r="AR3445" s="556"/>
      <c r="CF3445" s="2"/>
    </row>
    <row r="3446" spans="3:84">
      <c r="C3446" s="2"/>
      <c r="AD3446" s="502"/>
      <c r="AE3446" s="911"/>
      <c r="AF3446" s="502"/>
      <c r="AH3446" s="898"/>
      <c r="AI3446" s="502"/>
      <c r="AJ3446" s="502"/>
      <c r="AL3446" s="434"/>
      <c r="AM3446" s="436"/>
      <c r="AN3446" s="434"/>
      <c r="AO3446" s="434"/>
      <c r="AP3446" s="556"/>
      <c r="AQ3446" s="556"/>
      <c r="AR3446" s="556"/>
      <c r="CF3446" s="2"/>
    </row>
    <row r="3447" spans="3:84">
      <c r="C3447" s="2"/>
      <c r="AD3447" s="502"/>
      <c r="AE3447" s="911"/>
      <c r="AF3447" s="502"/>
      <c r="AH3447" s="898"/>
      <c r="AI3447" s="502"/>
      <c r="AJ3447" s="502"/>
      <c r="AL3447" s="434"/>
      <c r="AM3447" s="436"/>
      <c r="AN3447" s="434"/>
      <c r="AO3447" s="434"/>
      <c r="AP3447" s="556"/>
      <c r="AQ3447" s="556"/>
      <c r="AR3447" s="556"/>
      <c r="CF3447" s="2"/>
    </row>
    <row r="3448" spans="3:84">
      <c r="C3448" s="2"/>
      <c r="AD3448" s="502"/>
      <c r="AE3448" s="911"/>
      <c r="AF3448" s="502"/>
      <c r="AH3448" s="898"/>
      <c r="AI3448" s="502"/>
      <c r="AJ3448" s="502"/>
      <c r="AL3448" s="434"/>
      <c r="AM3448" s="436"/>
      <c r="AN3448" s="434"/>
      <c r="AO3448" s="434"/>
      <c r="AP3448" s="556"/>
      <c r="AQ3448" s="556"/>
      <c r="AR3448" s="556"/>
      <c r="CF3448" s="2"/>
    </row>
    <row r="3449" spans="3:84">
      <c r="C3449" s="2"/>
      <c r="AD3449" s="502"/>
      <c r="AE3449" s="911"/>
      <c r="AF3449" s="502"/>
      <c r="AH3449" s="898"/>
      <c r="AI3449" s="502"/>
      <c r="AJ3449" s="502"/>
      <c r="AL3449" s="434"/>
      <c r="AM3449" s="436"/>
      <c r="AN3449" s="434"/>
      <c r="AO3449" s="434"/>
      <c r="AP3449" s="556"/>
      <c r="AQ3449" s="556"/>
      <c r="AR3449" s="556"/>
      <c r="CF3449" s="2"/>
    </row>
    <row r="3450" spans="3:84">
      <c r="C3450" s="2"/>
      <c r="AD3450" s="502"/>
      <c r="AE3450" s="911"/>
      <c r="AF3450" s="502"/>
      <c r="AH3450" s="898"/>
      <c r="AI3450" s="502"/>
      <c r="AJ3450" s="502"/>
      <c r="AL3450" s="434"/>
      <c r="AM3450" s="436"/>
      <c r="AN3450" s="434"/>
      <c r="AO3450" s="434"/>
      <c r="AP3450" s="556"/>
      <c r="AQ3450" s="556"/>
      <c r="AR3450" s="556"/>
      <c r="CF3450" s="2"/>
    </row>
    <row r="3451" spans="3:84">
      <c r="C3451" s="2"/>
      <c r="AD3451" s="502"/>
      <c r="AE3451" s="911"/>
      <c r="AF3451" s="502"/>
      <c r="AH3451" s="898"/>
      <c r="AI3451" s="502"/>
      <c r="AJ3451" s="502"/>
      <c r="AL3451" s="434"/>
      <c r="AM3451" s="436"/>
      <c r="AN3451" s="434"/>
      <c r="AO3451" s="434"/>
      <c r="AP3451" s="556"/>
      <c r="AQ3451" s="556"/>
      <c r="AR3451" s="556"/>
      <c r="CF3451" s="2"/>
    </row>
    <row r="3452" spans="3:84">
      <c r="C3452" s="2"/>
      <c r="AD3452" s="502"/>
      <c r="AE3452" s="911"/>
      <c r="AF3452" s="502"/>
      <c r="AH3452" s="898"/>
      <c r="AI3452" s="502"/>
      <c r="AJ3452" s="502"/>
      <c r="AL3452" s="434"/>
      <c r="AM3452" s="436"/>
      <c r="AN3452" s="434"/>
      <c r="AO3452" s="434"/>
      <c r="AP3452" s="556"/>
      <c r="AQ3452" s="556"/>
      <c r="AR3452" s="556"/>
      <c r="CF3452" s="2"/>
    </row>
    <row r="3453" spans="3:84">
      <c r="C3453" s="2"/>
      <c r="AD3453" s="502"/>
      <c r="AE3453" s="911"/>
      <c r="AF3453" s="502"/>
      <c r="AH3453" s="898"/>
      <c r="AI3453" s="502"/>
      <c r="AJ3453" s="502"/>
      <c r="AL3453" s="434"/>
      <c r="AM3453" s="436"/>
      <c r="AN3453" s="434"/>
      <c r="AO3453" s="434"/>
      <c r="AP3453" s="556"/>
      <c r="AQ3453" s="556"/>
      <c r="AR3453" s="556"/>
      <c r="CF3453" s="2"/>
    </row>
    <row r="3454" spans="3:84">
      <c r="C3454" s="2"/>
      <c r="AD3454" s="502"/>
      <c r="AE3454" s="911"/>
      <c r="AF3454" s="502"/>
      <c r="AH3454" s="898"/>
      <c r="AI3454" s="502"/>
      <c r="AJ3454" s="502"/>
      <c r="AL3454" s="434"/>
      <c r="AM3454" s="436"/>
      <c r="AN3454" s="434"/>
      <c r="AO3454" s="434"/>
      <c r="AP3454" s="556"/>
      <c r="AQ3454" s="556"/>
      <c r="AR3454" s="556"/>
      <c r="CF3454" s="2"/>
    </row>
    <row r="3455" spans="3:84">
      <c r="C3455" s="2"/>
      <c r="AD3455" s="502"/>
      <c r="AE3455" s="911"/>
      <c r="AF3455" s="502"/>
      <c r="AH3455" s="898"/>
      <c r="AI3455" s="502"/>
      <c r="AJ3455" s="502"/>
      <c r="AL3455" s="434"/>
      <c r="AM3455" s="436"/>
      <c r="AN3455" s="434"/>
      <c r="AO3455" s="434"/>
      <c r="AP3455" s="556"/>
      <c r="AQ3455" s="556"/>
      <c r="AR3455" s="556"/>
      <c r="CF3455" s="2"/>
    </row>
    <row r="3456" spans="3:84">
      <c r="C3456" s="2"/>
      <c r="AD3456" s="502"/>
      <c r="AE3456" s="911"/>
      <c r="AF3456" s="502"/>
      <c r="AH3456" s="898"/>
      <c r="AI3456" s="502"/>
      <c r="AJ3456" s="502"/>
      <c r="AL3456" s="434"/>
      <c r="AM3456" s="436"/>
      <c r="AN3456" s="434"/>
      <c r="AO3456" s="434"/>
      <c r="AP3456" s="556"/>
      <c r="AQ3456" s="556"/>
      <c r="AR3456" s="556"/>
      <c r="CF3456" s="2"/>
    </row>
    <row r="3457" spans="3:84">
      <c r="C3457" s="2"/>
      <c r="AD3457" s="502"/>
      <c r="AE3457" s="911"/>
      <c r="AF3457" s="502"/>
      <c r="AH3457" s="898"/>
      <c r="AI3457" s="502"/>
      <c r="AJ3457" s="502"/>
      <c r="AL3457" s="434"/>
      <c r="AM3457" s="436"/>
      <c r="AN3457" s="434"/>
      <c r="AO3457" s="434"/>
      <c r="AP3457" s="556"/>
      <c r="AQ3457" s="556"/>
      <c r="AR3457" s="556"/>
      <c r="CF3457" s="2"/>
    </row>
    <row r="3458" spans="3:84">
      <c r="C3458" s="2"/>
      <c r="AD3458" s="502"/>
      <c r="AE3458" s="911"/>
      <c r="AF3458" s="502"/>
      <c r="AH3458" s="898"/>
      <c r="AI3458" s="502"/>
      <c r="AJ3458" s="502"/>
      <c r="AL3458" s="434"/>
      <c r="AM3458" s="436"/>
      <c r="AN3458" s="434"/>
      <c r="AO3458" s="434"/>
      <c r="AP3458" s="556"/>
      <c r="AQ3458" s="556"/>
      <c r="AR3458" s="556"/>
      <c r="CF3458" s="2"/>
    </row>
    <row r="3459" spans="3:84">
      <c r="C3459" s="2"/>
      <c r="AD3459" s="502"/>
      <c r="AE3459" s="911"/>
      <c r="AF3459" s="502"/>
      <c r="AH3459" s="898"/>
      <c r="AI3459" s="502"/>
      <c r="AJ3459" s="502"/>
      <c r="AL3459" s="434"/>
      <c r="AM3459" s="436"/>
      <c r="AN3459" s="434"/>
      <c r="AO3459" s="434"/>
      <c r="AP3459" s="556"/>
      <c r="AQ3459" s="556"/>
      <c r="AR3459" s="556"/>
      <c r="CF3459" s="2"/>
    </row>
    <row r="3460" spans="3:84">
      <c r="C3460" s="2"/>
      <c r="AD3460" s="502"/>
      <c r="AE3460" s="911"/>
      <c r="AF3460" s="502"/>
      <c r="AH3460" s="898"/>
      <c r="AI3460" s="502"/>
      <c r="AJ3460" s="502"/>
      <c r="AL3460" s="434"/>
      <c r="AM3460" s="436"/>
      <c r="AN3460" s="434"/>
      <c r="AO3460" s="434"/>
      <c r="AP3460" s="556"/>
      <c r="AQ3460" s="556"/>
      <c r="AR3460" s="556"/>
      <c r="CF3460" s="2"/>
    </row>
    <row r="3461" spans="3:84">
      <c r="C3461" s="2"/>
      <c r="AD3461" s="502"/>
      <c r="AE3461" s="911"/>
      <c r="AF3461" s="502"/>
      <c r="AH3461" s="898"/>
      <c r="AI3461" s="502"/>
      <c r="AJ3461" s="502"/>
      <c r="AL3461" s="434"/>
      <c r="AM3461" s="436"/>
      <c r="AN3461" s="434"/>
      <c r="AO3461" s="434"/>
      <c r="AP3461" s="556"/>
      <c r="AQ3461" s="556"/>
      <c r="AR3461" s="556"/>
      <c r="CF3461" s="2"/>
    </row>
    <row r="3462" spans="3:84">
      <c r="C3462" s="2"/>
      <c r="AD3462" s="502"/>
      <c r="AE3462" s="911"/>
      <c r="AF3462" s="502"/>
      <c r="AH3462" s="898"/>
      <c r="AI3462" s="502"/>
      <c r="AJ3462" s="502"/>
      <c r="AL3462" s="434"/>
      <c r="AM3462" s="436"/>
      <c r="AN3462" s="434"/>
      <c r="AO3462" s="434"/>
      <c r="AP3462" s="556"/>
      <c r="AQ3462" s="556"/>
      <c r="AR3462" s="556"/>
      <c r="CF3462" s="2"/>
    </row>
    <row r="3463" spans="3:84">
      <c r="C3463" s="2"/>
      <c r="AD3463" s="502"/>
      <c r="AE3463" s="911"/>
      <c r="AF3463" s="502"/>
      <c r="AH3463" s="898"/>
      <c r="AI3463" s="502"/>
      <c r="AJ3463" s="502"/>
      <c r="AL3463" s="434"/>
      <c r="AM3463" s="436"/>
      <c r="AN3463" s="434"/>
      <c r="AO3463" s="434"/>
      <c r="AP3463" s="556"/>
      <c r="AQ3463" s="556"/>
      <c r="AR3463" s="556"/>
      <c r="CF3463" s="2"/>
    </row>
    <row r="3464" spans="3:84">
      <c r="C3464" s="2"/>
      <c r="AD3464" s="502"/>
      <c r="AE3464" s="911"/>
      <c r="AF3464" s="502"/>
      <c r="AH3464" s="898"/>
      <c r="AI3464" s="502"/>
      <c r="AJ3464" s="502"/>
      <c r="AL3464" s="434"/>
      <c r="AM3464" s="436"/>
      <c r="AN3464" s="434"/>
      <c r="AO3464" s="434"/>
      <c r="AP3464" s="556"/>
      <c r="AQ3464" s="556"/>
      <c r="AR3464" s="556"/>
      <c r="CF3464" s="2"/>
    </row>
    <row r="3465" spans="3:84">
      <c r="C3465" s="2"/>
      <c r="AD3465" s="502"/>
      <c r="AE3465" s="911"/>
      <c r="AF3465" s="502"/>
      <c r="AH3465" s="898"/>
      <c r="AI3465" s="502"/>
      <c r="AJ3465" s="502"/>
      <c r="AL3465" s="434"/>
      <c r="AM3465" s="436"/>
      <c r="AN3465" s="434"/>
      <c r="AO3465" s="434"/>
      <c r="AP3465" s="556"/>
      <c r="AQ3465" s="556"/>
      <c r="AR3465" s="556"/>
      <c r="CF3465" s="2"/>
    </row>
    <row r="3466" spans="3:84">
      <c r="C3466" s="2"/>
      <c r="AD3466" s="502"/>
      <c r="AE3466" s="911"/>
      <c r="AF3466" s="502"/>
      <c r="AH3466" s="898"/>
      <c r="AI3466" s="502"/>
      <c r="AJ3466" s="502"/>
      <c r="AL3466" s="434"/>
      <c r="AM3466" s="436"/>
      <c r="AN3466" s="434"/>
      <c r="AO3466" s="434"/>
      <c r="AP3466" s="556"/>
      <c r="AQ3466" s="556"/>
      <c r="AR3466" s="556"/>
      <c r="CF3466" s="2"/>
    </row>
    <row r="3467" spans="3:84">
      <c r="C3467" s="2"/>
      <c r="AD3467" s="502"/>
      <c r="AE3467" s="911"/>
      <c r="AF3467" s="502"/>
      <c r="AH3467" s="898"/>
      <c r="AI3467" s="502"/>
      <c r="AJ3467" s="502"/>
      <c r="AL3467" s="434"/>
      <c r="AM3467" s="436"/>
      <c r="AN3467" s="434"/>
      <c r="AO3467" s="434"/>
      <c r="AP3467" s="556"/>
      <c r="AQ3467" s="556"/>
      <c r="AR3467" s="556"/>
      <c r="CF3467" s="2"/>
    </row>
    <row r="3468" spans="3:84">
      <c r="C3468" s="2"/>
      <c r="AD3468" s="502"/>
      <c r="AE3468" s="911"/>
      <c r="AF3468" s="502"/>
      <c r="AH3468" s="898"/>
      <c r="AI3468" s="502"/>
      <c r="AJ3468" s="502"/>
      <c r="AL3468" s="434"/>
      <c r="AM3468" s="436"/>
      <c r="AN3468" s="434"/>
      <c r="AO3468" s="434"/>
      <c r="AP3468" s="556"/>
      <c r="AQ3468" s="556"/>
      <c r="AR3468" s="556"/>
      <c r="CF3468" s="2"/>
    </row>
    <row r="3469" spans="3:84">
      <c r="C3469" s="2"/>
      <c r="AD3469" s="502"/>
      <c r="AE3469" s="911"/>
      <c r="AF3469" s="502"/>
      <c r="AH3469" s="898"/>
      <c r="AI3469" s="502"/>
      <c r="AJ3469" s="502"/>
      <c r="AL3469" s="434"/>
      <c r="AM3469" s="436"/>
      <c r="AN3469" s="434"/>
      <c r="AO3469" s="434"/>
      <c r="AP3469" s="556"/>
      <c r="AQ3469" s="556"/>
      <c r="AR3469" s="556"/>
      <c r="CF3469" s="2"/>
    </row>
    <row r="3470" spans="3:84">
      <c r="C3470" s="2"/>
      <c r="AD3470" s="502"/>
      <c r="AE3470" s="911"/>
      <c r="AF3470" s="502"/>
      <c r="AH3470" s="898"/>
      <c r="AI3470" s="502"/>
      <c r="AJ3470" s="502"/>
      <c r="AL3470" s="434"/>
      <c r="AM3470" s="436"/>
      <c r="AN3470" s="434"/>
      <c r="AO3470" s="434"/>
      <c r="AP3470" s="556"/>
      <c r="AQ3470" s="556"/>
      <c r="AR3470" s="556"/>
      <c r="CF3470" s="2"/>
    </row>
    <row r="3471" spans="3:84">
      <c r="C3471" s="2"/>
      <c r="AD3471" s="502"/>
      <c r="AE3471" s="911"/>
      <c r="AF3471" s="502"/>
      <c r="AH3471" s="898"/>
      <c r="AI3471" s="502"/>
      <c r="AJ3471" s="502"/>
      <c r="AL3471" s="434"/>
      <c r="AM3471" s="436"/>
      <c r="AN3471" s="434"/>
      <c r="AO3471" s="434"/>
      <c r="AP3471" s="556"/>
      <c r="AQ3471" s="556"/>
      <c r="AR3471" s="556"/>
      <c r="CF3471" s="2"/>
    </row>
    <row r="3472" spans="3:84">
      <c r="C3472" s="2"/>
      <c r="AD3472" s="502"/>
      <c r="AE3472" s="911"/>
      <c r="AF3472" s="502"/>
      <c r="AH3472" s="898"/>
      <c r="AI3472" s="502"/>
      <c r="AJ3472" s="502"/>
      <c r="AL3472" s="434"/>
      <c r="AM3472" s="436"/>
      <c r="AN3472" s="434"/>
      <c r="AO3472" s="434"/>
      <c r="AP3472" s="556"/>
      <c r="AQ3472" s="556"/>
      <c r="AR3472" s="556"/>
      <c r="CF3472" s="2"/>
    </row>
    <row r="3473" spans="3:84">
      <c r="C3473" s="2"/>
      <c r="AD3473" s="502"/>
      <c r="AE3473" s="911"/>
      <c r="AF3473" s="502"/>
      <c r="AH3473" s="898"/>
      <c r="AI3473" s="502"/>
      <c r="AJ3473" s="502"/>
      <c r="AL3473" s="434"/>
      <c r="AM3473" s="436"/>
      <c r="AN3473" s="434"/>
      <c r="AO3473" s="434"/>
      <c r="AP3473" s="556"/>
      <c r="AQ3473" s="556"/>
      <c r="AR3473" s="556"/>
      <c r="CF3473" s="2"/>
    </row>
    <row r="3474" spans="3:84">
      <c r="C3474" s="2"/>
      <c r="AD3474" s="502"/>
      <c r="AE3474" s="911"/>
      <c r="AF3474" s="502"/>
      <c r="AH3474" s="898"/>
      <c r="AI3474" s="502"/>
      <c r="AJ3474" s="502"/>
      <c r="AL3474" s="434"/>
      <c r="AM3474" s="436"/>
      <c r="AN3474" s="434"/>
      <c r="AO3474" s="434"/>
      <c r="AP3474" s="556"/>
      <c r="AQ3474" s="556"/>
      <c r="AR3474" s="556"/>
      <c r="CF3474" s="2"/>
    </row>
    <row r="3475" spans="3:84">
      <c r="C3475" s="2"/>
      <c r="AD3475" s="502"/>
      <c r="AE3475" s="911"/>
      <c r="AF3475" s="502"/>
      <c r="AH3475" s="898"/>
      <c r="AI3475" s="502"/>
      <c r="AJ3475" s="502"/>
      <c r="AL3475" s="434"/>
      <c r="AM3475" s="436"/>
      <c r="AN3475" s="434"/>
      <c r="AO3475" s="434"/>
      <c r="AP3475" s="556"/>
      <c r="AQ3475" s="556"/>
      <c r="AR3475" s="556"/>
      <c r="CF3475" s="2"/>
    </row>
    <row r="3476" spans="3:84">
      <c r="C3476" s="2"/>
      <c r="AD3476" s="502"/>
      <c r="AE3476" s="911"/>
      <c r="AF3476" s="502"/>
      <c r="AH3476" s="898"/>
      <c r="AI3476" s="502"/>
      <c r="AJ3476" s="502"/>
      <c r="AL3476" s="434"/>
      <c r="AM3476" s="436"/>
      <c r="AN3476" s="434"/>
      <c r="AO3476" s="434"/>
      <c r="AP3476" s="556"/>
      <c r="AQ3476" s="556"/>
      <c r="AR3476" s="556"/>
      <c r="CF3476" s="2"/>
    </row>
    <row r="3477" spans="3:84">
      <c r="C3477" s="2"/>
      <c r="AD3477" s="502"/>
      <c r="AE3477" s="911"/>
      <c r="AF3477" s="502"/>
      <c r="AH3477" s="898"/>
      <c r="AI3477" s="502"/>
      <c r="AJ3477" s="502"/>
      <c r="AL3477" s="434"/>
      <c r="AM3477" s="436"/>
      <c r="AN3477" s="434"/>
      <c r="AO3477" s="434"/>
      <c r="AP3477" s="556"/>
      <c r="AQ3477" s="556"/>
      <c r="AR3477" s="556"/>
      <c r="CF3477" s="2"/>
    </row>
    <row r="3478" spans="3:84">
      <c r="C3478" s="2"/>
      <c r="AD3478" s="502"/>
      <c r="AE3478" s="911"/>
      <c r="AF3478" s="502"/>
      <c r="AH3478" s="898"/>
      <c r="AI3478" s="502"/>
      <c r="AJ3478" s="502"/>
      <c r="AL3478" s="434"/>
      <c r="AM3478" s="436"/>
      <c r="AN3478" s="434"/>
      <c r="AO3478" s="434"/>
      <c r="AP3478" s="556"/>
      <c r="AQ3478" s="556"/>
      <c r="AR3478" s="556"/>
      <c r="CF3478" s="2"/>
    </row>
    <row r="3479" spans="3:84">
      <c r="C3479" s="2"/>
      <c r="AD3479" s="502"/>
      <c r="AE3479" s="911"/>
      <c r="AF3479" s="502"/>
      <c r="AH3479" s="898"/>
      <c r="AI3479" s="502"/>
      <c r="AJ3479" s="502"/>
      <c r="AL3479" s="434"/>
      <c r="AM3479" s="436"/>
      <c r="AN3479" s="434"/>
      <c r="AO3479" s="434"/>
      <c r="AP3479" s="556"/>
      <c r="AQ3479" s="556"/>
      <c r="AR3479" s="556"/>
      <c r="CF3479" s="2"/>
    </row>
    <row r="3480" spans="3:84">
      <c r="C3480" s="2"/>
      <c r="AD3480" s="502"/>
      <c r="AE3480" s="911"/>
      <c r="AF3480" s="502"/>
      <c r="AH3480" s="898"/>
      <c r="AI3480" s="502"/>
      <c r="AJ3480" s="502"/>
      <c r="AL3480" s="434"/>
      <c r="AM3480" s="436"/>
      <c r="AN3480" s="434"/>
      <c r="AO3480" s="434"/>
      <c r="AP3480" s="556"/>
      <c r="AQ3480" s="556"/>
      <c r="AR3480" s="556"/>
      <c r="CF3480" s="2"/>
    </row>
    <row r="3481" spans="3:84">
      <c r="C3481" s="2"/>
      <c r="AD3481" s="502"/>
      <c r="AE3481" s="911"/>
      <c r="AF3481" s="502"/>
      <c r="AH3481" s="898"/>
      <c r="AI3481" s="502"/>
      <c r="AJ3481" s="502"/>
      <c r="AL3481" s="434"/>
      <c r="AM3481" s="436"/>
      <c r="AN3481" s="434"/>
      <c r="AO3481" s="434"/>
      <c r="AP3481" s="556"/>
      <c r="AQ3481" s="556"/>
      <c r="AR3481" s="556"/>
      <c r="CF3481" s="2"/>
    </row>
    <row r="3482" spans="3:84">
      <c r="C3482" s="2"/>
      <c r="AD3482" s="502"/>
      <c r="AE3482" s="911"/>
      <c r="AF3482" s="502"/>
      <c r="AH3482" s="898"/>
      <c r="AI3482" s="502"/>
      <c r="AJ3482" s="502"/>
      <c r="AL3482" s="434"/>
      <c r="AM3482" s="436"/>
      <c r="AN3482" s="434"/>
      <c r="AO3482" s="434"/>
      <c r="AP3482" s="556"/>
      <c r="AQ3482" s="556"/>
      <c r="AR3482" s="556"/>
      <c r="CF3482" s="2"/>
    </row>
    <row r="3483" spans="3:84">
      <c r="C3483" s="2"/>
      <c r="AD3483" s="502"/>
      <c r="AE3483" s="911"/>
      <c r="AF3483" s="502"/>
      <c r="AH3483" s="898"/>
      <c r="AI3483" s="502"/>
      <c r="AJ3483" s="502"/>
      <c r="AL3483" s="434"/>
      <c r="AM3483" s="436"/>
      <c r="AN3483" s="434"/>
      <c r="AO3483" s="434"/>
      <c r="AP3483" s="556"/>
      <c r="AQ3483" s="556"/>
      <c r="AR3483" s="556"/>
      <c r="CF3483" s="2"/>
    </row>
    <row r="3484" spans="3:84">
      <c r="C3484" s="2"/>
      <c r="AD3484" s="502"/>
      <c r="AE3484" s="911"/>
      <c r="AF3484" s="502"/>
      <c r="AH3484" s="898"/>
      <c r="AI3484" s="502"/>
      <c r="AJ3484" s="502"/>
      <c r="AL3484" s="434"/>
      <c r="AM3484" s="436"/>
      <c r="AN3484" s="434"/>
      <c r="AO3484" s="434"/>
      <c r="AP3484" s="556"/>
      <c r="AQ3484" s="556"/>
      <c r="AR3484" s="556"/>
      <c r="CF3484" s="2"/>
    </row>
    <row r="3485" spans="3:84">
      <c r="C3485" s="2"/>
      <c r="AD3485" s="502"/>
      <c r="AE3485" s="911"/>
      <c r="AF3485" s="502"/>
      <c r="AH3485" s="898"/>
      <c r="AI3485" s="502"/>
      <c r="AJ3485" s="502"/>
      <c r="AL3485" s="434"/>
      <c r="AM3485" s="436"/>
      <c r="AN3485" s="434"/>
      <c r="AO3485" s="434"/>
      <c r="AP3485" s="556"/>
      <c r="AQ3485" s="556"/>
      <c r="AR3485" s="556"/>
      <c r="CF3485" s="2"/>
    </row>
    <row r="3486" spans="3:84">
      <c r="C3486" s="2"/>
      <c r="AD3486" s="502"/>
      <c r="AE3486" s="911"/>
      <c r="AF3486" s="502"/>
      <c r="AH3486" s="898"/>
      <c r="AI3486" s="502"/>
      <c r="AJ3486" s="502"/>
      <c r="AL3486" s="434"/>
      <c r="AM3486" s="436"/>
      <c r="AN3486" s="434"/>
      <c r="AO3486" s="434"/>
      <c r="AP3486" s="556"/>
      <c r="AQ3486" s="556"/>
      <c r="AR3486" s="556"/>
      <c r="CF3486" s="2"/>
    </row>
    <row r="3487" spans="3:84">
      <c r="C3487" s="2"/>
      <c r="AD3487" s="502"/>
      <c r="AE3487" s="911"/>
      <c r="AF3487" s="502"/>
      <c r="AH3487" s="898"/>
      <c r="AI3487" s="502"/>
      <c r="AJ3487" s="502"/>
      <c r="AL3487" s="434"/>
      <c r="AM3487" s="436"/>
      <c r="AN3487" s="434"/>
      <c r="AO3487" s="434"/>
      <c r="AP3487" s="556"/>
      <c r="AQ3487" s="556"/>
      <c r="AR3487" s="556"/>
      <c r="CF3487" s="2"/>
    </row>
    <row r="3488" spans="3:84">
      <c r="C3488" s="2"/>
      <c r="AD3488" s="502"/>
      <c r="AE3488" s="911"/>
      <c r="AF3488" s="502"/>
      <c r="AH3488" s="898"/>
      <c r="AI3488" s="502"/>
      <c r="AJ3488" s="502"/>
      <c r="AL3488" s="434"/>
      <c r="AM3488" s="436"/>
      <c r="AN3488" s="434"/>
      <c r="AO3488" s="434"/>
      <c r="AP3488" s="556"/>
      <c r="AQ3488" s="556"/>
      <c r="AR3488" s="556"/>
      <c r="CF3488" s="2"/>
    </row>
    <row r="3489" spans="3:84">
      <c r="C3489" s="2"/>
      <c r="AD3489" s="502"/>
      <c r="AE3489" s="911"/>
      <c r="AF3489" s="502"/>
      <c r="AH3489" s="898"/>
      <c r="AI3489" s="502"/>
      <c r="AJ3489" s="502"/>
      <c r="AL3489" s="434"/>
      <c r="AM3489" s="436"/>
      <c r="AN3489" s="434"/>
      <c r="AO3489" s="434"/>
      <c r="AP3489" s="556"/>
      <c r="AQ3489" s="556"/>
      <c r="AR3489" s="556"/>
      <c r="CF3489" s="2"/>
    </row>
    <row r="3490" spans="3:84">
      <c r="C3490" s="2"/>
      <c r="AD3490" s="502"/>
      <c r="AE3490" s="911"/>
      <c r="AF3490" s="502"/>
      <c r="AH3490" s="898"/>
      <c r="AI3490" s="502"/>
      <c r="AJ3490" s="502"/>
      <c r="AL3490" s="434"/>
      <c r="AM3490" s="436"/>
      <c r="AN3490" s="434"/>
      <c r="AO3490" s="434"/>
      <c r="AP3490" s="556"/>
      <c r="AQ3490" s="556"/>
      <c r="AR3490" s="556"/>
      <c r="CF3490" s="2"/>
    </row>
    <row r="3491" spans="3:84">
      <c r="C3491" s="2"/>
      <c r="AD3491" s="502"/>
      <c r="AE3491" s="911"/>
      <c r="AF3491" s="502"/>
      <c r="AH3491" s="898"/>
      <c r="AI3491" s="502"/>
      <c r="AJ3491" s="502"/>
      <c r="AL3491" s="434"/>
      <c r="AM3491" s="436"/>
      <c r="AN3491" s="434"/>
      <c r="AO3491" s="434"/>
      <c r="AP3491" s="556"/>
      <c r="AQ3491" s="556"/>
      <c r="AR3491" s="556"/>
      <c r="CF3491" s="2"/>
    </row>
    <row r="3492" spans="3:84">
      <c r="C3492" s="2"/>
      <c r="AD3492" s="502"/>
      <c r="AE3492" s="911"/>
      <c r="AF3492" s="502"/>
      <c r="AH3492" s="898"/>
      <c r="AI3492" s="502"/>
      <c r="AJ3492" s="502"/>
      <c r="AL3492" s="434"/>
      <c r="AM3492" s="436"/>
      <c r="AN3492" s="434"/>
      <c r="AO3492" s="434"/>
      <c r="AP3492" s="556"/>
      <c r="AQ3492" s="556"/>
      <c r="AR3492" s="556"/>
      <c r="CF3492" s="2"/>
    </row>
    <row r="3493" spans="3:84">
      <c r="C3493" s="2"/>
      <c r="AD3493" s="502"/>
      <c r="AE3493" s="911"/>
      <c r="AF3493" s="502"/>
      <c r="AH3493" s="898"/>
      <c r="AI3493" s="502"/>
      <c r="AJ3493" s="502"/>
      <c r="AL3493" s="434"/>
      <c r="AM3493" s="436"/>
      <c r="AN3493" s="434"/>
      <c r="AO3493" s="434"/>
      <c r="AP3493" s="556"/>
      <c r="AQ3493" s="556"/>
      <c r="AR3493" s="556"/>
      <c r="CF3493" s="2"/>
    </row>
    <row r="3494" spans="3:84">
      <c r="C3494" s="2"/>
      <c r="AD3494" s="502"/>
      <c r="AE3494" s="911"/>
      <c r="AF3494" s="502"/>
      <c r="AH3494" s="898"/>
      <c r="AI3494" s="502"/>
      <c r="AJ3494" s="502"/>
      <c r="AL3494" s="434"/>
      <c r="AM3494" s="436"/>
      <c r="AN3494" s="434"/>
      <c r="AO3494" s="434"/>
      <c r="AP3494" s="556"/>
      <c r="AQ3494" s="556"/>
      <c r="AR3494" s="556"/>
      <c r="CF3494" s="2"/>
    </row>
    <row r="3495" spans="3:84">
      <c r="C3495" s="2"/>
      <c r="AD3495" s="502"/>
      <c r="AE3495" s="911"/>
      <c r="AF3495" s="502"/>
      <c r="AH3495" s="898"/>
      <c r="AI3495" s="502"/>
      <c r="AJ3495" s="502"/>
      <c r="AL3495" s="434"/>
      <c r="AM3495" s="436"/>
      <c r="AN3495" s="434"/>
      <c r="AO3495" s="434"/>
      <c r="AP3495" s="556"/>
      <c r="AQ3495" s="556"/>
      <c r="AR3495" s="556"/>
      <c r="CF3495" s="2"/>
    </row>
    <row r="3496" spans="3:84">
      <c r="C3496" s="2"/>
      <c r="AD3496" s="502"/>
      <c r="AE3496" s="911"/>
      <c r="AF3496" s="502"/>
      <c r="AH3496" s="898"/>
      <c r="AI3496" s="502"/>
      <c r="AJ3496" s="502"/>
      <c r="AL3496" s="434"/>
      <c r="AM3496" s="436"/>
      <c r="AN3496" s="434"/>
      <c r="AO3496" s="434"/>
      <c r="AP3496" s="556"/>
      <c r="AQ3496" s="556"/>
      <c r="AR3496" s="556"/>
      <c r="CF3496" s="2"/>
    </row>
    <row r="3497" spans="3:84">
      <c r="C3497" s="2"/>
      <c r="AD3497" s="502"/>
      <c r="AE3497" s="911"/>
      <c r="AF3497" s="502"/>
      <c r="AH3497" s="898"/>
      <c r="AI3497" s="502"/>
      <c r="AJ3497" s="502"/>
      <c r="AL3497" s="434"/>
      <c r="AM3497" s="436"/>
      <c r="AN3497" s="434"/>
      <c r="AO3497" s="434"/>
      <c r="AP3497" s="556"/>
      <c r="AQ3497" s="556"/>
      <c r="AR3497" s="556"/>
      <c r="CF3497" s="2"/>
    </row>
    <row r="3498" spans="3:84">
      <c r="C3498" s="2"/>
      <c r="AD3498" s="502"/>
      <c r="AE3498" s="911"/>
      <c r="AF3498" s="502"/>
      <c r="AH3498" s="898"/>
      <c r="AI3498" s="502"/>
      <c r="AJ3498" s="502"/>
      <c r="AL3498" s="434"/>
      <c r="AM3498" s="436"/>
      <c r="AN3498" s="434"/>
      <c r="AO3498" s="434"/>
      <c r="AP3498" s="556"/>
      <c r="AQ3498" s="556"/>
      <c r="AR3498" s="556"/>
      <c r="CF3498" s="2"/>
    </row>
    <row r="3499" spans="3:84">
      <c r="C3499" s="2"/>
      <c r="AD3499" s="502"/>
      <c r="AE3499" s="911"/>
      <c r="AF3499" s="502"/>
      <c r="AH3499" s="898"/>
      <c r="AI3499" s="502"/>
      <c r="AJ3499" s="502"/>
      <c r="AL3499" s="434"/>
      <c r="AM3499" s="436"/>
      <c r="AN3499" s="434"/>
      <c r="AO3499" s="434"/>
      <c r="AP3499" s="556"/>
      <c r="AQ3499" s="556"/>
      <c r="AR3499" s="556"/>
      <c r="CF3499" s="2"/>
    </row>
    <row r="3500" spans="3:84">
      <c r="C3500" s="2"/>
      <c r="AD3500" s="502"/>
      <c r="AE3500" s="911"/>
      <c r="AF3500" s="502"/>
      <c r="AH3500" s="898"/>
      <c r="AI3500" s="502"/>
      <c r="AJ3500" s="502"/>
      <c r="AL3500" s="434"/>
      <c r="AM3500" s="436"/>
      <c r="AN3500" s="434"/>
      <c r="AO3500" s="434"/>
      <c r="AP3500" s="556"/>
      <c r="AQ3500" s="556"/>
      <c r="AR3500" s="556"/>
      <c r="CF3500" s="2"/>
    </row>
    <row r="3501" spans="3:84">
      <c r="C3501" s="2"/>
      <c r="AD3501" s="502"/>
      <c r="AE3501" s="911"/>
      <c r="AF3501" s="502"/>
      <c r="AH3501" s="898"/>
      <c r="AI3501" s="502"/>
      <c r="AJ3501" s="502"/>
      <c r="AL3501" s="434"/>
      <c r="AM3501" s="436"/>
      <c r="AN3501" s="434"/>
      <c r="AO3501" s="434"/>
      <c r="AP3501" s="556"/>
      <c r="AQ3501" s="556"/>
      <c r="AR3501" s="556"/>
      <c r="CF3501" s="2"/>
    </row>
    <row r="3502" spans="3:84">
      <c r="C3502" s="2"/>
      <c r="AD3502" s="502"/>
      <c r="AE3502" s="911"/>
      <c r="AF3502" s="502"/>
      <c r="AH3502" s="898"/>
      <c r="AI3502" s="502"/>
      <c r="AJ3502" s="502"/>
      <c r="AL3502" s="434"/>
      <c r="AM3502" s="436"/>
      <c r="AN3502" s="434"/>
      <c r="AO3502" s="434"/>
      <c r="AP3502" s="556"/>
      <c r="AQ3502" s="556"/>
      <c r="AR3502" s="556"/>
      <c r="CF3502" s="2"/>
    </row>
    <row r="3503" spans="3:84">
      <c r="C3503" s="2"/>
      <c r="AD3503" s="502"/>
      <c r="AE3503" s="911"/>
      <c r="AF3503" s="502"/>
      <c r="AH3503" s="898"/>
      <c r="AI3503" s="502"/>
      <c r="AJ3503" s="502"/>
      <c r="AL3503" s="434"/>
      <c r="AM3503" s="436"/>
      <c r="AN3503" s="434"/>
      <c r="AO3503" s="434"/>
      <c r="AP3503" s="556"/>
      <c r="AQ3503" s="556"/>
      <c r="AR3503" s="556"/>
      <c r="CF3503" s="2"/>
    </row>
    <row r="3504" spans="3:84">
      <c r="C3504" s="2"/>
      <c r="AD3504" s="502"/>
      <c r="AE3504" s="911"/>
      <c r="AF3504" s="502"/>
      <c r="AH3504" s="898"/>
      <c r="AI3504" s="502"/>
      <c r="AJ3504" s="502"/>
      <c r="AL3504" s="434"/>
      <c r="AM3504" s="436"/>
      <c r="AN3504" s="434"/>
      <c r="AO3504" s="434"/>
      <c r="AP3504" s="556"/>
      <c r="AQ3504" s="556"/>
      <c r="AR3504" s="556"/>
      <c r="CF3504" s="2"/>
    </row>
    <row r="3505" spans="3:84">
      <c r="C3505" s="2"/>
      <c r="AD3505" s="502"/>
      <c r="AE3505" s="911"/>
      <c r="AF3505" s="502"/>
      <c r="AH3505" s="898"/>
      <c r="AI3505" s="502"/>
      <c r="AJ3505" s="502"/>
      <c r="AL3505" s="434"/>
      <c r="AM3505" s="436"/>
      <c r="AN3505" s="434"/>
      <c r="AO3505" s="434"/>
      <c r="AP3505" s="556"/>
      <c r="AQ3505" s="556"/>
      <c r="AR3505" s="556"/>
      <c r="CF3505" s="2"/>
    </row>
    <row r="3506" spans="3:84">
      <c r="C3506" s="2"/>
      <c r="AD3506" s="502"/>
      <c r="AE3506" s="911"/>
      <c r="AF3506" s="502"/>
      <c r="AH3506" s="898"/>
      <c r="AI3506" s="502"/>
      <c r="AJ3506" s="502"/>
      <c r="AL3506" s="434"/>
      <c r="AM3506" s="436"/>
      <c r="AN3506" s="434"/>
      <c r="AO3506" s="434"/>
      <c r="AP3506" s="556"/>
      <c r="AQ3506" s="556"/>
      <c r="AR3506" s="556"/>
      <c r="CF3506" s="2"/>
    </row>
    <row r="3507" spans="3:84">
      <c r="C3507" s="2"/>
      <c r="AD3507" s="502"/>
      <c r="AE3507" s="911"/>
      <c r="AF3507" s="502"/>
      <c r="AH3507" s="898"/>
      <c r="AI3507" s="502"/>
      <c r="AJ3507" s="502"/>
      <c r="AL3507" s="434"/>
      <c r="AM3507" s="436"/>
      <c r="AN3507" s="434"/>
      <c r="AO3507" s="434"/>
      <c r="AP3507" s="556"/>
      <c r="AQ3507" s="556"/>
      <c r="AR3507" s="556"/>
      <c r="CF3507" s="2"/>
    </row>
    <row r="3508" spans="3:84">
      <c r="C3508" s="2"/>
      <c r="AD3508" s="502"/>
      <c r="AE3508" s="911"/>
      <c r="AF3508" s="502"/>
      <c r="AH3508" s="898"/>
      <c r="AI3508" s="502"/>
      <c r="AJ3508" s="502"/>
      <c r="AL3508" s="434"/>
      <c r="AM3508" s="436"/>
      <c r="AN3508" s="434"/>
      <c r="AO3508" s="434"/>
      <c r="AP3508" s="556"/>
      <c r="AQ3508" s="556"/>
      <c r="AR3508" s="556"/>
      <c r="CF3508" s="2"/>
    </row>
    <row r="3509" spans="3:84">
      <c r="C3509" s="2"/>
      <c r="AD3509" s="502"/>
      <c r="AE3509" s="911"/>
      <c r="AF3509" s="502"/>
      <c r="AH3509" s="898"/>
      <c r="AI3509" s="502"/>
      <c r="AJ3509" s="502"/>
      <c r="AL3509" s="434"/>
      <c r="AM3509" s="436"/>
      <c r="AN3509" s="434"/>
      <c r="AO3509" s="434"/>
      <c r="AP3509" s="556"/>
      <c r="AQ3509" s="556"/>
      <c r="AR3509" s="556"/>
      <c r="CF3509" s="2"/>
    </row>
    <row r="3510" spans="3:84">
      <c r="C3510" s="2"/>
      <c r="AD3510" s="502"/>
      <c r="AE3510" s="911"/>
      <c r="AF3510" s="502"/>
      <c r="AH3510" s="898"/>
      <c r="AI3510" s="502"/>
      <c r="AJ3510" s="502"/>
      <c r="AL3510" s="434"/>
      <c r="AM3510" s="436"/>
      <c r="AN3510" s="434"/>
      <c r="AO3510" s="434"/>
      <c r="AP3510" s="556"/>
      <c r="AQ3510" s="556"/>
      <c r="AR3510" s="556"/>
      <c r="CF3510" s="2"/>
    </row>
    <row r="3511" spans="3:84">
      <c r="C3511" s="2"/>
      <c r="AD3511" s="502"/>
      <c r="AE3511" s="911"/>
      <c r="AF3511" s="502"/>
      <c r="AH3511" s="898"/>
      <c r="AI3511" s="502"/>
      <c r="AJ3511" s="502"/>
      <c r="AL3511" s="434"/>
      <c r="AM3511" s="436"/>
      <c r="AN3511" s="434"/>
      <c r="AO3511" s="434"/>
      <c r="AP3511" s="556"/>
      <c r="AQ3511" s="556"/>
      <c r="AR3511" s="556"/>
      <c r="CF3511" s="2"/>
    </row>
    <row r="3512" spans="3:84">
      <c r="C3512" s="2"/>
      <c r="AD3512" s="502"/>
      <c r="AE3512" s="911"/>
      <c r="AF3512" s="502"/>
      <c r="AH3512" s="898"/>
      <c r="AI3512" s="502"/>
      <c r="AJ3512" s="502"/>
      <c r="AL3512" s="434"/>
      <c r="AM3512" s="436"/>
      <c r="AN3512" s="434"/>
      <c r="AO3512" s="434"/>
      <c r="AP3512" s="556"/>
      <c r="AQ3512" s="556"/>
      <c r="AR3512" s="556"/>
      <c r="CF3512" s="2"/>
    </row>
    <row r="3513" spans="3:84">
      <c r="C3513" s="2"/>
      <c r="AD3513" s="502"/>
      <c r="AE3513" s="911"/>
      <c r="AF3513" s="502"/>
      <c r="AH3513" s="898"/>
      <c r="AI3513" s="502"/>
      <c r="AJ3513" s="502"/>
      <c r="AL3513" s="434"/>
      <c r="AM3513" s="436"/>
      <c r="AN3513" s="434"/>
      <c r="AO3513" s="434"/>
      <c r="AP3513" s="556"/>
      <c r="AQ3513" s="556"/>
      <c r="AR3513" s="556"/>
      <c r="CF3513" s="2"/>
    </row>
    <row r="3514" spans="3:84">
      <c r="C3514" s="2"/>
      <c r="AD3514" s="502"/>
      <c r="AE3514" s="911"/>
      <c r="AF3514" s="502"/>
      <c r="AH3514" s="898"/>
      <c r="AI3514" s="502"/>
      <c r="AJ3514" s="502"/>
      <c r="AL3514" s="434"/>
      <c r="AM3514" s="436"/>
      <c r="AN3514" s="434"/>
      <c r="AO3514" s="434"/>
      <c r="AP3514" s="556"/>
      <c r="AQ3514" s="556"/>
      <c r="AR3514" s="556"/>
      <c r="CF3514" s="2"/>
    </row>
    <row r="3515" spans="3:84">
      <c r="C3515" s="2"/>
      <c r="AD3515" s="502"/>
      <c r="AE3515" s="911"/>
      <c r="AF3515" s="502"/>
      <c r="AH3515" s="898"/>
      <c r="AI3515" s="502"/>
      <c r="AJ3515" s="502"/>
      <c r="AL3515" s="434"/>
      <c r="AM3515" s="436"/>
      <c r="AN3515" s="434"/>
      <c r="AO3515" s="434"/>
      <c r="AP3515" s="556"/>
      <c r="AQ3515" s="556"/>
      <c r="AR3515" s="556"/>
      <c r="CF3515" s="2"/>
    </row>
    <row r="3516" spans="3:84">
      <c r="C3516" s="2"/>
      <c r="AD3516" s="502"/>
      <c r="AE3516" s="911"/>
      <c r="AF3516" s="502"/>
      <c r="AH3516" s="898"/>
      <c r="AI3516" s="502"/>
      <c r="AJ3516" s="502"/>
      <c r="AL3516" s="434"/>
      <c r="AM3516" s="436"/>
      <c r="AN3516" s="434"/>
      <c r="AO3516" s="434"/>
      <c r="AP3516" s="556"/>
      <c r="AQ3516" s="556"/>
      <c r="AR3516" s="556"/>
      <c r="CF3516" s="2"/>
    </row>
    <row r="3517" spans="3:84">
      <c r="C3517" s="2"/>
      <c r="AD3517" s="502"/>
      <c r="AE3517" s="911"/>
      <c r="AF3517" s="502"/>
      <c r="AH3517" s="898"/>
      <c r="AI3517" s="502"/>
      <c r="AJ3517" s="502"/>
      <c r="AL3517" s="434"/>
      <c r="AM3517" s="436"/>
      <c r="AN3517" s="434"/>
      <c r="AO3517" s="434"/>
      <c r="AP3517" s="556"/>
      <c r="AQ3517" s="556"/>
      <c r="AR3517" s="556"/>
      <c r="CF3517" s="2"/>
    </row>
    <row r="3518" spans="3:84">
      <c r="C3518" s="2"/>
      <c r="AD3518" s="502"/>
      <c r="AE3518" s="911"/>
      <c r="AF3518" s="502"/>
      <c r="AH3518" s="898"/>
      <c r="AI3518" s="502"/>
      <c r="AJ3518" s="502"/>
      <c r="AL3518" s="434"/>
      <c r="AM3518" s="436"/>
      <c r="AN3518" s="434"/>
      <c r="AO3518" s="434"/>
      <c r="AP3518" s="556"/>
      <c r="AQ3518" s="556"/>
      <c r="AR3518" s="556"/>
      <c r="CF3518" s="2"/>
    </row>
    <row r="3519" spans="3:84">
      <c r="C3519" s="2"/>
      <c r="AD3519" s="502"/>
      <c r="AE3519" s="911"/>
      <c r="AF3519" s="502"/>
      <c r="AH3519" s="898"/>
      <c r="AI3519" s="502"/>
      <c r="AJ3519" s="502"/>
      <c r="AL3519" s="434"/>
      <c r="AM3519" s="436"/>
      <c r="AN3519" s="434"/>
      <c r="AO3519" s="434"/>
      <c r="AP3519" s="556"/>
      <c r="AQ3519" s="556"/>
      <c r="AR3519" s="556"/>
      <c r="CF3519" s="2"/>
    </row>
    <row r="3520" spans="3:84">
      <c r="C3520" s="2"/>
      <c r="AD3520" s="502"/>
      <c r="AE3520" s="911"/>
      <c r="AF3520" s="502"/>
      <c r="AH3520" s="898"/>
      <c r="AI3520" s="502"/>
      <c r="AJ3520" s="502"/>
      <c r="AL3520" s="434"/>
      <c r="AM3520" s="436"/>
      <c r="AN3520" s="434"/>
      <c r="AO3520" s="434"/>
      <c r="AP3520" s="556"/>
      <c r="AQ3520" s="556"/>
      <c r="AR3520" s="556"/>
      <c r="CF3520" s="2"/>
    </row>
    <row r="3521" spans="3:84">
      <c r="C3521" s="2"/>
      <c r="AD3521" s="502"/>
      <c r="AE3521" s="911"/>
      <c r="AF3521" s="502"/>
      <c r="AH3521" s="898"/>
      <c r="AI3521" s="502"/>
      <c r="AJ3521" s="502"/>
      <c r="AL3521" s="434"/>
      <c r="AM3521" s="436"/>
      <c r="AN3521" s="434"/>
      <c r="AO3521" s="434"/>
      <c r="AP3521" s="556"/>
      <c r="AQ3521" s="556"/>
      <c r="AR3521" s="556"/>
      <c r="CF3521" s="2"/>
    </row>
    <row r="3522" spans="3:84">
      <c r="C3522" s="2"/>
      <c r="AD3522" s="502"/>
      <c r="AE3522" s="911"/>
      <c r="AF3522" s="502"/>
      <c r="AH3522" s="898"/>
      <c r="AI3522" s="502"/>
      <c r="AJ3522" s="502"/>
      <c r="AL3522" s="434"/>
      <c r="AM3522" s="436"/>
      <c r="AN3522" s="434"/>
      <c r="AO3522" s="434"/>
      <c r="AP3522" s="556"/>
      <c r="AQ3522" s="556"/>
      <c r="AR3522" s="556"/>
      <c r="CF3522" s="2"/>
    </row>
    <row r="3523" spans="3:84">
      <c r="C3523" s="2"/>
      <c r="AD3523" s="502"/>
      <c r="AE3523" s="911"/>
      <c r="AF3523" s="502"/>
      <c r="AH3523" s="898"/>
      <c r="AI3523" s="502"/>
      <c r="AJ3523" s="502"/>
      <c r="AL3523" s="434"/>
      <c r="AM3523" s="436"/>
      <c r="AN3523" s="434"/>
      <c r="AO3523" s="434"/>
      <c r="AP3523" s="556"/>
      <c r="AQ3523" s="556"/>
      <c r="AR3523" s="556"/>
      <c r="CF3523" s="2"/>
    </row>
    <row r="3524" spans="3:84">
      <c r="C3524" s="2"/>
      <c r="AD3524" s="502"/>
      <c r="AE3524" s="911"/>
      <c r="AF3524" s="502"/>
      <c r="AH3524" s="898"/>
      <c r="AI3524" s="502"/>
      <c r="AJ3524" s="502"/>
      <c r="AL3524" s="434"/>
      <c r="AM3524" s="436"/>
      <c r="AN3524" s="434"/>
      <c r="AO3524" s="434"/>
      <c r="AP3524" s="556"/>
      <c r="AQ3524" s="556"/>
      <c r="AR3524" s="556"/>
      <c r="CF3524" s="2"/>
    </row>
    <row r="3525" spans="3:84">
      <c r="C3525" s="2"/>
      <c r="AD3525" s="502"/>
      <c r="AE3525" s="911"/>
      <c r="AF3525" s="502"/>
      <c r="AH3525" s="898"/>
      <c r="AI3525" s="502"/>
      <c r="AJ3525" s="502"/>
      <c r="AL3525" s="434"/>
      <c r="AM3525" s="436"/>
      <c r="AN3525" s="434"/>
      <c r="AO3525" s="434"/>
      <c r="AP3525" s="556"/>
      <c r="AQ3525" s="556"/>
      <c r="AR3525" s="556"/>
      <c r="CF3525" s="2"/>
    </row>
    <row r="3526" spans="3:84">
      <c r="C3526" s="2"/>
      <c r="AD3526" s="502"/>
      <c r="AE3526" s="911"/>
      <c r="AF3526" s="502"/>
      <c r="AH3526" s="898"/>
      <c r="AI3526" s="502"/>
      <c r="AJ3526" s="502"/>
      <c r="AL3526" s="434"/>
      <c r="AM3526" s="436"/>
      <c r="AN3526" s="434"/>
      <c r="AO3526" s="434"/>
      <c r="AP3526" s="556"/>
      <c r="AQ3526" s="556"/>
      <c r="AR3526" s="556"/>
      <c r="CF3526" s="2"/>
    </row>
    <row r="3527" spans="3:84">
      <c r="C3527" s="2"/>
      <c r="AD3527" s="502"/>
      <c r="AE3527" s="911"/>
      <c r="AF3527" s="502"/>
      <c r="AH3527" s="898"/>
      <c r="AI3527" s="502"/>
      <c r="AJ3527" s="502"/>
      <c r="AL3527" s="434"/>
      <c r="AM3527" s="436"/>
      <c r="AN3527" s="434"/>
      <c r="AO3527" s="434"/>
      <c r="AP3527" s="556"/>
      <c r="AQ3527" s="556"/>
      <c r="AR3527" s="556"/>
      <c r="CF3527" s="2"/>
    </row>
    <row r="3528" spans="3:84">
      <c r="C3528" s="2"/>
      <c r="AD3528" s="502"/>
      <c r="AE3528" s="911"/>
      <c r="AF3528" s="502"/>
      <c r="AH3528" s="898"/>
      <c r="AI3528" s="502"/>
      <c r="AJ3528" s="502"/>
      <c r="AL3528" s="434"/>
      <c r="AM3528" s="436"/>
      <c r="AN3528" s="434"/>
      <c r="AO3528" s="434"/>
      <c r="AP3528" s="556"/>
      <c r="AQ3528" s="556"/>
      <c r="AR3528" s="556"/>
      <c r="CF3528" s="2"/>
    </row>
    <row r="3529" spans="3:84">
      <c r="C3529" s="2"/>
      <c r="AD3529" s="502"/>
      <c r="AE3529" s="911"/>
      <c r="AF3529" s="502"/>
      <c r="AH3529" s="898"/>
      <c r="AI3529" s="502"/>
      <c r="AJ3529" s="502"/>
      <c r="AL3529" s="434"/>
      <c r="AM3529" s="436"/>
      <c r="AN3529" s="434"/>
      <c r="AO3529" s="434"/>
      <c r="AP3529" s="556"/>
      <c r="AQ3529" s="556"/>
      <c r="AR3529" s="556"/>
      <c r="CF3529" s="2"/>
    </row>
    <row r="3530" spans="3:84">
      <c r="C3530" s="2"/>
      <c r="AD3530" s="502"/>
      <c r="AE3530" s="911"/>
      <c r="AF3530" s="502"/>
      <c r="AH3530" s="898"/>
      <c r="AI3530" s="502"/>
      <c r="AJ3530" s="502"/>
      <c r="AL3530" s="434"/>
      <c r="AM3530" s="436"/>
      <c r="AN3530" s="434"/>
      <c r="AO3530" s="434"/>
      <c r="AP3530" s="556"/>
      <c r="AQ3530" s="556"/>
      <c r="AR3530" s="556"/>
      <c r="CF3530" s="2"/>
    </row>
    <row r="3531" spans="3:84">
      <c r="C3531" s="2"/>
      <c r="AD3531" s="502"/>
      <c r="AE3531" s="911"/>
      <c r="AF3531" s="502"/>
      <c r="AH3531" s="898"/>
      <c r="AI3531" s="502"/>
      <c r="AJ3531" s="502"/>
      <c r="AL3531" s="434"/>
      <c r="AM3531" s="436"/>
      <c r="AN3531" s="434"/>
      <c r="AO3531" s="434"/>
      <c r="AP3531" s="556"/>
      <c r="AQ3531" s="556"/>
      <c r="AR3531" s="556"/>
      <c r="CF3531" s="2"/>
    </row>
    <row r="3532" spans="3:84">
      <c r="C3532" s="2"/>
      <c r="AD3532" s="502"/>
      <c r="AE3532" s="911"/>
      <c r="AF3532" s="502"/>
      <c r="AH3532" s="898"/>
      <c r="AI3532" s="502"/>
      <c r="AJ3532" s="502"/>
      <c r="AL3532" s="434"/>
      <c r="AM3532" s="436"/>
      <c r="AN3532" s="434"/>
      <c r="AO3532" s="434"/>
      <c r="AP3532" s="556"/>
      <c r="AQ3532" s="556"/>
      <c r="AR3532" s="556"/>
      <c r="CF3532" s="2"/>
    </row>
    <row r="3533" spans="3:84">
      <c r="C3533" s="2"/>
      <c r="AD3533" s="502"/>
      <c r="AE3533" s="911"/>
      <c r="AF3533" s="502"/>
      <c r="AH3533" s="898"/>
      <c r="AI3533" s="502"/>
      <c r="AJ3533" s="502"/>
      <c r="AL3533" s="434"/>
      <c r="AM3533" s="436"/>
      <c r="AN3533" s="434"/>
      <c r="AO3533" s="434"/>
      <c r="AP3533" s="556"/>
      <c r="AQ3533" s="556"/>
      <c r="AR3533" s="556"/>
      <c r="CF3533" s="2"/>
    </row>
    <row r="3534" spans="3:84">
      <c r="C3534" s="2"/>
      <c r="AD3534" s="502"/>
      <c r="AE3534" s="911"/>
      <c r="AF3534" s="502"/>
      <c r="AH3534" s="898"/>
      <c r="AI3534" s="502"/>
      <c r="AJ3534" s="502"/>
      <c r="AL3534" s="434"/>
      <c r="AM3534" s="436"/>
      <c r="AN3534" s="434"/>
      <c r="AO3534" s="434"/>
      <c r="AP3534" s="556"/>
      <c r="AQ3534" s="556"/>
      <c r="AR3534" s="556"/>
      <c r="CF3534" s="2"/>
    </row>
    <row r="3535" spans="3:84">
      <c r="C3535" s="2"/>
      <c r="AD3535" s="502"/>
      <c r="AE3535" s="911"/>
      <c r="AF3535" s="502"/>
      <c r="AH3535" s="898"/>
      <c r="AI3535" s="502"/>
      <c r="AJ3535" s="502"/>
      <c r="AL3535" s="434"/>
      <c r="AM3535" s="436"/>
      <c r="AN3535" s="434"/>
      <c r="AO3535" s="434"/>
      <c r="AP3535" s="556"/>
      <c r="AQ3535" s="556"/>
      <c r="AR3535" s="556"/>
      <c r="CF3535" s="2"/>
    </row>
    <row r="3536" spans="3:84">
      <c r="C3536" s="2"/>
      <c r="AD3536" s="502"/>
      <c r="AE3536" s="911"/>
      <c r="AF3536" s="502"/>
      <c r="AH3536" s="898"/>
      <c r="AI3536" s="502"/>
      <c r="AJ3536" s="502"/>
      <c r="AL3536" s="434"/>
      <c r="AM3536" s="436"/>
      <c r="AN3536" s="434"/>
      <c r="AO3536" s="434"/>
      <c r="AP3536" s="556"/>
      <c r="AQ3536" s="556"/>
      <c r="AR3536" s="556"/>
      <c r="CF3536" s="2"/>
    </row>
    <row r="3537" spans="3:84">
      <c r="C3537" s="2"/>
      <c r="AD3537" s="502"/>
      <c r="AE3537" s="911"/>
      <c r="AF3537" s="502"/>
      <c r="AH3537" s="898"/>
      <c r="AI3537" s="502"/>
      <c r="AJ3537" s="502"/>
      <c r="AL3537" s="434"/>
      <c r="AM3537" s="436"/>
      <c r="AN3537" s="434"/>
      <c r="AO3537" s="434"/>
      <c r="AP3537" s="556"/>
      <c r="AQ3537" s="556"/>
      <c r="AR3537" s="556"/>
      <c r="CF3537" s="2"/>
    </row>
    <row r="3538" spans="3:84">
      <c r="C3538" s="2"/>
      <c r="AD3538" s="502"/>
      <c r="AE3538" s="911"/>
      <c r="AF3538" s="502"/>
      <c r="AH3538" s="898"/>
      <c r="AI3538" s="502"/>
      <c r="AJ3538" s="502"/>
      <c r="AL3538" s="434"/>
      <c r="AM3538" s="436"/>
      <c r="AN3538" s="434"/>
      <c r="AO3538" s="434"/>
      <c r="AP3538" s="556"/>
      <c r="AQ3538" s="556"/>
      <c r="AR3538" s="556"/>
      <c r="CF3538" s="2"/>
    </row>
    <row r="3539" spans="3:84">
      <c r="C3539" s="2"/>
      <c r="AD3539" s="502"/>
      <c r="AE3539" s="911"/>
      <c r="AF3539" s="502"/>
      <c r="AH3539" s="898"/>
      <c r="AI3539" s="502"/>
      <c r="AJ3539" s="502"/>
      <c r="AL3539" s="434"/>
      <c r="AM3539" s="436"/>
      <c r="AN3539" s="434"/>
      <c r="AO3539" s="434"/>
      <c r="AP3539" s="556"/>
      <c r="AQ3539" s="556"/>
      <c r="AR3539" s="556"/>
      <c r="CF3539" s="2"/>
    </row>
    <row r="3540" spans="3:84">
      <c r="C3540" s="2"/>
      <c r="AD3540" s="502"/>
      <c r="AE3540" s="911"/>
      <c r="AF3540" s="502"/>
      <c r="AH3540" s="898"/>
      <c r="AI3540" s="502"/>
      <c r="AJ3540" s="502"/>
      <c r="AL3540" s="434"/>
      <c r="AM3540" s="436"/>
      <c r="AN3540" s="434"/>
      <c r="AO3540" s="434"/>
      <c r="AP3540" s="556"/>
      <c r="AQ3540" s="556"/>
      <c r="AR3540" s="556"/>
      <c r="CF3540" s="2"/>
    </row>
    <row r="3541" spans="3:84">
      <c r="C3541" s="2"/>
      <c r="AD3541" s="502"/>
      <c r="AE3541" s="911"/>
      <c r="AF3541" s="502"/>
      <c r="AH3541" s="898"/>
      <c r="AI3541" s="502"/>
      <c r="AJ3541" s="502"/>
      <c r="AL3541" s="434"/>
      <c r="AM3541" s="436"/>
      <c r="AN3541" s="434"/>
      <c r="AO3541" s="434"/>
      <c r="AP3541" s="556"/>
      <c r="AQ3541" s="556"/>
      <c r="AR3541" s="556"/>
      <c r="CF3541" s="2"/>
    </row>
    <row r="3542" spans="3:84">
      <c r="C3542" s="2"/>
      <c r="AD3542" s="502"/>
      <c r="AE3542" s="911"/>
      <c r="AF3542" s="502"/>
      <c r="AH3542" s="898"/>
      <c r="AI3542" s="502"/>
      <c r="AJ3542" s="502"/>
      <c r="AL3542" s="434"/>
      <c r="AM3542" s="436"/>
      <c r="AN3542" s="434"/>
      <c r="AO3542" s="434"/>
      <c r="AP3542" s="556"/>
      <c r="AQ3542" s="556"/>
      <c r="AR3542" s="556"/>
      <c r="CF3542" s="2"/>
    </row>
    <row r="3543" spans="3:84">
      <c r="C3543" s="2"/>
      <c r="AD3543" s="502"/>
      <c r="AE3543" s="911"/>
      <c r="AF3543" s="502"/>
      <c r="AH3543" s="898"/>
      <c r="AI3543" s="502"/>
      <c r="AJ3543" s="502"/>
      <c r="AL3543" s="434"/>
      <c r="AM3543" s="436"/>
      <c r="AN3543" s="434"/>
      <c r="AO3543" s="434"/>
      <c r="AP3543" s="556"/>
      <c r="AQ3543" s="556"/>
      <c r="AR3543" s="556"/>
      <c r="CF3543" s="2"/>
    </row>
    <row r="3544" spans="3:84">
      <c r="C3544" s="2"/>
      <c r="AD3544" s="502"/>
      <c r="AE3544" s="911"/>
      <c r="AF3544" s="502"/>
      <c r="AH3544" s="898"/>
      <c r="AI3544" s="502"/>
      <c r="AJ3544" s="502"/>
      <c r="AL3544" s="434"/>
      <c r="AM3544" s="436"/>
      <c r="AN3544" s="434"/>
      <c r="AO3544" s="434"/>
      <c r="AP3544" s="556"/>
      <c r="AQ3544" s="556"/>
      <c r="AR3544" s="556"/>
      <c r="CF3544" s="2"/>
    </row>
    <row r="3545" spans="3:84">
      <c r="C3545" s="2"/>
      <c r="AD3545" s="502"/>
      <c r="AE3545" s="911"/>
      <c r="AF3545" s="502"/>
      <c r="AH3545" s="898"/>
      <c r="AI3545" s="502"/>
      <c r="AJ3545" s="502"/>
      <c r="AL3545" s="434"/>
      <c r="AM3545" s="436"/>
      <c r="AN3545" s="434"/>
      <c r="AO3545" s="434"/>
      <c r="AP3545" s="556"/>
      <c r="AQ3545" s="556"/>
      <c r="AR3545" s="556"/>
      <c r="CF3545" s="2"/>
    </row>
    <row r="3546" spans="3:84">
      <c r="C3546" s="2"/>
      <c r="AD3546" s="502"/>
      <c r="AE3546" s="911"/>
      <c r="AF3546" s="502"/>
      <c r="AH3546" s="898"/>
      <c r="AI3546" s="502"/>
      <c r="AJ3546" s="502"/>
      <c r="AL3546" s="434"/>
      <c r="AM3546" s="436"/>
      <c r="AN3546" s="434"/>
      <c r="AO3546" s="434"/>
      <c r="AP3546" s="556"/>
      <c r="AQ3546" s="556"/>
      <c r="AR3546" s="556"/>
      <c r="CF3546" s="2"/>
    </row>
    <row r="3547" spans="3:84">
      <c r="C3547" s="2"/>
      <c r="AD3547" s="502"/>
      <c r="AE3547" s="911"/>
      <c r="AF3547" s="502"/>
      <c r="AH3547" s="898"/>
      <c r="AI3547" s="502"/>
      <c r="AJ3547" s="502"/>
      <c r="AL3547" s="434"/>
      <c r="AM3547" s="436"/>
      <c r="AN3547" s="434"/>
      <c r="AO3547" s="434"/>
      <c r="AP3547" s="556"/>
      <c r="AQ3547" s="556"/>
      <c r="AR3547" s="556"/>
      <c r="CF3547" s="2"/>
    </row>
    <row r="3548" spans="3:84">
      <c r="C3548" s="2"/>
      <c r="AD3548" s="502"/>
      <c r="AE3548" s="911"/>
      <c r="AF3548" s="502"/>
      <c r="AH3548" s="898"/>
      <c r="AI3548" s="502"/>
      <c r="AJ3548" s="502"/>
      <c r="AL3548" s="434"/>
      <c r="AM3548" s="436"/>
      <c r="AN3548" s="434"/>
      <c r="AO3548" s="434"/>
      <c r="AP3548" s="556"/>
      <c r="AQ3548" s="556"/>
      <c r="AR3548" s="556"/>
      <c r="CF3548" s="2"/>
    </row>
    <row r="3549" spans="3:84">
      <c r="C3549" s="2"/>
      <c r="AD3549" s="502"/>
      <c r="AE3549" s="911"/>
      <c r="AF3549" s="502"/>
      <c r="AH3549" s="898"/>
      <c r="AI3549" s="502"/>
      <c r="AJ3549" s="502"/>
      <c r="AL3549" s="434"/>
      <c r="AM3549" s="436"/>
      <c r="AN3549" s="434"/>
      <c r="AO3549" s="434"/>
      <c r="AP3549" s="556"/>
      <c r="AQ3549" s="556"/>
      <c r="AR3549" s="556"/>
      <c r="CF3549" s="2"/>
    </row>
    <row r="3550" spans="3:84">
      <c r="C3550" s="2"/>
      <c r="AD3550" s="502"/>
      <c r="AE3550" s="911"/>
      <c r="AF3550" s="502"/>
      <c r="AH3550" s="898"/>
      <c r="AI3550" s="502"/>
      <c r="AJ3550" s="502"/>
      <c r="AL3550" s="434"/>
      <c r="AM3550" s="436"/>
      <c r="AN3550" s="434"/>
      <c r="AO3550" s="434"/>
      <c r="AP3550" s="556"/>
      <c r="AQ3550" s="556"/>
      <c r="AR3550" s="556"/>
      <c r="CF3550" s="2"/>
    </row>
    <row r="3551" spans="3:84">
      <c r="C3551" s="2"/>
      <c r="AD3551" s="502"/>
      <c r="AE3551" s="911"/>
      <c r="AF3551" s="502"/>
      <c r="AH3551" s="898"/>
      <c r="AI3551" s="502"/>
      <c r="AJ3551" s="502"/>
      <c r="AL3551" s="434"/>
      <c r="AM3551" s="436"/>
      <c r="AN3551" s="434"/>
      <c r="AO3551" s="434"/>
      <c r="AP3551" s="556"/>
      <c r="AQ3551" s="556"/>
      <c r="AR3551" s="556"/>
      <c r="CF3551" s="2"/>
    </row>
    <row r="3552" spans="3:84">
      <c r="C3552" s="2"/>
      <c r="AD3552" s="502"/>
      <c r="AE3552" s="911"/>
      <c r="AF3552" s="502"/>
      <c r="AH3552" s="898"/>
      <c r="AI3552" s="502"/>
      <c r="AJ3552" s="502"/>
      <c r="AL3552" s="434"/>
      <c r="AM3552" s="436"/>
      <c r="AN3552" s="434"/>
      <c r="AO3552" s="434"/>
      <c r="AP3552" s="556"/>
      <c r="AQ3552" s="556"/>
      <c r="AR3552" s="556"/>
      <c r="CF3552" s="2"/>
    </row>
    <row r="3553" spans="3:84">
      <c r="C3553" s="2"/>
      <c r="AD3553" s="502"/>
      <c r="AE3553" s="911"/>
      <c r="AF3553" s="502"/>
      <c r="AH3553" s="898"/>
      <c r="AI3553" s="502"/>
      <c r="AJ3553" s="502"/>
      <c r="AL3553" s="434"/>
      <c r="AM3553" s="436"/>
      <c r="AN3553" s="434"/>
      <c r="AO3553" s="434"/>
      <c r="AP3553" s="556"/>
      <c r="AQ3553" s="556"/>
      <c r="AR3553" s="556"/>
      <c r="CF3553" s="2"/>
    </row>
    <row r="3554" spans="3:84">
      <c r="C3554" s="2"/>
      <c r="AD3554" s="502"/>
      <c r="AE3554" s="911"/>
      <c r="AF3554" s="502"/>
      <c r="AH3554" s="898"/>
      <c r="AI3554" s="502"/>
      <c r="AJ3554" s="502"/>
      <c r="AL3554" s="434"/>
      <c r="AM3554" s="436"/>
      <c r="AN3554" s="434"/>
      <c r="AO3554" s="434"/>
      <c r="AP3554" s="556"/>
      <c r="AQ3554" s="556"/>
      <c r="AR3554" s="556"/>
      <c r="CF3554" s="2"/>
    </row>
    <row r="3555" spans="3:84">
      <c r="C3555" s="2"/>
      <c r="AD3555" s="502"/>
      <c r="AE3555" s="911"/>
      <c r="AF3555" s="502"/>
      <c r="AH3555" s="898"/>
      <c r="AI3555" s="502"/>
      <c r="AJ3555" s="502"/>
      <c r="AL3555" s="434"/>
      <c r="AM3555" s="436"/>
      <c r="AN3555" s="434"/>
      <c r="AO3555" s="434"/>
      <c r="AP3555" s="556"/>
      <c r="AQ3555" s="556"/>
      <c r="AR3555" s="556"/>
      <c r="CF3555" s="2"/>
    </row>
    <row r="3556" spans="3:84">
      <c r="C3556" s="2"/>
      <c r="AD3556" s="502"/>
      <c r="AE3556" s="911"/>
      <c r="AF3556" s="502"/>
      <c r="AH3556" s="898"/>
      <c r="AI3556" s="502"/>
      <c r="AJ3556" s="502"/>
      <c r="AL3556" s="434"/>
      <c r="AM3556" s="436"/>
      <c r="AN3556" s="434"/>
      <c r="AO3556" s="434"/>
      <c r="AP3556" s="556"/>
      <c r="AQ3556" s="556"/>
      <c r="AR3556" s="556"/>
      <c r="CF3556" s="2"/>
    </row>
    <row r="3557" spans="3:84">
      <c r="C3557" s="2"/>
      <c r="AD3557" s="502"/>
      <c r="AE3557" s="911"/>
      <c r="AF3557" s="502"/>
      <c r="AH3557" s="898"/>
      <c r="AI3557" s="502"/>
      <c r="AJ3557" s="502"/>
      <c r="AL3557" s="434"/>
      <c r="AM3557" s="436"/>
      <c r="AN3557" s="434"/>
      <c r="AO3557" s="434"/>
      <c r="AP3557" s="556"/>
      <c r="AQ3557" s="556"/>
      <c r="AR3557" s="556"/>
      <c r="CF3557" s="2"/>
    </row>
    <row r="3558" spans="3:84">
      <c r="C3558" s="2"/>
      <c r="AD3558" s="502"/>
      <c r="AE3558" s="911"/>
      <c r="AF3558" s="502"/>
      <c r="AH3558" s="898"/>
      <c r="AI3558" s="502"/>
      <c r="AJ3558" s="502"/>
      <c r="AL3558" s="434"/>
      <c r="AM3558" s="436"/>
      <c r="AN3558" s="434"/>
      <c r="AO3558" s="434"/>
      <c r="AP3558" s="556"/>
      <c r="AQ3558" s="556"/>
      <c r="AR3558" s="556"/>
      <c r="CF3558" s="2"/>
    </row>
    <row r="3559" spans="3:84">
      <c r="C3559" s="2"/>
      <c r="AD3559" s="502"/>
      <c r="AE3559" s="911"/>
      <c r="AF3559" s="502"/>
      <c r="AH3559" s="898"/>
      <c r="AI3559" s="502"/>
      <c r="AJ3559" s="502"/>
      <c r="AL3559" s="434"/>
      <c r="AM3559" s="436"/>
      <c r="AN3559" s="434"/>
      <c r="AO3559" s="434"/>
      <c r="AP3559" s="556"/>
      <c r="AQ3559" s="556"/>
      <c r="AR3559" s="556"/>
      <c r="CF3559" s="2"/>
    </row>
    <row r="3560" spans="3:84">
      <c r="C3560" s="2"/>
      <c r="AD3560" s="502"/>
      <c r="AE3560" s="911"/>
      <c r="AF3560" s="502"/>
      <c r="AH3560" s="898"/>
      <c r="AI3560" s="502"/>
      <c r="AJ3560" s="502"/>
      <c r="AL3560" s="434"/>
      <c r="AM3560" s="436"/>
      <c r="AN3560" s="434"/>
      <c r="AO3560" s="434"/>
      <c r="AP3560" s="556"/>
      <c r="AQ3560" s="556"/>
      <c r="AR3560" s="556"/>
      <c r="CF3560" s="2"/>
    </row>
    <row r="3561" spans="3:84">
      <c r="C3561" s="2"/>
      <c r="AD3561" s="502"/>
      <c r="AE3561" s="911"/>
      <c r="AF3561" s="502"/>
      <c r="AH3561" s="898"/>
      <c r="AI3561" s="502"/>
      <c r="AJ3561" s="502"/>
      <c r="AL3561" s="434"/>
      <c r="AM3561" s="436"/>
      <c r="AN3561" s="434"/>
      <c r="AO3561" s="434"/>
      <c r="AP3561" s="556"/>
      <c r="AQ3561" s="556"/>
      <c r="AR3561" s="556"/>
      <c r="CF3561" s="2"/>
    </row>
    <row r="3562" spans="3:84">
      <c r="C3562" s="2"/>
      <c r="AD3562" s="502"/>
      <c r="AE3562" s="911"/>
      <c r="AF3562" s="502"/>
      <c r="AH3562" s="898"/>
      <c r="AI3562" s="502"/>
      <c r="AJ3562" s="502"/>
      <c r="AL3562" s="434"/>
      <c r="AM3562" s="436"/>
      <c r="AN3562" s="434"/>
      <c r="AO3562" s="434"/>
      <c r="AP3562" s="556"/>
      <c r="AQ3562" s="556"/>
      <c r="AR3562" s="556"/>
      <c r="CF3562" s="2"/>
    </row>
    <row r="3563" spans="3:84">
      <c r="C3563" s="2"/>
      <c r="AD3563" s="502"/>
      <c r="AE3563" s="911"/>
      <c r="AF3563" s="502"/>
      <c r="AH3563" s="898"/>
      <c r="AI3563" s="502"/>
      <c r="AJ3563" s="502"/>
      <c r="AL3563" s="434"/>
      <c r="AM3563" s="436"/>
      <c r="AN3563" s="434"/>
      <c r="AO3563" s="434"/>
      <c r="AP3563" s="556"/>
      <c r="AQ3563" s="556"/>
      <c r="AR3563" s="556"/>
      <c r="CF3563" s="2"/>
    </row>
    <row r="3564" spans="3:84">
      <c r="C3564" s="2"/>
      <c r="AD3564" s="502"/>
      <c r="AE3564" s="911"/>
      <c r="AF3564" s="502"/>
      <c r="AH3564" s="898"/>
      <c r="AI3564" s="502"/>
      <c r="AJ3564" s="502"/>
      <c r="AL3564" s="434"/>
      <c r="AM3564" s="436"/>
      <c r="AN3564" s="434"/>
      <c r="AO3564" s="434"/>
      <c r="AP3564" s="556"/>
      <c r="AQ3564" s="556"/>
      <c r="AR3564" s="556"/>
      <c r="CF3564" s="2"/>
    </row>
    <row r="3565" spans="3:84">
      <c r="C3565" s="2"/>
      <c r="AD3565" s="502"/>
      <c r="AE3565" s="911"/>
      <c r="AF3565" s="502"/>
      <c r="AH3565" s="898"/>
      <c r="AI3565" s="502"/>
      <c r="AJ3565" s="502"/>
      <c r="AL3565" s="434"/>
      <c r="AM3565" s="436"/>
      <c r="AN3565" s="434"/>
      <c r="AO3565" s="434"/>
      <c r="AP3565" s="556"/>
      <c r="AQ3565" s="556"/>
      <c r="AR3565" s="556"/>
      <c r="CF3565" s="2"/>
    </row>
    <row r="3566" spans="3:84">
      <c r="C3566" s="2"/>
      <c r="AD3566" s="502"/>
      <c r="AE3566" s="911"/>
      <c r="AF3566" s="502"/>
      <c r="AH3566" s="898"/>
      <c r="AI3566" s="502"/>
      <c r="AJ3566" s="502"/>
      <c r="AL3566" s="434"/>
      <c r="AM3566" s="436"/>
      <c r="AN3566" s="434"/>
      <c r="AO3566" s="434"/>
      <c r="AP3566" s="556"/>
      <c r="AQ3566" s="556"/>
      <c r="AR3566" s="556"/>
      <c r="CF3566" s="2"/>
    </row>
    <row r="3567" spans="3:84">
      <c r="C3567" s="2"/>
      <c r="AD3567" s="502"/>
      <c r="AE3567" s="911"/>
      <c r="AF3567" s="502"/>
      <c r="AH3567" s="898"/>
      <c r="AI3567" s="502"/>
      <c r="AJ3567" s="502"/>
      <c r="AL3567" s="434"/>
      <c r="AM3567" s="436"/>
      <c r="AN3567" s="434"/>
      <c r="AO3567" s="434"/>
      <c r="AP3567" s="556"/>
      <c r="AQ3567" s="556"/>
      <c r="AR3567" s="556"/>
      <c r="CF3567" s="2"/>
    </row>
    <row r="3568" spans="3:84">
      <c r="C3568" s="2"/>
      <c r="AD3568" s="502"/>
      <c r="AE3568" s="911"/>
      <c r="AF3568" s="502"/>
      <c r="AH3568" s="898"/>
      <c r="AI3568" s="502"/>
      <c r="AJ3568" s="502"/>
      <c r="AL3568" s="434"/>
      <c r="AM3568" s="436"/>
      <c r="AN3568" s="434"/>
      <c r="AO3568" s="434"/>
      <c r="AP3568" s="556"/>
      <c r="AQ3568" s="556"/>
      <c r="AR3568" s="556"/>
      <c r="CF3568" s="2"/>
    </row>
    <row r="3569" spans="3:84">
      <c r="C3569" s="2"/>
      <c r="AD3569" s="502"/>
      <c r="AE3569" s="911"/>
      <c r="AF3569" s="502"/>
      <c r="AH3569" s="898"/>
      <c r="AI3569" s="502"/>
      <c r="AJ3569" s="502"/>
      <c r="AL3569" s="434"/>
      <c r="AM3569" s="436"/>
      <c r="AN3569" s="434"/>
      <c r="AO3569" s="434"/>
      <c r="AP3569" s="556"/>
      <c r="AQ3569" s="556"/>
      <c r="AR3569" s="556"/>
      <c r="CF3569" s="2"/>
    </row>
    <row r="3570" spans="3:84">
      <c r="C3570" s="2"/>
      <c r="AD3570" s="502"/>
      <c r="AE3570" s="911"/>
      <c r="AF3570" s="502"/>
      <c r="AH3570" s="898"/>
      <c r="AI3570" s="502"/>
      <c r="AJ3570" s="502"/>
      <c r="AL3570" s="434"/>
      <c r="AM3570" s="436"/>
      <c r="AN3570" s="434"/>
      <c r="AO3570" s="434"/>
      <c r="AP3570" s="556"/>
      <c r="AQ3570" s="556"/>
      <c r="AR3570" s="556"/>
      <c r="CF3570" s="2"/>
    </row>
    <row r="3571" spans="3:84">
      <c r="C3571" s="2"/>
      <c r="AD3571" s="502"/>
      <c r="AE3571" s="911"/>
      <c r="AF3571" s="502"/>
      <c r="AH3571" s="898"/>
      <c r="AI3571" s="502"/>
      <c r="AJ3571" s="502"/>
      <c r="AL3571" s="434"/>
      <c r="AM3571" s="436"/>
      <c r="AN3571" s="434"/>
      <c r="AO3571" s="434"/>
      <c r="AP3571" s="556"/>
      <c r="AQ3571" s="556"/>
      <c r="AR3571" s="556"/>
      <c r="CF3571" s="2"/>
    </row>
    <row r="3572" spans="3:84">
      <c r="C3572" s="2"/>
      <c r="AD3572" s="502"/>
      <c r="AE3572" s="911"/>
      <c r="AF3572" s="502"/>
      <c r="AH3572" s="898"/>
      <c r="AI3572" s="502"/>
      <c r="AJ3572" s="502"/>
      <c r="AL3572" s="434"/>
      <c r="AM3572" s="436"/>
      <c r="AN3572" s="434"/>
      <c r="AO3572" s="434"/>
      <c r="AP3572" s="556"/>
      <c r="AQ3572" s="556"/>
      <c r="AR3572" s="556"/>
      <c r="CF3572" s="2"/>
    </row>
    <row r="3573" spans="3:84">
      <c r="C3573" s="2"/>
      <c r="AD3573" s="502"/>
      <c r="AE3573" s="911"/>
      <c r="AF3573" s="502"/>
      <c r="AH3573" s="898"/>
      <c r="AI3573" s="502"/>
      <c r="AJ3573" s="502"/>
      <c r="AL3573" s="434"/>
      <c r="AM3573" s="436"/>
      <c r="AN3573" s="434"/>
      <c r="AO3573" s="434"/>
      <c r="AP3573" s="556"/>
      <c r="AQ3573" s="556"/>
      <c r="AR3573" s="556"/>
      <c r="CF3573" s="2"/>
    </row>
    <row r="3574" spans="3:84">
      <c r="C3574" s="2"/>
      <c r="AD3574" s="502"/>
      <c r="AE3574" s="911"/>
      <c r="AF3574" s="502"/>
      <c r="AH3574" s="898"/>
      <c r="AI3574" s="502"/>
      <c r="AJ3574" s="502"/>
      <c r="AL3574" s="434"/>
      <c r="AM3574" s="436"/>
      <c r="AN3574" s="434"/>
      <c r="AO3574" s="434"/>
      <c r="AP3574" s="556"/>
      <c r="AQ3574" s="556"/>
      <c r="AR3574" s="556"/>
      <c r="CF3574" s="2"/>
    </row>
    <row r="3575" spans="3:84">
      <c r="C3575" s="2"/>
      <c r="AD3575" s="502"/>
      <c r="AE3575" s="911"/>
      <c r="AF3575" s="502"/>
      <c r="AH3575" s="898"/>
      <c r="AI3575" s="502"/>
      <c r="AJ3575" s="502"/>
      <c r="AL3575" s="434"/>
      <c r="AM3575" s="436"/>
      <c r="AN3575" s="434"/>
      <c r="AO3575" s="434"/>
      <c r="AP3575" s="556"/>
      <c r="AQ3575" s="556"/>
      <c r="AR3575" s="556"/>
      <c r="CF3575" s="2"/>
    </row>
    <row r="3576" spans="3:84">
      <c r="C3576" s="2"/>
      <c r="AD3576" s="502"/>
      <c r="AE3576" s="911"/>
      <c r="AF3576" s="502"/>
      <c r="AH3576" s="898"/>
      <c r="AI3576" s="502"/>
      <c r="AJ3576" s="502"/>
      <c r="AL3576" s="434"/>
      <c r="AM3576" s="436"/>
      <c r="AN3576" s="434"/>
      <c r="AO3576" s="434"/>
      <c r="AP3576" s="556"/>
      <c r="AQ3576" s="556"/>
      <c r="AR3576" s="556"/>
      <c r="CF3576" s="2"/>
    </row>
    <row r="3577" spans="3:84">
      <c r="C3577" s="2"/>
      <c r="AD3577" s="502"/>
      <c r="AE3577" s="911"/>
      <c r="AF3577" s="502"/>
      <c r="AH3577" s="898"/>
      <c r="AI3577" s="502"/>
      <c r="AJ3577" s="502"/>
      <c r="AL3577" s="434"/>
      <c r="AM3577" s="436"/>
      <c r="AN3577" s="434"/>
      <c r="AO3577" s="434"/>
      <c r="AP3577" s="556"/>
      <c r="AQ3577" s="556"/>
      <c r="AR3577" s="556"/>
      <c r="CF3577" s="2"/>
    </row>
    <row r="3578" spans="3:84">
      <c r="C3578" s="2"/>
      <c r="AD3578" s="502"/>
      <c r="AE3578" s="911"/>
      <c r="AF3578" s="502"/>
      <c r="AH3578" s="898"/>
      <c r="AI3578" s="502"/>
      <c r="AJ3578" s="502"/>
      <c r="AL3578" s="434"/>
      <c r="AM3578" s="436"/>
      <c r="AN3578" s="434"/>
      <c r="AO3578" s="434"/>
      <c r="AP3578" s="556"/>
      <c r="AQ3578" s="556"/>
      <c r="AR3578" s="556"/>
      <c r="CF3578" s="2"/>
    </row>
    <row r="3579" spans="3:84">
      <c r="C3579" s="2"/>
      <c r="AD3579" s="502"/>
      <c r="AE3579" s="911"/>
      <c r="AF3579" s="502"/>
      <c r="AH3579" s="898"/>
      <c r="AI3579" s="502"/>
      <c r="AJ3579" s="502"/>
      <c r="AL3579" s="434"/>
      <c r="AM3579" s="436"/>
      <c r="AN3579" s="434"/>
      <c r="AO3579" s="434"/>
      <c r="AP3579" s="556"/>
      <c r="AQ3579" s="556"/>
      <c r="AR3579" s="556"/>
      <c r="CF3579" s="2"/>
    </row>
    <row r="3580" spans="3:84">
      <c r="C3580" s="2"/>
      <c r="AD3580" s="502"/>
      <c r="AE3580" s="911"/>
      <c r="AF3580" s="502"/>
      <c r="AH3580" s="898"/>
      <c r="AI3580" s="502"/>
      <c r="AJ3580" s="502"/>
      <c r="AL3580" s="434"/>
      <c r="AM3580" s="436"/>
      <c r="AN3580" s="434"/>
      <c r="AO3580" s="434"/>
      <c r="AP3580" s="556"/>
      <c r="AQ3580" s="556"/>
      <c r="AR3580" s="556"/>
      <c r="CF3580" s="2"/>
    </row>
    <row r="3581" spans="3:84">
      <c r="C3581" s="2"/>
      <c r="AD3581" s="502"/>
      <c r="AE3581" s="911"/>
      <c r="AF3581" s="502"/>
      <c r="AH3581" s="898"/>
      <c r="AI3581" s="502"/>
      <c r="AJ3581" s="502"/>
      <c r="AL3581" s="434"/>
      <c r="AM3581" s="436"/>
      <c r="AN3581" s="434"/>
      <c r="AO3581" s="434"/>
      <c r="AP3581" s="556"/>
      <c r="AQ3581" s="556"/>
      <c r="AR3581" s="556"/>
      <c r="CF3581" s="2"/>
    </row>
    <row r="3582" spans="3:84">
      <c r="C3582" s="2"/>
      <c r="AD3582" s="502"/>
      <c r="AE3582" s="911"/>
      <c r="AF3582" s="502"/>
      <c r="AH3582" s="898"/>
      <c r="AI3582" s="502"/>
      <c r="AJ3582" s="502"/>
      <c r="AL3582" s="434"/>
      <c r="AM3582" s="436"/>
      <c r="AN3582" s="434"/>
      <c r="AO3582" s="434"/>
      <c r="AP3582" s="556"/>
      <c r="AQ3582" s="556"/>
      <c r="AR3582" s="556"/>
      <c r="CF3582" s="2"/>
    </row>
    <row r="3583" spans="3:84">
      <c r="C3583" s="2"/>
      <c r="AD3583" s="502"/>
      <c r="AE3583" s="911"/>
      <c r="AF3583" s="502"/>
      <c r="AH3583" s="898"/>
      <c r="AI3583" s="502"/>
      <c r="AJ3583" s="502"/>
      <c r="AL3583" s="434"/>
      <c r="AM3583" s="436"/>
      <c r="AN3583" s="434"/>
      <c r="AO3583" s="434"/>
      <c r="AP3583" s="556"/>
      <c r="AQ3583" s="556"/>
      <c r="AR3583" s="556"/>
      <c r="CF3583" s="2"/>
    </row>
    <row r="3584" spans="3:84">
      <c r="C3584" s="2"/>
      <c r="AD3584" s="502"/>
      <c r="AE3584" s="911"/>
      <c r="AF3584" s="502"/>
      <c r="AH3584" s="898"/>
      <c r="AI3584" s="502"/>
      <c r="AJ3584" s="502"/>
      <c r="AL3584" s="434"/>
      <c r="AM3584" s="436"/>
      <c r="AN3584" s="434"/>
      <c r="AO3584" s="434"/>
      <c r="AP3584" s="556"/>
      <c r="AQ3584" s="556"/>
      <c r="AR3584" s="556"/>
      <c r="CF3584" s="2"/>
    </row>
    <row r="3585" spans="3:84">
      <c r="C3585" s="2"/>
      <c r="AD3585" s="502"/>
      <c r="AE3585" s="911"/>
      <c r="AF3585" s="502"/>
      <c r="AH3585" s="898"/>
      <c r="AI3585" s="502"/>
      <c r="AJ3585" s="502"/>
      <c r="AL3585" s="434"/>
      <c r="AM3585" s="436"/>
      <c r="AN3585" s="434"/>
      <c r="AO3585" s="434"/>
      <c r="AP3585" s="556"/>
      <c r="AQ3585" s="556"/>
      <c r="AR3585" s="556"/>
      <c r="CF3585" s="2"/>
    </row>
    <row r="3586" spans="3:84">
      <c r="C3586" s="2"/>
      <c r="AD3586" s="502"/>
      <c r="AE3586" s="911"/>
      <c r="AF3586" s="502"/>
      <c r="AH3586" s="898"/>
      <c r="AI3586" s="502"/>
      <c r="AJ3586" s="502"/>
      <c r="AL3586" s="434"/>
      <c r="AM3586" s="436"/>
      <c r="AN3586" s="434"/>
      <c r="AO3586" s="434"/>
      <c r="AP3586" s="556"/>
      <c r="AQ3586" s="556"/>
      <c r="AR3586" s="556"/>
      <c r="CF3586" s="2"/>
    </row>
    <row r="3587" spans="3:84">
      <c r="C3587" s="2"/>
      <c r="AD3587" s="502"/>
      <c r="AE3587" s="911"/>
      <c r="AF3587" s="502"/>
      <c r="AH3587" s="898"/>
      <c r="AI3587" s="502"/>
      <c r="AJ3587" s="502"/>
      <c r="AL3587" s="434"/>
      <c r="AM3587" s="436"/>
      <c r="AN3587" s="434"/>
      <c r="AO3587" s="434"/>
      <c r="AP3587" s="556"/>
      <c r="AQ3587" s="556"/>
      <c r="AR3587" s="556"/>
      <c r="CF3587" s="2"/>
    </row>
    <row r="3588" spans="3:84">
      <c r="C3588" s="2"/>
      <c r="AD3588" s="502"/>
      <c r="AE3588" s="911"/>
      <c r="AF3588" s="502"/>
      <c r="AH3588" s="898"/>
      <c r="AI3588" s="502"/>
      <c r="AJ3588" s="502"/>
      <c r="AL3588" s="434"/>
      <c r="AM3588" s="436"/>
      <c r="AN3588" s="434"/>
      <c r="AO3588" s="434"/>
      <c r="AP3588" s="556"/>
      <c r="AQ3588" s="556"/>
      <c r="AR3588" s="556"/>
      <c r="CF3588" s="2"/>
    </row>
    <row r="3589" spans="3:84">
      <c r="C3589" s="2"/>
      <c r="AD3589" s="502"/>
      <c r="AE3589" s="911"/>
      <c r="AF3589" s="502"/>
      <c r="AH3589" s="898"/>
      <c r="AI3589" s="502"/>
      <c r="AJ3589" s="502"/>
      <c r="AL3589" s="434"/>
      <c r="AM3589" s="436"/>
      <c r="AN3589" s="434"/>
      <c r="AO3589" s="434"/>
      <c r="AP3589" s="556"/>
      <c r="AQ3589" s="556"/>
      <c r="AR3589" s="556"/>
      <c r="CF3589" s="2"/>
    </row>
    <row r="3590" spans="3:84">
      <c r="C3590" s="2"/>
      <c r="AD3590" s="502"/>
      <c r="AE3590" s="911"/>
      <c r="AF3590" s="502"/>
      <c r="AH3590" s="898"/>
      <c r="AI3590" s="502"/>
      <c r="AJ3590" s="502"/>
      <c r="AL3590" s="434"/>
      <c r="AM3590" s="436"/>
      <c r="AN3590" s="434"/>
      <c r="AO3590" s="434"/>
      <c r="AP3590" s="556"/>
      <c r="AQ3590" s="556"/>
      <c r="AR3590" s="556"/>
      <c r="CF3590" s="2"/>
    </row>
    <row r="3591" spans="3:84">
      <c r="C3591" s="2"/>
      <c r="AD3591" s="502"/>
      <c r="AE3591" s="911"/>
      <c r="AF3591" s="502"/>
      <c r="AH3591" s="898"/>
      <c r="AI3591" s="502"/>
      <c r="AJ3591" s="502"/>
      <c r="AL3591" s="434"/>
      <c r="AM3591" s="436"/>
      <c r="AN3591" s="434"/>
      <c r="AO3591" s="434"/>
      <c r="AP3591" s="556"/>
      <c r="AQ3591" s="556"/>
      <c r="AR3591" s="556"/>
      <c r="CF3591" s="2"/>
    </row>
    <row r="3592" spans="3:84">
      <c r="C3592" s="2"/>
      <c r="AD3592" s="502"/>
      <c r="AE3592" s="911"/>
      <c r="AF3592" s="502"/>
      <c r="AH3592" s="898"/>
      <c r="AI3592" s="502"/>
      <c r="AJ3592" s="502"/>
      <c r="AL3592" s="434"/>
      <c r="AM3592" s="436"/>
      <c r="AN3592" s="434"/>
      <c r="AO3592" s="434"/>
      <c r="AP3592" s="556"/>
      <c r="AQ3592" s="556"/>
      <c r="AR3592" s="556"/>
      <c r="CF3592" s="2"/>
    </row>
    <row r="3593" spans="3:84">
      <c r="C3593" s="2"/>
      <c r="AD3593" s="502"/>
      <c r="AE3593" s="911"/>
      <c r="AF3593" s="502"/>
      <c r="AH3593" s="898"/>
      <c r="AI3593" s="502"/>
      <c r="AJ3593" s="502"/>
      <c r="AL3593" s="434"/>
      <c r="AM3593" s="436"/>
      <c r="AN3593" s="434"/>
      <c r="AO3593" s="434"/>
      <c r="AP3593" s="556"/>
      <c r="AQ3593" s="556"/>
      <c r="AR3593" s="556"/>
      <c r="CF3593" s="2"/>
    </row>
    <row r="3594" spans="3:84">
      <c r="C3594" s="2"/>
      <c r="AD3594" s="502"/>
      <c r="AE3594" s="911"/>
      <c r="AF3594" s="502"/>
      <c r="AH3594" s="898"/>
      <c r="AI3594" s="502"/>
      <c r="AJ3594" s="502"/>
      <c r="AL3594" s="434"/>
      <c r="AM3594" s="436"/>
      <c r="AN3594" s="434"/>
      <c r="AO3594" s="434"/>
      <c r="AP3594" s="556"/>
      <c r="AQ3594" s="556"/>
      <c r="AR3594" s="556"/>
      <c r="CF3594" s="2"/>
    </row>
    <row r="3595" spans="3:84">
      <c r="C3595" s="2"/>
      <c r="AD3595" s="502"/>
      <c r="AE3595" s="911"/>
      <c r="AF3595" s="502"/>
      <c r="AH3595" s="898"/>
      <c r="AI3595" s="502"/>
      <c r="AJ3595" s="502"/>
      <c r="AL3595" s="434"/>
      <c r="AM3595" s="436"/>
      <c r="AN3595" s="434"/>
      <c r="AO3595" s="434"/>
      <c r="AP3595" s="556"/>
      <c r="AQ3595" s="556"/>
      <c r="AR3595" s="556"/>
      <c r="CF3595" s="2"/>
    </row>
    <row r="3596" spans="3:84">
      <c r="C3596" s="2"/>
      <c r="AD3596" s="502"/>
      <c r="AE3596" s="911"/>
      <c r="AF3596" s="502"/>
      <c r="AH3596" s="898"/>
      <c r="AI3596" s="502"/>
      <c r="AJ3596" s="502"/>
      <c r="AL3596" s="434"/>
      <c r="AM3596" s="436"/>
      <c r="AN3596" s="434"/>
      <c r="AO3596" s="434"/>
      <c r="AP3596" s="556"/>
      <c r="AQ3596" s="556"/>
      <c r="AR3596" s="556"/>
      <c r="CF3596" s="2"/>
    </row>
    <row r="3597" spans="3:84">
      <c r="C3597" s="2"/>
      <c r="AD3597" s="502"/>
      <c r="AE3597" s="911"/>
      <c r="AF3597" s="502"/>
      <c r="AH3597" s="898"/>
      <c r="AI3597" s="502"/>
      <c r="AJ3597" s="502"/>
      <c r="AL3597" s="434"/>
      <c r="AM3597" s="436"/>
      <c r="AN3597" s="434"/>
      <c r="AO3597" s="434"/>
      <c r="AP3597" s="556"/>
      <c r="AQ3597" s="556"/>
      <c r="AR3597" s="556"/>
      <c r="CF3597" s="2"/>
    </row>
    <row r="3598" spans="3:84">
      <c r="C3598" s="2"/>
      <c r="AD3598" s="502"/>
      <c r="AE3598" s="911"/>
      <c r="AF3598" s="502"/>
      <c r="AH3598" s="898"/>
      <c r="AI3598" s="502"/>
      <c r="AJ3598" s="502"/>
      <c r="AL3598" s="434"/>
      <c r="AM3598" s="436"/>
      <c r="AN3598" s="434"/>
      <c r="AO3598" s="434"/>
      <c r="AP3598" s="556"/>
      <c r="AQ3598" s="556"/>
      <c r="AR3598" s="556"/>
      <c r="CF3598" s="2"/>
    </row>
    <row r="3599" spans="3:84">
      <c r="C3599" s="2"/>
      <c r="AD3599" s="502"/>
      <c r="AE3599" s="911"/>
      <c r="AF3599" s="502"/>
      <c r="AH3599" s="898"/>
      <c r="AI3599" s="502"/>
      <c r="AJ3599" s="502"/>
      <c r="AL3599" s="434"/>
      <c r="AM3599" s="436"/>
      <c r="AN3599" s="434"/>
      <c r="AO3599" s="434"/>
      <c r="AP3599" s="556"/>
      <c r="AQ3599" s="556"/>
      <c r="AR3599" s="556"/>
      <c r="CF3599" s="2"/>
    </row>
    <row r="3600" spans="3:84">
      <c r="C3600" s="2"/>
      <c r="AD3600" s="502"/>
      <c r="AE3600" s="911"/>
      <c r="AF3600" s="502"/>
      <c r="AH3600" s="898"/>
      <c r="AI3600" s="502"/>
      <c r="AJ3600" s="502"/>
      <c r="AL3600" s="434"/>
      <c r="AM3600" s="436"/>
      <c r="AN3600" s="434"/>
      <c r="AO3600" s="434"/>
      <c r="AP3600" s="556"/>
      <c r="AQ3600" s="556"/>
      <c r="AR3600" s="556"/>
      <c r="CF3600" s="2"/>
    </row>
    <row r="3601" spans="3:84">
      <c r="C3601" s="2"/>
      <c r="AD3601" s="502"/>
      <c r="AE3601" s="911"/>
      <c r="AF3601" s="502"/>
      <c r="AH3601" s="898"/>
      <c r="AI3601" s="502"/>
      <c r="AJ3601" s="502"/>
      <c r="AL3601" s="434"/>
      <c r="AM3601" s="436"/>
      <c r="AN3601" s="434"/>
      <c r="AO3601" s="434"/>
      <c r="AP3601" s="556"/>
      <c r="AQ3601" s="556"/>
      <c r="AR3601" s="556"/>
      <c r="CF3601" s="2"/>
    </row>
    <row r="3602" spans="3:84">
      <c r="C3602" s="2"/>
      <c r="AD3602" s="502"/>
      <c r="AE3602" s="911"/>
      <c r="AF3602" s="502"/>
      <c r="AH3602" s="898"/>
      <c r="AI3602" s="502"/>
      <c r="AJ3602" s="502"/>
      <c r="AL3602" s="434"/>
      <c r="AM3602" s="436"/>
      <c r="AN3602" s="434"/>
      <c r="AO3602" s="434"/>
      <c r="AP3602" s="556"/>
      <c r="AQ3602" s="556"/>
      <c r="AR3602" s="556"/>
      <c r="CF3602" s="2"/>
    </row>
    <row r="3603" spans="3:84">
      <c r="C3603" s="2"/>
      <c r="AD3603" s="502"/>
      <c r="AE3603" s="911"/>
      <c r="AF3603" s="502"/>
      <c r="AH3603" s="898"/>
      <c r="AI3603" s="502"/>
      <c r="AJ3603" s="502"/>
      <c r="AL3603" s="434"/>
      <c r="AM3603" s="436"/>
      <c r="AN3603" s="434"/>
      <c r="AO3603" s="434"/>
      <c r="AP3603" s="556"/>
      <c r="AQ3603" s="556"/>
      <c r="AR3603" s="556"/>
      <c r="CF3603" s="2"/>
    </row>
    <row r="3604" spans="3:84">
      <c r="C3604" s="2"/>
      <c r="AD3604" s="502"/>
      <c r="AE3604" s="911"/>
      <c r="AF3604" s="502"/>
      <c r="AH3604" s="898"/>
      <c r="AI3604" s="502"/>
      <c r="AJ3604" s="502"/>
      <c r="AL3604" s="434"/>
      <c r="AM3604" s="436"/>
      <c r="AN3604" s="434"/>
      <c r="AO3604" s="434"/>
      <c r="AP3604" s="556"/>
      <c r="AQ3604" s="556"/>
      <c r="AR3604" s="556"/>
      <c r="CF3604" s="2"/>
    </row>
    <row r="3605" spans="3:84">
      <c r="C3605" s="2"/>
      <c r="AD3605" s="502"/>
      <c r="AE3605" s="911"/>
      <c r="AF3605" s="502"/>
      <c r="AH3605" s="898"/>
      <c r="AI3605" s="502"/>
      <c r="AJ3605" s="502"/>
      <c r="AL3605" s="434"/>
      <c r="AM3605" s="436"/>
      <c r="AN3605" s="434"/>
      <c r="AO3605" s="434"/>
      <c r="AP3605" s="556"/>
      <c r="AQ3605" s="556"/>
      <c r="AR3605" s="556"/>
      <c r="CF3605" s="2"/>
    </row>
    <row r="3606" spans="3:84">
      <c r="C3606" s="2"/>
      <c r="AD3606" s="502"/>
      <c r="AE3606" s="911"/>
      <c r="AF3606" s="502"/>
      <c r="AH3606" s="898"/>
      <c r="AI3606" s="502"/>
      <c r="AJ3606" s="502"/>
      <c r="AL3606" s="434"/>
      <c r="AM3606" s="436"/>
      <c r="AN3606" s="434"/>
      <c r="AO3606" s="434"/>
      <c r="AP3606" s="556"/>
      <c r="AQ3606" s="556"/>
      <c r="AR3606" s="556"/>
      <c r="CF3606" s="2"/>
    </row>
    <row r="3607" spans="3:84">
      <c r="C3607" s="2"/>
      <c r="AD3607" s="502"/>
      <c r="AE3607" s="911"/>
      <c r="AF3607" s="502"/>
      <c r="AH3607" s="898"/>
      <c r="AI3607" s="502"/>
      <c r="AJ3607" s="502"/>
      <c r="AL3607" s="434"/>
      <c r="AM3607" s="436"/>
      <c r="AN3607" s="434"/>
      <c r="AO3607" s="434"/>
      <c r="AP3607" s="556"/>
      <c r="AQ3607" s="556"/>
      <c r="AR3607" s="556"/>
      <c r="CF3607" s="2"/>
    </row>
    <row r="3608" spans="3:84">
      <c r="C3608" s="2"/>
      <c r="AD3608" s="502"/>
      <c r="AE3608" s="911"/>
      <c r="AF3608" s="502"/>
      <c r="AH3608" s="898"/>
      <c r="AI3608" s="502"/>
      <c r="AJ3608" s="502"/>
      <c r="AL3608" s="434"/>
      <c r="AM3608" s="436"/>
      <c r="AN3608" s="434"/>
      <c r="AO3608" s="434"/>
      <c r="AP3608" s="556"/>
      <c r="AQ3608" s="556"/>
      <c r="AR3608" s="556"/>
      <c r="CF3608" s="2"/>
    </row>
    <row r="3609" spans="3:84">
      <c r="C3609" s="2"/>
      <c r="AD3609" s="502"/>
      <c r="AE3609" s="911"/>
      <c r="AF3609" s="502"/>
      <c r="AH3609" s="898"/>
      <c r="AI3609" s="502"/>
      <c r="AJ3609" s="502"/>
      <c r="AL3609" s="434"/>
      <c r="AM3609" s="436"/>
      <c r="AN3609" s="434"/>
      <c r="AO3609" s="434"/>
      <c r="AP3609" s="556"/>
      <c r="AQ3609" s="556"/>
      <c r="AR3609" s="556"/>
      <c r="CF3609" s="2"/>
    </row>
    <row r="3610" spans="3:84">
      <c r="C3610" s="2"/>
      <c r="AD3610" s="502"/>
      <c r="AE3610" s="911"/>
      <c r="AF3610" s="502"/>
      <c r="AH3610" s="898"/>
      <c r="AI3610" s="502"/>
      <c r="AJ3610" s="502"/>
      <c r="AL3610" s="434"/>
      <c r="AM3610" s="436"/>
      <c r="AN3610" s="434"/>
      <c r="AO3610" s="434"/>
      <c r="AP3610" s="556"/>
      <c r="AQ3610" s="556"/>
      <c r="AR3610" s="556"/>
      <c r="CF3610" s="2"/>
    </row>
    <row r="3611" spans="3:84">
      <c r="C3611" s="2"/>
      <c r="AD3611" s="502"/>
      <c r="AE3611" s="911"/>
      <c r="AF3611" s="502"/>
      <c r="AH3611" s="898"/>
      <c r="AI3611" s="502"/>
      <c r="AJ3611" s="502"/>
      <c r="AL3611" s="434"/>
      <c r="AM3611" s="436"/>
      <c r="AN3611" s="434"/>
      <c r="AO3611" s="434"/>
      <c r="AP3611" s="556"/>
      <c r="AQ3611" s="556"/>
      <c r="AR3611" s="556"/>
      <c r="CF3611" s="2"/>
    </row>
    <row r="3612" spans="3:84">
      <c r="C3612" s="2"/>
      <c r="AD3612" s="502"/>
      <c r="AE3612" s="911"/>
      <c r="AF3612" s="502"/>
      <c r="AH3612" s="898"/>
      <c r="AI3612" s="502"/>
      <c r="AJ3612" s="502"/>
      <c r="AL3612" s="434"/>
      <c r="AM3612" s="436"/>
      <c r="AN3612" s="434"/>
      <c r="AO3612" s="434"/>
      <c r="AP3612" s="556"/>
      <c r="AQ3612" s="556"/>
      <c r="AR3612" s="556"/>
      <c r="CF3612" s="2"/>
    </row>
    <row r="3613" spans="3:84">
      <c r="C3613" s="2"/>
      <c r="AD3613" s="502"/>
      <c r="AE3613" s="911"/>
      <c r="AF3613" s="502"/>
      <c r="AH3613" s="898"/>
      <c r="AI3613" s="502"/>
      <c r="AJ3613" s="502"/>
      <c r="AL3613" s="434"/>
      <c r="AM3613" s="436"/>
      <c r="AN3613" s="434"/>
      <c r="AO3613" s="434"/>
      <c r="AP3613" s="556"/>
      <c r="AQ3613" s="556"/>
      <c r="AR3613" s="556"/>
      <c r="CF3613" s="2"/>
    </row>
    <row r="3614" spans="3:84">
      <c r="C3614" s="2"/>
      <c r="AD3614" s="502"/>
      <c r="AE3614" s="911"/>
      <c r="AF3614" s="502"/>
      <c r="AH3614" s="898"/>
      <c r="AI3614" s="502"/>
      <c r="AJ3614" s="502"/>
      <c r="AL3614" s="434"/>
      <c r="AM3614" s="436"/>
      <c r="AN3614" s="434"/>
      <c r="AO3614" s="434"/>
      <c r="AP3614" s="556"/>
      <c r="AQ3614" s="556"/>
      <c r="AR3614" s="556"/>
      <c r="CF3614" s="2"/>
    </row>
    <row r="3615" spans="3:84">
      <c r="C3615" s="2"/>
      <c r="AD3615" s="502"/>
      <c r="AE3615" s="911"/>
      <c r="AF3615" s="502"/>
      <c r="AH3615" s="898"/>
      <c r="AI3615" s="502"/>
      <c r="AJ3615" s="502"/>
      <c r="AL3615" s="434"/>
      <c r="AM3615" s="436"/>
      <c r="AN3615" s="434"/>
      <c r="AO3615" s="434"/>
      <c r="AP3615" s="556"/>
      <c r="AQ3615" s="556"/>
      <c r="AR3615" s="556"/>
      <c r="CF3615" s="2"/>
    </row>
    <row r="3616" spans="3:84">
      <c r="C3616" s="2"/>
      <c r="AD3616" s="502"/>
      <c r="AE3616" s="911"/>
      <c r="AF3616" s="502"/>
      <c r="AH3616" s="898"/>
      <c r="AI3616" s="502"/>
      <c r="AJ3616" s="502"/>
      <c r="AL3616" s="434"/>
      <c r="AM3616" s="436"/>
      <c r="AN3616" s="434"/>
      <c r="AO3616" s="434"/>
      <c r="AP3616" s="556"/>
      <c r="AQ3616" s="556"/>
      <c r="AR3616" s="556"/>
      <c r="CF3616" s="2"/>
    </row>
    <row r="3617" spans="3:84">
      <c r="C3617" s="2"/>
      <c r="AD3617" s="502"/>
      <c r="AE3617" s="911"/>
      <c r="AF3617" s="502"/>
      <c r="AH3617" s="898"/>
      <c r="AI3617" s="502"/>
      <c r="AJ3617" s="502"/>
      <c r="AL3617" s="434"/>
      <c r="AM3617" s="436"/>
      <c r="AN3617" s="434"/>
      <c r="AO3617" s="434"/>
      <c r="AP3617" s="556"/>
      <c r="AQ3617" s="556"/>
      <c r="AR3617" s="556"/>
      <c r="CF3617" s="2"/>
    </row>
    <row r="3618" spans="3:84">
      <c r="C3618" s="2"/>
      <c r="AD3618" s="502"/>
      <c r="AE3618" s="911"/>
      <c r="AF3618" s="502"/>
      <c r="AH3618" s="898"/>
      <c r="AI3618" s="502"/>
      <c r="AJ3618" s="502"/>
      <c r="AL3618" s="434"/>
      <c r="AM3618" s="436"/>
      <c r="AN3618" s="434"/>
      <c r="AO3618" s="434"/>
      <c r="AP3618" s="556"/>
      <c r="AQ3618" s="556"/>
      <c r="AR3618" s="556"/>
      <c r="CF3618" s="2"/>
    </row>
    <row r="3619" spans="3:84">
      <c r="C3619" s="2"/>
      <c r="AD3619" s="502"/>
      <c r="AE3619" s="911"/>
      <c r="AF3619" s="502"/>
      <c r="AH3619" s="898"/>
      <c r="AI3619" s="502"/>
      <c r="AJ3619" s="502"/>
      <c r="AL3619" s="434"/>
      <c r="AM3619" s="436"/>
      <c r="AN3619" s="434"/>
      <c r="AO3619" s="434"/>
      <c r="AP3619" s="556"/>
      <c r="AQ3619" s="556"/>
      <c r="AR3619" s="556"/>
      <c r="CF3619" s="2"/>
    </row>
    <row r="3620" spans="3:84">
      <c r="C3620" s="2"/>
      <c r="AD3620" s="502"/>
      <c r="AE3620" s="911"/>
      <c r="AF3620" s="502"/>
      <c r="AH3620" s="898"/>
      <c r="AI3620" s="502"/>
      <c r="AJ3620" s="502"/>
      <c r="AL3620" s="434"/>
      <c r="AM3620" s="436"/>
      <c r="AN3620" s="434"/>
      <c r="AO3620" s="434"/>
      <c r="AP3620" s="556"/>
      <c r="AQ3620" s="556"/>
      <c r="AR3620" s="556"/>
      <c r="CF3620" s="2"/>
    </row>
    <row r="3621" spans="3:84">
      <c r="C3621" s="2"/>
      <c r="AD3621" s="502"/>
      <c r="AE3621" s="911"/>
      <c r="AF3621" s="502"/>
      <c r="AH3621" s="898"/>
      <c r="AI3621" s="502"/>
      <c r="AJ3621" s="502"/>
      <c r="AL3621" s="434"/>
      <c r="AM3621" s="436"/>
      <c r="AN3621" s="434"/>
      <c r="AO3621" s="434"/>
      <c r="AP3621" s="556"/>
      <c r="AQ3621" s="556"/>
      <c r="AR3621" s="556"/>
      <c r="CF3621" s="2"/>
    </row>
    <row r="3622" spans="3:84">
      <c r="C3622" s="2"/>
      <c r="AD3622" s="502"/>
      <c r="AE3622" s="911"/>
      <c r="AF3622" s="502"/>
      <c r="AH3622" s="898"/>
      <c r="AI3622" s="502"/>
      <c r="AJ3622" s="502"/>
      <c r="AL3622" s="434"/>
      <c r="AM3622" s="436"/>
      <c r="AN3622" s="434"/>
      <c r="AO3622" s="434"/>
      <c r="AP3622" s="556"/>
      <c r="AQ3622" s="556"/>
      <c r="AR3622" s="556"/>
      <c r="CF3622" s="2"/>
    </row>
    <row r="3623" spans="3:84">
      <c r="C3623" s="2"/>
      <c r="AD3623" s="502"/>
      <c r="AE3623" s="911"/>
      <c r="AF3623" s="502"/>
      <c r="AH3623" s="898"/>
      <c r="AI3623" s="502"/>
      <c r="AJ3623" s="502"/>
      <c r="AL3623" s="434"/>
      <c r="AM3623" s="436"/>
      <c r="AN3623" s="434"/>
      <c r="AO3623" s="434"/>
      <c r="AP3623" s="556"/>
      <c r="AQ3623" s="556"/>
      <c r="AR3623" s="556"/>
      <c r="CF3623" s="2"/>
    </row>
    <row r="3624" spans="3:84">
      <c r="C3624" s="2"/>
      <c r="AD3624" s="502"/>
      <c r="AE3624" s="911"/>
      <c r="AF3624" s="502"/>
      <c r="AH3624" s="898"/>
      <c r="AI3624" s="502"/>
      <c r="AJ3624" s="502"/>
      <c r="AL3624" s="434"/>
      <c r="AM3624" s="436"/>
      <c r="AN3624" s="434"/>
      <c r="AO3624" s="434"/>
      <c r="AP3624" s="556"/>
      <c r="AQ3624" s="556"/>
      <c r="AR3624" s="556"/>
      <c r="CF3624" s="2"/>
    </row>
    <row r="3625" spans="3:84">
      <c r="C3625" s="2"/>
      <c r="AD3625" s="502"/>
      <c r="AE3625" s="911"/>
      <c r="AF3625" s="502"/>
      <c r="AH3625" s="898"/>
      <c r="AI3625" s="502"/>
      <c r="AJ3625" s="502"/>
      <c r="AL3625" s="434"/>
      <c r="AM3625" s="436"/>
      <c r="AN3625" s="434"/>
      <c r="AO3625" s="434"/>
      <c r="AP3625" s="556"/>
      <c r="AQ3625" s="556"/>
      <c r="AR3625" s="556"/>
      <c r="CF3625" s="2"/>
    </row>
    <row r="3626" spans="3:84">
      <c r="C3626" s="2"/>
      <c r="AD3626" s="502"/>
      <c r="AE3626" s="911"/>
      <c r="AF3626" s="502"/>
      <c r="AH3626" s="898"/>
      <c r="AI3626" s="502"/>
      <c r="AJ3626" s="502"/>
      <c r="AL3626" s="434"/>
      <c r="AM3626" s="436"/>
      <c r="AN3626" s="434"/>
      <c r="AO3626" s="434"/>
      <c r="AP3626" s="556"/>
      <c r="AQ3626" s="556"/>
      <c r="AR3626" s="556"/>
      <c r="CF3626" s="2"/>
    </row>
    <row r="3627" spans="3:84">
      <c r="C3627" s="2"/>
      <c r="AD3627" s="502"/>
      <c r="AE3627" s="911"/>
      <c r="AF3627" s="502"/>
      <c r="AH3627" s="898"/>
      <c r="AI3627" s="502"/>
      <c r="AJ3627" s="502"/>
      <c r="AL3627" s="434"/>
      <c r="AM3627" s="436"/>
      <c r="AN3627" s="434"/>
      <c r="AO3627" s="434"/>
      <c r="AP3627" s="556"/>
      <c r="AQ3627" s="556"/>
      <c r="AR3627" s="556"/>
      <c r="CF3627" s="2"/>
    </row>
    <row r="3628" spans="3:84">
      <c r="C3628" s="2"/>
      <c r="AD3628" s="502"/>
      <c r="AE3628" s="911"/>
      <c r="AF3628" s="502"/>
      <c r="AH3628" s="898"/>
      <c r="AI3628" s="502"/>
      <c r="AJ3628" s="502"/>
      <c r="AL3628" s="434"/>
      <c r="AM3628" s="436"/>
      <c r="AN3628" s="434"/>
      <c r="AO3628" s="434"/>
      <c r="AP3628" s="556"/>
      <c r="AQ3628" s="556"/>
      <c r="AR3628" s="556"/>
      <c r="CF3628" s="2"/>
    </row>
    <row r="3629" spans="3:84">
      <c r="C3629" s="2"/>
      <c r="AD3629" s="502"/>
      <c r="AE3629" s="911"/>
      <c r="AF3629" s="502"/>
      <c r="AH3629" s="898"/>
      <c r="AI3629" s="502"/>
      <c r="AJ3629" s="502"/>
      <c r="AL3629" s="434"/>
      <c r="AM3629" s="436"/>
      <c r="AN3629" s="434"/>
      <c r="AO3629" s="434"/>
      <c r="AP3629" s="556"/>
      <c r="AQ3629" s="556"/>
      <c r="AR3629" s="556"/>
      <c r="CF3629" s="2"/>
    </row>
    <row r="3630" spans="3:84">
      <c r="C3630" s="2"/>
      <c r="AD3630" s="502"/>
      <c r="AE3630" s="911"/>
      <c r="AF3630" s="502"/>
      <c r="AH3630" s="898"/>
      <c r="AI3630" s="502"/>
      <c r="AJ3630" s="502"/>
      <c r="AL3630" s="434"/>
      <c r="AM3630" s="436"/>
      <c r="AN3630" s="434"/>
      <c r="AO3630" s="434"/>
      <c r="AP3630" s="556"/>
      <c r="AQ3630" s="556"/>
      <c r="AR3630" s="556"/>
      <c r="CF3630" s="2"/>
    </row>
    <row r="3631" spans="3:84">
      <c r="C3631" s="2"/>
      <c r="AD3631" s="502"/>
      <c r="AE3631" s="911"/>
      <c r="AF3631" s="502"/>
      <c r="AH3631" s="898"/>
      <c r="AI3631" s="502"/>
      <c r="AJ3631" s="502"/>
      <c r="AL3631" s="434"/>
      <c r="AM3631" s="436"/>
      <c r="AN3631" s="434"/>
      <c r="AO3631" s="434"/>
      <c r="AP3631" s="556"/>
      <c r="AQ3631" s="556"/>
      <c r="AR3631" s="556"/>
      <c r="CF3631" s="2"/>
    </row>
    <row r="3632" spans="3:84">
      <c r="C3632" s="2"/>
      <c r="AD3632" s="502"/>
      <c r="AE3632" s="911"/>
      <c r="AF3632" s="502"/>
      <c r="AH3632" s="898"/>
      <c r="AI3632" s="502"/>
      <c r="AJ3632" s="502"/>
      <c r="AL3632" s="434"/>
      <c r="AM3632" s="436"/>
      <c r="AN3632" s="434"/>
      <c r="AO3632" s="434"/>
      <c r="AP3632" s="556"/>
      <c r="AQ3632" s="556"/>
      <c r="AR3632" s="556"/>
      <c r="CF3632" s="2"/>
    </row>
    <row r="3633" spans="3:84">
      <c r="C3633" s="2"/>
      <c r="AD3633" s="502"/>
      <c r="AE3633" s="911"/>
      <c r="AF3633" s="502"/>
      <c r="AH3633" s="898"/>
      <c r="AI3633" s="502"/>
      <c r="AJ3633" s="502"/>
      <c r="AL3633" s="434"/>
      <c r="AM3633" s="436"/>
      <c r="AN3633" s="434"/>
      <c r="AO3633" s="434"/>
      <c r="AP3633" s="556"/>
      <c r="AQ3633" s="556"/>
      <c r="AR3633" s="556"/>
      <c r="CF3633" s="2"/>
    </row>
    <row r="3634" spans="3:84">
      <c r="C3634" s="2"/>
      <c r="AD3634" s="502"/>
      <c r="AE3634" s="911"/>
      <c r="AF3634" s="502"/>
      <c r="AH3634" s="898"/>
      <c r="AI3634" s="502"/>
      <c r="AJ3634" s="502"/>
      <c r="AL3634" s="434"/>
      <c r="AM3634" s="436"/>
      <c r="AN3634" s="434"/>
      <c r="AO3634" s="434"/>
      <c r="AP3634" s="556"/>
      <c r="AQ3634" s="556"/>
      <c r="AR3634" s="556"/>
      <c r="CF3634" s="2"/>
    </row>
    <row r="3635" spans="3:84">
      <c r="C3635" s="2"/>
      <c r="AD3635" s="502"/>
      <c r="AE3635" s="911"/>
      <c r="AF3635" s="502"/>
      <c r="AH3635" s="898"/>
      <c r="AI3635" s="502"/>
      <c r="AJ3635" s="502"/>
      <c r="AL3635" s="434"/>
      <c r="AM3635" s="436"/>
      <c r="AN3635" s="434"/>
      <c r="AO3635" s="434"/>
      <c r="AP3635" s="556"/>
      <c r="AQ3635" s="556"/>
      <c r="AR3635" s="556"/>
      <c r="CF3635" s="2"/>
    </row>
    <row r="3636" spans="3:84">
      <c r="C3636" s="2"/>
      <c r="AD3636" s="502"/>
      <c r="AE3636" s="911"/>
      <c r="AF3636" s="502"/>
      <c r="AH3636" s="898"/>
      <c r="AI3636" s="502"/>
      <c r="AJ3636" s="502"/>
      <c r="AL3636" s="434"/>
      <c r="AM3636" s="436"/>
      <c r="AN3636" s="434"/>
      <c r="AO3636" s="434"/>
      <c r="AP3636" s="556"/>
      <c r="AQ3636" s="556"/>
      <c r="AR3636" s="556"/>
      <c r="CF3636" s="2"/>
    </row>
    <row r="3637" spans="3:84">
      <c r="C3637" s="2"/>
      <c r="AD3637" s="502"/>
      <c r="AE3637" s="911"/>
      <c r="AF3637" s="502"/>
      <c r="AH3637" s="898"/>
      <c r="AI3637" s="502"/>
      <c r="AJ3637" s="502"/>
      <c r="AL3637" s="434"/>
      <c r="AM3637" s="436"/>
      <c r="AN3637" s="434"/>
      <c r="AO3637" s="434"/>
      <c r="AP3637" s="556"/>
      <c r="AQ3637" s="556"/>
      <c r="AR3637" s="556"/>
      <c r="CF3637" s="2"/>
    </row>
    <row r="3638" spans="3:84">
      <c r="C3638" s="2"/>
      <c r="AD3638" s="502"/>
      <c r="AE3638" s="911"/>
      <c r="AF3638" s="502"/>
      <c r="AH3638" s="898"/>
      <c r="AI3638" s="502"/>
      <c r="AJ3638" s="502"/>
      <c r="AL3638" s="434"/>
      <c r="AM3638" s="436"/>
      <c r="AN3638" s="434"/>
      <c r="AO3638" s="434"/>
      <c r="AP3638" s="556"/>
      <c r="AQ3638" s="556"/>
      <c r="AR3638" s="556"/>
      <c r="CF3638" s="2"/>
    </row>
    <row r="3639" spans="3:84">
      <c r="C3639" s="2"/>
      <c r="AD3639" s="502"/>
      <c r="AE3639" s="911"/>
      <c r="AF3639" s="502"/>
      <c r="AH3639" s="898"/>
      <c r="AI3639" s="502"/>
      <c r="AJ3639" s="502"/>
      <c r="AL3639" s="434"/>
      <c r="AM3639" s="436"/>
      <c r="AN3639" s="434"/>
      <c r="AO3639" s="434"/>
      <c r="AP3639" s="556"/>
      <c r="AQ3639" s="556"/>
      <c r="AR3639" s="556"/>
      <c r="CF3639" s="2"/>
    </row>
    <row r="3640" spans="3:84">
      <c r="C3640" s="2"/>
      <c r="AD3640" s="502"/>
      <c r="AE3640" s="911"/>
      <c r="AF3640" s="502"/>
      <c r="AH3640" s="898"/>
      <c r="AI3640" s="502"/>
      <c r="AJ3640" s="502"/>
      <c r="AL3640" s="434"/>
      <c r="AM3640" s="436"/>
      <c r="AN3640" s="434"/>
      <c r="AO3640" s="434"/>
      <c r="AP3640" s="556"/>
      <c r="AQ3640" s="556"/>
      <c r="AR3640" s="556"/>
      <c r="CF3640" s="2"/>
    </row>
    <row r="3641" spans="3:84">
      <c r="C3641" s="2"/>
      <c r="AD3641" s="502"/>
      <c r="AE3641" s="911"/>
      <c r="AF3641" s="502"/>
      <c r="AH3641" s="898"/>
      <c r="AI3641" s="502"/>
      <c r="AJ3641" s="502"/>
      <c r="AL3641" s="434"/>
      <c r="AM3641" s="436"/>
      <c r="AN3641" s="434"/>
      <c r="AO3641" s="434"/>
      <c r="AP3641" s="556"/>
      <c r="AQ3641" s="556"/>
      <c r="AR3641" s="556"/>
      <c r="CF3641" s="2"/>
    </row>
    <row r="3642" spans="3:84">
      <c r="C3642" s="2"/>
      <c r="AD3642" s="502"/>
      <c r="AE3642" s="911"/>
      <c r="AF3642" s="502"/>
      <c r="AH3642" s="898"/>
      <c r="AI3642" s="502"/>
      <c r="AJ3642" s="502"/>
      <c r="AL3642" s="434"/>
      <c r="AM3642" s="436"/>
      <c r="AN3642" s="434"/>
      <c r="AO3642" s="434"/>
      <c r="AP3642" s="556"/>
      <c r="AQ3642" s="556"/>
      <c r="AR3642" s="556"/>
      <c r="CF3642" s="2"/>
    </row>
    <row r="3643" spans="3:84">
      <c r="C3643" s="2"/>
      <c r="AD3643" s="502"/>
      <c r="AE3643" s="911"/>
      <c r="AF3643" s="502"/>
      <c r="AH3643" s="898"/>
      <c r="AI3643" s="502"/>
      <c r="AJ3643" s="502"/>
      <c r="AL3643" s="434"/>
      <c r="AM3643" s="436"/>
      <c r="AN3643" s="434"/>
      <c r="AO3643" s="434"/>
      <c r="AP3643" s="556"/>
      <c r="AQ3643" s="556"/>
      <c r="AR3643" s="556"/>
      <c r="CF3643" s="2"/>
    </row>
    <row r="3644" spans="3:84">
      <c r="C3644" s="2"/>
      <c r="AD3644" s="502"/>
      <c r="AE3644" s="911"/>
      <c r="AF3644" s="502"/>
      <c r="AH3644" s="898"/>
      <c r="AI3644" s="502"/>
      <c r="AJ3644" s="502"/>
      <c r="AL3644" s="434"/>
      <c r="AM3644" s="436"/>
      <c r="AN3644" s="434"/>
      <c r="AO3644" s="434"/>
      <c r="AP3644" s="556"/>
      <c r="AQ3644" s="556"/>
      <c r="AR3644" s="556"/>
      <c r="CF3644" s="2"/>
    </row>
    <row r="3645" spans="3:84">
      <c r="C3645" s="2"/>
      <c r="AD3645" s="502"/>
      <c r="AE3645" s="911"/>
      <c r="AF3645" s="502"/>
      <c r="AH3645" s="898"/>
      <c r="AI3645" s="502"/>
      <c r="AJ3645" s="502"/>
      <c r="AL3645" s="434"/>
      <c r="AM3645" s="436"/>
      <c r="AN3645" s="434"/>
      <c r="AO3645" s="434"/>
      <c r="AP3645" s="556"/>
      <c r="AQ3645" s="556"/>
      <c r="AR3645" s="556"/>
      <c r="CF3645" s="2"/>
    </row>
    <row r="3646" spans="3:84">
      <c r="C3646" s="2"/>
      <c r="AD3646" s="502"/>
      <c r="AE3646" s="911"/>
      <c r="AF3646" s="502"/>
      <c r="AH3646" s="898"/>
      <c r="AI3646" s="502"/>
      <c r="AJ3646" s="502"/>
      <c r="AL3646" s="434"/>
      <c r="AM3646" s="436"/>
      <c r="AN3646" s="434"/>
      <c r="AO3646" s="434"/>
      <c r="AP3646" s="556"/>
      <c r="AQ3646" s="556"/>
      <c r="AR3646" s="556"/>
      <c r="CF3646" s="2"/>
    </row>
    <row r="3647" spans="3:84">
      <c r="C3647" s="2"/>
      <c r="AD3647" s="502"/>
      <c r="AE3647" s="911"/>
      <c r="AF3647" s="502"/>
      <c r="AH3647" s="898"/>
      <c r="AI3647" s="502"/>
      <c r="AJ3647" s="502"/>
      <c r="AL3647" s="434"/>
      <c r="AM3647" s="436"/>
      <c r="AN3647" s="434"/>
      <c r="AO3647" s="434"/>
      <c r="AP3647" s="556"/>
      <c r="AQ3647" s="556"/>
      <c r="AR3647" s="556"/>
      <c r="CF3647" s="2"/>
    </row>
    <row r="3648" spans="3:84">
      <c r="C3648" s="2"/>
      <c r="AD3648" s="502"/>
      <c r="AE3648" s="911"/>
      <c r="AF3648" s="502"/>
      <c r="AH3648" s="898"/>
      <c r="AI3648" s="502"/>
      <c r="AJ3648" s="502"/>
      <c r="AL3648" s="434"/>
      <c r="AM3648" s="436"/>
      <c r="AN3648" s="434"/>
      <c r="AO3648" s="434"/>
      <c r="AP3648" s="556"/>
      <c r="AQ3648" s="556"/>
      <c r="AR3648" s="556"/>
      <c r="CF3648" s="2"/>
    </row>
    <row r="3649" spans="3:84">
      <c r="C3649" s="2"/>
      <c r="AD3649" s="502"/>
      <c r="AE3649" s="911"/>
      <c r="AF3649" s="502"/>
      <c r="AH3649" s="898"/>
      <c r="AI3649" s="502"/>
      <c r="AJ3649" s="502"/>
      <c r="AL3649" s="434"/>
      <c r="AM3649" s="436"/>
      <c r="AN3649" s="434"/>
      <c r="AO3649" s="434"/>
      <c r="AP3649" s="556"/>
      <c r="AQ3649" s="556"/>
      <c r="AR3649" s="556"/>
      <c r="CF3649" s="2"/>
    </row>
    <row r="3650" spans="3:84">
      <c r="C3650" s="2"/>
      <c r="AD3650" s="502"/>
      <c r="AE3650" s="911"/>
      <c r="AF3650" s="502"/>
      <c r="AH3650" s="898"/>
      <c r="AI3650" s="502"/>
      <c r="AJ3650" s="502"/>
      <c r="AL3650" s="434"/>
      <c r="AM3650" s="436"/>
      <c r="AN3650" s="434"/>
      <c r="AO3650" s="434"/>
      <c r="AP3650" s="556"/>
      <c r="AQ3650" s="556"/>
      <c r="AR3650" s="556"/>
      <c r="CF3650" s="2"/>
    </row>
    <row r="3651" spans="3:84">
      <c r="C3651" s="2"/>
      <c r="AD3651" s="502"/>
      <c r="AE3651" s="911"/>
      <c r="AF3651" s="502"/>
      <c r="AH3651" s="898"/>
      <c r="AI3651" s="502"/>
      <c r="AJ3651" s="502"/>
      <c r="AL3651" s="434"/>
      <c r="AM3651" s="436"/>
      <c r="AN3651" s="434"/>
      <c r="AO3651" s="434"/>
      <c r="AP3651" s="556"/>
      <c r="AQ3651" s="556"/>
      <c r="AR3651" s="556"/>
      <c r="CF3651" s="2"/>
    </row>
    <row r="3652" spans="3:84">
      <c r="C3652" s="2"/>
      <c r="AD3652" s="502"/>
      <c r="AE3652" s="911"/>
      <c r="AF3652" s="502"/>
      <c r="AH3652" s="898"/>
      <c r="AI3652" s="502"/>
      <c r="AJ3652" s="502"/>
      <c r="AL3652" s="434"/>
      <c r="AM3652" s="436"/>
      <c r="AN3652" s="434"/>
      <c r="AO3652" s="434"/>
      <c r="AP3652" s="556"/>
      <c r="AQ3652" s="556"/>
      <c r="AR3652" s="556"/>
      <c r="CF3652" s="2"/>
    </row>
    <row r="3653" spans="3:84">
      <c r="C3653" s="2"/>
      <c r="AD3653" s="502"/>
      <c r="AE3653" s="911"/>
      <c r="AF3653" s="502"/>
      <c r="AH3653" s="898"/>
      <c r="AI3653" s="502"/>
      <c r="AJ3653" s="502"/>
      <c r="AL3653" s="434"/>
      <c r="AM3653" s="436"/>
      <c r="AN3653" s="434"/>
      <c r="AO3653" s="434"/>
      <c r="AP3653" s="556"/>
      <c r="AQ3653" s="556"/>
      <c r="AR3653" s="556"/>
      <c r="CF3653" s="2"/>
    </row>
    <row r="3654" spans="3:84">
      <c r="C3654" s="2"/>
      <c r="AD3654" s="502"/>
      <c r="AE3654" s="911"/>
      <c r="AF3654" s="502"/>
      <c r="AH3654" s="898"/>
      <c r="AI3654" s="502"/>
      <c r="AJ3654" s="502"/>
      <c r="AL3654" s="434"/>
      <c r="AM3654" s="436"/>
      <c r="AN3654" s="434"/>
      <c r="AO3654" s="434"/>
      <c r="AP3654" s="556"/>
      <c r="AQ3654" s="556"/>
      <c r="AR3654" s="556"/>
      <c r="CF3654" s="2"/>
    </row>
    <row r="3655" spans="3:84">
      <c r="C3655" s="2"/>
      <c r="AD3655" s="502"/>
      <c r="AE3655" s="911"/>
      <c r="AF3655" s="502"/>
      <c r="AH3655" s="898"/>
      <c r="AI3655" s="502"/>
      <c r="AJ3655" s="502"/>
      <c r="AL3655" s="434"/>
      <c r="AM3655" s="436"/>
      <c r="AN3655" s="434"/>
      <c r="AO3655" s="434"/>
      <c r="AP3655" s="556"/>
      <c r="AQ3655" s="556"/>
      <c r="AR3655" s="556"/>
      <c r="CF3655" s="2"/>
    </row>
    <row r="3656" spans="3:84">
      <c r="C3656" s="2"/>
      <c r="AD3656" s="502"/>
      <c r="AE3656" s="911"/>
      <c r="AF3656" s="502"/>
      <c r="AH3656" s="898"/>
      <c r="AI3656" s="502"/>
      <c r="AJ3656" s="502"/>
      <c r="AL3656" s="434"/>
      <c r="AM3656" s="436"/>
      <c r="AN3656" s="434"/>
      <c r="AO3656" s="434"/>
      <c r="AP3656" s="556"/>
      <c r="AQ3656" s="556"/>
      <c r="AR3656" s="556"/>
      <c r="CF3656" s="2"/>
    </row>
    <row r="3657" spans="3:84">
      <c r="C3657" s="2"/>
      <c r="AD3657" s="502"/>
      <c r="AE3657" s="911"/>
      <c r="AF3657" s="502"/>
      <c r="AH3657" s="898"/>
      <c r="AI3657" s="502"/>
      <c r="AJ3657" s="502"/>
      <c r="AL3657" s="434"/>
      <c r="AM3657" s="436"/>
      <c r="AN3657" s="434"/>
      <c r="AO3657" s="434"/>
      <c r="AP3657" s="556"/>
      <c r="AQ3657" s="556"/>
      <c r="AR3657" s="556"/>
      <c r="CF3657" s="2"/>
    </row>
    <row r="3658" spans="3:84">
      <c r="C3658" s="2"/>
      <c r="AD3658" s="502"/>
      <c r="AE3658" s="911"/>
      <c r="AF3658" s="502"/>
      <c r="AH3658" s="898"/>
      <c r="AI3658" s="502"/>
      <c r="AJ3658" s="502"/>
      <c r="AL3658" s="434"/>
      <c r="AM3658" s="436"/>
      <c r="AN3658" s="434"/>
      <c r="AO3658" s="434"/>
      <c r="AP3658" s="556"/>
      <c r="AQ3658" s="556"/>
      <c r="AR3658" s="556"/>
      <c r="CF3658" s="2"/>
    </row>
    <row r="3659" spans="3:84">
      <c r="C3659" s="2"/>
      <c r="AD3659" s="502"/>
      <c r="AE3659" s="911"/>
      <c r="AF3659" s="502"/>
      <c r="AH3659" s="898"/>
      <c r="AI3659" s="502"/>
      <c r="AJ3659" s="502"/>
      <c r="AL3659" s="434"/>
      <c r="AM3659" s="436"/>
      <c r="AN3659" s="434"/>
      <c r="AO3659" s="434"/>
      <c r="AP3659" s="556"/>
      <c r="AQ3659" s="556"/>
      <c r="AR3659" s="556"/>
      <c r="CF3659" s="2"/>
    </row>
    <row r="3660" spans="3:84">
      <c r="C3660" s="2"/>
      <c r="AD3660" s="502"/>
      <c r="AE3660" s="911"/>
      <c r="AF3660" s="502"/>
      <c r="AH3660" s="898"/>
      <c r="AI3660" s="502"/>
      <c r="AJ3660" s="502"/>
      <c r="AL3660" s="434"/>
      <c r="AM3660" s="436"/>
      <c r="AN3660" s="434"/>
      <c r="AO3660" s="434"/>
      <c r="AP3660" s="556"/>
      <c r="AQ3660" s="556"/>
      <c r="AR3660" s="556"/>
      <c r="CF3660" s="2"/>
    </row>
    <row r="3661" spans="3:84">
      <c r="C3661" s="2"/>
      <c r="AD3661" s="502"/>
      <c r="AE3661" s="911"/>
      <c r="AF3661" s="502"/>
      <c r="AH3661" s="898"/>
      <c r="AI3661" s="502"/>
      <c r="AJ3661" s="502"/>
      <c r="AL3661" s="434"/>
      <c r="AM3661" s="436"/>
      <c r="AN3661" s="434"/>
      <c r="AO3661" s="434"/>
      <c r="AP3661" s="556"/>
      <c r="AQ3661" s="556"/>
      <c r="AR3661" s="556"/>
      <c r="CF3661" s="2"/>
    </row>
    <row r="3662" spans="3:84">
      <c r="C3662" s="2"/>
      <c r="AD3662" s="502"/>
      <c r="AE3662" s="911"/>
      <c r="AF3662" s="502"/>
      <c r="AH3662" s="898"/>
      <c r="AI3662" s="502"/>
      <c r="AJ3662" s="502"/>
      <c r="AL3662" s="434"/>
      <c r="AM3662" s="436"/>
      <c r="AN3662" s="434"/>
      <c r="AO3662" s="434"/>
      <c r="AP3662" s="556"/>
      <c r="AQ3662" s="556"/>
      <c r="AR3662" s="556"/>
      <c r="CF3662" s="2"/>
    </row>
    <row r="3663" spans="3:84">
      <c r="C3663" s="2"/>
      <c r="AD3663" s="502"/>
      <c r="AE3663" s="911"/>
      <c r="AF3663" s="502"/>
      <c r="AH3663" s="898"/>
      <c r="AI3663" s="502"/>
      <c r="AJ3663" s="502"/>
      <c r="AL3663" s="434"/>
      <c r="AM3663" s="436"/>
      <c r="AN3663" s="434"/>
      <c r="AO3663" s="434"/>
      <c r="AP3663" s="556"/>
      <c r="AQ3663" s="556"/>
      <c r="AR3663" s="556"/>
      <c r="CF3663" s="2"/>
    </row>
    <row r="3664" spans="3:84">
      <c r="C3664" s="2"/>
      <c r="AD3664" s="502"/>
      <c r="AE3664" s="911"/>
      <c r="AF3664" s="502"/>
      <c r="AH3664" s="898"/>
      <c r="AI3664" s="502"/>
      <c r="AJ3664" s="502"/>
      <c r="AL3664" s="434"/>
      <c r="AM3664" s="436"/>
      <c r="AN3664" s="434"/>
      <c r="AO3664" s="434"/>
      <c r="AP3664" s="556"/>
      <c r="AQ3664" s="556"/>
      <c r="AR3664" s="556"/>
      <c r="CF3664" s="2"/>
    </row>
    <row r="3665" spans="3:84">
      <c r="C3665" s="2"/>
      <c r="AD3665" s="502"/>
      <c r="AE3665" s="911"/>
      <c r="AF3665" s="502"/>
      <c r="AH3665" s="898"/>
      <c r="AI3665" s="502"/>
      <c r="AJ3665" s="502"/>
      <c r="AL3665" s="434"/>
      <c r="AM3665" s="436"/>
      <c r="AN3665" s="434"/>
      <c r="AO3665" s="434"/>
      <c r="AP3665" s="556"/>
      <c r="AQ3665" s="556"/>
      <c r="AR3665" s="556"/>
      <c r="CF3665" s="2"/>
    </row>
    <row r="3666" spans="3:84">
      <c r="C3666" s="2"/>
      <c r="AD3666" s="502"/>
      <c r="AE3666" s="911"/>
      <c r="AF3666" s="502"/>
      <c r="AH3666" s="898"/>
      <c r="AI3666" s="502"/>
      <c r="AJ3666" s="502"/>
      <c r="AL3666" s="434"/>
      <c r="AM3666" s="436"/>
      <c r="AN3666" s="434"/>
      <c r="AO3666" s="434"/>
      <c r="AP3666" s="556"/>
      <c r="AQ3666" s="556"/>
      <c r="AR3666" s="556"/>
      <c r="CF3666" s="2"/>
    </row>
    <row r="3667" spans="3:84">
      <c r="C3667" s="2"/>
      <c r="AD3667" s="502"/>
      <c r="AE3667" s="911"/>
      <c r="AF3667" s="502"/>
      <c r="AH3667" s="898"/>
      <c r="AI3667" s="502"/>
      <c r="AJ3667" s="502"/>
      <c r="AL3667" s="434"/>
      <c r="AM3667" s="436"/>
      <c r="AN3667" s="434"/>
      <c r="AO3667" s="434"/>
      <c r="AP3667" s="556"/>
      <c r="AQ3667" s="556"/>
      <c r="AR3667" s="556"/>
      <c r="CF3667" s="2"/>
    </row>
    <row r="3668" spans="3:84">
      <c r="C3668" s="2"/>
      <c r="AD3668" s="502"/>
      <c r="AE3668" s="911"/>
      <c r="AF3668" s="502"/>
      <c r="AH3668" s="898"/>
      <c r="AI3668" s="502"/>
      <c r="AJ3668" s="502"/>
      <c r="AL3668" s="434"/>
      <c r="AM3668" s="436"/>
      <c r="AN3668" s="434"/>
      <c r="AO3668" s="434"/>
      <c r="AP3668" s="556"/>
      <c r="AQ3668" s="556"/>
      <c r="AR3668" s="556"/>
      <c r="CF3668" s="2"/>
    </row>
    <row r="3669" spans="3:84">
      <c r="C3669" s="2"/>
      <c r="AD3669" s="502"/>
      <c r="AE3669" s="911"/>
      <c r="AF3669" s="502"/>
      <c r="AH3669" s="898"/>
      <c r="AI3669" s="502"/>
      <c r="AJ3669" s="502"/>
      <c r="AL3669" s="434"/>
      <c r="AM3669" s="436"/>
      <c r="AN3669" s="434"/>
      <c r="AO3669" s="434"/>
      <c r="AP3669" s="556"/>
      <c r="AQ3669" s="556"/>
      <c r="AR3669" s="556"/>
      <c r="CF3669" s="2"/>
    </row>
    <row r="3670" spans="3:84">
      <c r="C3670" s="2"/>
      <c r="AD3670" s="502"/>
      <c r="AE3670" s="911"/>
      <c r="AF3670" s="502"/>
      <c r="AH3670" s="898"/>
      <c r="AI3670" s="502"/>
      <c r="AJ3670" s="502"/>
      <c r="AL3670" s="434"/>
      <c r="AM3670" s="436"/>
      <c r="AN3670" s="434"/>
      <c r="AO3670" s="434"/>
      <c r="AP3670" s="556"/>
      <c r="AQ3670" s="556"/>
      <c r="AR3670" s="556"/>
      <c r="CF3670" s="2"/>
    </row>
    <row r="3671" spans="3:84">
      <c r="C3671" s="2"/>
      <c r="AD3671" s="502"/>
      <c r="AE3671" s="911"/>
      <c r="AF3671" s="502"/>
      <c r="AH3671" s="898"/>
      <c r="AI3671" s="502"/>
      <c r="AJ3671" s="502"/>
      <c r="AL3671" s="434"/>
      <c r="AM3671" s="436"/>
      <c r="AN3671" s="434"/>
      <c r="AO3671" s="434"/>
      <c r="AP3671" s="556"/>
      <c r="AQ3671" s="556"/>
      <c r="AR3671" s="556"/>
      <c r="CF3671" s="2"/>
    </row>
    <row r="3672" spans="3:84">
      <c r="C3672" s="2"/>
      <c r="AD3672" s="502"/>
      <c r="AE3672" s="911"/>
      <c r="AF3672" s="502"/>
      <c r="AH3672" s="898"/>
      <c r="AI3672" s="502"/>
      <c r="AJ3672" s="502"/>
      <c r="AL3672" s="434"/>
      <c r="AM3672" s="436"/>
      <c r="AN3672" s="434"/>
      <c r="AO3672" s="434"/>
      <c r="AP3672" s="556"/>
      <c r="AQ3672" s="556"/>
      <c r="AR3672" s="556"/>
      <c r="CF3672" s="2"/>
    </row>
    <row r="3673" spans="3:84">
      <c r="C3673" s="2"/>
      <c r="AD3673" s="502"/>
      <c r="AE3673" s="911"/>
      <c r="AF3673" s="502"/>
      <c r="AH3673" s="898"/>
      <c r="AI3673" s="502"/>
      <c r="AJ3673" s="502"/>
      <c r="AL3673" s="434"/>
      <c r="AM3673" s="436"/>
      <c r="AN3673" s="434"/>
      <c r="AO3673" s="434"/>
      <c r="AP3673" s="556"/>
      <c r="AQ3673" s="556"/>
      <c r="AR3673" s="556"/>
      <c r="CF3673" s="2"/>
    </row>
    <row r="3674" spans="3:84">
      <c r="C3674" s="2"/>
      <c r="AD3674" s="502"/>
      <c r="AE3674" s="911"/>
      <c r="AF3674" s="502"/>
      <c r="AH3674" s="898"/>
      <c r="AI3674" s="502"/>
      <c r="AJ3674" s="502"/>
      <c r="AL3674" s="434"/>
      <c r="AM3674" s="436"/>
      <c r="AN3674" s="434"/>
      <c r="AO3674" s="434"/>
      <c r="AP3674" s="556"/>
      <c r="AQ3674" s="556"/>
      <c r="AR3674" s="556"/>
      <c r="CF3674" s="2"/>
    </row>
    <row r="3675" spans="3:84">
      <c r="C3675" s="2"/>
      <c r="AD3675" s="502"/>
      <c r="AE3675" s="911"/>
      <c r="AF3675" s="502"/>
      <c r="AH3675" s="898"/>
      <c r="AI3675" s="502"/>
      <c r="AJ3675" s="502"/>
      <c r="AL3675" s="434"/>
      <c r="AM3675" s="436"/>
      <c r="AN3675" s="434"/>
      <c r="AO3675" s="434"/>
      <c r="AP3675" s="556"/>
      <c r="AQ3675" s="556"/>
      <c r="AR3675" s="556"/>
      <c r="CF3675" s="2"/>
    </row>
    <row r="3676" spans="3:84">
      <c r="C3676" s="2"/>
      <c r="AD3676" s="502"/>
      <c r="AE3676" s="911"/>
      <c r="AF3676" s="502"/>
      <c r="AH3676" s="898"/>
      <c r="AI3676" s="502"/>
      <c r="AJ3676" s="502"/>
      <c r="AL3676" s="434"/>
      <c r="AM3676" s="436"/>
      <c r="AN3676" s="434"/>
      <c r="AO3676" s="434"/>
      <c r="AP3676" s="556"/>
      <c r="AQ3676" s="556"/>
      <c r="AR3676" s="556"/>
      <c r="CF3676" s="2"/>
    </row>
    <row r="3677" spans="3:84">
      <c r="C3677" s="2"/>
      <c r="AD3677" s="502"/>
      <c r="AE3677" s="911"/>
      <c r="AF3677" s="502"/>
      <c r="AH3677" s="898"/>
      <c r="AI3677" s="502"/>
      <c r="AJ3677" s="502"/>
      <c r="AL3677" s="434"/>
      <c r="AM3677" s="436"/>
      <c r="AN3677" s="434"/>
      <c r="AO3677" s="434"/>
      <c r="AP3677" s="556"/>
      <c r="AQ3677" s="556"/>
      <c r="AR3677" s="556"/>
      <c r="CF3677" s="2"/>
    </row>
    <row r="3678" spans="3:84">
      <c r="C3678" s="2"/>
      <c r="AD3678" s="502"/>
      <c r="AE3678" s="911"/>
      <c r="AF3678" s="502"/>
      <c r="AH3678" s="898"/>
      <c r="AI3678" s="502"/>
      <c r="AJ3678" s="502"/>
      <c r="AL3678" s="434"/>
      <c r="AM3678" s="436"/>
      <c r="AN3678" s="434"/>
      <c r="AO3678" s="434"/>
      <c r="AP3678" s="556"/>
      <c r="AQ3678" s="556"/>
      <c r="AR3678" s="556"/>
      <c r="CF3678" s="2"/>
    </row>
    <row r="3679" spans="3:84">
      <c r="C3679" s="2"/>
      <c r="AD3679" s="502"/>
      <c r="AE3679" s="911"/>
      <c r="AF3679" s="502"/>
      <c r="AH3679" s="898"/>
      <c r="AI3679" s="502"/>
      <c r="AJ3679" s="502"/>
      <c r="AL3679" s="434"/>
      <c r="AM3679" s="436"/>
      <c r="AN3679" s="434"/>
      <c r="AO3679" s="434"/>
      <c r="AP3679" s="556"/>
      <c r="AQ3679" s="556"/>
      <c r="AR3679" s="556"/>
      <c r="CF3679" s="2"/>
    </row>
    <row r="3680" spans="3:84">
      <c r="C3680" s="2"/>
      <c r="AD3680" s="502"/>
      <c r="AE3680" s="911"/>
      <c r="AF3680" s="502"/>
      <c r="AH3680" s="898"/>
      <c r="AI3680" s="502"/>
      <c r="AJ3680" s="502"/>
      <c r="AL3680" s="434"/>
      <c r="AM3680" s="436"/>
      <c r="AN3680" s="434"/>
      <c r="AO3680" s="434"/>
      <c r="AP3680" s="556"/>
      <c r="AQ3680" s="556"/>
      <c r="AR3680" s="556"/>
      <c r="CF3680" s="2"/>
    </row>
    <row r="3681" spans="3:84">
      <c r="C3681" s="2"/>
      <c r="AD3681" s="502"/>
      <c r="AE3681" s="911"/>
      <c r="AF3681" s="502"/>
      <c r="AH3681" s="898"/>
      <c r="AI3681" s="502"/>
      <c r="AJ3681" s="502"/>
      <c r="AL3681" s="434"/>
      <c r="AM3681" s="436"/>
      <c r="AN3681" s="434"/>
      <c r="AO3681" s="434"/>
      <c r="AP3681" s="556"/>
      <c r="AQ3681" s="556"/>
      <c r="AR3681" s="556"/>
      <c r="CF3681" s="2"/>
    </row>
    <row r="3682" spans="3:84">
      <c r="C3682" s="2"/>
      <c r="AD3682" s="502"/>
      <c r="AE3682" s="911"/>
      <c r="AF3682" s="502"/>
      <c r="AH3682" s="898"/>
      <c r="AI3682" s="502"/>
      <c r="AJ3682" s="502"/>
      <c r="AL3682" s="434"/>
      <c r="AM3682" s="436"/>
      <c r="AN3682" s="434"/>
      <c r="AO3682" s="434"/>
      <c r="AP3682" s="556"/>
      <c r="AQ3682" s="556"/>
      <c r="AR3682" s="556"/>
      <c r="CF3682" s="2"/>
    </row>
    <row r="3683" spans="3:84">
      <c r="C3683" s="2"/>
      <c r="AD3683" s="502"/>
      <c r="AE3683" s="911"/>
      <c r="AF3683" s="502"/>
      <c r="AH3683" s="898"/>
      <c r="AI3683" s="502"/>
      <c r="AJ3683" s="502"/>
      <c r="AL3683" s="434"/>
      <c r="AM3683" s="436"/>
      <c r="AN3683" s="434"/>
      <c r="AO3683" s="434"/>
      <c r="AP3683" s="556"/>
      <c r="AQ3683" s="556"/>
      <c r="AR3683" s="556"/>
      <c r="CF3683" s="2"/>
    </row>
    <row r="3684" spans="3:84">
      <c r="C3684" s="2"/>
      <c r="AD3684" s="502"/>
      <c r="AE3684" s="911"/>
      <c r="AF3684" s="502"/>
      <c r="AH3684" s="898"/>
      <c r="AI3684" s="502"/>
      <c r="AJ3684" s="502"/>
      <c r="AL3684" s="434"/>
      <c r="AM3684" s="436"/>
      <c r="AN3684" s="434"/>
      <c r="AO3684" s="434"/>
      <c r="AP3684" s="556"/>
      <c r="AQ3684" s="556"/>
      <c r="AR3684" s="556"/>
      <c r="CF3684" s="2"/>
    </row>
    <row r="3685" spans="3:84">
      <c r="C3685" s="2"/>
      <c r="AD3685" s="502"/>
      <c r="AE3685" s="911"/>
      <c r="AF3685" s="502"/>
      <c r="AH3685" s="898"/>
      <c r="AI3685" s="502"/>
      <c r="AJ3685" s="502"/>
      <c r="AL3685" s="434"/>
      <c r="AM3685" s="436"/>
      <c r="AN3685" s="434"/>
      <c r="AO3685" s="434"/>
      <c r="AP3685" s="556"/>
      <c r="AQ3685" s="556"/>
      <c r="AR3685" s="556"/>
      <c r="CF3685" s="2"/>
    </row>
    <row r="3686" spans="3:84">
      <c r="C3686" s="2"/>
      <c r="AD3686" s="502"/>
      <c r="AE3686" s="911"/>
      <c r="AF3686" s="502"/>
      <c r="AH3686" s="898"/>
      <c r="AI3686" s="502"/>
      <c r="AJ3686" s="502"/>
      <c r="AL3686" s="434"/>
      <c r="AM3686" s="436"/>
      <c r="AN3686" s="434"/>
      <c r="AO3686" s="434"/>
      <c r="AP3686" s="556"/>
      <c r="AQ3686" s="556"/>
      <c r="AR3686" s="556"/>
      <c r="CF3686" s="2"/>
    </row>
    <row r="3687" spans="3:84">
      <c r="C3687" s="2"/>
      <c r="AD3687" s="502"/>
      <c r="AE3687" s="911"/>
      <c r="AF3687" s="502"/>
      <c r="AH3687" s="898"/>
      <c r="AI3687" s="502"/>
      <c r="AJ3687" s="502"/>
      <c r="AL3687" s="434"/>
      <c r="AM3687" s="436"/>
      <c r="AN3687" s="434"/>
      <c r="AO3687" s="434"/>
      <c r="AP3687" s="556"/>
      <c r="AQ3687" s="556"/>
      <c r="AR3687" s="556"/>
      <c r="CF3687" s="2"/>
    </row>
    <row r="3688" spans="3:84">
      <c r="C3688" s="2"/>
      <c r="AD3688" s="502"/>
      <c r="AE3688" s="911"/>
      <c r="AF3688" s="502"/>
      <c r="AH3688" s="898"/>
      <c r="AI3688" s="502"/>
      <c r="AJ3688" s="502"/>
      <c r="AL3688" s="434"/>
      <c r="AM3688" s="436"/>
      <c r="AN3688" s="434"/>
      <c r="AO3688" s="434"/>
      <c r="AP3688" s="556"/>
      <c r="AQ3688" s="556"/>
      <c r="AR3688" s="556"/>
      <c r="CF3688" s="2"/>
    </row>
    <row r="3689" spans="3:84">
      <c r="C3689" s="2"/>
      <c r="AD3689" s="502"/>
      <c r="AE3689" s="911"/>
      <c r="AF3689" s="502"/>
      <c r="AH3689" s="898"/>
      <c r="AI3689" s="502"/>
      <c r="AJ3689" s="502"/>
      <c r="AL3689" s="434"/>
      <c r="AM3689" s="436"/>
      <c r="AN3689" s="434"/>
      <c r="AO3689" s="434"/>
      <c r="AP3689" s="556"/>
      <c r="AQ3689" s="556"/>
      <c r="AR3689" s="556"/>
      <c r="CF3689" s="2"/>
    </row>
    <row r="3690" spans="3:84">
      <c r="C3690" s="2"/>
      <c r="AD3690" s="502"/>
      <c r="AE3690" s="911"/>
      <c r="AF3690" s="502"/>
      <c r="AH3690" s="898"/>
      <c r="AI3690" s="502"/>
      <c r="AJ3690" s="502"/>
      <c r="AL3690" s="434"/>
      <c r="AM3690" s="436"/>
      <c r="AN3690" s="434"/>
      <c r="AO3690" s="434"/>
      <c r="AP3690" s="556"/>
      <c r="AQ3690" s="556"/>
      <c r="AR3690" s="556"/>
      <c r="CF3690" s="2"/>
    </row>
    <row r="3691" spans="3:84">
      <c r="C3691" s="2"/>
      <c r="AD3691" s="502"/>
      <c r="AE3691" s="911"/>
      <c r="AF3691" s="502"/>
      <c r="AH3691" s="898"/>
      <c r="AI3691" s="502"/>
      <c r="AJ3691" s="502"/>
      <c r="AL3691" s="434"/>
      <c r="AM3691" s="436"/>
      <c r="AN3691" s="434"/>
      <c r="AO3691" s="434"/>
      <c r="AP3691" s="556"/>
      <c r="AQ3691" s="556"/>
      <c r="AR3691" s="556"/>
      <c r="CF3691" s="2"/>
    </row>
    <row r="3692" spans="3:84">
      <c r="C3692" s="2"/>
      <c r="AD3692" s="502"/>
      <c r="AE3692" s="911"/>
      <c r="AF3692" s="502"/>
      <c r="AH3692" s="898"/>
      <c r="AI3692" s="502"/>
      <c r="AJ3692" s="502"/>
      <c r="AL3692" s="434"/>
      <c r="AM3692" s="436"/>
      <c r="AN3692" s="434"/>
      <c r="AO3692" s="434"/>
      <c r="AP3692" s="556"/>
      <c r="AQ3692" s="556"/>
      <c r="AR3692" s="556"/>
      <c r="CF3692" s="2"/>
    </row>
    <row r="3693" spans="3:84">
      <c r="C3693" s="2"/>
      <c r="AD3693" s="502"/>
      <c r="AE3693" s="911"/>
      <c r="AF3693" s="502"/>
      <c r="AH3693" s="898"/>
      <c r="AI3693" s="502"/>
      <c r="AJ3693" s="502"/>
      <c r="AL3693" s="434"/>
      <c r="AM3693" s="436"/>
      <c r="AN3693" s="434"/>
      <c r="AO3693" s="434"/>
      <c r="AP3693" s="556"/>
      <c r="AQ3693" s="556"/>
      <c r="AR3693" s="556"/>
      <c r="CF3693" s="2"/>
    </row>
    <row r="3694" spans="3:84">
      <c r="C3694" s="2"/>
      <c r="AD3694" s="502"/>
      <c r="AE3694" s="911"/>
      <c r="AF3694" s="502"/>
      <c r="AH3694" s="898"/>
      <c r="AI3694" s="502"/>
      <c r="AJ3694" s="502"/>
      <c r="AL3694" s="434"/>
      <c r="AM3694" s="436"/>
      <c r="AN3694" s="434"/>
      <c r="AO3694" s="434"/>
      <c r="AP3694" s="556"/>
      <c r="AQ3694" s="556"/>
      <c r="AR3694" s="556"/>
      <c r="CF3694" s="2"/>
    </row>
    <row r="3695" spans="3:84">
      <c r="C3695" s="2"/>
      <c r="AD3695" s="502"/>
      <c r="AE3695" s="911"/>
      <c r="AF3695" s="502"/>
      <c r="AH3695" s="898"/>
      <c r="AI3695" s="502"/>
      <c r="AJ3695" s="502"/>
      <c r="AL3695" s="434"/>
      <c r="AM3695" s="436"/>
      <c r="AN3695" s="434"/>
      <c r="AO3695" s="434"/>
      <c r="AP3695" s="556"/>
      <c r="AQ3695" s="556"/>
      <c r="AR3695" s="556"/>
      <c r="CF3695" s="2"/>
    </row>
    <row r="3696" spans="3:84">
      <c r="C3696" s="2"/>
      <c r="AD3696" s="502"/>
      <c r="AE3696" s="911"/>
      <c r="AF3696" s="502"/>
      <c r="AH3696" s="898"/>
      <c r="AI3696" s="502"/>
      <c r="AJ3696" s="502"/>
      <c r="AL3696" s="434"/>
      <c r="AM3696" s="436"/>
      <c r="AN3696" s="434"/>
      <c r="AO3696" s="434"/>
      <c r="AP3696" s="556"/>
      <c r="AQ3696" s="556"/>
      <c r="AR3696" s="556"/>
      <c r="CF3696" s="2"/>
    </row>
    <row r="3697" spans="3:84">
      <c r="C3697" s="2"/>
      <c r="AD3697" s="502"/>
      <c r="AE3697" s="911"/>
      <c r="AF3697" s="502"/>
      <c r="AH3697" s="898"/>
      <c r="AI3697" s="502"/>
      <c r="AJ3697" s="502"/>
      <c r="AL3697" s="434"/>
      <c r="AM3697" s="436"/>
      <c r="AN3697" s="434"/>
      <c r="AO3697" s="434"/>
      <c r="AP3697" s="556"/>
      <c r="AQ3697" s="556"/>
      <c r="AR3697" s="556"/>
      <c r="CF3697" s="2"/>
    </row>
    <row r="3698" spans="3:84">
      <c r="C3698" s="2"/>
      <c r="AD3698" s="502"/>
      <c r="AE3698" s="911"/>
      <c r="AF3698" s="502"/>
      <c r="AH3698" s="898"/>
      <c r="AI3698" s="502"/>
      <c r="AJ3698" s="502"/>
      <c r="AL3698" s="434"/>
      <c r="AM3698" s="436"/>
      <c r="AN3698" s="434"/>
      <c r="AO3698" s="434"/>
      <c r="AP3698" s="556"/>
      <c r="AQ3698" s="556"/>
      <c r="AR3698" s="556"/>
      <c r="CF3698" s="2"/>
    </row>
    <row r="3699" spans="3:84">
      <c r="C3699" s="2"/>
      <c r="AD3699" s="502"/>
      <c r="AE3699" s="911"/>
      <c r="AF3699" s="502"/>
      <c r="AH3699" s="898"/>
      <c r="AI3699" s="502"/>
      <c r="AJ3699" s="502"/>
      <c r="AL3699" s="434"/>
      <c r="AM3699" s="436"/>
      <c r="AN3699" s="434"/>
      <c r="AO3699" s="434"/>
      <c r="AP3699" s="556"/>
      <c r="AQ3699" s="556"/>
      <c r="AR3699" s="556"/>
      <c r="CF3699" s="2"/>
    </row>
    <row r="3700" spans="3:84">
      <c r="C3700" s="2"/>
      <c r="AD3700" s="502"/>
      <c r="AE3700" s="911"/>
      <c r="AF3700" s="502"/>
      <c r="AH3700" s="898"/>
      <c r="AI3700" s="502"/>
      <c r="AJ3700" s="502"/>
      <c r="AL3700" s="434"/>
      <c r="AM3700" s="436"/>
      <c r="AN3700" s="434"/>
      <c r="AO3700" s="434"/>
      <c r="AP3700" s="556"/>
      <c r="AQ3700" s="556"/>
      <c r="AR3700" s="556"/>
      <c r="CF3700" s="2"/>
    </row>
    <row r="3701" spans="3:84">
      <c r="C3701" s="2"/>
      <c r="AD3701" s="502"/>
      <c r="AE3701" s="911"/>
      <c r="AF3701" s="502"/>
      <c r="AH3701" s="898"/>
      <c r="AI3701" s="502"/>
      <c r="AJ3701" s="502"/>
      <c r="AL3701" s="434"/>
      <c r="AM3701" s="436"/>
      <c r="AN3701" s="434"/>
      <c r="AO3701" s="434"/>
      <c r="AP3701" s="556"/>
      <c r="AQ3701" s="556"/>
      <c r="AR3701" s="556"/>
      <c r="CF3701" s="2"/>
    </row>
    <row r="3702" spans="3:84">
      <c r="C3702" s="2"/>
      <c r="AD3702" s="502"/>
      <c r="AE3702" s="911"/>
      <c r="AF3702" s="502"/>
      <c r="AH3702" s="898"/>
      <c r="AI3702" s="502"/>
      <c r="AJ3702" s="502"/>
      <c r="AL3702" s="434"/>
      <c r="AM3702" s="436"/>
      <c r="AN3702" s="434"/>
      <c r="AO3702" s="434"/>
      <c r="AP3702" s="556"/>
      <c r="AQ3702" s="556"/>
      <c r="AR3702" s="556"/>
      <c r="CF3702" s="2"/>
    </row>
    <row r="3703" spans="3:84">
      <c r="C3703" s="2"/>
      <c r="AD3703" s="502"/>
      <c r="AE3703" s="911"/>
      <c r="AF3703" s="502"/>
      <c r="AH3703" s="898"/>
      <c r="AI3703" s="502"/>
      <c r="AJ3703" s="502"/>
      <c r="AL3703" s="434"/>
      <c r="AM3703" s="436"/>
      <c r="AN3703" s="434"/>
      <c r="AO3703" s="434"/>
      <c r="AP3703" s="556"/>
      <c r="AQ3703" s="556"/>
      <c r="AR3703" s="556"/>
      <c r="CF3703" s="2"/>
    </row>
    <row r="3704" spans="3:84">
      <c r="C3704" s="2"/>
      <c r="AD3704" s="502"/>
      <c r="AE3704" s="911"/>
      <c r="AF3704" s="502"/>
      <c r="AH3704" s="898"/>
      <c r="AI3704" s="502"/>
      <c r="AJ3704" s="502"/>
      <c r="AL3704" s="434"/>
      <c r="AM3704" s="436"/>
      <c r="AN3704" s="434"/>
      <c r="AO3704" s="434"/>
      <c r="AP3704" s="556"/>
      <c r="AQ3704" s="556"/>
      <c r="AR3704" s="556"/>
      <c r="CF3704" s="2"/>
    </row>
    <row r="3705" spans="3:84">
      <c r="C3705" s="2"/>
      <c r="AD3705" s="502"/>
      <c r="AE3705" s="911"/>
      <c r="AF3705" s="502"/>
      <c r="AH3705" s="898"/>
      <c r="AI3705" s="502"/>
      <c r="AJ3705" s="502"/>
      <c r="AL3705" s="434"/>
      <c r="AM3705" s="436"/>
      <c r="AN3705" s="434"/>
      <c r="AO3705" s="434"/>
      <c r="AP3705" s="556"/>
      <c r="AQ3705" s="556"/>
      <c r="AR3705" s="556"/>
      <c r="CF3705" s="2"/>
    </row>
    <row r="3706" spans="3:84">
      <c r="C3706" s="2"/>
      <c r="AD3706" s="502"/>
      <c r="AE3706" s="911"/>
      <c r="AF3706" s="502"/>
      <c r="AH3706" s="898"/>
      <c r="AI3706" s="502"/>
      <c r="AJ3706" s="502"/>
      <c r="AL3706" s="434"/>
      <c r="AM3706" s="436"/>
      <c r="AN3706" s="434"/>
      <c r="AO3706" s="434"/>
      <c r="AP3706" s="556"/>
      <c r="AQ3706" s="556"/>
      <c r="AR3706" s="556"/>
      <c r="CF3706" s="2"/>
    </row>
    <row r="3707" spans="3:84">
      <c r="C3707" s="2"/>
      <c r="AD3707" s="502"/>
      <c r="AE3707" s="911"/>
      <c r="AF3707" s="502"/>
      <c r="AH3707" s="898"/>
      <c r="AI3707" s="502"/>
      <c r="AJ3707" s="502"/>
      <c r="AL3707" s="434"/>
      <c r="AM3707" s="436"/>
      <c r="AN3707" s="434"/>
      <c r="AO3707" s="434"/>
      <c r="AP3707" s="556"/>
      <c r="AQ3707" s="556"/>
      <c r="AR3707" s="556"/>
      <c r="CF3707" s="2"/>
    </row>
    <row r="3708" spans="3:84">
      <c r="C3708" s="2"/>
      <c r="AD3708" s="502"/>
      <c r="AE3708" s="911"/>
      <c r="AF3708" s="502"/>
      <c r="AH3708" s="898"/>
      <c r="AI3708" s="502"/>
      <c r="AJ3708" s="502"/>
      <c r="AL3708" s="434"/>
      <c r="AM3708" s="436"/>
      <c r="AN3708" s="434"/>
      <c r="AO3708" s="434"/>
      <c r="AP3708" s="556"/>
      <c r="AQ3708" s="556"/>
      <c r="AR3708" s="556"/>
      <c r="CF3708" s="2"/>
    </row>
    <row r="3709" spans="3:84">
      <c r="C3709" s="2"/>
      <c r="AD3709" s="502"/>
      <c r="AE3709" s="911"/>
      <c r="AF3709" s="502"/>
      <c r="AH3709" s="898"/>
      <c r="AI3709" s="502"/>
      <c r="AJ3709" s="502"/>
      <c r="AL3709" s="434"/>
      <c r="AM3709" s="436"/>
      <c r="AN3709" s="434"/>
      <c r="AO3709" s="434"/>
      <c r="AP3709" s="556"/>
      <c r="AQ3709" s="556"/>
      <c r="AR3709" s="556"/>
      <c r="CF3709" s="2"/>
    </row>
    <row r="3710" spans="3:84">
      <c r="C3710" s="2"/>
      <c r="AD3710" s="502"/>
      <c r="AE3710" s="911"/>
      <c r="AF3710" s="502"/>
      <c r="AH3710" s="898"/>
      <c r="AI3710" s="502"/>
      <c r="AJ3710" s="502"/>
      <c r="AL3710" s="434"/>
      <c r="AM3710" s="436"/>
      <c r="AN3710" s="434"/>
      <c r="AO3710" s="434"/>
      <c r="AP3710" s="556"/>
      <c r="AQ3710" s="556"/>
      <c r="AR3710" s="556"/>
      <c r="CF3710" s="2"/>
    </row>
    <row r="3711" spans="3:84">
      <c r="C3711" s="2"/>
      <c r="AD3711" s="502"/>
      <c r="AE3711" s="911"/>
      <c r="AF3711" s="502"/>
      <c r="AH3711" s="898"/>
      <c r="AI3711" s="502"/>
      <c r="AJ3711" s="502"/>
      <c r="AL3711" s="434"/>
      <c r="AM3711" s="436"/>
      <c r="AN3711" s="434"/>
      <c r="AO3711" s="434"/>
      <c r="AP3711" s="556"/>
      <c r="AQ3711" s="556"/>
      <c r="AR3711" s="556"/>
      <c r="CF3711" s="2"/>
    </row>
    <row r="3712" spans="3:84">
      <c r="C3712" s="2"/>
      <c r="AD3712" s="502"/>
      <c r="AE3712" s="911"/>
      <c r="AF3712" s="502"/>
      <c r="AH3712" s="898"/>
      <c r="AI3712" s="502"/>
      <c r="AJ3712" s="502"/>
      <c r="AL3712" s="434"/>
      <c r="AM3712" s="436"/>
      <c r="AN3712" s="434"/>
      <c r="AO3712" s="434"/>
      <c r="AP3712" s="556"/>
      <c r="AQ3712" s="556"/>
      <c r="AR3712" s="556"/>
      <c r="CF3712" s="2"/>
    </row>
    <row r="3713" spans="3:84">
      <c r="C3713" s="2"/>
      <c r="AD3713" s="502"/>
      <c r="AE3713" s="911"/>
      <c r="AF3713" s="502"/>
      <c r="AH3713" s="898"/>
      <c r="AI3713" s="502"/>
      <c r="AJ3713" s="502"/>
      <c r="AL3713" s="434"/>
      <c r="AM3713" s="436"/>
      <c r="AN3713" s="434"/>
      <c r="AO3713" s="434"/>
      <c r="AP3713" s="556"/>
      <c r="AQ3713" s="556"/>
      <c r="AR3713" s="556"/>
      <c r="CF3713" s="2"/>
    </row>
    <row r="3714" spans="3:84">
      <c r="C3714" s="2"/>
      <c r="AD3714" s="502"/>
      <c r="AE3714" s="911"/>
      <c r="AF3714" s="502"/>
      <c r="AH3714" s="898"/>
      <c r="AI3714" s="502"/>
      <c r="AJ3714" s="502"/>
      <c r="AL3714" s="434"/>
      <c r="AM3714" s="436"/>
      <c r="AN3714" s="434"/>
      <c r="AO3714" s="434"/>
      <c r="AP3714" s="556"/>
      <c r="AQ3714" s="556"/>
      <c r="AR3714" s="556"/>
      <c r="CF3714" s="2"/>
    </row>
    <row r="3715" spans="3:84">
      <c r="C3715" s="2"/>
      <c r="AD3715" s="502"/>
      <c r="AE3715" s="911"/>
      <c r="AF3715" s="502"/>
      <c r="AH3715" s="898"/>
      <c r="AI3715" s="502"/>
      <c r="AJ3715" s="502"/>
      <c r="AL3715" s="434"/>
      <c r="AM3715" s="436"/>
      <c r="AN3715" s="434"/>
      <c r="AO3715" s="434"/>
      <c r="AP3715" s="556"/>
      <c r="AQ3715" s="556"/>
      <c r="AR3715" s="556"/>
      <c r="CF3715" s="2"/>
    </row>
    <row r="3716" spans="3:84">
      <c r="C3716" s="2"/>
      <c r="AD3716" s="502"/>
      <c r="AE3716" s="911"/>
      <c r="AF3716" s="502"/>
      <c r="AH3716" s="898"/>
      <c r="AI3716" s="502"/>
      <c r="AJ3716" s="502"/>
      <c r="AL3716" s="434"/>
      <c r="AM3716" s="436"/>
      <c r="AN3716" s="434"/>
      <c r="AO3716" s="434"/>
      <c r="AP3716" s="556"/>
      <c r="AQ3716" s="556"/>
      <c r="AR3716" s="556"/>
      <c r="CF3716" s="2"/>
    </row>
    <row r="3717" spans="3:84">
      <c r="C3717" s="2"/>
      <c r="AD3717" s="502"/>
      <c r="AE3717" s="911"/>
      <c r="AF3717" s="502"/>
      <c r="AH3717" s="898"/>
      <c r="AI3717" s="502"/>
      <c r="AJ3717" s="502"/>
      <c r="AL3717" s="434"/>
      <c r="AM3717" s="436"/>
      <c r="AN3717" s="434"/>
      <c r="AO3717" s="434"/>
      <c r="AP3717" s="556"/>
      <c r="AQ3717" s="556"/>
      <c r="AR3717" s="556"/>
      <c r="CF3717" s="2"/>
    </row>
    <row r="3718" spans="3:84">
      <c r="C3718" s="2"/>
      <c r="AD3718" s="502"/>
      <c r="AE3718" s="911"/>
      <c r="AF3718" s="502"/>
      <c r="AH3718" s="898"/>
      <c r="AI3718" s="502"/>
      <c r="AJ3718" s="502"/>
      <c r="AL3718" s="434"/>
      <c r="AM3718" s="436"/>
      <c r="AN3718" s="434"/>
      <c r="AO3718" s="434"/>
      <c r="AP3718" s="556"/>
      <c r="AQ3718" s="556"/>
      <c r="AR3718" s="556"/>
      <c r="CF3718" s="2"/>
    </row>
    <row r="3719" spans="3:84">
      <c r="C3719" s="2"/>
      <c r="AD3719" s="502"/>
      <c r="AE3719" s="911"/>
      <c r="AF3719" s="502"/>
      <c r="AH3719" s="898"/>
      <c r="AI3719" s="502"/>
      <c r="AJ3719" s="502"/>
      <c r="AL3719" s="434"/>
      <c r="AM3719" s="436"/>
      <c r="AN3719" s="434"/>
      <c r="AO3719" s="434"/>
      <c r="AP3719" s="556"/>
      <c r="AQ3719" s="556"/>
      <c r="AR3719" s="556"/>
      <c r="CF3719" s="2"/>
    </row>
    <row r="3720" spans="3:84">
      <c r="C3720" s="2"/>
      <c r="AD3720" s="502"/>
      <c r="AE3720" s="911"/>
      <c r="AF3720" s="502"/>
      <c r="AH3720" s="898"/>
      <c r="AI3720" s="502"/>
      <c r="AJ3720" s="502"/>
      <c r="AL3720" s="434"/>
      <c r="AM3720" s="436"/>
      <c r="AN3720" s="434"/>
      <c r="AO3720" s="434"/>
      <c r="AP3720" s="556"/>
      <c r="AQ3720" s="556"/>
      <c r="AR3720" s="556"/>
      <c r="CF3720" s="2"/>
    </row>
    <row r="3721" spans="3:84">
      <c r="C3721" s="2"/>
      <c r="AD3721" s="502"/>
      <c r="AE3721" s="911"/>
      <c r="AF3721" s="502"/>
      <c r="AH3721" s="898"/>
      <c r="AI3721" s="502"/>
      <c r="AJ3721" s="502"/>
      <c r="AL3721" s="434"/>
      <c r="AM3721" s="436"/>
      <c r="AN3721" s="434"/>
      <c r="AO3721" s="434"/>
      <c r="AP3721" s="556"/>
      <c r="AQ3721" s="556"/>
      <c r="AR3721" s="556"/>
      <c r="CF3721" s="2"/>
    </row>
    <row r="3722" spans="3:84">
      <c r="C3722" s="2"/>
      <c r="AD3722" s="502"/>
      <c r="AE3722" s="911"/>
      <c r="AF3722" s="502"/>
      <c r="AH3722" s="898"/>
      <c r="AI3722" s="502"/>
      <c r="AJ3722" s="502"/>
      <c r="AL3722" s="434"/>
      <c r="AM3722" s="436"/>
      <c r="AN3722" s="434"/>
      <c r="AO3722" s="434"/>
      <c r="AP3722" s="556"/>
      <c r="AQ3722" s="556"/>
      <c r="AR3722" s="556"/>
      <c r="CF3722" s="2"/>
    </row>
    <row r="3723" spans="3:84">
      <c r="C3723" s="2"/>
      <c r="AD3723" s="502"/>
      <c r="AE3723" s="911"/>
      <c r="AF3723" s="502"/>
      <c r="AH3723" s="898"/>
      <c r="AI3723" s="502"/>
      <c r="AJ3723" s="502"/>
      <c r="AL3723" s="434"/>
      <c r="AM3723" s="436"/>
      <c r="AN3723" s="434"/>
      <c r="AO3723" s="434"/>
      <c r="AP3723" s="556"/>
      <c r="AQ3723" s="556"/>
      <c r="AR3723" s="556"/>
      <c r="CF3723" s="2"/>
    </row>
    <row r="3724" spans="3:84">
      <c r="C3724" s="2"/>
      <c r="AD3724" s="502"/>
      <c r="AE3724" s="911"/>
      <c r="AF3724" s="502"/>
      <c r="AH3724" s="898"/>
      <c r="AI3724" s="502"/>
      <c r="AJ3724" s="502"/>
      <c r="AL3724" s="434"/>
      <c r="AM3724" s="436"/>
      <c r="AN3724" s="434"/>
      <c r="AO3724" s="434"/>
      <c r="AP3724" s="556"/>
      <c r="AQ3724" s="556"/>
      <c r="AR3724" s="556"/>
      <c r="CF3724" s="2"/>
    </row>
    <row r="3725" spans="3:84">
      <c r="C3725" s="2"/>
      <c r="AD3725" s="502"/>
      <c r="AE3725" s="911"/>
      <c r="AF3725" s="502"/>
      <c r="AH3725" s="898"/>
      <c r="AI3725" s="502"/>
      <c r="AJ3725" s="502"/>
      <c r="AL3725" s="434"/>
      <c r="AM3725" s="436"/>
      <c r="AN3725" s="434"/>
      <c r="AO3725" s="434"/>
      <c r="AP3725" s="556"/>
      <c r="AQ3725" s="556"/>
      <c r="AR3725" s="556"/>
      <c r="CF3725" s="2"/>
    </row>
    <row r="3726" spans="3:84">
      <c r="C3726" s="2"/>
      <c r="AD3726" s="502"/>
      <c r="AE3726" s="911"/>
      <c r="AF3726" s="502"/>
      <c r="AH3726" s="898"/>
      <c r="AI3726" s="502"/>
      <c r="AJ3726" s="502"/>
      <c r="AL3726" s="434"/>
      <c r="AM3726" s="436"/>
      <c r="AN3726" s="434"/>
      <c r="AO3726" s="434"/>
      <c r="AP3726" s="556"/>
      <c r="AQ3726" s="556"/>
      <c r="AR3726" s="556"/>
      <c r="CF3726" s="2"/>
    </row>
    <row r="3727" spans="3:84">
      <c r="C3727" s="2"/>
      <c r="AD3727" s="502"/>
      <c r="AE3727" s="911"/>
      <c r="AF3727" s="502"/>
      <c r="AH3727" s="898"/>
      <c r="AI3727" s="502"/>
      <c r="AJ3727" s="502"/>
      <c r="AL3727" s="434"/>
      <c r="AM3727" s="436"/>
      <c r="AN3727" s="434"/>
      <c r="AO3727" s="434"/>
      <c r="AP3727" s="556"/>
      <c r="AQ3727" s="556"/>
      <c r="AR3727" s="556"/>
      <c r="CF3727" s="2"/>
    </row>
    <row r="3728" spans="3:84">
      <c r="C3728" s="2"/>
      <c r="AD3728" s="502"/>
      <c r="AE3728" s="911"/>
      <c r="AF3728" s="502"/>
      <c r="AH3728" s="898"/>
      <c r="AI3728" s="502"/>
      <c r="AJ3728" s="502"/>
      <c r="AL3728" s="434"/>
      <c r="AM3728" s="436"/>
      <c r="AN3728" s="434"/>
      <c r="AO3728" s="434"/>
      <c r="AP3728" s="556"/>
      <c r="AQ3728" s="556"/>
      <c r="AR3728" s="556"/>
      <c r="CF3728" s="2"/>
    </row>
    <row r="3729" spans="3:84">
      <c r="C3729" s="2"/>
      <c r="AD3729" s="502"/>
      <c r="AE3729" s="911"/>
      <c r="AF3729" s="502"/>
      <c r="AH3729" s="898"/>
      <c r="AI3729" s="502"/>
      <c r="AJ3729" s="502"/>
      <c r="AL3729" s="434"/>
      <c r="AM3729" s="436"/>
      <c r="AN3729" s="434"/>
      <c r="AO3729" s="434"/>
      <c r="AP3729" s="556"/>
      <c r="AQ3729" s="556"/>
      <c r="AR3729" s="556"/>
      <c r="CF3729" s="2"/>
    </row>
    <row r="3730" spans="3:84">
      <c r="C3730" s="2"/>
      <c r="AD3730" s="502"/>
      <c r="AE3730" s="911"/>
      <c r="AF3730" s="502"/>
      <c r="AH3730" s="898"/>
      <c r="AI3730" s="502"/>
      <c r="AJ3730" s="502"/>
      <c r="AL3730" s="434"/>
      <c r="AM3730" s="436"/>
      <c r="AN3730" s="434"/>
      <c r="AO3730" s="434"/>
      <c r="AP3730" s="556"/>
      <c r="AQ3730" s="556"/>
      <c r="AR3730" s="556"/>
      <c r="CF3730" s="2"/>
    </row>
    <row r="3731" spans="3:84">
      <c r="C3731" s="2"/>
      <c r="AD3731" s="502"/>
      <c r="AE3731" s="911"/>
      <c r="AF3731" s="502"/>
      <c r="AH3731" s="898"/>
      <c r="AI3731" s="502"/>
      <c r="AJ3731" s="502"/>
      <c r="AL3731" s="434"/>
      <c r="AM3731" s="436"/>
      <c r="AN3731" s="434"/>
      <c r="AO3731" s="434"/>
      <c r="AP3731" s="556"/>
      <c r="AQ3731" s="556"/>
      <c r="AR3731" s="556"/>
      <c r="CF3731" s="2"/>
    </row>
    <row r="3732" spans="3:84">
      <c r="C3732" s="2"/>
      <c r="AD3732" s="502"/>
      <c r="AE3732" s="911"/>
      <c r="AF3732" s="502"/>
      <c r="AH3732" s="898"/>
      <c r="AI3732" s="502"/>
      <c r="AJ3732" s="502"/>
      <c r="AL3732" s="434"/>
      <c r="AM3732" s="436"/>
      <c r="AN3732" s="434"/>
      <c r="AO3732" s="434"/>
      <c r="AP3732" s="556"/>
      <c r="AQ3732" s="556"/>
      <c r="AR3732" s="556"/>
      <c r="CF3732" s="2"/>
    </row>
    <row r="3733" spans="3:84">
      <c r="C3733" s="2"/>
      <c r="AD3733" s="502"/>
      <c r="AE3733" s="911"/>
      <c r="AF3733" s="502"/>
      <c r="AH3733" s="898"/>
      <c r="AI3733" s="502"/>
      <c r="AJ3733" s="502"/>
      <c r="AL3733" s="434"/>
      <c r="AM3733" s="436"/>
      <c r="AN3733" s="434"/>
      <c r="AO3733" s="434"/>
      <c r="AP3733" s="556"/>
      <c r="AQ3733" s="556"/>
      <c r="AR3733" s="556"/>
      <c r="CF3733" s="2"/>
    </row>
    <row r="3734" spans="3:84">
      <c r="C3734" s="2"/>
      <c r="AD3734" s="502"/>
      <c r="AE3734" s="911"/>
      <c r="AF3734" s="502"/>
      <c r="AH3734" s="898"/>
      <c r="AI3734" s="502"/>
      <c r="AJ3734" s="502"/>
      <c r="AL3734" s="434"/>
      <c r="AM3734" s="436"/>
      <c r="AN3734" s="434"/>
      <c r="AO3734" s="434"/>
      <c r="AP3734" s="556"/>
      <c r="AQ3734" s="556"/>
      <c r="AR3734" s="556"/>
      <c r="CF3734" s="2"/>
    </row>
    <row r="3735" spans="3:84">
      <c r="C3735" s="2"/>
      <c r="AD3735" s="502"/>
      <c r="AE3735" s="911"/>
      <c r="AF3735" s="502"/>
      <c r="AH3735" s="898"/>
      <c r="AI3735" s="502"/>
      <c r="AJ3735" s="502"/>
      <c r="AL3735" s="434"/>
      <c r="AM3735" s="436"/>
      <c r="AN3735" s="434"/>
      <c r="AO3735" s="434"/>
      <c r="AP3735" s="556"/>
      <c r="AQ3735" s="556"/>
      <c r="AR3735" s="556"/>
      <c r="CF3735" s="2"/>
    </row>
    <row r="3736" spans="3:84">
      <c r="C3736" s="2"/>
      <c r="AD3736" s="502"/>
      <c r="AE3736" s="911"/>
      <c r="AF3736" s="502"/>
      <c r="AH3736" s="898"/>
      <c r="AI3736" s="502"/>
      <c r="AJ3736" s="502"/>
      <c r="AL3736" s="434"/>
      <c r="AM3736" s="436"/>
      <c r="AN3736" s="434"/>
      <c r="AO3736" s="434"/>
      <c r="AP3736" s="556"/>
      <c r="AQ3736" s="556"/>
      <c r="AR3736" s="556"/>
      <c r="CF3736" s="2"/>
    </row>
    <row r="3737" spans="3:84">
      <c r="C3737" s="2"/>
      <c r="AD3737" s="502"/>
      <c r="AE3737" s="911"/>
      <c r="AF3737" s="502"/>
      <c r="AH3737" s="898"/>
      <c r="AI3737" s="502"/>
      <c r="AJ3737" s="502"/>
      <c r="AL3737" s="434"/>
      <c r="AM3737" s="436"/>
      <c r="AN3737" s="434"/>
      <c r="AO3737" s="434"/>
      <c r="AP3737" s="556"/>
      <c r="AQ3737" s="556"/>
      <c r="AR3737" s="556"/>
      <c r="CF3737" s="2"/>
    </row>
    <row r="3738" spans="3:84">
      <c r="C3738" s="2"/>
      <c r="AD3738" s="502"/>
      <c r="AE3738" s="911"/>
      <c r="AF3738" s="502"/>
      <c r="AH3738" s="898"/>
      <c r="AI3738" s="502"/>
      <c r="AJ3738" s="502"/>
      <c r="AL3738" s="434"/>
      <c r="AM3738" s="436"/>
      <c r="AN3738" s="434"/>
      <c r="AO3738" s="434"/>
      <c r="AP3738" s="556"/>
      <c r="AQ3738" s="556"/>
      <c r="AR3738" s="556"/>
      <c r="CF3738" s="2"/>
    </row>
    <row r="3739" spans="3:84">
      <c r="C3739" s="2"/>
      <c r="AD3739" s="502"/>
      <c r="AE3739" s="911"/>
      <c r="AF3739" s="502"/>
      <c r="AH3739" s="898"/>
      <c r="AI3739" s="502"/>
      <c r="AJ3739" s="502"/>
      <c r="AL3739" s="434"/>
      <c r="AM3739" s="436"/>
      <c r="AN3739" s="434"/>
      <c r="AO3739" s="434"/>
      <c r="AP3739" s="556"/>
      <c r="AQ3739" s="556"/>
      <c r="AR3739" s="556"/>
      <c r="CF3739" s="2"/>
    </row>
    <row r="3740" spans="3:84">
      <c r="C3740" s="2"/>
      <c r="AD3740" s="502"/>
      <c r="AE3740" s="911"/>
      <c r="AF3740" s="502"/>
      <c r="AH3740" s="898"/>
      <c r="AI3740" s="502"/>
      <c r="AJ3740" s="502"/>
      <c r="AL3740" s="434"/>
      <c r="AM3740" s="436"/>
      <c r="AN3740" s="434"/>
      <c r="AO3740" s="434"/>
      <c r="AP3740" s="556"/>
      <c r="AQ3740" s="556"/>
      <c r="AR3740" s="556"/>
      <c r="CF3740" s="2"/>
    </row>
    <row r="3741" spans="3:84">
      <c r="C3741" s="2"/>
      <c r="AD3741" s="502"/>
      <c r="AE3741" s="911"/>
      <c r="AF3741" s="502"/>
      <c r="AH3741" s="898"/>
      <c r="AI3741" s="502"/>
      <c r="AJ3741" s="502"/>
      <c r="AL3741" s="434"/>
      <c r="AM3741" s="436"/>
      <c r="AN3741" s="434"/>
      <c r="AO3741" s="434"/>
      <c r="AP3741" s="556"/>
      <c r="AQ3741" s="556"/>
      <c r="AR3741" s="556"/>
      <c r="CF3741" s="2"/>
    </row>
    <row r="3742" spans="3:84">
      <c r="C3742" s="2"/>
      <c r="AD3742" s="502"/>
      <c r="AE3742" s="911"/>
      <c r="AF3742" s="502"/>
      <c r="AH3742" s="898"/>
      <c r="AI3742" s="502"/>
      <c r="AJ3742" s="502"/>
      <c r="AL3742" s="434"/>
      <c r="AM3742" s="436"/>
      <c r="AN3742" s="434"/>
      <c r="AO3742" s="434"/>
      <c r="AP3742" s="556"/>
      <c r="AQ3742" s="556"/>
      <c r="AR3742" s="556"/>
      <c r="CF3742" s="2"/>
    </row>
    <row r="3743" spans="3:84">
      <c r="C3743" s="2"/>
      <c r="AD3743" s="502"/>
      <c r="AE3743" s="911"/>
      <c r="AF3743" s="502"/>
      <c r="AH3743" s="898"/>
      <c r="AI3743" s="502"/>
      <c r="AJ3743" s="502"/>
      <c r="AL3743" s="434"/>
      <c r="AM3743" s="436"/>
      <c r="AN3743" s="434"/>
      <c r="AO3743" s="434"/>
      <c r="AP3743" s="556"/>
      <c r="AQ3743" s="556"/>
      <c r="AR3743" s="556"/>
      <c r="CF3743" s="2"/>
    </row>
    <row r="3744" spans="3:84">
      <c r="C3744" s="2"/>
      <c r="AD3744" s="502"/>
      <c r="AE3744" s="911"/>
      <c r="AF3744" s="502"/>
      <c r="AH3744" s="898"/>
      <c r="AI3744" s="502"/>
      <c r="AJ3744" s="502"/>
      <c r="AL3744" s="434"/>
      <c r="AM3744" s="436"/>
      <c r="AN3744" s="434"/>
      <c r="AO3744" s="434"/>
      <c r="AP3744" s="556"/>
      <c r="AQ3744" s="556"/>
      <c r="AR3744" s="556"/>
      <c r="CF3744" s="2"/>
    </row>
    <row r="3745" spans="3:84">
      <c r="C3745" s="2"/>
      <c r="AD3745" s="502"/>
      <c r="AE3745" s="911"/>
      <c r="AF3745" s="502"/>
      <c r="AH3745" s="898"/>
      <c r="AI3745" s="502"/>
      <c r="AJ3745" s="502"/>
      <c r="AL3745" s="434"/>
      <c r="AM3745" s="436"/>
      <c r="AN3745" s="434"/>
      <c r="AO3745" s="434"/>
      <c r="AP3745" s="556"/>
      <c r="AQ3745" s="556"/>
      <c r="AR3745" s="556"/>
      <c r="CF3745" s="2"/>
    </row>
    <row r="3746" spans="3:84">
      <c r="C3746" s="2"/>
      <c r="AD3746" s="502"/>
      <c r="AE3746" s="911"/>
      <c r="AF3746" s="502"/>
      <c r="AH3746" s="898"/>
      <c r="AI3746" s="502"/>
      <c r="AJ3746" s="502"/>
      <c r="AL3746" s="434"/>
      <c r="AM3746" s="436"/>
      <c r="AN3746" s="434"/>
      <c r="AO3746" s="434"/>
      <c r="AP3746" s="556"/>
      <c r="AQ3746" s="556"/>
      <c r="AR3746" s="556"/>
      <c r="CF3746" s="2"/>
    </row>
    <row r="3747" spans="3:84">
      <c r="C3747" s="2"/>
      <c r="AD3747" s="502"/>
      <c r="AE3747" s="911"/>
      <c r="AF3747" s="502"/>
      <c r="AH3747" s="898"/>
      <c r="AI3747" s="502"/>
      <c r="AJ3747" s="502"/>
      <c r="AL3747" s="434"/>
      <c r="AM3747" s="436"/>
      <c r="AN3747" s="434"/>
      <c r="AO3747" s="434"/>
      <c r="AP3747" s="556"/>
      <c r="AQ3747" s="556"/>
      <c r="AR3747" s="556"/>
      <c r="CF3747" s="2"/>
    </row>
    <row r="3748" spans="3:84">
      <c r="C3748" s="2"/>
      <c r="AD3748" s="502"/>
      <c r="AE3748" s="911"/>
      <c r="AF3748" s="502"/>
      <c r="AH3748" s="898"/>
      <c r="AI3748" s="502"/>
      <c r="AJ3748" s="502"/>
      <c r="AL3748" s="434"/>
      <c r="AM3748" s="436"/>
      <c r="AN3748" s="434"/>
      <c r="AO3748" s="434"/>
      <c r="AP3748" s="556"/>
      <c r="AQ3748" s="556"/>
      <c r="AR3748" s="556"/>
      <c r="CF3748" s="2"/>
    </row>
    <row r="3749" spans="3:84">
      <c r="C3749" s="2"/>
      <c r="AD3749" s="502"/>
      <c r="AE3749" s="911"/>
      <c r="AF3749" s="502"/>
      <c r="AH3749" s="898"/>
      <c r="AI3749" s="502"/>
      <c r="AJ3749" s="502"/>
      <c r="AL3749" s="434"/>
      <c r="AM3749" s="436"/>
      <c r="AN3749" s="434"/>
      <c r="AO3749" s="434"/>
      <c r="AP3749" s="556"/>
      <c r="AQ3749" s="556"/>
      <c r="AR3749" s="556"/>
      <c r="CF3749" s="2"/>
    </row>
    <row r="3750" spans="3:84">
      <c r="C3750" s="2"/>
      <c r="AD3750" s="502"/>
      <c r="AE3750" s="911"/>
      <c r="AF3750" s="502"/>
      <c r="AH3750" s="898"/>
      <c r="AI3750" s="502"/>
      <c r="AJ3750" s="502"/>
      <c r="AL3750" s="434"/>
      <c r="AM3750" s="436"/>
      <c r="AN3750" s="434"/>
      <c r="AO3750" s="434"/>
      <c r="AP3750" s="556"/>
      <c r="AQ3750" s="556"/>
      <c r="AR3750" s="556"/>
      <c r="CF3750" s="2"/>
    </row>
    <row r="3751" spans="3:84">
      <c r="C3751" s="2"/>
      <c r="AD3751" s="502"/>
      <c r="AE3751" s="911"/>
      <c r="AF3751" s="502"/>
      <c r="AH3751" s="898"/>
      <c r="AI3751" s="502"/>
      <c r="AJ3751" s="502"/>
      <c r="AL3751" s="434"/>
      <c r="AM3751" s="436"/>
      <c r="AN3751" s="434"/>
      <c r="AO3751" s="434"/>
      <c r="AP3751" s="556"/>
      <c r="AQ3751" s="556"/>
      <c r="AR3751" s="556"/>
      <c r="CF3751" s="2"/>
    </row>
    <row r="3752" spans="3:84">
      <c r="C3752" s="2"/>
      <c r="AD3752" s="502"/>
      <c r="AE3752" s="911"/>
      <c r="AF3752" s="502"/>
      <c r="AH3752" s="898"/>
      <c r="AI3752" s="502"/>
      <c r="AJ3752" s="502"/>
      <c r="AL3752" s="434"/>
      <c r="AM3752" s="436"/>
      <c r="AN3752" s="434"/>
      <c r="AO3752" s="434"/>
      <c r="AP3752" s="556"/>
      <c r="AQ3752" s="556"/>
      <c r="AR3752" s="556"/>
      <c r="CF3752" s="2"/>
    </row>
    <row r="3753" spans="3:84">
      <c r="C3753" s="2"/>
      <c r="AD3753" s="502"/>
      <c r="AE3753" s="911"/>
      <c r="AF3753" s="502"/>
      <c r="AH3753" s="898"/>
      <c r="AI3753" s="502"/>
      <c r="AJ3753" s="502"/>
      <c r="AL3753" s="434"/>
      <c r="AM3753" s="436"/>
      <c r="AN3753" s="434"/>
      <c r="AO3753" s="434"/>
      <c r="AP3753" s="556"/>
      <c r="AQ3753" s="556"/>
      <c r="AR3753" s="556"/>
      <c r="CF3753" s="2"/>
    </row>
    <row r="3754" spans="3:84">
      <c r="C3754" s="2"/>
      <c r="AD3754" s="502"/>
      <c r="AE3754" s="911"/>
      <c r="AF3754" s="502"/>
      <c r="AH3754" s="898"/>
      <c r="AI3754" s="502"/>
      <c r="AJ3754" s="502"/>
      <c r="AL3754" s="434"/>
      <c r="AM3754" s="436"/>
      <c r="AN3754" s="434"/>
      <c r="AO3754" s="434"/>
      <c r="AP3754" s="556"/>
      <c r="AQ3754" s="556"/>
      <c r="AR3754" s="556"/>
      <c r="CF3754" s="2"/>
    </row>
    <row r="3755" spans="3:84">
      <c r="C3755" s="2"/>
      <c r="AD3755" s="502"/>
      <c r="AE3755" s="911"/>
      <c r="AF3755" s="502"/>
      <c r="AH3755" s="898"/>
      <c r="AI3755" s="502"/>
      <c r="AJ3755" s="502"/>
      <c r="AL3755" s="434"/>
      <c r="AM3755" s="436"/>
      <c r="AN3755" s="434"/>
      <c r="AO3755" s="434"/>
      <c r="AP3755" s="556"/>
      <c r="AQ3755" s="556"/>
      <c r="AR3755" s="556"/>
      <c r="CF3755" s="2"/>
    </row>
    <row r="3756" spans="3:84">
      <c r="C3756" s="2"/>
      <c r="AD3756" s="502"/>
      <c r="AE3756" s="911"/>
      <c r="AF3756" s="502"/>
      <c r="AH3756" s="898"/>
      <c r="AI3756" s="502"/>
      <c r="AJ3756" s="502"/>
      <c r="AL3756" s="434"/>
      <c r="AM3756" s="436"/>
      <c r="AN3756" s="434"/>
      <c r="AO3756" s="434"/>
      <c r="AP3756" s="556"/>
      <c r="AQ3756" s="556"/>
      <c r="AR3756" s="556"/>
      <c r="CF3756" s="2"/>
    </row>
    <row r="3757" spans="3:84">
      <c r="C3757" s="2"/>
      <c r="AD3757" s="502"/>
      <c r="AE3757" s="911"/>
      <c r="AF3757" s="502"/>
      <c r="AH3757" s="898"/>
      <c r="AI3757" s="502"/>
      <c r="AJ3757" s="502"/>
      <c r="AL3757" s="434"/>
      <c r="AM3757" s="436"/>
      <c r="AN3757" s="434"/>
      <c r="AO3757" s="434"/>
      <c r="AP3757" s="556"/>
      <c r="AQ3757" s="556"/>
      <c r="AR3757" s="556"/>
      <c r="CF3757" s="2"/>
    </row>
    <row r="3758" spans="3:84">
      <c r="C3758" s="2"/>
      <c r="AD3758" s="502"/>
      <c r="AE3758" s="911"/>
      <c r="AF3758" s="502"/>
      <c r="AH3758" s="898"/>
      <c r="AI3758" s="502"/>
      <c r="AJ3758" s="502"/>
      <c r="AL3758" s="434"/>
      <c r="AM3758" s="436"/>
      <c r="AN3758" s="434"/>
      <c r="AO3758" s="434"/>
      <c r="AP3758" s="556"/>
      <c r="AQ3758" s="556"/>
      <c r="AR3758" s="556"/>
      <c r="CF3758" s="2"/>
    </row>
    <row r="3759" spans="3:84">
      <c r="C3759" s="2"/>
      <c r="AD3759" s="502"/>
      <c r="AE3759" s="911"/>
      <c r="AF3759" s="502"/>
      <c r="AH3759" s="898"/>
      <c r="AI3759" s="502"/>
      <c r="AJ3759" s="502"/>
      <c r="AL3759" s="434"/>
      <c r="AM3759" s="436"/>
      <c r="AN3759" s="434"/>
      <c r="AO3759" s="434"/>
      <c r="AP3759" s="556"/>
      <c r="AQ3759" s="556"/>
      <c r="AR3759" s="556"/>
      <c r="CF3759" s="2"/>
    </row>
    <row r="3760" spans="3:84">
      <c r="C3760" s="2"/>
      <c r="AD3760" s="502"/>
      <c r="AE3760" s="911"/>
      <c r="AF3760" s="502"/>
      <c r="AH3760" s="898"/>
      <c r="AI3760" s="502"/>
      <c r="AJ3760" s="502"/>
      <c r="AL3760" s="434"/>
      <c r="AM3760" s="436"/>
      <c r="AN3760" s="434"/>
      <c r="AO3760" s="434"/>
      <c r="AP3760" s="556"/>
      <c r="AQ3760" s="556"/>
      <c r="AR3760" s="556"/>
      <c r="CF3760" s="2"/>
    </row>
    <row r="3761" spans="3:84">
      <c r="C3761" s="2"/>
      <c r="AD3761" s="502"/>
      <c r="AE3761" s="911"/>
      <c r="AF3761" s="502"/>
      <c r="AH3761" s="898"/>
      <c r="AI3761" s="502"/>
      <c r="AJ3761" s="502"/>
      <c r="AL3761" s="434"/>
      <c r="AM3761" s="436"/>
      <c r="AN3761" s="434"/>
      <c r="AO3761" s="434"/>
      <c r="AP3761" s="556"/>
      <c r="AQ3761" s="556"/>
      <c r="AR3761" s="556"/>
      <c r="CF3761" s="2"/>
    </row>
    <row r="3762" spans="3:84">
      <c r="C3762" s="2"/>
      <c r="AD3762" s="502"/>
      <c r="AE3762" s="911"/>
      <c r="AF3762" s="502"/>
      <c r="AH3762" s="898"/>
      <c r="AI3762" s="502"/>
      <c r="AJ3762" s="502"/>
      <c r="AL3762" s="434"/>
      <c r="AM3762" s="436"/>
      <c r="AN3762" s="434"/>
      <c r="AO3762" s="434"/>
      <c r="AP3762" s="556"/>
      <c r="AQ3762" s="556"/>
      <c r="AR3762" s="556"/>
      <c r="CF3762" s="2"/>
    </row>
    <row r="3763" spans="3:84">
      <c r="C3763" s="2"/>
      <c r="AD3763" s="502"/>
      <c r="AE3763" s="911"/>
      <c r="AF3763" s="502"/>
      <c r="AH3763" s="898"/>
      <c r="AI3763" s="502"/>
      <c r="AJ3763" s="502"/>
      <c r="AL3763" s="434"/>
      <c r="AM3763" s="436"/>
      <c r="AN3763" s="434"/>
      <c r="AO3763" s="434"/>
      <c r="AP3763" s="556"/>
      <c r="AQ3763" s="556"/>
      <c r="AR3763" s="556"/>
      <c r="CF3763" s="2"/>
    </row>
    <row r="3764" spans="3:84">
      <c r="C3764" s="2"/>
      <c r="AD3764" s="502"/>
      <c r="AE3764" s="911"/>
      <c r="AF3764" s="502"/>
      <c r="AH3764" s="898"/>
      <c r="AI3764" s="502"/>
      <c r="AJ3764" s="502"/>
      <c r="AL3764" s="434"/>
      <c r="AM3764" s="436"/>
      <c r="AN3764" s="434"/>
      <c r="AO3764" s="434"/>
      <c r="AP3764" s="556"/>
      <c r="AQ3764" s="556"/>
      <c r="AR3764" s="556"/>
      <c r="CF3764" s="2"/>
    </row>
    <row r="3765" spans="3:84">
      <c r="C3765" s="2"/>
      <c r="AD3765" s="502"/>
      <c r="AE3765" s="911"/>
      <c r="AF3765" s="502"/>
      <c r="AH3765" s="898"/>
      <c r="AI3765" s="502"/>
      <c r="AJ3765" s="502"/>
      <c r="AL3765" s="434"/>
      <c r="AM3765" s="436"/>
      <c r="AN3765" s="434"/>
      <c r="AO3765" s="434"/>
      <c r="AP3765" s="556"/>
      <c r="AQ3765" s="556"/>
      <c r="AR3765" s="556"/>
      <c r="CF3765" s="2"/>
    </row>
    <row r="3766" spans="3:84">
      <c r="C3766" s="2"/>
      <c r="AD3766" s="502"/>
      <c r="AE3766" s="911"/>
      <c r="AF3766" s="502"/>
      <c r="AH3766" s="898"/>
      <c r="AI3766" s="502"/>
      <c r="AJ3766" s="502"/>
      <c r="AL3766" s="434"/>
      <c r="AM3766" s="436"/>
      <c r="AN3766" s="434"/>
      <c r="AO3766" s="434"/>
      <c r="AP3766" s="556"/>
      <c r="AQ3766" s="556"/>
      <c r="AR3766" s="556"/>
      <c r="CF3766" s="2"/>
    </row>
    <row r="3767" spans="3:84">
      <c r="C3767" s="2"/>
      <c r="AD3767" s="502"/>
      <c r="AE3767" s="911"/>
      <c r="AF3767" s="502"/>
      <c r="AH3767" s="898"/>
      <c r="AI3767" s="502"/>
      <c r="AJ3767" s="502"/>
      <c r="AL3767" s="434"/>
      <c r="AM3767" s="436"/>
      <c r="AN3767" s="434"/>
      <c r="AO3767" s="434"/>
      <c r="AP3767" s="556"/>
      <c r="AQ3767" s="556"/>
      <c r="AR3767" s="556"/>
      <c r="CF3767" s="2"/>
    </row>
    <row r="3768" spans="3:84">
      <c r="C3768" s="2"/>
      <c r="AD3768" s="502"/>
      <c r="AE3768" s="911"/>
      <c r="AF3768" s="502"/>
      <c r="AH3768" s="898"/>
      <c r="AI3768" s="502"/>
      <c r="AJ3768" s="502"/>
      <c r="AL3768" s="434"/>
      <c r="AM3768" s="436"/>
      <c r="AN3768" s="434"/>
      <c r="AO3768" s="434"/>
      <c r="AP3768" s="556"/>
      <c r="AQ3768" s="556"/>
      <c r="AR3768" s="556"/>
      <c r="CF3768" s="2"/>
    </row>
    <row r="3769" spans="3:84">
      <c r="C3769" s="2"/>
      <c r="AD3769" s="502"/>
      <c r="AE3769" s="911"/>
      <c r="AF3769" s="502"/>
      <c r="AH3769" s="898"/>
      <c r="AI3769" s="502"/>
      <c r="AJ3769" s="502"/>
      <c r="AL3769" s="434"/>
      <c r="AM3769" s="436"/>
      <c r="AN3769" s="434"/>
      <c r="AO3769" s="434"/>
      <c r="AP3769" s="556"/>
      <c r="AQ3769" s="556"/>
      <c r="AR3769" s="556"/>
      <c r="CF3769" s="2"/>
    </row>
    <row r="3770" spans="3:84">
      <c r="C3770" s="2"/>
      <c r="AD3770" s="502"/>
      <c r="AE3770" s="911"/>
      <c r="AF3770" s="502"/>
      <c r="AH3770" s="898"/>
      <c r="AI3770" s="502"/>
      <c r="AJ3770" s="502"/>
      <c r="AL3770" s="434"/>
      <c r="AM3770" s="436"/>
      <c r="AN3770" s="434"/>
      <c r="AO3770" s="434"/>
      <c r="AP3770" s="556"/>
      <c r="AQ3770" s="556"/>
      <c r="AR3770" s="556"/>
      <c r="CF3770" s="2"/>
    </row>
    <row r="3771" spans="3:84">
      <c r="C3771" s="2"/>
      <c r="AD3771" s="502"/>
      <c r="AE3771" s="911"/>
      <c r="AF3771" s="502"/>
      <c r="AH3771" s="898"/>
      <c r="AI3771" s="502"/>
      <c r="AJ3771" s="502"/>
      <c r="AL3771" s="434"/>
      <c r="AM3771" s="436"/>
      <c r="AN3771" s="434"/>
      <c r="AO3771" s="434"/>
      <c r="AP3771" s="556"/>
      <c r="AQ3771" s="556"/>
      <c r="AR3771" s="556"/>
      <c r="CF3771" s="2"/>
    </row>
    <row r="3772" spans="3:84">
      <c r="C3772" s="2"/>
      <c r="AD3772" s="502"/>
      <c r="AE3772" s="911"/>
      <c r="AF3772" s="502"/>
      <c r="AH3772" s="898"/>
      <c r="AI3772" s="502"/>
      <c r="AJ3772" s="502"/>
      <c r="AL3772" s="434"/>
      <c r="AM3772" s="436"/>
      <c r="AN3772" s="434"/>
      <c r="AO3772" s="434"/>
      <c r="AP3772" s="556"/>
      <c r="AQ3772" s="556"/>
      <c r="AR3772" s="556"/>
      <c r="CF3772" s="2"/>
    </row>
    <row r="3773" spans="3:84">
      <c r="C3773" s="2"/>
      <c r="AD3773" s="502"/>
      <c r="AE3773" s="911"/>
      <c r="AF3773" s="502"/>
      <c r="AH3773" s="898"/>
      <c r="AI3773" s="502"/>
      <c r="AJ3773" s="502"/>
      <c r="AL3773" s="434"/>
      <c r="AM3773" s="436"/>
      <c r="AN3773" s="434"/>
      <c r="AO3773" s="434"/>
      <c r="AP3773" s="556"/>
      <c r="AQ3773" s="556"/>
      <c r="AR3773" s="556"/>
      <c r="CF3773" s="2"/>
    </row>
    <row r="3774" spans="3:84">
      <c r="C3774" s="2"/>
      <c r="AD3774" s="502"/>
      <c r="AE3774" s="911"/>
      <c r="AF3774" s="502"/>
      <c r="AH3774" s="898"/>
      <c r="AI3774" s="502"/>
      <c r="AJ3774" s="502"/>
      <c r="AL3774" s="434"/>
      <c r="AM3774" s="436"/>
      <c r="AN3774" s="434"/>
      <c r="AO3774" s="434"/>
      <c r="AP3774" s="556"/>
      <c r="AQ3774" s="556"/>
      <c r="AR3774" s="556"/>
      <c r="CF3774" s="2"/>
    </row>
    <row r="3775" spans="3:84">
      <c r="C3775" s="2"/>
      <c r="AD3775" s="502"/>
      <c r="AE3775" s="911"/>
      <c r="AF3775" s="502"/>
      <c r="AH3775" s="898"/>
      <c r="AI3775" s="502"/>
      <c r="AJ3775" s="502"/>
      <c r="AL3775" s="434"/>
      <c r="AM3775" s="436"/>
      <c r="AN3775" s="434"/>
      <c r="AO3775" s="434"/>
      <c r="AP3775" s="556"/>
      <c r="AQ3775" s="556"/>
      <c r="AR3775" s="556"/>
      <c r="CF3775" s="2"/>
    </row>
    <row r="3776" spans="3:84">
      <c r="C3776" s="2"/>
      <c r="AD3776" s="502"/>
      <c r="AE3776" s="911"/>
      <c r="AF3776" s="502"/>
      <c r="AH3776" s="898"/>
      <c r="AI3776" s="502"/>
      <c r="AJ3776" s="502"/>
      <c r="AL3776" s="434"/>
      <c r="AM3776" s="436"/>
      <c r="AN3776" s="434"/>
      <c r="AO3776" s="434"/>
      <c r="AP3776" s="556"/>
      <c r="AQ3776" s="556"/>
      <c r="AR3776" s="556"/>
      <c r="CF3776" s="2"/>
    </row>
    <row r="3777" spans="3:84">
      <c r="C3777" s="2"/>
      <c r="AD3777" s="502"/>
      <c r="AE3777" s="911"/>
      <c r="AF3777" s="502"/>
      <c r="AH3777" s="898"/>
      <c r="AI3777" s="502"/>
      <c r="AJ3777" s="502"/>
      <c r="AL3777" s="434"/>
      <c r="AM3777" s="436"/>
      <c r="AN3777" s="434"/>
      <c r="AO3777" s="434"/>
      <c r="AP3777" s="556"/>
      <c r="AQ3777" s="556"/>
      <c r="AR3777" s="556"/>
      <c r="CF3777" s="2"/>
    </row>
    <row r="3778" spans="3:84">
      <c r="C3778" s="2"/>
      <c r="AD3778" s="502"/>
      <c r="AE3778" s="911"/>
      <c r="AF3778" s="502"/>
      <c r="AH3778" s="898"/>
      <c r="AI3778" s="502"/>
      <c r="AJ3778" s="502"/>
      <c r="AL3778" s="434"/>
      <c r="AM3778" s="436"/>
      <c r="AN3778" s="434"/>
      <c r="AO3778" s="434"/>
      <c r="AP3778" s="556"/>
      <c r="AQ3778" s="556"/>
      <c r="AR3778" s="556"/>
      <c r="CF3778" s="2"/>
    </row>
    <row r="3779" spans="3:84">
      <c r="C3779" s="2"/>
      <c r="AD3779" s="502"/>
      <c r="AE3779" s="911"/>
      <c r="AF3779" s="502"/>
      <c r="AH3779" s="898"/>
      <c r="AI3779" s="502"/>
      <c r="AJ3779" s="502"/>
      <c r="AL3779" s="434"/>
      <c r="AM3779" s="436"/>
      <c r="AN3779" s="434"/>
      <c r="AO3779" s="434"/>
      <c r="AP3779" s="556"/>
      <c r="AQ3779" s="556"/>
      <c r="AR3779" s="556"/>
      <c r="CF3779" s="2"/>
    </row>
    <row r="3780" spans="3:84">
      <c r="C3780" s="2"/>
      <c r="AD3780" s="502"/>
      <c r="AE3780" s="911"/>
      <c r="AF3780" s="502"/>
      <c r="AH3780" s="898"/>
      <c r="AI3780" s="502"/>
      <c r="AJ3780" s="502"/>
      <c r="AL3780" s="434"/>
      <c r="AM3780" s="436"/>
      <c r="AN3780" s="434"/>
      <c r="AO3780" s="434"/>
      <c r="AP3780" s="556"/>
      <c r="AQ3780" s="556"/>
      <c r="AR3780" s="556"/>
      <c r="CF3780" s="2"/>
    </row>
    <row r="3781" spans="3:84">
      <c r="C3781" s="2"/>
      <c r="AD3781" s="502"/>
      <c r="AE3781" s="911"/>
      <c r="AF3781" s="502"/>
      <c r="AH3781" s="898"/>
      <c r="AI3781" s="502"/>
      <c r="AJ3781" s="502"/>
      <c r="AL3781" s="434"/>
      <c r="AM3781" s="436"/>
      <c r="AN3781" s="434"/>
      <c r="AO3781" s="434"/>
      <c r="AP3781" s="556"/>
      <c r="AQ3781" s="556"/>
      <c r="AR3781" s="556"/>
      <c r="CF3781" s="2"/>
    </row>
    <row r="3782" spans="3:84">
      <c r="C3782" s="2"/>
      <c r="AD3782" s="502"/>
      <c r="AE3782" s="911"/>
      <c r="AF3782" s="502"/>
      <c r="AH3782" s="898"/>
      <c r="AI3782" s="502"/>
      <c r="AJ3782" s="502"/>
      <c r="AL3782" s="434"/>
      <c r="AM3782" s="436"/>
      <c r="AN3782" s="434"/>
      <c r="AO3782" s="434"/>
      <c r="AP3782" s="556"/>
      <c r="AQ3782" s="556"/>
      <c r="AR3782" s="556"/>
      <c r="CF3782" s="2"/>
    </row>
    <row r="3783" spans="3:84">
      <c r="C3783" s="2"/>
      <c r="AD3783" s="502"/>
      <c r="AE3783" s="911"/>
      <c r="AF3783" s="502"/>
      <c r="AH3783" s="898"/>
      <c r="AI3783" s="502"/>
      <c r="AJ3783" s="502"/>
      <c r="AL3783" s="434"/>
      <c r="AM3783" s="436"/>
      <c r="AN3783" s="434"/>
      <c r="AO3783" s="434"/>
      <c r="AP3783" s="556"/>
      <c r="AQ3783" s="556"/>
      <c r="AR3783" s="556"/>
      <c r="CF3783" s="2"/>
    </row>
    <row r="3784" spans="3:84">
      <c r="C3784" s="2"/>
      <c r="AD3784" s="502"/>
      <c r="AE3784" s="911"/>
      <c r="AF3784" s="502"/>
      <c r="AH3784" s="898"/>
      <c r="AI3784" s="502"/>
      <c r="AJ3784" s="502"/>
      <c r="AL3784" s="434"/>
      <c r="AM3784" s="436"/>
      <c r="AN3784" s="434"/>
      <c r="AO3784" s="434"/>
      <c r="AP3784" s="556"/>
      <c r="AQ3784" s="556"/>
      <c r="AR3784" s="556"/>
      <c r="CF3784" s="2"/>
    </row>
    <row r="3785" spans="3:84">
      <c r="C3785" s="2"/>
      <c r="AD3785" s="502"/>
      <c r="AE3785" s="911"/>
      <c r="AF3785" s="502"/>
      <c r="AH3785" s="898"/>
      <c r="AI3785" s="502"/>
      <c r="AJ3785" s="502"/>
      <c r="AL3785" s="434"/>
      <c r="AM3785" s="436"/>
      <c r="AN3785" s="434"/>
      <c r="AO3785" s="434"/>
      <c r="AP3785" s="556"/>
      <c r="AQ3785" s="556"/>
      <c r="AR3785" s="556"/>
      <c r="CF3785" s="2"/>
    </row>
    <row r="3786" spans="3:84">
      <c r="C3786" s="2"/>
      <c r="AD3786" s="502"/>
      <c r="AE3786" s="911"/>
      <c r="AF3786" s="502"/>
      <c r="AH3786" s="898"/>
      <c r="AI3786" s="502"/>
      <c r="AJ3786" s="502"/>
      <c r="AL3786" s="434"/>
      <c r="AM3786" s="436"/>
      <c r="AN3786" s="434"/>
      <c r="AO3786" s="434"/>
      <c r="AP3786" s="556"/>
      <c r="AQ3786" s="556"/>
      <c r="AR3786" s="556"/>
      <c r="CF3786" s="2"/>
    </row>
    <row r="3787" spans="3:84">
      <c r="C3787" s="2"/>
      <c r="AD3787" s="502"/>
      <c r="AE3787" s="911"/>
      <c r="AF3787" s="502"/>
      <c r="AH3787" s="898"/>
      <c r="AI3787" s="502"/>
      <c r="AJ3787" s="502"/>
      <c r="AL3787" s="434"/>
      <c r="AM3787" s="436"/>
      <c r="AN3787" s="434"/>
      <c r="AO3787" s="434"/>
      <c r="AP3787" s="556"/>
      <c r="AQ3787" s="556"/>
      <c r="AR3787" s="556"/>
      <c r="CF3787" s="2"/>
    </row>
    <row r="3788" spans="3:84">
      <c r="C3788" s="2"/>
      <c r="AD3788" s="502"/>
      <c r="AE3788" s="911"/>
      <c r="AF3788" s="502"/>
      <c r="AH3788" s="898"/>
      <c r="AI3788" s="502"/>
      <c r="AJ3788" s="502"/>
      <c r="AL3788" s="434"/>
      <c r="AM3788" s="436"/>
      <c r="AN3788" s="434"/>
      <c r="AO3788" s="434"/>
      <c r="AP3788" s="556"/>
      <c r="AQ3788" s="556"/>
      <c r="AR3788" s="556"/>
      <c r="CF3788" s="2"/>
    </row>
    <row r="3789" spans="3:84">
      <c r="C3789" s="2"/>
      <c r="AD3789" s="502"/>
      <c r="AE3789" s="911"/>
      <c r="AF3789" s="502"/>
      <c r="AH3789" s="898"/>
      <c r="AI3789" s="502"/>
      <c r="AJ3789" s="502"/>
      <c r="AL3789" s="434"/>
      <c r="AM3789" s="436"/>
      <c r="AN3789" s="434"/>
      <c r="AO3789" s="434"/>
      <c r="AP3789" s="556"/>
      <c r="AQ3789" s="556"/>
      <c r="AR3789" s="556"/>
      <c r="CF3789" s="2"/>
    </row>
    <row r="3790" spans="3:84">
      <c r="C3790" s="2"/>
      <c r="AD3790" s="502"/>
      <c r="AE3790" s="911"/>
      <c r="AF3790" s="502"/>
      <c r="AH3790" s="898"/>
      <c r="AI3790" s="502"/>
      <c r="AJ3790" s="502"/>
      <c r="AL3790" s="434"/>
      <c r="AM3790" s="436"/>
      <c r="AN3790" s="434"/>
      <c r="AO3790" s="434"/>
      <c r="AP3790" s="556"/>
      <c r="AQ3790" s="556"/>
      <c r="AR3790" s="556"/>
      <c r="CF3790" s="2"/>
    </row>
    <row r="3791" spans="3:84">
      <c r="C3791" s="2"/>
      <c r="AD3791" s="502"/>
      <c r="AE3791" s="911"/>
      <c r="AF3791" s="502"/>
      <c r="AH3791" s="898"/>
      <c r="AI3791" s="502"/>
      <c r="AJ3791" s="502"/>
      <c r="AL3791" s="434"/>
      <c r="AM3791" s="436"/>
      <c r="AN3791" s="434"/>
      <c r="AO3791" s="434"/>
      <c r="AP3791" s="556"/>
      <c r="AQ3791" s="556"/>
      <c r="AR3791" s="556"/>
      <c r="CF3791" s="2"/>
    </row>
    <row r="3792" spans="3:84">
      <c r="C3792" s="2"/>
      <c r="AD3792" s="502"/>
      <c r="AE3792" s="911"/>
      <c r="AF3792" s="502"/>
      <c r="AH3792" s="898"/>
      <c r="AI3792" s="502"/>
      <c r="AJ3792" s="502"/>
      <c r="AL3792" s="434"/>
      <c r="AM3792" s="436"/>
      <c r="AN3792" s="434"/>
      <c r="AO3792" s="434"/>
      <c r="AP3792" s="556"/>
      <c r="AQ3792" s="556"/>
      <c r="AR3792" s="556"/>
      <c r="CF3792" s="2"/>
    </row>
    <row r="3793" spans="3:84">
      <c r="C3793" s="2"/>
      <c r="AD3793" s="502"/>
      <c r="AE3793" s="911"/>
      <c r="AF3793" s="502"/>
      <c r="AH3793" s="898"/>
      <c r="AI3793" s="502"/>
      <c r="AJ3793" s="502"/>
      <c r="AL3793" s="434"/>
      <c r="AM3793" s="436"/>
      <c r="AN3793" s="434"/>
      <c r="AO3793" s="434"/>
      <c r="AP3793" s="556"/>
      <c r="AQ3793" s="556"/>
      <c r="AR3793" s="556"/>
      <c r="CF3793" s="2"/>
    </row>
    <row r="3794" spans="3:84">
      <c r="C3794" s="2"/>
      <c r="AD3794" s="502"/>
      <c r="AE3794" s="911"/>
      <c r="AF3794" s="502"/>
      <c r="AH3794" s="898"/>
      <c r="AI3794" s="502"/>
      <c r="AJ3794" s="502"/>
      <c r="AL3794" s="434"/>
      <c r="AM3794" s="436"/>
      <c r="AN3794" s="434"/>
      <c r="AO3794" s="434"/>
      <c r="AP3794" s="556"/>
      <c r="AQ3794" s="556"/>
      <c r="AR3794" s="556"/>
      <c r="CF3794" s="2"/>
    </row>
    <row r="3795" spans="3:84">
      <c r="C3795" s="2"/>
      <c r="AD3795" s="502"/>
      <c r="AE3795" s="911"/>
      <c r="AF3795" s="502"/>
      <c r="AH3795" s="898"/>
      <c r="AI3795" s="502"/>
      <c r="AJ3795" s="502"/>
      <c r="AL3795" s="434"/>
      <c r="AM3795" s="436"/>
      <c r="AN3795" s="434"/>
      <c r="AO3795" s="434"/>
      <c r="AP3795" s="556"/>
      <c r="AQ3795" s="556"/>
      <c r="AR3795" s="556"/>
      <c r="CF3795" s="2"/>
    </row>
    <row r="3796" spans="3:84">
      <c r="C3796" s="2"/>
      <c r="AD3796" s="502"/>
      <c r="AE3796" s="911"/>
      <c r="AF3796" s="502"/>
      <c r="AH3796" s="898"/>
      <c r="AI3796" s="502"/>
      <c r="AJ3796" s="502"/>
      <c r="AL3796" s="434"/>
      <c r="AM3796" s="436"/>
      <c r="AN3796" s="434"/>
      <c r="AO3796" s="434"/>
      <c r="AP3796" s="556"/>
      <c r="AQ3796" s="556"/>
      <c r="AR3796" s="556"/>
      <c r="CF3796" s="2"/>
    </row>
    <row r="3797" spans="3:84">
      <c r="C3797" s="2"/>
      <c r="AD3797" s="502"/>
      <c r="AE3797" s="911"/>
      <c r="AF3797" s="502"/>
      <c r="AH3797" s="898"/>
      <c r="AI3797" s="502"/>
      <c r="AJ3797" s="502"/>
      <c r="AL3797" s="434"/>
      <c r="AM3797" s="436"/>
      <c r="AN3797" s="434"/>
      <c r="AO3797" s="434"/>
      <c r="AP3797" s="556"/>
      <c r="AQ3797" s="556"/>
      <c r="AR3797" s="556"/>
      <c r="CF3797" s="2"/>
    </row>
    <row r="3798" spans="3:84">
      <c r="C3798" s="2"/>
      <c r="AD3798" s="502"/>
      <c r="AE3798" s="911"/>
      <c r="AF3798" s="502"/>
      <c r="AH3798" s="898"/>
      <c r="AI3798" s="502"/>
      <c r="AJ3798" s="502"/>
      <c r="AL3798" s="434"/>
      <c r="AM3798" s="436"/>
      <c r="AN3798" s="434"/>
      <c r="AO3798" s="434"/>
      <c r="AP3798" s="556"/>
      <c r="AQ3798" s="556"/>
      <c r="AR3798" s="556"/>
      <c r="CF3798" s="2"/>
    </row>
    <row r="3799" spans="3:84">
      <c r="C3799" s="2"/>
      <c r="AD3799" s="502"/>
      <c r="AE3799" s="911"/>
      <c r="AF3799" s="502"/>
      <c r="AH3799" s="898"/>
      <c r="AI3799" s="502"/>
      <c r="AJ3799" s="502"/>
      <c r="AL3799" s="434"/>
      <c r="AM3799" s="436"/>
      <c r="AN3799" s="434"/>
      <c r="AO3799" s="434"/>
      <c r="AP3799" s="556"/>
      <c r="AQ3799" s="556"/>
      <c r="AR3799" s="556"/>
      <c r="CF3799" s="2"/>
    </row>
    <row r="3800" spans="3:84">
      <c r="C3800" s="2"/>
      <c r="AD3800" s="502"/>
      <c r="AE3800" s="911"/>
      <c r="AF3800" s="502"/>
      <c r="AH3800" s="898"/>
      <c r="AI3800" s="502"/>
      <c r="AJ3800" s="502"/>
      <c r="AL3800" s="434"/>
      <c r="AM3800" s="436"/>
      <c r="AN3800" s="434"/>
      <c r="AO3800" s="434"/>
      <c r="AP3800" s="556"/>
      <c r="AQ3800" s="556"/>
      <c r="AR3800" s="556"/>
      <c r="CF3800" s="2"/>
    </row>
    <row r="3801" spans="3:84">
      <c r="C3801" s="2"/>
      <c r="AD3801" s="502"/>
      <c r="AE3801" s="911"/>
      <c r="AF3801" s="502"/>
      <c r="AH3801" s="898"/>
      <c r="AI3801" s="502"/>
      <c r="AJ3801" s="502"/>
      <c r="AL3801" s="434"/>
      <c r="AM3801" s="436"/>
      <c r="AN3801" s="434"/>
      <c r="AO3801" s="434"/>
      <c r="AP3801" s="556"/>
      <c r="AQ3801" s="556"/>
      <c r="AR3801" s="556"/>
      <c r="CF3801" s="2"/>
    </row>
    <row r="3802" spans="3:84">
      <c r="C3802" s="2"/>
      <c r="AD3802" s="502"/>
      <c r="AE3802" s="911"/>
      <c r="AF3802" s="502"/>
      <c r="AH3802" s="898"/>
      <c r="AI3802" s="502"/>
      <c r="AJ3802" s="502"/>
      <c r="AL3802" s="434"/>
      <c r="AM3802" s="436"/>
      <c r="AN3802" s="434"/>
      <c r="AO3802" s="434"/>
      <c r="AP3802" s="556"/>
      <c r="AQ3802" s="556"/>
      <c r="AR3802" s="556"/>
      <c r="CF3802" s="2"/>
    </row>
    <row r="3803" spans="3:84">
      <c r="C3803" s="2"/>
      <c r="AD3803" s="502"/>
      <c r="AE3803" s="911"/>
      <c r="AF3803" s="502"/>
      <c r="AH3803" s="898"/>
      <c r="AI3803" s="502"/>
      <c r="AJ3803" s="502"/>
      <c r="AL3803" s="434"/>
      <c r="AM3803" s="436"/>
      <c r="AN3803" s="434"/>
      <c r="AO3803" s="434"/>
      <c r="AP3803" s="556"/>
      <c r="AQ3803" s="556"/>
      <c r="AR3803" s="556"/>
      <c r="CF3803" s="2"/>
    </row>
    <row r="3804" spans="3:84">
      <c r="C3804" s="2"/>
      <c r="AD3804" s="502"/>
      <c r="AE3804" s="911"/>
      <c r="AF3804" s="502"/>
      <c r="AH3804" s="898"/>
      <c r="AI3804" s="502"/>
      <c r="AJ3804" s="502"/>
      <c r="AL3804" s="434"/>
      <c r="AM3804" s="436"/>
      <c r="AN3804" s="434"/>
      <c r="AO3804" s="434"/>
      <c r="AP3804" s="556"/>
      <c r="AQ3804" s="556"/>
      <c r="AR3804" s="556"/>
      <c r="CF3804" s="2"/>
    </row>
    <row r="3805" spans="3:84">
      <c r="C3805" s="2"/>
      <c r="AD3805" s="502"/>
      <c r="AE3805" s="911"/>
      <c r="AF3805" s="502"/>
      <c r="AH3805" s="898"/>
      <c r="AI3805" s="502"/>
      <c r="AJ3805" s="502"/>
      <c r="AL3805" s="434"/>
      <c r="AM3805" s="436"/>
      <c r="AN3805" s="434"/>
      <c r="AO3805" s="434"/>
      <c r="AP3805" s="556"/>
      <c r="AQ3805" s="556"/>
      <c r="AR3805" s="556"/>
      <c r="CF3805" s="2"/>
    </row>
    <row r="3806" spans="3:84">
      <c r="C3806" s="2"/>
      <c r="AD3806" s="502"/>
      <c r="AE3806" s="911"/>
      <c r="AF3806" s="502"/>
      <c r="AH3806" s="898"/>
      <c r="AI3806" s="502"/>
      <c r="AJ3806" s="502"/>
      <c r="AL3806" s="434"/>
      <c r="AM3806" s="436"/>
      <c r="AN3806" s="434"/>
      <c r="AO3806" s="434"/>
      <c r="AP3806" s="556"/>
      <c r="AQ3806" s="556"/>
      <c r="AR3806" s="556"/>
      <c r="CF3806" s="2"/>
    </row>
    <row r="3807" spans="3:84">
      <c r="C3807" s="2"/>
      <c r="AD3807" s="502"/>
      <c r="AE3807" s="911"/>
      <c r="AF3807" s="502"/>
      <c r="AH3807" s="898"/>
      <c r="AI3807" s="502"/>
      <c r="AJ3807" s="502"/>
      <c r="AL3807" s="434"/>
      <c r="AM3807" s="436"/>
      <c r="AN3807" s="434"/>
      <c r="AO3807" s="434"/>
      <c r="AP3807" s="556"/>
      <c r="AQ3807" s="556"/>
      <c r="AR3807" s="556"/>
      <c r="CF3807" s="2"/>
    </row>
    <row r="3808" spans="3:84">
      <c r="C3808" s="2"/>
      <c r="AD3808" s="502"/>
      <c r="AE3808" s="911"/>
      <c r="AF3808" s="502"/>
      <c r="AH3808" s="898"/>
      <c r="AI3808" s="502"/>
      <c r="AJ3808" s="502"/>
      <c r="AL3808" s="434"/>
      <c r="AM3808" s="436"/>
      <c r="AN3808" s="434"/>
      <c r="AO3808" s="434"/>
      <c r="AP3808" s="556"/>
      <c r="AQ3808" s="556"/>
      <c r="AR3808" s="556"/>
      <c r="CF3808" s="2"/>
    </row>
    <row r="3809" spans="3:84">
      <c r="C3809" s="2"/>
      <c r="AD3809" s="502"/>
      <c r="AE3809" s="911"/>
      <c r="AF3809" s="502"/>
      <c r="AH3809" s="898"/>
      <c r="AI3809" s="502"/>
      <c r="AJ3809" s="502"/>
      <c r="AL3809" s="434"/>
      <c r="AM3809" s="436"/>
      <c r="AN3809" s="434"/>
      <c r="AO3809" s="434"/>
      <c r="AP3809" s="556"/>
      <c r="AQ3809" s="556"/>
      <c r="AR3809" s="556"/>
      <c r="CF3809" s="2"/>
    </row>
    <row r="3810" spans="3:84">
      <c r="C3810" s="2"/>
      <c r="AD3810" s="502"/>
      <c r="AE3810" s="911"/>
      <c r="AF3810" s="502"/>
      <c r="AH3810" s="898"/>
      <c r="AI3810" s="502"/>
      <c r="AJ3810" s="502"/>
      <c r="AL3810" s="434"/>
      <c r="AM3810" s="436"/>
      <c r="AN3810" s="434"/>
      <c r="AO3810" s="434"/>
      <c r="AP3810" s="556"/>
      <c r="AQ3810" s="556"/>
      <c r="AR3810" s="556"/>
      <c r="CF3810" s="2"/>
    </row>
    <row r="3811" spans="3:84">
      <c r="C3811" s="2"/>
      <c r="AD3811" s="502"/>
      <c r="AE3811" s="911"/>
      <c r="AF3811" s="502"/>
      <c r="AH3811" s="898"/>
      <c r="AI3811" s="502"/>
      <c r="AJ3811" s="502"/>
      <c r="AL3811" s="434"/>
      <c r="AM3811" s="436"/>
      <c r="AN3811" s="434"/>
      <c r="AO3811" s="434"/>
      <c r="AP3811" s="556"/>
      <c r="AQ3811" s="556"/>
      <c r="AR3811" s="556"/>
      <c r="CF3811" s="2"/>
    </row>
    <row r="3812" spans="3:84">
      <c r="C3812" s="2"/>
      <c r="AD3812" s="502"/>
      <c r="AE3812" s="911"/>
      <c r="AF3812" s="502"/>
      <c r="AH3812" s="898"/>
      <c r="AI3812" s="502"/>
      <c r="AJ3812" s="502"/>
      <c r="AL3812" s="434"/>
      <c r="AM3812" s="436"/>
      <c r="AN3812" s="434"/>
      <c r="AO3812" s="434"/>
      <c r="AP3812" s="556"/>
      <c r="AQ3812" s="556"/>
      <c r="AR3812" s="556"/>
      <c r="CF3812" s="2"/>
    </row>
    <row r="3813" spans="3:84">
      <c r="C3813" s="2"/>
      <c r="AD3813" s="502"/>
      <c r="AE3813" s="911"/>
      <c r="AF3813" s="502"/>
      <c r="AH3813" s="898"/>
      <c r="AI3813" s="502"/>
      <c r="AJ3813" s="502"/>
      <c r="AL3813" s="434"/>
      <c r="AM3813" s="436"/>
      <c r="AN3813" s="434"/>
      <c r="AO3813" s="434"/>
      <c r="AP3813" s="556"/>
      <c r="AQ3813" s="556"/>
      <c r="AR3813" s="556"/>
      <c r="CF3813" s="2"/>
    </row>
    <row r="3814" spans="3:84">
      <c r="C3814" s="2"/>
      <c r="AD3814" s="502"/>
      <c r="AE3814" s="911"/>
      <c r="AF3814" s="502"/>
      <c r="AH3814" s="898"/>
      <c r="AI3814" s="502"/>
      <c r="AJ3814" s="502"/>
      <c r="AL3814" s="434"/>
      <c r="AM3814" s="436"/>
      <c r="AN3814" s="434"/>
      <c r="AO3814" s="434"/>
      <c r="AP3814" s="556"/>
      <c r="AQ3814" s="556"/>
      <c r="AR3814" s="556"/>
      <c r="CF3814" s="2"/>
    </row>
    <row r="3815" spans="3:84">
      <c r="C3815" s="2"/>
      <c r="AD3815" s="502"/>
      <c r="AE3815" s="911"/>
      <c r="AF3815" s="502"/>
      <c r="AH3815" s="898"/>
      <c r="AI3815" s="502"/>
      <c r="AJ3815" s="502"/>
      <c r="AL3815" s="434"/>
      <c r="AM3815" s="436"/>
      <c r="AN3815" s="434"/>
      <c r="AO3815" s="434"/>
      <c r="AP3815" s="556"/>
      <c r="AQ3815" s="556"/>
      <c r="AR3815" s="556"/>
      <c r="CF3815" s="2"/>
    </row>
    <row r="3816" spans="3:84">
      <c r="C3816" s="2"/>
      <c r="AD3816" s="502"/>
      <c r="AE3816" s="911"/>
      <c r="AF3816" s="502"/>
      <c r="AH3816" s="898"/>
      <c r="AI3816" s="502"/>
      <c r="AJ3816" s="502"/>
      <c r="AL3816" s="434"/>
      <c r="AM3816" s="436"/>
      <c r="AN3816" s="434"/>
      <c r="AO3816" s="434"/>
      <c r="AP3816" s="556"/>
      <c r="AQ3816" s="556"/>
      <c r="AR3816" s="556"/>
      <c r="CF3816" s="2"/>
    </row>
    <row r="3817" spans="3:84">
      <c r="C3817" s="2"/>
      <c r="AD3817" s="502"/>
      <c r="AE3817" s="911"/>
      <c r="AF3817" s="502"/>
      <c r="AH3817" s="898"/>
      <c r="AI3817" s="502"/>
      <c r="AJ3817" s="502"/>
      <c r="AL3817" s="434"/>
      <c r="AM3817" s="436"/>
      <c r="AN3817" s="434"/>
      <c r="AO3817" s="434"/>
      <c r="AP3817" s="556"/>
      <c r="AQ3817" s="556"/>
      <c r="AR3817" s="556"/>
      <c r="CF3817" s="2"/>
    </row>
    <row r="3818" spans="3:84">
      <c r="C3818" s="2"/>
      <c r="AD3818" s="502"/>
      <c r="AE3818" s="911"/>
      <c r="AF3818" s="502"/>
      <c r="AH3818" s="898"/>
      <c r="AI3818" s="502"/>
      <c r="AJ3818" s="502"/>
      <c r="AL3818" s="434"/>
      <c r="AM3818" s="436"/>
      <c r="AN3818" s="434"/>
      <c r="AO3818" s="434"/>
      <c r="AP3818" s="556"/>
      <c r="AQ3818" s="556"/>
      <c r="AR3818" s="556"/>
      <c r="CF3818" s="2"/>
    </row>
    <row r="3819" spans="3:84">
      <c r="C3819" s="2"/>
      <c r="AD3819" s="502"/>
      <c r="AE3819" s="911"/>
      <c r="AF3819" s="502"/>
      <c r="AH3819" s="898"/>
      <c r="AI3819" s="502"/>
      <c r="AJ3819" s="502"/>
      <c r="AL3819" s="434"/>
      <c r="AM3819" s="436"/>
      <c r="AN3819" s="434"/>
      <c r="AO3819" s="434"/>
      <c r="AP3819" s="556"/>
      <c r="AQ3819" s="556"/>
      <c r="AR3819" s="556"/>
      <c r="CF3819" s="2"/>
    </row>
    <row r="3820" spans="3:84">
      <c r="C3820" s="2"/>
      <c r="AD3820" s="502"/>
      <c r="AE3820" s="911"/>
      <c r="AF3820" s="502"/>
      <c r="AH3820" s="898"/>
      <c r="AI3820" s="502"/>
      <c r="AJ3820" s="502"/>
      <c r="AL3820" s="434"/>
      <c r="AM3820" s="436"/>
      <c r="AN3820" s="434"/>
      <c r="AO3820" s="434"/>
      <c r="AP3820" s="556"/>
      <c r="AQ3820" s="556"/>
      <c r="AR3820" s="556"/>
      <c r="CF3820" s="2"/>
    </row>
    <row r="3821" spans="3:84">
      <c r="C3821" s="2"/>
      <c r="AD3821" s="502"/>
      <c r="AE3821" s="911"/>
      <c r="AF3821" s="502"/>
      <c r="AH3821" s="898"/>
      <c r="AI3821" s="502"/>
      <c r="AJ3821" s="502"/>
      <c r="AL3821" s="434"/>
      <c r="AM3821" s="436"/>
      <c r="AN3821" s="434"/>
      <c r="AO3821" s="434"/>
      <c r="AP3821" s="556"/>
      <c r="AQ3821" s="556"/>
      <c r="AR3821" s="556"/>
      <c r="CF3821" s="2"/>
    </row>
    <row r="3822" spans="3:84">
      <c r="C3822" s="2"/>
      <c r="AD3822" s="502"/>
      <c r="AE3822" s="911"/>
      <c r="AF3822" s="502"/>
      <c r="AH3822" s="898"/>
      <c r="AI3822" s="502"/>
      <c r="AJ3822" s="502"/>
      <c r="AL3822" s="434"/>
      <c r="AM3822" s="436"/>
      <c r="AN3822" s="434"/>
      <c r="AO3822" s="434"/>
      <c r="AP3822" s="556"/>
      <c r="AQ3822" s="556"/>
      <c r="AR3822" s="556"/>
      <c r="CF3822" s="2"/>
    </row>
    <row r="3823" spans="3:84">
      <c r="C3823" s="2"/>
      <c r="AD3823" s="502"/>
      <c r="AE3823" s="911"/>
      <c r="AF3823" s="502"/>
      <c r="AH3823" s="898"/>
      <c r="AI3823" s="502"/>
      <c r="AJ3823" s="502"/>
      <c r="AL3823" s="434"/>
      <c r="AM3823" s="436"/>
      <c r="AN3823" s="434"/>
      <c r="AO3823" s="434"/>
      <c r="AP3823" s="556"/>
      <c r="AQ3823" s="556"/>
      <c r="AR3823" s="556"/>
      <c r="CF3823" s="2"/>
    </row>
    <row r="3824" spans="3:84">
      <c r="C3824" s="2"/>
      <c r="AD3824" s="502"/>
      <c r="AE3824" s="911"/>
      <c r="AF3824" s="502"/>
      <c r="AH3824" s="898"/>
      <c r="AI3824" s="502"/>
      <c r="AJ3824" s="502"/>
      <c r="AL3824" s="434"/>
      <c r="AM3824" s="436"/>
      <c r="AN3824" s="434"/>
      <c r="AO3824" s="434"/>
      <c r="AP3824" s="556"/>
      <c r="AQ3824" s="556"/>
      <c r="AR3824" s="556"/>
      <c r="CF3824" s="2"/>
    </row>
    <row r="3825" spans="3:84">
      <c r="C3825" s="2"/>
      <c r="AD3825" s="502"/>
      <c r="AE3825" s="911"/>
      <c r="AF3825" s="502"/>
      <c r="AH3825" s="898"/>
      <c r="AI3825" s="502"/>
      <c r="AJ3825" s="502"/>
      <c r="AL3825" s="434"/>
      <c r="AM3825" s="436"/>
      <c r="AN3825" s="434"/>
      <c r="AO3825" s="434"/>
      <c r="AP3825" s="556"/>
      <c r="AQ3825" s="556"/>
      <c r="AR3825" s="556"/>
      <c r="CF3825" s="2"/>
    </row>
    <row r="3826" spans="3:84">
      <c r="C3826" s="2"/>
      <c r="AD3826" s="502"/>
      <c r="AE3826" s="911"/>
      <c r="AF3826" s="502"/>
      <c r="AH3826" s="898"/>
      <c r="AI3826" s="502"/>
      <c r="AJ3826" s="502"/>
      <c r="AL3826" s="434"/>
      <c r="AM3826" s="436"/>
      <c r="AN3826" s="434"/>
      <c r="AO3826" s="434"/>
      <c r="AP3826" s="556"/>
      <c r="AQ3826" s="556"/>
      <c r="AR3826" s="556"/>
      <c r="CF3826" s="2"/>
    </row>
    <row r="3827" spans="3:84">
      <c r="C3827" s="2"/>
      <c r="AD3827" s="502"/>
      <c r="AE3827" s="911"/>
      <c r="AF3827" s="502"/>
      <c r="AH3827" s="898"/>
      <c r="AI3827" s="502"/>
      <c r="AJ3827" s="502"/>
      <c r="AL3827" s="434"/>
      <c r="AM3827" s="436"/>
      <c r="AN3827" s="434"/>
      <c r="AO3827" s="434"/>
      <c r="AP3827" s="556"/>
      <c r="AQ3827" s="556"/>
      <c r="AR3827" s="556"/>
      <c r="CF3827" s="2"/>
    </row>
    <row r="3828" spans="3:84">
      <c r="C3828" s="2"/>
      <c r="AD3828" s="502"/>
      <c r="AE3828" s="911"/>
      <c r="AF3828" s="502"/>
      <c r="AH3828" s="898"/>
      <c r="AI3828" s="502"/>
      <c r="AJ3828" s="502"/>
      <c r="AL3828" s="434"/>
      <c r="AM3828" s="436"/>
      <c r="AN3828" s="434"/>
      <c r="AO3828" s="434"/>
      <c r="AP3828" s="556"/>
      <c r="AQ3828" s="556"/>
      <c r="AR3828" s="556"/>
      <c r="CF3828" s="2"/>
    </row>
    <row r="3829" spans="3:84">
      <c r="C3829" s="2"/>
      <c r="AD3829" s="502"/>
      <c r="AE3829" s="911"/>
      <c r="AF3829" s="502"/>
      <c r="AH3829" s="898"/>
      <c r="AI3829" s="502"/>
      <c r="AJ3829" s="502"/>
      <c r="AL3829" s="434"/>
      <c r="AM3829" s="436"/>
      <c r="AN3829" s="434"/>
      <c r="AO3829" s="434"/>
      <c r="AP3829" s="556"/>
      <c r="AQ3829" s="556"/>
      <c r="AR3829" s="556"/>
      <c r="CF3829" s="2"/>
    </row>
    <row r="3830" spans="3:84">
      <c r="C3830" s="2"/>
      <c r="AD3830" s="502"/>
      <c r="AE3830" s="911"/>
      <c r="AF3830" s="502"/>
      <c r="AH3830" s="898"/>
      <c r="AI3830" s="502"/>
      <c r="AJ3830" s="502"/>
      <c r="AL3830" s="434"/>
      <c r="AM3830" s="436"/>
      <c r="AN3830" s="434"/>
      <c r="AO3830" s="434"/>
      <c r="AP3830" s="556"/>
      <c r="AQ3830" s="556"/>
      <c r="AR3830" s="556"/>
      <c r="CF3830" s="2"/>
    </row>
    <row r="3831" spans="3:84">
      <c r="C3831" s="2"/>
      <c r="AD3831" s="502"/>
      <c r="AE3831" s="911"/>
      <c r="AF3831" s="502"/>
      <c r="AH3831" s="898"/>
      <c r="AI3831" s="502"/>
      <c r="AJ3831" s="502"/>
      <c r="AL3831" s="434"/>
      <c r="AM3831" s="436"/>
      <c r="AN3831" s="434"/>
      <c r="AO3831" s="434"/>
      <c r="AP3831" s="556"/>
      <c r="AQ3831" s="556"/>
      <c r="AR3831" s="556"/>
      <c r="CF3831" s="2"/>
    </row>
    <row r="3832" spans="3:84">
      <c r="C3832" s="2"/>
      <c r="AD3832" s="502"/>
      <c r="AE3832" s="911"/>
      <c r="AF3832" s="502"/>
      <c r="AH3832" s="898"/>
      <c r="AI3832" s="502"/>
      <c r="AJ3832" s="502"/>
      <c r="AL3832" s="434"/>
      <c r="AM3832" s="436"/>
      <c r="AN3832" s="434"/>
      <c r="AO3832" s="434"/>
      <c r="AP3832" s="556"/>
      <c r="AQ3832" s="556"/>
      <c r="AR3832" s="556"/>
      <c r="CF3832" s="2"/>
    </row>
    <row r="3833" spans="3:84">
      <c r="C3833" s="2"/>
      <c r="AD3833" s="502"/>
      <c r="AE3833" s="911"/>
      <c r="AF3833" s="502"/>
      <c r="AH3833" s="898"/>
      <c r="AI3833" s="502"/>
      <c r="AJ3833" s="502"/>
      <c r="AL3833" s="434"/>
      <c r="AM3833" s="436"/>
      <c r="AN3833" s="434"/>
      <c r="AO3833" s="434"/>
      <c r="AP3833" s="556"/>
      <c r="AQ3833" s="556"/>
      <c r="AR3833" s="556"/>
      <c r="CF3833" s="2"/>
    </row>
    <row r="3834" spans="3:84">
      <c r="C3834" s="2"/>
      <c r="AD3834" s="502"/>
      <c r="AE3834" s="911"/>
      <c r="AF3834" s="502"/>
      <c r="AH3834" s="898"/>
      <c r="AI3834" s="502"/>
      <c r="AJ3834" s="502"/>
      <c r="AL3834" s="434"/>
      <c r="AM3834" s="436"/>
      <c r="AN3834" s="434"/>
      <c r="AO3834" s="434"/>
      <c r="AP3834" s="556"/>
      <c r="AQ3834" s="556"/>
      <c r="AR3834" s="556"/>
      <c r="CF3834" s="2"/>
    </row>
    <row r="3835" spans="3:84">
      <c r="C3835" s="2"/>
      <c r="AD3835" s="502"/>
      <c r="AE3835" s="911"/>
      <c r="AF3835" s="502"/>
      <c r="AH3835" s="898"/>
      <c r="AI3835" s="502"/>
      <c r="AJ3835" s="502"/>
      <c r="AL3835" s="434"/>
      <c r="AM3835" s="436"/>
      <c r="AN3835" s="434"/>
      <c r="AO3835" s="434"/>
      <c r="AP3835" s="556"/>
      <c r="AQ3835" s="556"/>
      <c r="AR3835" s="556"/>
      <c r="CF3835" s="2"/>
    </row>
    <row r="3836" spans="3:84">
      <c r="C3836" s="2"/>
      <c r="AD3836" s="502"/>
      <c r="AE3836" s="911"/>
      <c r="AF3836" s="502"/>
      <c r="AH3836" s="898"/>
      <c r="AI3836" s="502"/>
      <c r="AJ3836" s="502"/>
      <c r="AL3836" s="434"/>
      <c r="AM3836" s="436"/>
      <c r="AN3836" s="434"/>
      <c r="AO3836" s="434"/>
      <c r="AP3836" s="556"/>
      <c r="AQ3836" s="556"/>
      <c r="AR3836" s="556"/>
      <c r="CF3836" s="2"/>
    </row>
    <row r="3837" spans="3:84">
      <c r="C3837" s="2"/>
      <c r="AD3837" s="502"/>
      <c r="AE3837" s="911"/>
      <c r="AF3837" s="502"/>
      <c r="AH3837" s="898"/>
      <c r="AI3837" s="502"/>
      <c r="AJ3837" s="502"/>
      <c r="AL3837" s="434"/>
      <c r="AM3837" s="436"/>
      <c r="AN3837" s="434"/>
      <c r="AO3837" s="434"/>
      <c r="AP3837" s="556"/>
      <c r="AQ3837" s="556"/>
      <c r="AR3837" s="556"/>
      <c r="CF3837" s="2"/>
    </row>
    <row r="3838" spans="3:84">
      <c r="C3838" s="2"/>
      <c r="AD3838" s="502"/>
      <c r="AE3838" s="911"/>
      <c r="AF3838" s="502"/>
      <c r="AH3838" s="898"/>
      <c r="AI3838" s="502"/>
      <c r="AJ3838" s="502"/>
      <c r="AL3838" s="434"/>
      <c r="AM3838" s="436"/>
      <c r="AN3838" s="434"/>
      <c r="AO3838" s="434"/>
      <c r="AP3838" s="556"/>
      <c r="AQ3838" s="556"/>
      <c r="AR3838" s="556"/>
      <c r="CF3838" s="2"/>
    </row>
    <row r="3839" spans="3:84">
      <c r="C3839" s="2"/>
      <c r="AD3839" s="502"/>
      <c r="AE3839" s="911"/>
      <c r="AF3839" s="502"/>
      <c r="AH3839" s="898"/>
      <c r="AI3839" s="502"/>
      <c r="AJ3839" s="502"/>
      <c r="AL3839" s="434"/>
      <c r="AM3839" s="436"/>
      <c r="AN3839" s="434"/>
      <c r="AO3839" s="434"/>
      <c r="AP3839" s="556"/>
      <c r="AQ3839" s="556"/>
      <c r="AR3839" s="556"/>
      <c r="CF3839" s="2"/>
    </row>
    <row r="3840" spans="3:84">
      <c r="C3840" s="2"/>
      <c r="AD3840" s="502"/>
      <c r="AE3840" s="911"/>
      <c r="AF3840" s="502"/>
      <c r="AH3840" s="898"/>
      <c r="AI3840" s="502"/>
      <c r="AJ3840" s="502"/>
      <c r="AL3840" s="434"/>
      <c r="AM3840" s="436"/>
      <c r="AN3840" s="434"/>
      <c r="AO3840" s="434"/>
      <c r="AP3840" s="556"/>
      <c r="AQ3840" s="556"/>
      <c r="AR3840" s="556"/>
      <c r="CF3840" s="2"/>
    </row>
    <row r="3841" spans="3:84">
      <c r="C3841" s="2"/>
      <c r="AD3841" s="502"/>
      <c r="AE3841" s="911"/>
      <c r="AF3841" s="502"/>
      <c r="AH3841" s="898"/>
      <c r="AI3841" s="502"/>
      <c r="AJ3841" s="502"/>
      <c r="AL3841" s="434"/>
      <c r="AM3841" s="436"/>
      <c r="AN3841" s="434"/>
      <c r="AO3841" s="434"/>
      <c r="AP3841" s="556"/>
      <c r="AQ3841" s="556"/>
      <c r="AR3841" s="556"/>
      <c r="CF3841" s="2"/>
    </row>
    <row r="3842" spans="3:84">
      <c r="C3842" s="2"/>
      <c r="AD3842" s="502"/>
      <c r="AE3842" s="911"/>
      <c r="AF3842" s="502"/>
      <c r="AH3842" s="898"/>
      <c r="AI3842" s="502"/>
      <c r="AJ3842" s="502"/>
      <c r="AL3842" s="434"/>
      <c r="AM3842" s="436"/>
      <c r="AN3842" s="434"/>
      <c r="AO3842" s="434"/>
      <c r="AP3842" s="556"/>
      <c r="AQ3842" s="556"/>
      <c r="AR3842" s="556"/>
      <c r="CF3842" s="2"/>
    </row>
    <row r="3843" spans="3:84">
      <c r="C3843" s="2"/>
      <c r="AD3843" s="502"/>
      <c r="AE3843" s="911"/>
      <c r="AF3843" s="502"/>
      <c r="AH3843" s="898"/>
      <c r="AI3843" s="502"/>
      <c r="AJ3843" s="502"/>
      <c r="AL3843" s="434"/>
      <c r="AM3843" s="436"/>
      <c r="AN3843" s="434"/>
      <c r="AO3843" s="434"/>
      <c r="AP3843" s="556"/>
      <c r="AQ3843" s="556"/>
      <c r="AR3843" s="556"/>
      <c r="CF3843" s="2"/>
    </row>
    <row r="3844" spans="3:84">
      <c r="C3844" s="2"/>
      <c r="AD3844" s="502"/>
      <c r="AE3844" s="911"/>
      <c r="AF3844" s="502"/>
      <c r="AH3844" s="898"/>
      <c r="AI3844" s="502"/>
      <c r="AJ3844" s="502"/>
      <c r="AL3844" s="434"/>
      <c r="AM3844" s="436"/>
      <c r="AN3844" s="434"/>
      <c r="AO3844" s="434"/>
      <c r="AP3844" s="556"/>
      <c r="AQ3844" s="556"/>
      <c r="AR3844" s="556"/>
      <c r="CF3844" s="2"/>
    </row>
    <row r="3845" spans="3:84">
      <c r="C3845" s="2"/>
      <c r="AD3845" s="502"/>
      <c r="AE3845" s="911"/>
      <c r="AF3845" s="502"/>
      <c r="AH3845" s="898"/>
      <c r="AI3845" s="502"/>
      <c r="AJ3845" s="502"/>
      <c r="AL3845" s="434"/>
      <c r="AM3845" s="436"/>
      <c r="AN3845" s="434"/>
      <c r="AO3845" s="434"/>
      <c r="AP3845" s="556"/>
      <c r="AQ3845" s="556"/>
      <c r="AR3845" s="556"/>
      <c r="CF3845" s="2"/>
    </row>
    <row r="3846" spans="3:84">
      <c r="C3846" s="2"/>
      <c r="AD3846" s="502"/>
      <c r="AE3846" s="911"/>
      <c r="AF3846" s="502"/>
      <c r="AH3846" s="898"/>
      <c r="AI3846" s="502"/>
      <c r="AJ3846" s="502"/>
      <c r="AL3846" s="434"/>
      <c r="AM3846" s="436"/>
      <c r="AN3846" s="434"/>
      <c r="AO3846" s="434"/>
      <c r="AP3846" s="556"/>
      <c r="AQ3846" s="556"/>
      <c r="AR3846" s="556"/>
      <c r="CF3846" s="2"/>
    </row>
    <row r="3847" spans="3:84">
      <c r="C3847" s="2"/>
      <c r="AD3847" s="502"/>
      <c r="AE3847" s="911"/>
      <c r="AF3847" s="502"/>
      <c r="AH3847" s="898"/>
      <c r="AI3847" s="502"/>
      <c r="AJ3847" s="502"/>
      <c r="AL3847" s="434"/>
      <c r="AM3847" s="436"/>
      <c r="AN3847" s="434"/>
      <c r="AO3847" s="434"/>
      <c r="AP3847" s="556"/>
      <c r="AQ3847" s="556"/>
      <c r="AR3847" s="556"/>
      <c r="CF3847" s="2"/>
    </row>
    <row r="3848" spans="3:84">
      <c r="C3848" s="2"/>
      <c r="AD3848" s="502"/>
      <c r="AE3848" s="911"/>
      <c r="AF3848" s="502"/>
      <c r="AH3848" s="898"/>
      <c r="AI3848" s="502"/>
      <c r="AJ3848" s="502"/>
      <c r="AL3848" s="434"/>
      <c r="AM3848" s="436"/>
      <c r="AN3848" s="434"/>
      <c r="AO3848" s="434"/>
      <c r="AP3848" s="556"/>
      <c r="AQ3848" s="556"/>
      <c r="AR3848" s="556"/>
      <c r="CF3848" s="2"/>
    </row>
    <row r="3849" spans="3:84">
      <c r="C3849" s="2"/>
      <c r="AD3849" s="502"/>
      <c r="AE3849" s="911"/>
      <c r="AF3849" s="502"/>
      <c r="AH3849" s="898"/>
      <c r="AI3849" s="502"/>
      <c r="AJ3849" s="502"/>
      <c r="AL3849" s="434"/>
      <c r="AM3849" s="436"/>
      <c r="AN3849" s="434"/>
      <c r="AO3849" s="434"/>
      <c r="AP3849" s="556"/>
      <c r="AQ3849" s="556"/>
      <c r="AR3849" s="556"/>
      <c r="CF3849" s="2"/>
    </row>
    <row r="3850" spans="3:84">
      <c r="C3850" s="2"/>
      <c r="AD3850" s="502"/>
      <c r="AE3850" s="911"/>
      <c r="AF3850" s="502"/>
      <c r="AH3850" s="898"/>
      <c r="AI3850" s="502"/>
      <c r="AJ3850" s="502"/>
      <c r="AL3850" s="434"/>
      <c r="AM3850" s="436"/>
      <c r="AN3850" s="434"/>
      <c r="AO3850" s="434"/>
      <c r="AP3850" s="556"/>
      <c r="AQ3850" s="556"/>
      <c r="AR3850" s="556"/>
      <c r="CF3850" s="2"/>
    </row>
    <row r="3851" spans="3:84">
      <c r="C3851" s="2"/>
      <c r="AD3851" s="502"/>
      <c r="AE3851" s="911"/>
      <c r="AF3851" s="502"/>
      <c r="AH3851" s="898"/>
      <c r="AI3851" s="502"/>
      <c r="AJ3851" s="502"/>
      <c r="AL3851" s="434"/>
      <c r="AM3851" s="436"/>
      <c r="AN3851" s="434"/>
      <c r="AO3851" s="434"/>
      <c r="AP3851" s="556"/>
      <c r="AQ3851" s="556"/>
      <c r="AR3851" s="556"/>
      <c r="CF3851" s="2"/>
    </row>
    <row r="3852" spans="3:84">
      <c r="C3852" s="2"/>
      <c r="AD3852" s="502"/>
      <c r="AE3852" s="911"/>
      <c r="AF3852" s="502"/>
      <c r="AH3852" s="898"/>
      <c r="AI3852" s="502"/>
      <c r="AJ3852" s="502"/>
      <c r="AL3852" s="434"/>
      <c r="AM3852" s="436"/>
      <c r="AN3852" s="434"/>
      <c r="AO3852" s="434"/>
      <c r="AP3852" s="556"/>
      <c r="AQ3852" s="556"/>
      <c r="AR3852" s="556"/>
      <c r="CF3852" s="2"/>
    </row>
    <row r="3853" spans="3:84">
      <c r="C3853" s="2"/>
      <c r="AD3853" s="502"/>
      <c r="AE3853" s="911"/>
      <c r="AF3853" s="502"/>
      <c r="AH3853" s="898"/>
      <c r="AI3853" s="502"/>
      <c r="AJ3853" s="502"/>
      <c r="AL3853" s="434"/>
      <c r="AM3853" s="436"/>
      <c r="AN3853" s="434"/>
      <c r="AO3853" s="434"/>
      <c r="AP3853" s="556"/>
      <c r="AQ3853" s="556"/>
      <c r="AR3853" s="556"/>
      <c r="CF3853" s="2"/>
    </row>
    <row r="3854" spans="3:84">
      <c r="C3854" s="2"/>
      <c r="AD3854" s="502"/>
      <c r="AE3854" s="911"/>
      <c r="AF3854" s="502"/>
      <c r="AH3854" s="898"/>
      <c r="AI3854" s="502"/>
      <c r="AJ3854" s="502"/>
      <c r="AL3854" s="434"/>
      <c r="AM3854" s="436"/>
      <c r="AN3854" s="434"/>
      <c r="AO3854" s="434"/>
      <c r="AP3854" s="556"/>
      <c r="AQ3854" s="556"/>
      <c r="AR3854" s="556"/>
      <c r="CF3854" s="2"/>
    </row>
    <row r="3855" spans="3:84">
      <c r="C3855" s="2"/>
      <c r="AD3855" s="502"/>
      <c r="AE3855" s="911"/>
      <c r="AF3855" s="502"/>
      <c r="AH3855" s="898"/>
      <c r="AI3855" s="502"/>
      <c r="AJ3855" s="502"/>
      <c r="AL3855" s="434"/>
      <c r="AM3855" s="436"/>
      <c r="AN3855" s="434"/>
      <c r="AO3855" s="434"/>
      <c r="AP3855" s="556"/>
      <c r="AQ3855" s="556"/>
      <c r="AR3855" s="556"/>
      <c r="CF3855" s="2"/>
    </row>
    <row r="3856" spans="3:84">
      <c r="C3856" s="2"/>
      <c r="AD3856" s="502"/>
      <c r="AE3856" s="911"/>
      <c r="AF3856" s="502"/>
      <c r="AH3856" s="898"/>
      <c r="AI3856" s="502"/>
      <c r="AJ3856" s="502"/>
      <c r="AL3856" s="434"/>
      <c r="AM3856" s="436"/>
      <c r="AN3856" s="434"/>
      <c r="AO3856" s="434"/>
      <c r="AP3856" s="556"/>
      <c r="AQ3856" s="556"/>
      <c r="AR3856" s="556"/>
      <c r="CF3856" s="2"/>
    </row>
    <row r="3857" spans="3:84">
      <c r="C3857" s="2"/>
      <c r="AD3857" s="502"/>
      <c r="AE3857" s="911"/>
      <c r="AF3857" s="502"/>
      <c r="AH3857" s="898"/>
      <c r="AI3857" s="502"/>
      <c r="AJ3857" s="502"/>
      <c r="AL3857" s="434"/>
      <c r="AM3857" s="436"/>
      <c r="AN3857" s="434"/>
      <c r="AO3857" s="434"/>
      <c r="AP3857" s="556"/>
      <c r="AQ3857" s="556"/>
      <c r="AR3857" s="556"/>
      <c r="CF3857" s="2"/>
    </row>
    <row r="3858" spans="3:84">
      <c r="C3858" s="2"/>
      <c r="AD3858" s="502"/>
      <c r="AE3858" s="911"/>
      <c r="AF3858" s="502"/>
      <c r="AH3858" s="898"/>
      <c r="AI3858" s="502"/>
      <c r="AJ3858" s="502"/>
      <c r="AL3858" s="434"/>
      <c r="AM3858" s="436"/>
      <c r="AN3858" s="434"/>
      <c r="AO3858" s="434"/>
      <c r="AP3858" s="556"/>
      <c r="AQ3858" s="556"/>
      <c r="AR3858" s="556"/>
      <c r="CF3858" s="2"/>
    </row>
    <row r="3859" spans="3:84">
      <c r="C3859" s="2"/>
      <c r="AD3859" s="502"/>
      <c r="AE3859" s="911"/>
      <c r="AF3859" s="502"/>
      <c r="AH3859" s="898"/>
      <c r="AI3859" s="502"/>
      <c r="AJ3859" s="502"/>
      <c r="AL3859" s="434"/>
      <c r="AM3859" s="436"/>
      <c r="AN3859" s="434"/>
      <c r="AO3859" s="434"/>
      <c r="AP3859" s="556"/>
      <c r="AQ3859" s="556"/>
      <c r="AR3859" s="556"/>
      <c r="CF3859" s="2"/>
    </row>
    <row r="3860" spans="3:84">
      <c r="C3860" s="2"/>
      <c r="AD3860" s="502"/>
      <c r="AE3860" s="911"/>
      <c r="AF3860" s="502"/>
      <c r="AH3860" s="898"/>
      <c r="AI3860" s="502"/>
      <c r="AJ3860" s="502"/>
      <c r="AL3860" s="434"/>
      <c r="AM3860" s="436"/>
      <c r="AN3860" s="434"/>
      <c r="AO3860" s="434"/>
      <c r="AP3860" s="556"/>
      <c r="AQ3860" s="556"/>
      <c r="AR3860" s="556"/>
      <c r="CF3860" s="2"/>
    </row>
    <row r="3861" spans="3:84">
      <c r="C3861" s="2"/>
      <c r="AD3861" s="502"/>
      <c r="AE3861" s="911"/>
      <c r="AF3861" s="502"/>
      <c r="AH3861" s="898"/>
      <c r="AI3861" s="502"/>
      <c r="AJ3861" s="502"/>
      <c r="AL3861" s="434"/>
      <c r="AM3861" s="436"/>
      <c r="AN3861" s="434"/>
      <c r="AO3861" s="434"/>
      <c r="AP3861" s="556"/>
      <c r="AQ3861" s="556"/>
      <c r="AR3861" s="556"/>
      <c r="CF3861" s="2"/>
    </row>
    <row r="3862" spans="3:84">
      <c r="C3862" s="2"/>
      <c r="AD3862" s="502"/>
      <c r="AE3862" s="911"/>
      <c r="AF3862" s="502"/>
      <c r="AH3862" s="898"/>
      <c r="AI3862" s="502"/>
      <c r="AJ3862" s="502"/>
      <c r="AL3862" s="434"/>
      <c r="AM3862" s="436"/>
      <c r="AN3862" s="434"/>
      <c r="AO3862" s="434"/>
      <c r="AP3862" s="556"/>
      <c r="AQ3862" s="556"/>
      <c r="AR3862" s="556"/>
      <c r="CF3862" s="2"/>
    </row>
    <row r="3863" spans="3:84">
      <c r="C3863" s="2"/>
      <c r="AD3863" s="502"/>
      <c r="AE3863" s="911"/>
      <c r="AF3863" s="502"/>
      <c r="AH3863" s="898"/>
      <c r="AI3863" s="502"/>
      <c r="AJ3863" s="502"/>
      <c r="AL3863" s="434"/>
      <c r="AM3863" s="436"/>
      <c r="AN3863" s="434"/>
      <c r="AO3863" s="434"/>
      <c r="AP3863" s="556"/>
      <c r="AQ3863" s="556"/>
      <c r="AR3863" s="556"/>
      <c r="CF3863" s="2"/>
    </row>
    <row r="3864" spans="3:84">
      <c r="C3864" s="2"/>
      <c r="AD3864" s="502"/>
      <c r="AE3864" s="911"/>
      <c r="AF3864" s="502"/>
      <c r="AH3864" s="898"/>
      <c r="AI3864" s="502"/>
      <c r="AJ3864" s="502"/>
      <c r="AL3864" s="434"/>
      <c r="AM3864" s="436"/>
      <c r="AN3864" s="434"/>
      <c r="AO3864" s="434"/>
      <c r="AP3864" s="556"/>
      <c r="AQ3864" s="556"/>
      <c r="AR3864" s="556"/>
      <c r="CF3864" s="2"/>
    </row>
    <row r="3865" spans="3:84">
      <c r="C3865" s="2"/>
      <c r="AD3865" s="502"/>
      <c r="AE3865" s="911"/>
      <c r="AF3865" s="502"/>
      <c r="AH3865" s="898"/>
      <c r="AI3865" s="502"/>
      <c r="AJ3865" s="502"/>
      <c r="AL3865" s="434"/>
      <c r="AM3865" s="436"/>
      <c r="AN3865" s="434"/>
      <c r="AO3865" s="434"/>
      <c r="AP3865" s="556"/>
      <c r="AQ3865" s="556"/>
      <c r="AR3865" s="556"/>
      <c r="CF3865" s="2"/>
    </row>
    <row r="3866" spans="3:84">
      <c r="C3866" s="2"/>
      <c r="AD3866" s="502"/>
      <c r="AE3866" s="911"/>
      <c r="AF3866" s="502"/>
      <c r="AH3866" s="898"/>
      <c r="AI3866" s="502"/>
      <c r="AJ3866" s="502"/>
      <c r="AL3866" s="434"/>
      <c r="AM3866" s="436"/>
      <c r="AN3866" s="434"/>
      <c r="AO3866" s="434"/>
      <c r="AP3866" s="556"/>
      <c r="AQ3866" s="556"/>
      <c r="AR3866" s="556"/>
      <c r="CF3866" s="2"/>
    </row>
    <row r="3867" spans="3:84">
      <c r="C3867" s="2"/>
      <c r="AD3867" s="502"/>
      <c r="AE3867" s="911"/>
      <c r="AF3867" s="502"/>
      <c r="AH3867" s="898"/>
      <c r="AI3867" s="502"/>
      <c r="AJ3867" s="502"/>
      <c r="AL3867" s="434"/>
      <c r="AM3867" s="436"/>
      <c r="AN3867" s="434"/>
      <c r="AO3867" s="434"/>
      <c r="AP3867" s="556"/>
      <c r="AQ3867" s="556"/>
      <c r="AR3867" s="556"/>
      <c r="CF3867" s="2"/>
    </row>
    <row r="3868" spans="3:84">
      <c r="C3868" s="2"/>
      <c r="AD3868" s="502"/>
      <c r="AE3868" s="911"/>
      <c r="AF3868" s="502"/>
      <c r="AH3868" s="898"/>
      <c r="AI3868" s="502"/>
      <c r="AJ3868" s="502"/>
      <c r="AL3868" s="434"/>
      <c r="AM3868" s="436"/>
      <c r="AN3868" s="434"/>
      <c r="AO3868" s="434"/>
      <c r="AP3868" s="556"/>
      <c r="AQ3868" s="556"/>
      <c r="AR3868" s="556"/>
      <c r="CF3868" s="2"/>
    </row>
    <row r="3869" spans="3:84">
      <c r="C3869" s="2"/>
      <c r="AD3869" s="502"/>
      <c r="AE3869" s="911"/>
      <c r="AF3869" s="502"/>
      <c r="AH3869" s="898"/>
      <c r="AI3869" s="502"/>
      <c r="AJ3869" s="502"/>
      <c r="AL3869" s="434"/>
      <c r="AM3869" s="436"/>
      <c r="AN3869" s="434"/>
      <c r="AO3869" s="434"/>
      <c r="AP3869" s="556"/>
      <c r="AQ3869" s="556"/>
      <c r="AR3869" s="556"/>
      <c r="CF3869" s="2"/>
    </row>
    <row r="3870" spans="3:84">
      <c r="C3870" s="2"/>
      <c r="AD3870" s="502"/>
      <c r="AE3870" s="911"/>
      <c r="AF3870" s="502"/>
      <c r="AH3870" s="898"/>
      <c r="AI3870" s="502"/>
      <c r="AJ3870" s="502"/>
      <c r="AL3870" s="434"/>
      <c r="AM3870" s="436"/>
      <c r="AN3870" s="434"/>
      <c r="AO3870" s="434"/>
      <c r="AP3870" s="556"/>
      <c r="AQ3870" s="556"/>
      <c r="AR3870" s="556"/>
      <c r="CF3870" s="2"/>
    </row>
    <row r="3871" spans="3:84">
      <c r="C3871" s="2"/>
      <c r="AD3871" s="502"/>
      <c r="AE3871" s="911"/>
      <c r="AF3871" s="502"/>
      <c r="AH3871" s="898"/>
      <c r="AI3871" s="502"/>
      <c r="AJ3871" s="502"/>
      <c r="AL3871" s="434"/>
      <c r="AM3871" s="436"/>
      <c r="AN3871" s="434"/>
      <c r="AO3871" s="434"/>
      <c r="AP3871" s="556"/>
      <c r="AQ3871" s="556"/>
      <c r="AR3871" s="556"/>
      <c r="CF3871" s="2"/>
    </row>
    <row r="3872" spans="3:84">
      <c r="C3872" s="2"/>
      <c r="AD3872" s="502"/>
      <c r="AE3872" s="911"/>
      <c r="AF3872" s="502"/>
      <c r="AH3872" s="898"/>
      <c r="AI3872" s="502"/>
      <c r="AJ3872" s="502"/>
      <c r="AL3872" s="434"/>
      <c r="AM3872" s="436"/>
      <c r="AN3872" s="434"/>
      <c r="AO3872" s="434"/>
      <c r="AP3872" s="556"/>
      <c r="AQ3872" s="556"/>
      <c r="AR3872" s="556"/>
      <c r="CF3872" s="2"/>
    </row>
    <row r="3873" spans="3:84">
      <c r="C3873" s="2"/>
      <c r="AD3873" s="502"/>
      <c r="AE3873" s="911"/>
      <c r="AF3873" s="502"/>
      <c r="AH3873" s="898"/>
      <c r="AI3873" s="502"/>
      <c r="AJ3873" s="502"/>
      <c r="AL3873" s="434"/>
      <c r="AM3873" s="436"/>
      <c r="AN3873" s="434"/>
      <c r="AO3873" s="434"/>
      <c r="AP3873" s="556"/>
      <c r="AQ3873" s="556"/>
      <c r="AR3873" s="556"/>
      <c r="CF3873" s="2"/>
    </row>
    <row r="3874" spans="3:84">
      <c r="C3874" s="2"/>
      <c r="AD3874" s="502"/>
      <c r="AE3874" s="911"/>
      <c r="AF3874" s="502"/>
      <c r="AH3874" s="898"/>
      <c r="AI3874" s="502"/>
      <c r="AJ3874" s="502"/>
      <c r="AL3874" s="434"/>
      <c r="AM3874" s="436"/>
      <c r="AN3874" s="434"/>
      <c r="AO3874" s="434"/>
      <c r="AP3874" s="556"/>
      <c r="AQ3874" s="556"/>
      <c r="AR3874" s="556"/>
      <c r="CF3874" s="2"/>
    </row>
    <row r="3875" spans="3:84">
      <c r="C3875" s="2"/>
      <c r="AD3875" s="502"/>
      <c r="AE3875" s="911"/>
      <c r="AF3875" s="502"/>
      <c r="AH3875" s="898"/>
      <c r="AI3875" s="502"/>
      <c r="AJ3875" s="502"/>
      <c r="AL3875" s="434"/>
      <c r="AM3875" s="436"/>
      <c r="AN3875" s="434"/>
      <c r="AO3875" s="434"/>
      <c r="AP3875" s="556"/>
      <c r="AQ3875" s="556"/>
      <c r="AR3875" s="556"/>
      <c r="CF3875" s="2"/>
    </row>
    <row r="3876" spans="3:84">
      <c r="C3876" s="2"/>
      <c r="AD3876" s="502"/>
      <c r="AE3876" s="911"/>
      <c r="AF3876" s="502"/>
      <c r="AH3876" s="898"/>
      <c r="AI3876" s="502"/>
      <c r="AJ3876" s="502"/>
      <c r="AL3876" s="434"/>
      <c r="AM3876" s="436"/>
      <c r="AN3876" s="434"/>
      <c r="AO3876" s="434"/>
      <c r="AP3876" s="556"/>
      <c r="AQ3876" s="556"/>
      <c r="AR3876" s="556"/>
      <c r="CF3876" s="2"/>
    </row>
    <row r="3877" spans="3:84">
      <c r="C3877" s="2"/>
      <c r="AD3877" s="502"/>
      <c r="AE3877" s="911"/>
      <c r="AF3877" s="502"/>
      <c r="AH3877" s="898"/>
      <c r="AI3877" s="502"/>
      <c r="AJ3877" s="502"/>
      <c r="AL3877" s="434"/>
      <c r="AM3877" s="436"/>
      <c r="AN3877" s="434"/>
      <c r="AO3877" s="434"/>
      <c r="AP3877" s="556"/>
      <c r="AQ3877" s="556"/>
      <c r="AR3877" s="556"/>
      <c r="CF3877" s="2"/>
    </row>
    <row r="3878" spans="3:84">
      <c r="C3878" s="2"/>
      <c r="AD3878" s="502"/>
      <c r="AE3878" s="911"/>
      <c r="AF3878" s="502"/>
      <c r="AH3878" s="898"/>
      <c r="AI3878" s="502"/>
      <c r="AJ3878" s="502"/>
      <c r="AL3878" s="434"/>
      <c r="AM3878" s="436"/>
      <c r="AN3878" s="434"/>
      <c r="AO3878" s="434"/>
      <c r="AP3878" s="556"/>
      <c r="AQ3878" s="556"/>
      <c r="AR3878" s="556"/>
      <c r="CF3878" s="2"/>
    </row>
    <row r="3879" spans="3:84">
      <c r="C3879" s="2"/>
      <c r="AD3879" s="502"/>
      <c r="AE3879" s="911"/>
      <c r="AF3879" s="502"/>
      <c r="AH3879" s="898"/>
      <c r="AI3879" s="502"/>
      <c r="AJ3879" s="502"/>
      <c r="AL3879" s="434"/>
      <c r="AM3879" s="436"/>
      <c r="AN3879" s="434"/>
      <c r="AO3879" s="434"/>
      <c r="AP3879" s="556"/>
      <c r="AQ3879" s="556"/>
      <c r="AR3879" s="556"/>
      <c r="CF3879" s="2"/>
    </row>
    <row r="3880" spans="3:84">
      <c r="C3880" s="2"/>
      <c r="AD3880" s="502"/>
      <c r="AE3880" s="911"/>
      <c r="AF3880" s="502"/>
      <c r="AH3880" s="898"/>
      <c r="AI3880" s="502"/>
      <c r="AJ3880" s="502"/>
      <c r="AL3880" s="434"/>
      <c r="AM3880" s="436"/>
      <c r="AN3880" s="434"/>
      <c r="AO3880" s="434"/>
      <c r="AP3880" s="556"/>
      <c r="AQ3880" s="556"/>
      <c r="AR3880" s="556"/>
      <c r="CF3880" s="2"/>
    </row>
    <row r="3881" spans="3:84">
      <c r="C3881" s="2"/>
      <c r="AD3881" s="502"/>
      <c r="AE3881" s="911"/>
      <c r="AF3881" s="502"/>
      <c r="AH3881" s="898"/>
      <c r="AI3881" s="502"/>
      <c r="AJ3881" s="502"/>
      <c r="AL3881" s="434"/>
      <c r="AM3881" s="436"/>
      <c r="AN3881" s="434"/>
      <c r="AO3881" s="434"/>
      <c r="AP3881" s="556"/>
      <c r="AQ3881" s="556"/>
      <c r="AR3881" s="556"/>
      <c r="CF3881" s="2"/>
    </row>
    <row r="3882" spans="3:84">
      <c r="C3882" s="2"/>
      <c r="AD3882" s="502"/>
      <c r="AE3882" s="911"/>
      <c r="AF3882" s="502"/>
      <c r="AH3882" s="898"/>
      <c r="AI3882" s="502"/>
      <c r="AJ3882" s="502"/>
      <c r="AL3882" s="434"/>
      <c r="AM3882" s="436"/>
      <c r="AN3882" s="434"/>
      <c r="AO3882" s="434"/>
      <c r="AP3882" s="556"/>
      <c r="AQ3882" s="556"/>
      <c r="AR3882" s="556"/>
      <c r="CF3882" s="2"/>
    </row>
    <row r="3883" spans="3:84">
      <c r="C3883" s="2"/>
      <c r="AD3883" s="502"/>
      <c r="AE3883" s="911"/>
      <c r="AF3883" s="502"/>
      <c r="AH3883" s="898"/>
      <c r="AI3883" s="502"/>
      <c r="AJ3883" s="502"/>
      <c r="AL3883" s="434"/>
      <c r="AM3883" s="436"/>
      <c r="AN3883" s="434"/>
      <c r="AO3883" s="434"/>
      <c r="AP3883" s="556"/>
      <c r="AQ3883" s="556"/>
      <c r="AR3883" s="556"/>
      <c r="CF3883" s="2"/>
    </row>
    <row r="3884" spans="3:84">
      <c r="C3884" s="2"/>
      <c r="AD3884" s="502"/>
      <c r="AE3884" s="911"/>
      <c r="AF3884" s="502"/>
      <c r="AH3884" s="898"/>
      <c r="AI3884" s="502"/>
      <c r="AJ3884" s="502"/>
      <c r="AL3884" s="434"/>
      <c r="AM3884" s="436"/>
      <c r="AN3884" s="434"/>
      <c r="AO3884" s="434"/>
      <c r="AP3884" s="556"/>
      <c r="AQ3884" s="556"/>
      <c r="AR3884" s="556"/>
      <c r="CF3884" s="2"/>
    </row>
    <row r="3885" spans="3:84">
      <c r="C3885" s="2"/>
      <c r="AD3885" s="502"/>
      <c r="AE3885" s="911"/>
      <c r="AF3885" s="502"/>
      <c r="AH3885" s="898"/>
      <c r="AI3885" s="502"/>
      <c r="AJ3885" s="502"/>
      <c r="AL3885" s="434"/>
      <c r="AM3885" s="436"/>
      <c r="AN3885" s="434"/>
      <c r="AO3885" s="434"/>
      <c r="AP3885" s="556"/>
      <c r="AQ3885" s="556"/>
      <c r="AR3885" s="556"/>
      <c r="CF3885" s="2"/>
    </row>
    <row r="3886" spans="3:84">
      <c r="C3886" s="2"/>
      <c r="AD3886" s="502"/>
      <c r="AE3886" s="911"/>
      <c r="AF3886" s="502"/>
      <c r="AH3886" s="898"/>
      <c r="AI3886" s="502"/>
      <c r="AJ3886" s="502"/>
      <c r="AL3886" s="434"/>
      <c r="AM3886" s="436"/>
      <c r="AN3886" s="434"/>
      <c r="AO3886" s="434"/>
      <c r="AP3886" s="556"/>
      <c r="AQ3886" s="556"/>
      <c r="AR3886" s="556"/>
      <c r="CF3886" s="2"/>
    </row>
    <row r="3887" spans="3:84">
      <c r="C3887" s="2"/>
      <c r="AD3887" s="502"/>
      <c r="AE3887" s="911"/>
      <c r="AF3887" s="502"/>
      <c r="AH3887" s="898"/>
      <c r="AI3887" s="502"/>
      <c r="AJ3887" s="502"/>
      <c r="AL3887" s="434"/>
      <c r="AM3887" s="436"/>
      <c r="AN3887" s="434"/>
      <c r="AO3887" s="434"/>
      <c r="AP3887" s="556"/>
      <c r="AQ3887" s="556"/>
      <c r="AR3887" s="556"/>
      <c r="CF3887" s="2"/>
    </row>
    <row r="3888" spans="3:84">
      <c r="C3888" s="2"/>
      <c r="AD3888" s="502"/>
      <c r="AE3888" s="911"/>
      <c r="AF3888" s="502"/>
      <c r="AH3888" s="898"/>
      <c r="AI3888" s="502"/>
      <c r="AJ3888" s="502"/>
      <c r="AL3888" s="434"/>
      <c r="AM3888" s="436"/>
      <c r="AN3888" s="434"/>
      <c r="AO3888" s="434"/>
      <c r="AP3888" s="556"/>
      <c r="AQ3888" s="556"/>
      <c r="AR3888" s="556"/>
      <c r="CF3888" s="2"/>
    </row>
    <row r="3889" spans="3:84">
      <c r="C3889" s="2"/>
      <c r="AD3889" s="502"/>
      <c r="AE3889" s="911"/>
      <c r="AF3889" s="502"/>
      <c r="AH3889" s="898"/>
      <c r="AI3889" s="502"/>
      <c r="AJ3889" s="502"/>
      <c r="AL3889" s="434"/>
      <c r="AM3889" s="436"/>
      <c r="AN3889" s="434"/>
      <c r="AO3889" s="434"/>
      <c r="AP3889" s="556"/>
      <c r="AQ3889" s="556"/>
      <c r="AR3889" s="556"/>
      <c r="CF3889" s="2"/>
    </row>
    <row r="3890" spans="3:84">
      <c r="C3890" s="2"/>
      <c r="AD3890" s="502"/>
      <c r="AE3890" s="911"/>
      <c r="AF3890" s="502"/>
      <c r="AH3890" s="898"/>
      <c r="AI3890" s="502"/>
      <c r="AJ3890" s="502"/>
      <c r="AL3890" s="434"/>
      <c r="AM3890" s="436"/>
      <c r="AN3890" s="434"/>
      <c r="AO3890" s="434"/>
      <c r="AP3890" s="556"/>
      <c r="AQ3890" s="556"/>
      <c r="AR3890" s="556"/>
      <c r="CF3890" s="2"/>
    </row>
    <row r="3891" spans="3:84">
      <c r="C3891" s="2"/>
      <c r="AD3891" s="502"/>
      <c r="AE3891" s="911"/>
      <c r="AF3891" s="502"/>
      <c r="AH3891" s="898"/>
      <c r="AI3891" s="502"/>
      <c r="AJ3891" s="502"/>
      <c r="AL3891" s="434"/>
      <c r="AM3891" s="436"/>
      <c r="AN3891" s="434"/>
      <c r="AO3891" s="434"/>
      <c r="AP3891" s="556"/>
      <c r="AQ3891" s="556"/>
      <c r="AR3891" s="556"/>
      <c r="CF3891" s="2"/>
    </row>
    <row r="3892" spans="3:84">
      <c r="C3892" s="2"/>
      <c r="AD3892" s="502"/>
      <c r="AE3892" s="911"/>
      <c r="AF3892" s="502"/>
      <c r="AH3892" s="898"/>
      <c r="AI3892" s="502"/>
      <c r="AJ3892" s="502"/>
      <c r="AL3892" s="434"/>
      <c r="AM3892" s="436"/>
      <c r="AN3892" s="434"/>
      <c r="AO3892" s="434"/>
      <c r="AP3892" s="556"/>
      <c r="AQ3892" s="556"/>
      <c r="AR3892" s="556"/>
      <c r="CF3892" s="2"/>
    </row>
    <row r="3893" spans="3:84">
      <c r="C3893" s="2"/>
      <c r="AD3893" s="502"/>
      <c r="AE3893" s="911"/>
      <c r="AF3893" s="502"/>
      <c r="AH3893" s="898"/>
      <c r="AI3893" s="502"/>
      <c r="AJ3893" s="502"/>
      <c r="AL3893" s="434"/>
      <c r="AM3893" s="436"/>
      <c r="AN3893" s="434"/>
      <c r="AO3893" s="434"/>
      <c r="AP3893" s="556"/>
      <c r="AQ3893" s="556"/>
      <c r="AR3893" s="556"/>
      <c r="CF3893" s="2"/>
    </row>
    <row r="3894" spans="3:84">
      <c r="C3894" s="2"/>
      <c r="AD3894" s="502"/>
      <c r="AE3894" s="911"/>
      <c r="AF3894" s="502"/>
      <c r="AH3894" s="898"/>
      <c r="AI3894" s="502"/>
      <c r="AJ3894" s="502"/>
      <c r="AL3894" s="434"/>
      <c r="AM3894" s="436"/>
      <c r="AN3894" s="434"/>
      <c r="AO3894" s="434"/>
      <c r="AP3894" s="556"/>
      <c r="AQ3894" s="556"/>
      <c r="AR3894" s="556"/>
      <c r="CF3894" s="2"/>
    </row>
    <row r="3895" spans="3:84">
      <c r="C3895" s="2"/>
      <c r="AD3895" s="502"/>
      <c r="AE3895" s="911"/>
      <c r="AF3895" s="502"/>
      <c r="AH3895" s="898"/>
      <c r="AI3895" s="502"/>
      <c r="AJ3895" s="502"/>
      <c r="AL3895" s="434"/>
      <c r="AM3895" s="436"/>
      <c r="AN3895" s="434"/>
      <c r="AO3895" s="434"/>
      <c r="AP3895" s="556"/>
      <c r="AQ3895" s="556"/>
      <c r="AR3895" s="556"/>
      <c r="CF3895" s="2"/>
    </row>
    <row r="3896" spans="3:84">
      <c r="C3896" s="2"/>
      <c r="AD3896" s="502"/>
      <c r="AE3896" s="911"/>
      <c r="AF3896" s="502"/>
      <c r="AH3896" s="898"/>
      <c r="AI3896" s="502"/>
      <c r="AJ3896" s="502"/>
      <c r="AL3896" s="434"/>
      <c r="AM3896" s="436"/>
      <c r="AN3896" s="434"/>
      <c r="AO3896" s="434"/>
      <c r="AP3896" s="556"/>
      <c r="AQ3896" s="556"/>
      <c r="AR3896" s="556"/>
      <c r="CF3896" s="2"/>
    </row>
    <row r="3897" spans="3:84">
      <c r="C3897" s="2"/>
      <c r="AD3897" s="502"/>
      <c r="AE3897" s="911"/>
      <c r="AF3897" s="502"/>
      <c r="AH3897" s="898"/>
      <c r="AI3897" s="502"/>
      <c r="AJ3897" s="502"/>
      <c r="AL3897" s="434"/>
      <c r="AM3897" s="436"/>
      <c r="AN3897" s="434"/>
      <c r="AO3897" s="434"/>
      <c r="AP3897" s="556"/>
      <c r="AQ3897" s="556"/>
      <c r="AR3897" s="556"/>
      <c r="CF3897" s="2"/>
    </row>
    <row r="3898" spans="3:84">
      <c r="C3898" s="2"/>
      <c r="AD3898" s="502"/>
      <c r="AE3898" s="911"/>
      <c r="AF3898" s="502"/>
      <c r="AH3898" s="898"/>
      <c r="AI3898" s="502"/>
      <c r="AJ3898" s="502"/>
      <c r="AL3898" s="434"/>
      <c r="AM3898" s="436"/>
      <c r="AN3898" s="434"/>
      <c r="AO3898" s="434"/>
      <c r="AP3898" s="556"/>
      <c r="AQ3898" s="556"/>
      <c r="AR3898" s="556"/>
      <c r="CF3898" s="2"/>
    </row>
    <row r="3899" spans="3:84">
      <c r="C3899" s="2"/>
      <c r="AD3899" s="502"/>
      <c r="AE3899" s="911"/>
      <c r="AF3899" s="502"/>
      <c r="AH3899" s="898"/>
      <c r="AI3899" s="502"/>
      <c r="AJ3899" s="502"/>
      <c r="AL3899" s="434"/>
      <c r="AM3899" s="436"/>
      <c r="AN3899" s="434"/>
      <c r="AO3899" s="434"/>
      <c r="AP3899" s="556"/>
      <c r="AQ3899" s="556"/>
      <c r="AR3899" s="556"/>
      <c r="CF3899" s="2"/>
    </row>
    <row r="3900" spans="3:84">
      <c r="C3900" s="2"/>
      <c r="AD3900" s="502"/>
      <c r="AE3900" s="911"/>
      <c r="AF3900" s="502"/>
      <c r="AH3900" s="898"/>
      <c r="AI3900" s="502"/>
      <c r="AJ3900" s="502"/>
      <c r="AL3900" s="434"/>
      <c r="AM3900" s="436"/>
      <c r="AN3900" s="434"/>
      <c r="AO3900" s="434"/>
      <c r="AP3900" s="556"/>
      <c r="AQ3900" s="556"/>
      <c r="AR3900" s="556"/>
      <c r="CF3900" s="2"/>
    </row>
    <row r="3901" spans="3:84">
      <c r="C3901" s="2"/>
      <c r="AD3901" s="502"/>
      <c r="AE3901" s="911"/>
      <c r="AF3901" s="502"/>
      <c r="AH3901" s="898"/>
      <c r="AI3901" s="502"/>
      <c r="AJ3901" s="502"/>
      <c r="AL3901" s="434"/>
      <c r="AM3901" s="436"/>
      <c r="AN3901" s="434"/>
      <c r="AO3901" s="434"/>
      <c r="AP3901" s="556"/>
      <c r="AQ3901" s="556"/>
      <c r="AR3901" s="556"/>
      <c r="CF3901" s="2"/>
    </row>
    <row r="3902" spans="3:84">
      <c r="C3902" s="2"/>
      <c r="AD3902" s="502"/>
      <c r="AE3902" s="911"/>
      <c r="AF3902" s="502"/>
      <c r="AH3902" s="898"/>
      <c r="AI3902" s="502"/>
      <c r="AJ3902" s="502"/>
      <c r="AL3902" s="434"/>
      <c r="AM3902" s="436"/>
      <c r="AN3902" s="434"/>
      <c r="AO3902" s="434"/>
      <c r="AP3902" s="556"/>
      <c r="AQ3902" s="556"/>
      <c r="AR3902" s="556"/>
      <c r="CF3902" s="2"/>
    </row>
    <row r="3903" spans="3:84">
      <c r="C3903" s="2"/>
      <c r="AD3903" s="502"/>
      <c r="AE3903" s="911"/>
      <c r="AF3903" s="502"/>
      <c r="AH3903" s="898"/>
      <c r="AI3903" s="502"/>
      <c r="AJ3903" s="502"/>
      <c r="AL3903" s="434"/>
      <c r="AM3903" s="436"/>
      <c r="AN3903" s="434"/>
      <c r="AO3903" s="434"/>
      <c r="AP3903" s="556"/>
      <c r="AQ3903" s="556"/>
      <c r="AR3903" s="556"/>
      <c r="CF3903" s="2"/>
    </row>
    <row r="3904" spans="3:84">
      <c r="C3904" s="2"/>
      <c r="AD3904" s="502"/>
      <c r="AE3904" s="911"/>
      <c r="AF3904" s="502"/>
      <c r="AH3904" s="898"/>
      <c r="AI3904" s="502"/>
      <c r="AJ3904" s="502"/>
      <c r="AL3904" s="434"/>
      <c r="AM3904" s="436"/>
      <c r="AN3904" s="434"/>
      <c r="AO3904" s="434"/>
      <c r="AP3904" s="556"/>
      <c r="AQ3904" s="556"/>
      <c r="AR3904" s="556"/>
      <c r="CF3904" s="2"/>
    </row>
    <row r="3905" spans="3:84">
      <c r="C3905" s="2"/>
      <c r="AD3905" s="502"/>
      <c r="AE3905" s="911"/>
      <c r="AF3905" s="502"/>
      <c r="AH3905" s="898"/>
      <c r="AI3905" s="502"/>
      <c r="AJ3905" s="502"/>
      <c r="AL3905" s="434"/>
      <c r="AM3905" s="436"/>
      <c r="AN3905" s="434"/>
      <c r="AO3905" s="434"/>
      <c r="AP3905" s="556"/>
      <c r="AQ3905" s="556"/>
      <c r="AR3905" s="556"/>
      <c r="CF3905" s="2"/>
    </row>
    <row r="3906" spans="3:84">
      <c r="C3906" s="2"/>
      <c r="AD3906" s="502"/>
      <c r="AE3906" s="911"/>
      <c r="AF3906" s="502"/>
      <c r="AH3906" s="898"/>
      <c r="AI3906" s="502"/>
      <c r="AJ3906" s="502"/>
      <c r="AL3906" s="434"/>
      <c r="AM3906" s="436"/>
      <c r="AN3906" s="434"/>
      <c r="AO3906" s="434"/>
      <c r="AP3906" s="556"/>
      <c r="AQ3906" s="556"/>
      <c r="AR3906" s="556"/>
      <c r="CF3906" s="2"/>
    </row>
    <row r="3907" spans="3:84">
      <c r="C3907" s="2"/>
      <c r="AD3907" s="502"/>
      <c r="AE3907" s="911"/>
      <c r="AF3907" s="502"/>
      <c r="AH3907" s="898"/>
      <c r="AI3907" s="502"/>
      <c r="AJ3907" s="502"/>
      <c r="AL3907" s="434"/>
      <c r="AM3907" s="436"/>
      <c r="AN3907" s="434"/>
      <c r="AO3907" s="434"/>
      <c r="AP3907" s="556"/>
      <c r="AQ3907" s="556"/>
      <c r="AR3907" s="556"/>
      <c r="CF3907" s="2"/>
    </row>
    <row r="3908" spans="3:84">
      <c r="C3908" s="2"/>
      <c r="AD3908" s="502"/>
      <c r="AE3908" s="911"/>
      <c r="AF3908" s="502"/>
      <c r="AH3908" s="898"/>
      <c r="AI3908" s="502"/>
      <c r="AJ3908" s="502"/>
      <c r="AL3908" s="434"/>
      <c r="AM3908" s="436"/>
      <c r="AN3908" s="434"/>
      <c r="AO3908" s="434"/>
      <c r="AP3908" s="556"/>
      <c r="AQ3908" s="556"/>
      <c r="AR3908" s="556"/>
      <c r="CF3908" s="2"/>
    </row>
    <row r="3909" spans="3:84">
      <c r="C3909" s="2"/>
      <c r="AD3909" s="502"/>
      <c r="AE3909" s="911"/>
      <c r="AF3909" s="502"/>
      <c r="AH3909" s="898"/>
      <c r="AI3909" s="502"/>
      <c r="AJ3909" s="502"/>
      <c r="AL3909" s="434"/>
      <c r="AM3909" s="436"/>
      <c r="AN3909" s="434"/>
      <c r="AO3909" s="434"/>
      <c r="AP3909" s="556"/>
      <c r="AQ3909" s="556"/>
      <c r="AR3909" s="556"/>
      <c r="CF3909" s="2"/>
    </row>
    <row r="3910" spans="3:84">
      <c r="C3910" s="2"/>
      <c r="AD3910" s="502"/>
      <c r="AE3910" s="911"/>
      <c r="AF3910" s="502"/>
      <c r="AH3910" s="898"/>
      <c r="AI3910" s="502"/>
      <c r="AJ3910" s="502"/>
      <c r="AL3910" s="434"/>
      <c r="AM3910" s="436"/>
      <c r="AN3910" s="434"/>
      <c r="AO3910" s="434"/>
      <c r="AP3910" s="556"/>
      <c r="AQ3910" s="556"/>
      <c r="AR3910" s="556"/>
      <c r="CF3910" s="2"/>
    </row>
    <row r="3911" spans="3:84">
      <c r="C3911" s="2"/>
      <c r="AD3911" s="502"/>
      <c r="AE3911" s="911"/>
      <c r="AF3911" s="502"/>
      <c r="AH3911" s="898"/>
      <c r="AI3911" s="502"/>
      <c r="AJ3911" s="502"/>
      <c r="AL3911" s="434"/>
      <c r="AM3911" s="436"/>
      <c r="AN3911" s="434"/>
      <c r="AO3911" s="434"/>
      <c r="AP3911" s="556"/>
      <c r="AQ3911" s="556"/>
      <c r="AR3911" s="556"/>
      <c r="CF3911" s="2"/>
    </row>
    <row r="3912" spans="3:84">
      <c r="C3912" s="2"/>
      <c r="AD3912" s="502"/>
      <c r="AE3912" s="911"/>
      <c r="AF3912" s="502"/>
      <c r="AH3912" s="898"/>
      <c r="AI3912" s="502"/>
      <c r="AJ3912" s="502"/>
      <c r="AL3912" s="434"/>
      <c r="AM3912" s="436"/>
      <c r="AN3912" s="434"/>
      <c r="AO3912" s="434"/>
      <c r="AP3912" s="556"/>
      <c r="AQ3912" s="556"/>
      <c r="AR3912" s="556"/>
      <c r="CF3912" s="2"/>
    </row>
    <row r="3913" spans="3:84">
      <c r="C3913" s="2"/>
      <c r="AD3913" s="502"/>
      <c r="AE3913" s="911"/>
      <c r="AF3913" s="502"/>
      <c r="AH3913" s="898"/>
      <c r="AI3913" s="502"/>
      <c r="AJ3913" s="502"/>
      <c r="AL3913" s="434"/>
      <c r="AM3913" s="436"/>
      <c r="AN3913" s="434"/>
      <c r="AO3913" s="434"/>
      <c r="AP3913" s="556"/>
      <c r="AQ3913" s="556"/>
      <c r="AR3913" s="556"/>
      <c r="CF3913" s="2"/>
    </row>
    <row r="3914" spans="3:84">
      <c r="C3914" s="2"/>
      <c r="AD3914" s="502"/>
      <c r="AE3914" s="911"/>
      <c r="AF3914" s="502"/>
      <c r="AH3914" s="898"/>
      <c r="AI3914" s="502"/>
      <c r="AJ3914" s="502"/>
      <c r="AL3914" s="434"/>
      <c r="AM3914" s="436"/>
      <c r="AN3914" s="434"/>
      <c r="AO3914" s="434"/>
      <c r="AP3914" s="556"/>
      <c r="AQ3914" s="556"/>
      <c r="AR3914" s="556"/>
      <c r="CF3914" s="2"/>
    </row>
    <row r="3915" spans="3:84">
      <c r="C3915" s="2"/>
      <c r="AD3915" s="502"/>
      <c r="AE3915" s="911"/>
      <c r="AF3915" s="502"/>
      <c r="AH3915" s="898"/>
      <c r="AI3915" s="502"/>
      <c r="AJ3915" s="502"/>
      <c r="AL3915" s="434"/>
      <c r="AM3915" s="436"/>
      <c r="AN3915" s="434"/>
      <c r="AO3915" s="434"/>
      <c r="AP3915" s="556"/>
      <c r="AQ3915" s="556"/>
      <c r="AR3915" s="556"/>
      <c r="CF3915" s="2"/>
    </row>
    <row r="3916" spans="3:84">
      <c r="C3916" s="2"/>
      <c r="AD3916" s="502"/>
      <c r="AE3916" s="911"/>
      <c r="AF3916" s="502"/>
      <c r="AH3916" s="898"/>
      <c r="AI3916" s="502"/>
      <c r="AJ3916" s="502"/>
      <c r="AL3916" s="434"/>
      <c r="AM3916" s="436"/>
      <c r="AN3916" s="434"/>
      <c r="AO3916" s="434"/>
      <c r="AP3916" s="556"/>
      <c r="AQ3916" s="556"/>
      <c r="AR3916" s="556"/>
      <c r="CF3916" s="2"/>
    </row>
    <row r="3917" spans="3:84">
      <c r="C3917" s="2"/>
      <c r="AD3917" s="502"/>
      <c r="AE3917" s="911"/>
      <c r="AF3917" s="502"/>
      <c r="AH3917" s="898"/>
      <c r="AI3917" s="502"/>
      <c r="AJ3917" s="502"/>
      <c r="AL3917" s="434"/>
      <c r="AM3917" s="436"/>
      <c r="AN3917" s="434"/>
      <c r="AO3917" s="434"/>
      <c r="AP3917" s="556"/>
      <c r="AQ3917" s="556"/>
      <c r="AR3917" s="556"/>
      <c r="CF3917" s="2"/>
    </row>
    <row r="3918" spans="3:84">
      <c r="C3918" s="2"/>
      <c r="AD3918" s="502"/>
      <c r="AE3918" s="911"/>
      <c r="AF3918" s="502"/>
      <c r="AH3918" s="898"/>
      <c r="AI3918" s="502"/>
      <c r="AJ3918" s="502"/>
      <c r="AL3918" s="434"/>
      <c r="AM3918" s="436"/>
      <c r="AN3918" s="434"/>
      <c r="AO3918" s="434"/>
      <c r="AP3918" s="556"/>
      <c r="AQ3918" s="556"/>
      <c r="AR3918" s="556"/>
      <c r="CF3918" s="2"/>
    </row>
    <row r="3919" spans="3:84">
      <c r="C3919" s="2"/>
      <c r="AD3919" s="502"/>
      <c r="AE3919" s="911"/>
      <c r="AF3919" s="502"/>
      <c r="AH3919" s="898"/>
      <c r="AI3919" s="502"/>
      <c r="AJ3919" s="502"/>
      <c r="AL3919" s="434"/>
      <c r="AM3919" s="436"/>
      <c r="AN3919" s="434"/>
      <c r="AO3919" s="434"/>
      <c r="AP3919" s="556"/>
      <c r="AQ3919" s="556"/>
      <c r="AR3919" s="556"/>
      <c r="CF3919" s="2"/>
    </row>
    <row r="3920" spans="3:84">
      <c r="C3920" s="2"/>
      <c r="AD3920" s="502"/>
      <c r="AE3920" s="911"/>
      <c r="AF3920" s="502"/>
      <c r="AH3920" s="898"/>
      <c r="AI3920" s="502"/>
      <c r="AJ3920" s="502"/>
      <c r="AL3920" s="434"/>
      <c r="AM3920" s="436"/>
      <c r="AN3920" s="434"/>
      <c r="AO3920" s="434"/>
      <c r="AP3920" s="556"/>
      <c r="AQ3920" s="556"/>
      <c r="AR3920" s="556"/>
      <c r="CF3920" s="2"/>
    </row>
    <row r="3921" spans="3:84">
      <c r="C3921" s="2"/>
      <c r="AD3921" s="502"/>
      <c r="AE3921" s="911"/>
      <c r="AF3921" s="502"/>
      <c r="AH3921" s="898"/>
      <c r="AI3921" s="502"/>
      <c r="AJ3921" s="502"/>
      <c r="AL3921" s="434"/>
      <c r="AM3921" s="436"/>
      <c r="AN3921" s="434"/>
      <c r="AO3921" s="434"/>
      <c r="AP3921" s="556"/>
      <c r="AQ3921" s="556"/>
      <c r="AR3921" s="556"/>
      <c r="CF3921" s="2"/>
    </row>
    <row r="3922" spans="3:84">
      <c r="C3922" s="2"/>
      <c r="AD3922" s="502"/>
      <c r="AE3922" s="911"/>
      <c r="AF3922" s="502"/>
      <c r="AH3922" s="898"/>
      <c r="AI3922" s="502"/>
      <c r="AJ3922" s="502"/>
      <c r="AL3922" s="434"/>
      <c r="AM3922" s="436"/>
      <c r="AN3922" s="434"/>
      <c r="AO3922" s="434"/>
      <c r="AP3922" s="556"/>
      <c r="AQ3922" s="556"/>
      <c r="AR3922" s="556"/>
      <c r="CF3922" s="2"/>
    </row>
    <row r="3923" spans="3:84">
      <c r="C3923" s="2"/>
      <c r="AD3923" s="502"/>
      <c r="AE3923" s="911"/>
      <c r="AF3923" s="502"/>
      <c r="AH3923" s="898"/>
      <c r="AI3923" s="502"/>
      <c r="AJ3923" s="502"/>
      <c r="AL3923" s="434"/>
      <c r="AM3923" s="436"/>
      <c r="AN3923" s="434"/>
      <c r="AO3923" s="434"/>
      <c r="AP3923" s="556"/>
      <c r="AQ3923" s="556"/>
      <c r="AR3923" s="556"/>
      <c r="CF3923" s="2"/>
    </row>
    <row r="3924" spans="3:84">
      <c r="C3924" s="2"/>
      <c r="AD3924" s="502"/>
      <c r="AE3924" s="911"/>
      <c r="AF3924" s="502"/>
      <c r="AH3924" s="898"/>
      <c r="AI3924" s="502"/>
      <c r="AJ3924" s="502"/>
      <c r="AL3924" s="434"/>
      <c r="AM3924" s="436"/>
      <c r="AN3924" s="434"/>
      <c r="AO3924" s="434"/>
      <c r="AP3924" s="556"/>
      <c r="AQ3924" s="556"/>
      <c r="AR3924" s="556"/>
      <c r="CF3924" s="2"/>
    </row>
    <row r="3925" spans="3:84">
      <c r="C3925" s="2"/>
      <c r="AD3925" s="502"/>
      <c r="AE3925" s="911"/>
      <c r="AF3925" s="502"/>
      <c r="AH3925" s="898"/>
      <c r="AI3925" s="502"/>
      <c r="AJ3925" s="502"/>
      <c r="AL3925" s="434"/>
      <c r="AM3925" s="436"/>
      <c r="AN3925" s="434"/>
      <c r="AO3925" s="434"/>
      <c r="AP3925" s="556"/>
      <c r="AQ3925" s="556"/>
      <c r="AR3925" s="556"/>
      <c r="CF3925" s="2"/>
    </row>
    <row r="3926" spans="3:84">
      <c r="C3926" s="2"/>
      <c r="AD3926" s="502"/>
      <c r="AE3926" s="911"/>
      <c r="AF3926" s="502"/>
      <c r="AH3926" s="898"/>
      <c r="AI3926" s="502"/>
      <c r="AJ3926" s="502"/>
      <c r="AL3926" s="434"/>
      <c r="AM3926" s="436"/>
      <c r="AN3926" s="434"/>
      <c r="AO3926" s="434"/>
      <c r="AP3926" s="556"/>
      <c r="AQ3926" s="556"/>
      <c r="AR3926" s="556"/>
      <c r="CF3926" s="2"/>
    </row>
    <row r="3927" spans="3:84">
      <c r="C3927" s="2"/>
      <c r="AD3927" s="502"/>
      <c r="AE3927" s="911"/>
      <c r="AF3927" s="502"/>
      <c r="AH3927" s="898"/>
      <c r="AI3927" s="502"/>
      <c r="AJ3927" s="502"/>
      <c r="AL3927" s="434"/>
      <c r="AM3927" s="436"/>
      <c r="AN3927" s="434"/>
      <c r="AO3927" s="434"/>
      <c r="AP3927" s="556"/>
      <c r="AQ3927" s="556"/>
      <c r="AR3927" s="556"/>
      <c r="CF3927" s="2"/>
    </row>
    <row r="3928" spans="3:84">
      <c r="C3928" s="2"/>
      <c r="AD3928" s="502"/>
      <c r="AE3928" s="911"/>
      <c r="AF3928" s="502"/>
      <c r="AH3928" s="898"/>
      <c r="AI3928" s="502"/>
      <c r="AJ3928" s="502"/>
      <c r="AL3928" s="434"/>
      <c r="AM3928" s="436"/>
      <c r="AN3928" s="434"/>
      <c r="AO3928" s="434"/>
      <c r="AP3928" s="556"/>
      <c r="AQ3928" s="556"/>
      <c r="AR3928" s="556"/>
      <c r="CF3928" s="2"/>
    </row>
    <row r="3929" spans="3:84">
      <c r="C3929" s="2"/>
      <c r="AD3929" s="502"/>
      <c r="AE3929" s="911"/>
      <c r="AF3929" s="502"/>
      <c r="AH3929" s="898"/>
      <c r="AI3929" s="502"/>
      <c r="AJ3929" s="502"/>
      <c r="AL3929" s="434"/>
      <c r="AM3929" s="436"/>
      <c r="AN3929" s="434"/>
      <c r="AO3929" s="434"/>
      <c r="AP3929" s="556"/>
      <c r="AQ3929" s="556"/>
      <c r="AR3929" s="556"/>
      <c r="CF3929" s="2"/>
    </row>
    <row r="3930" spans="3:84">
      <c r="C3930" s="2"/>
      <c r="AD3930" s="502"/>
      <c r="AE3930" s="911"/>
      <c r="AF3930" s="502"/>
      <c r="AH3930" s="898"/>
      <c r="AI3930" s="502"/>
      <c r="AJ3930" s="502"/>
      <c r="AL3930" s="434"/>
      <c r="AM3930" s="436"/>
      <c r="AN3930" s="434"/>
      <c r="AO3930" s="434"/>
      <c r="AP3930" s="556"/>
      <c r="AQ3930" s="556"/>
      <c r="AR3930" s="556"/>
      <c r="CF3930" s="2"/>
    </row>
    <row r="3931" spans="3:84">
      <c r="C3931" s="2"/>
      <c r="AD3931" s="502"/>
      <c r="AE3931" s="911"/>
      <c r="AF3931" s="502"/>
      <c r="AH3931" s="898"/>
      <c r="AI3931" s="502"/>
      <c r="AJ3931" s="502"/>
      <c r="AL3931" s="434"/>
      <c r="AM3931" s="436"/>
      <c r="AN3931" s="434"/>
      <c r="AO3931" s="434"/>
      <c r="AP3931" s="556"/>
      <c r="AQ3931" s="556"/>
      <c r="AR3931" s="556"/>
      <c r="CF3931" s="2"/>
    </row>
    <row r="3932" spans="3:84">
      <c r="C3932" s="2"/>
      <c r="AD3932" s="502"/>
      <c r="AE3932" s="911"/>
      <c r="AF3932" s="502"/>
      <c r="AH3932" s="898"/>
      <c r="AI3932" s="502"/>
      <c r="AJ3932" s="502"/>
      <c r="AL3932" s="434"/>
      <c r="AM3932" s="436"/>
      <c r="AN3932" s="434"/>
      <c r="AO3932" s="434"/>
      <c r="AP3932" s="556"/>
      <c r="AQ3932" s="556"/>
      <c r="AR3932" s="556"/>
      <c r="CF3932" s="2"/>
    </row>
    <row r="3933" spans="3:84">
      <c r="C3933" s="2"/>
      <c r="AD3933" s="502"/>
      <c r="AE3933" s="911"/>
      <c r="AF3933" s="502"/>
      <c r="AH3933" s="898"/>
      <c r="AI3933" s="502"/>
      <c r="AJ3933" s="502"/>
      <c r="AL3933" s="434"/>
      <c r="AM3933" s="436"/>
      <c r="AN3933" s="434"/>
      <c r="AO3933" s="434"/>
      <c r="AP3933" s="556"/>
      <c r="AQ3933" s="556"/>
      <c r="AR3933" s="556"/>
      <c r="CF3933" s="2"/>
    </row>
    <row r="3934" spans="3:84">
      <c r="C3934" s="2"/>
      <c r="AD3934" s="502"/>
      <c r="AE3934" s="911"/>
      <c r="AF3934" s="502"/>
      <c r="AH3934" s="898"/>
      <c r="AI3934" s="502"/>
      <c r="AJ3934" s="502"/>
      <c r="AL3934" s="434"/>
      <c r="AM3934" s="436"/>
      <c r="AN3934" s="434"/>
      <c r="AO3934" s="434"/>
      <c r="AP3934" s="556"/>
      <c r="AQ3934" s="556"/>
      <c r="AR3934" s="556"/>
      <c r="CF3934" s="2"/>
    </row>
    <row r="3935" spans="3:84">
      <c r="C3935" s="2"/>
      <c r="AD3935" s="502"/>
      <c r="AE3935" s="911"/>
      <c r="AF3935" s="502"/>
      <c r="AH3935" s="898"/>
      <c r="AI3935" s="502"/>
      <c r="AJ3935" s="502"/>
      <c r="AL3935" s="434"/>
      <c r="AM3935" s="436"/>
      <c r="AN3935" s="434"/>
      <c r="AO3935" s="434"/>
      <c r="AP3935" s="556"/>
      <c r="AQ3935" s="556"/>
      <c r="AR3935" s="556"/>
      <c r="CF3935" s="2"/>
    </row>
    <row r="3936" spans="3:84">
      <c r="C3936" s="2"/>
      <c r="AD3936" s="502"/>
      <c r="AE3936" s="911"/>
      <c r="AF3936" s="502"/>
      <c r="AH3936" s="898"/>
      <c r="AI3936" s="502"/>
      <c r="AJ3936" s="502"/>
      <c r="AL3936" s="434"/>
      <c r="AM3936" s="436"/>
      <c r="AN3936" s="434"/>
      <c r="AO3936" s="434"/>
      <c r="AP3936" s="556"/>
      <c r="AQ3936" s="556"/>
      <c r="AR3936" s="556"/>
      <c r="CF3936" s="2"/>
    </row>
    <row r="3937" spans="3:84">
      <c r="C3937" s="2"/>
      <c r="AD3937" s="502"/>
      <c r="AE3937" s="911"/>
      <c r="AF3937" s="502"/>
      <c r="AH3937" s="898"/>
      <c r="AI3937" s="502"/>
      <c r="AJ3937" s="502"/>
      <c r="AL3937" s="434"/>
      <c r="AM3937" s="436"/>
      <c r="AN3937" s="434"/>
      <c r="AO3937" s="434"/>
      <c r="AP3937" s="556"/>
      <c r="AQ3937" s="556"/>
      <c r="AR3937" s="556"/>
      <c r="CF3937" s="2"/>
    </row>
    <row r="3938" spans="3:84">
      <c r="C3938" s="2"/>
      <c r="AD3938" s="502"/>
      <c r="AE3938" s="911"/>
      <c r="AF3938" s="502"/>
      <c r="AH3938" s="898"/>
      <c r="AI3938" s="502"/>
      <c r="AJ3938" s="502"/>
      <c r="AL3938" s="434"/>
      <c r="AM3938" s="436"/>
      <c r="AN3938" s="434"/>
      <c r="AO3938" s="434"/>
      <c r="AP3938" s="556"/>
      <c r="AQ3938" s="556"/>
      <c r="AR3938" s="556"/>
      <c r="CF3938" s="2"/>
    </row>
    <row r="3939" spans="3:84">
      <c r="C3939" s="2"/>
      <c r="AD3939" s="502"/>
      <c r="AE3939" s="911"/>
      <c r="AF3939" s="502"/>
      <c r="AH3939" s="898"/>
      <c r="AI3939" s="502"/>
      <c r="AJ3939" s="502"/>
      <c r="AL3939" s="434"/>
      <c r="AM3939" s="436"/>
      <c r="AN3939" s="434"/>
      <c r="AO3939" s="434"/>
      <c r="AP3939" s="556"/>
      <c r="AQ3939" s="556"/>
      <c r="AR3939" s="556"/>
      <c r="CF3939" s="2"/>
    </row>
    <row r="3940" spans="3:84">
      <c r="C3940" s="2"/>
      <c r="AD3940" s="502"/>
      <c r="AE3940" s="911"/>
      <c r="AF3940" s="502"/>
      <c r="AH3940" s="898"/>
      <c r="AI3940" s="502"/>
      <c r="AJ3940" s="502"/>
      <c r="AL3940" s="434"/>
      <c r="AM3940" s="436"/>
      <c r="AN3940" s="434"/>
      <c r="AO3940" s="434"/>
      <c r="AP3940" s="556"/>
      <c r="AQ3940" s="556"/>
      <c r="AR3940" s="556"/>
      <c r="CF3940" s="2"/>
    </row>
    <row r="3941" spans="3:84">
      <c r="C3941" s="2"/>
      <c r="AD3941" s="502"/>
      <c r="AE3941" s="911"/>
      <c r="AF3941" s="502"/>
      <c r="AH3941" s="898"/>
      <c r="AI3941" s="502"/>
      <c r="AJ3941" s="502"/>
      <c r="AL3941" s="434"/>
      <c r="AM3941" s="436"/>
      <c r="AN3941" s="434"/>
      <c r="AO3941" s="434"/>
      <c r="AP3941" s="556"/>
      <c r="AQ3941" s="556"/>
      <c r="AR3941" s="556"/>
      <c r="CF3941" s="2"/>
    </row>
    <row r="3942" spans="3:84">
      <c r="C3942" s="2"/>
      <c r="AD3942" s="502"/>
      <c r="AE3942" s="911"/>
      <c r="AF3942" s="502"/>
      <c r="AH3942" s="898"/>
      <c r="AI3942" s="502"/>
      <c r="AJ3942" s="502"/>
      <c r="AL3942" s="434"/>
      <c r="AM3942" s="436"/>
      <c r="AN3942" s="434"/>
      <c r="AO3942" s="434"/>
      <c r="AP3942" s="556"/>
      <c r="AQ3942" s="556"/>
      <c r="AR3942" s="556"/>
      <c r="CF3942" s="2"/>
    </row>
    <row r="3943" spans="3:84">
      <c r="C3943" s="2"/>
      <c r="AD3943" s="502"/>
      <c r="AE3943" s="911"/>
      <c r="AF3943" s="502"/>
      <c r="AH3943" s="898"/>
      <c r="AI3943" s="502"/>
      <c r="AJ3943" s="502"/>
      <c r="AL3943" s="434"/>
      <c r="AM3943" s="436"/>
      <c r="AN3943" s="434"/>
      <c r="AO3943" s="434"/>
      <c r="AP3943" s="556"/>
      <c r="AQ3943" s="556"/>
      <c r="AR3943" s="556"/>
      <c r="CF3943" s="2"/>
    </row>
    <row r="3944" spans="3:84">
      <c r="C3944" s="2"/>
      <c r="AD3944" s="502"/>
      <c r="AE3944" s="911"/>
      <c r="AF3944" s="502"/>
      <c r="AH3944" s="898"/>
      <c r="AI3944" s="502"/>
      <c r="AJ3944" s="502"/>
      <c r="AL3944" s="434"/>
      <c r="AM3944" s="436"/>
      <c r="AN3944" s="434"/>
      <c r="AO3944" s="434"/>
      <c r="AP3944" s="556"/>
      <c r="AQ3944" s="556"/>
      <c r="AR3944" s="556"/>
      <c r="CF3944" s="2"/>
    </row>
    <row r="3945" spans="3:84">
      <c r="C3945" s="2"/>
      <c r="AD3945" s="502"/>
      <c r="AE3945" s="911"/>
      <c r="AF3945" s="502"/>
      <c r="AH3945" s="898"/>
      <c r="AI3945" s="502"/>
      <c r="AJ3945" s="502"/>
      <c r="AL3945" s="434"/>
      <c r="AM3945" s="436"/>
      <c r="AN3945" s="434"/>
      <c r="AO3945" s="434"/>
      <c r="AP3945" s="556"/>
      <c r="AQ3945" s="556"/>
      <c r="AR3945" s="556"/>
      <c r="CF3945" s="2"/>
    </row>
    <row r="3946" spans="3:84">
      <c r="C3946" s="2"/>
      <c r="AD3946" s="502"/>
      <c r="AE3946" s="911"/>
      <c r="AF3946" s="502"/>
      <c r="AH3946" s="898"/>
      <c r="AI3946" s="502"/>
      <c r="AJ3946" s="502"/>
      <c r="AL3946" s="434"/>
      <c r="AM3946" s="436"/>
      <c r="AN3946" s="434"/>
      <c r="AO3946" s="434"/>
      <c r="AP3946" s="556"/>
      <c r="AQ3946" s="556"/>
      <c r="AR3946" s="556"/>
      <c r="CF3946" s="2"/>
    </row>
    <row r="3947" spans="3:84">
      <c r="C3947" s="2"/>
      <c r="AD3947" s="502"/>
      <c r="AE3947" s="911"/>
      <c r="AF3947" s="502"/>
      <c r="AH3947" s="898"/>
      <c r="AI3947" s="502"/>
      <c r="AJ3947" s="502"/>
      <c r="AL3947" s="434"/>
      <c r="AM3947" s="436"/>
      <c r="AN3947" s="434"/>
      <c r="AO3947" s="434"/>
      <c r="AP3947" s="556"/>
      <c r="AQ3947" s="556"/>
      <c r="AR3947" s="556"/>
      <c r="CF3947" s="2"/>
    </row>
    <row r="3948" spans="3:84">
      <c r="C3948" s="2"/>
      <c r="AD3948" s="502"/>
      <c r="AE3948" s="911"/>
      <c r="AF3948" s="502"/>
      <c r="AH3948" s="898"/>
      <c r="AI3948" s="502"/>
      <c r="AJ3948" s="502"/>
      <c r="AL3948" s="434"/>
      <c r="AM3948" s="436"/>
      <c r="AN3948" s="434"/>
      <c r="AO3948" s="434"/>
      <c r="AP3948" s="556"/>
      <c r="AQ3948" s="556"/>
      <c r="AR3948" s="556"/>
      <c r="CF3948" s="2"/>
    </row>
    <row r="3949" spans="3:84">
      <c r="C3949" s="2"/>
      <c r="AD3949" s="502"/>
      <c r="AE3949" s="911"/>
      <c r="AF3949" s="502"/>
      <c r="AH3949" s="898"/>
      <c r="AI3949" s="502"/>
      <c r="AJ3949" s="502"/>
      <c r="AL3949" s="434"/>
      <c r="AM3949" s="436"/>
      <c r="AN3949" s="434"/>
      <c r="AO3949" s="434"/>
      <c r="AP3949" s="556"/>
      <c r="AQ3949" s="556"/>
      <c r="AR3949" s="556"/>
      <c r="CF3949" s="2"/>
    </row>
    <row r="3950" spans="3:84">
      <c r="C3950" s="2"/>
      <c r="AD3950" s="502"/>
      <c r="AE3950" s="911"/>
      <c r="AF3950" s="502"/>
      <c r="AH3950" s="898"/>
      <c r="AI3950" s="502"/>
      <c r="AJ3950" s="502"/>
      <c r="AL3950" s="434"/>
      <c r="AM3950" s="436"/>
      <c r="AN3950" s="434"/>
      <c r="AO3950" s="434"/>
      <c r="AP3950" s="556"/>
      <c r="AQ3950" s="556"/>
      <c r="AR3950" s="556"/>
      <c r="CF3950" s="2"/>
    </row>
    <row r="3951" spans="3:84">
      <c r="C3951" s="2"/>
      <c r="AD3951" s="502"/>
      <c r="AE3951" s="911"/>
      <c r="AF3951" s="502"/>
      <c r="AH3951" s="898"/>
      <c r="AI3951" s="502"/>
      <c r="AJ3951" s="502"/>
      <c r="AL3951" s="434"/>
      <c r="AM3951" s="436"/>
      <c r="AN3951" s="434"/>
      <c r="AO3951" s="434"/>
      <c r="AP3951" s="556"/>
      <c r="AQ3951" s="556"/>
      <c r="AR3951" s="556"/>
      <c r="CF3951" s="2"/>
    </row>
    <row r="3952" spans="3:84">
      <c r="C3952" s="2"/>
      <c r="AD3952" s="502"/>
      <c r="AE3952" s="911"/>
      <c r="AF3952" s="502"/>
      <c r="AH3952" s="898"/>
      <c r="AI3952" s="502"/>
      <c r="AJ3952" s="502"/>
      <c r="AL3952" s="434"/>
      <c r="AM3952" s="436"/>
      <c r="AN3952" s="434"/>
      <c r="AO3952" s="434"/>
      <c r="AP3952" s="556"/>
      <c r="AQ3952" s="556"/>
      <c r="AR3952" s="556"/>
      <c r="CF3952" s="2"/>
    </row>
    <row r="3953" spans="3:84">
      <c r="C3953" s="2"/>
      <c r="AD3953" s="502"/>
      <c r="AE3953" s="911"/>
      <c r="AF3953" s="502"/>
      <c r="AH3953" s="898"/>
      <c r="AI3953" s="502"/>
      <c r="AJ3953" s="502"/>
      <c r="AL3953" s="434"/>
      <c r="AM3953" s="436"/>
      <c r="AN3953" s="434"/>
      <c r="AO3953" s="434"/>
      <c r="AP3953" s="556"/>
      <c r="AQ3953" s="556"/>
      <c r="AR3953" s="556"/>
      <c r="CF3953" s="2"/>
    </row>
    <row r="3954" spans="3:84">
      <c r="C3954" s="2"/>
      <c r="AD3954" s="502"/>
      <c r="AE3954" s="911"/>
      <c r="AF3954" s="502"/>
      <c r="AH3954" s="898"/>
      <c r="AI3954" s="502"/>
      <c r="AJ3954" s="502"/>
      <c r="AL3954" s="434"/>
      <c r="AM3954" s="436"/>
      <c r="AN3954" s="434"/>
      <c r="AO3954" s="434"/>
      <c r="AP3954" s="556"/>
      <c r="AQ3954" s="556"/>
      <c r="AR3954" s="556"/>
      <c r="CF3954" s="2"/>
    </row>
    <row r="3955" spans="3:84">
      <c r="C3955" s="2"/>
      <c r="AD3955" s="502"/>
      <c r="AE3955" s="911"/>
      <c r="AF3955" s="502"/>
      <c r="AH3955" s="898"/>
      <c r="AI3955" s="502"/>
      <c r="AJ3955" s="502"/>
      <c r="AL3955" s="434"/>
      <c r="AM3955" s="436"/>
      <c r="AN3955" s="434"/>
      <c r="AO3955" s="434"/>
      <c r="AP3955" s="556"/>
      <c r="AQ3955" s="556"/>
      <c r="AR3955" s="556"/>
      <c r="CF3955" s="2"/>
    </row>
    <row r="3956" spans="3:84">
      <c r="C3956" s="2"/>
      <c r="AD3956" s="502"/>
      <c r="AE3956" s="911"/>
      <c r="AF3956" s="502"/>
      <c r="AH3956" s="898"/>
      <c r="AI3956" s="502"/>
      <c r="AJ3956" s="502"/>
      <c r="AL3956" s="434"/>
      <c r="AM3956" s="436"/>
      <c r="AN3956" s="434"/>
      <c r="AO3956" s="434"/>
      <c r="AP3956" s="556"/>
      <c r="AQ3956" s="556"/>
      <c r="AR3956" s="556"/>
      <c r="CF3956" s="2"/>
    </row>
    <row r="3957" spans="3:84">
      <c r="C3957" s="2"/>
      <c r="AD3957" s="502"/>
      <c r="AE3957" s="911"/>
      <c r="AF3957" s="502"/>
      <c r="AH3957" s="898"/>
      <c r="AI3957" s="502"/>
      <c r="AJ3957" s="502"/>
      <c r="AL3957" s="434"/>
      <c r="AM3957" s="436"/>
      <c r="AN3957" s="434"/>
      <c r="AO3957" s="434"/>
      <c r="AP3957" s="556"/>
      <c r="AQ3957" s="556"/>
      <c r="AR3957" s="556"/>
      <c r="CF3957" s="2"/>
    </row>
    <row r="3958" spans="3:84">
      <c r="C3958" s="2"/>
      <c r="AD3958" s="502"/>
      <c r="AE3958" s="911"/>
      <c r="AF3958" s="502"/>
      <c r="AH3958" s="898"/>
      <c r="AI3958" s="502"/>
      <c r="AJ3958" s="502"/>
      <c r="AL3958" s="434"/>
      <c r="AM3958" s="436"/>
      <c r="AN3958" s="434"/>
      <c r="AO3958" s="434"/>
      <c r="AP3958" s="556"/>
      <c r="AQ3958" s="556"/>
      <c r="AR3958" s="556"/>
      <c r="CF3958" s="2"/>
    </row>
    <row r="3959" spans="3:84">
      <c r="C3959" s="2"/>
      <c r="AD3959" s="502"/>
      <c r="AE3959" s="911"/>
      <c r="AF3959" s="502"/>
      <c r="AH3959" s="898"/>
      <c r="AI3959" s="502"/>
      <c r="AJ3959" s="502"/>
      <c r="AL3959" s="434"/>
      <c r="AM3959" s="436"/>
      <c r="AN3959" s="434"/>
      <c r="AO3959" s="434"/>
      <c r="AP3959" s="556"/>
      <c r="AQ3959" s="556"/>
      <c r="AR3959" s="556"/>
      <c r="CF3959" s="2"/>
    </row>
    <row r="3960" spans="3:84">
      <c r="C3960" s="2"/>
      <c r="AD3960" s="502"/>
      <c r="AE3960" s="911"/>
      <c r="AF3960" s="502"/>
      <c r="AH3960" s="898"/>
      <c r="AI3960" s="502"/>
      <c r="AJ3960" s="502"/>
      <c r="AL3960" s="434"/>
      <c r="AM3960" s="436"/>
      <c r="AN3960" s="434"/>
      <c r="AO3960" s="434"/>
      <c r="AP3960" s="556"/>
      <c r="AQ3960" s="556"/>
      <c r="AR3960" s="556"/>
      <c r="CF3960" s="2"/>
    </row>
    <row r="3961" spans="3:84">
      <c r="C3961" s="2"/>
      <c r="AD3961" s="502"/>
      <c r="AE3961" s="911"/>
      <c r="AF3961" s="502"/>
      <c r="AH3961" s="898"/>
      <c r="AI3961" s="502"/>
      <c r="AJ3961" s="502"/>
      <c r="AL3961" s="434"/>
      <c r="AM3961" s="436"/>
      <c r="AN3961" s="434"/>
      <c r="AO3961" s="434"/>
      <c r="AP3961" s="556"/>
      <c r="AQ3961" s="556"/>
      <c r="AR3961" s="556"/>
      <c r="CF3961" s="2"/>
    </row>
    <row r="3962" spans="3:84">
      <c r="C3962" s="2"/>
      <c r="AD3962" s="502"/>
      <c r="AE3962" s="911"/>
      <c r="AF3962" s="502"/>
      <c r="AH3962" s="898"/>
      <c r="AI3962" s="502"/>
      <c r="AJ3962" s="502"/>
      <c r="AL3962" s="434"/>
      <c r="AM3962" s="436"/>
      <c r="AN3962" s="434"/>
      <c r="AO3962" s="434"/>
      <c r="AP3962" s="556"/>
      <c r="AQ3962" s="556"/>
      <c r="AR3962" s="556"/>
      <c r="CF3962" s="2"/>
    </row>
    <row r="3963" spans="3:84">
      <c r="C3963" s="2"/>
      <c r="AD3963" s="502"/>
      <c r="AE3963" s="911"/>
      <c r="AF3963" s="502"/>
      <c r="AH3963" s="898"/>
      <c r="AI3963" s="502"/>
      <c r="AJ3963" s="502"/>
      <c r="AL3963" s="434"/>
      <c r="AM3963" s="436"/>
      <c r="AN3963" s="434"/>
      <c r="AO3963" s="434"/>
      <c r="AP3963" s="556"/>
      <c r="AQ3963" s="556"/>
      <c r="AR3963" s="556"/>
      <c r="CF3963" s="2"/>
    </row>
    <row r="3964" spans="3:84">
      <c r="C3964" s="2"/>
      <c r="AD3964" s="502"/>
      <c r="AE3964" s="911"/>
      <c r="AF3964" s="502"/>
      <c r="AH3964" s="898"/>
      <c r="AI3964" s="502"/>
      <c r="AJ3964" s="502"/>
      <c r="AL3964" s="434"/>
      <c r="AM3964" s="436"/>
      <c r="AN3964" s="434"/>
      <c r="AO3964" s="434"/>
      <c r="AP3964" s="556"/>
      <c r="AQ3964" s="556"/>
      <c r="AR3964" s="556"/>
      <c r="CF3964" s="2"/>
    </row>
    <row r="3965" spans="3:84">
      <c r="C3965" s="2"/>
      <c r="AD3965" s="502"/>
      <c r="AE3965" s="911"/>
      <c r="AF3965" s="502"/>
      <c r="AH3965" s="898"/>
      <c r="AI3965" s="502"/>
      <c r="AJ3965" s="502"/>
      <c r="AL3965" s="434"/>
      <c r="AM3965" s="436"/>
      <c r="AN3965" s="434"/>
      <c r="AO3965" s="434"/>
      <c r="AP3965" s="556"/>
      <c r="AQ3965" s="556"/>
      <c r="AR3965" s="556"/>
      <c r="CF3965" s="2"/>
    </row>
    <row r="3966" spans="3:84">
      <c r="C3966" s="2"/>
      <c r="AD3966" s="502"/>
      <c r="AE3966" s="911"/>
      <c r="AF3966" s="502"/>
      <c r="AH3966" s="898"/>
      <c r="AI3966" s="502"/>
      <c r="AJ3966" s="502"/>
      <c r="AL3966" s="434"/>
      <c r="AM3966" s="436"/>
      <c r="AN3966" s="434"/>
      <c r="AO3966" s="434"/>
      <c r="AP3966" s="556"/>
      <c r="AQ3966" s="556"/>
      <c r="AR3966" s="556"/>
      <c r="CF3966" s="2"/>
    </row>
    <row r="3967" spans="3:84">
      <c r="C3967" s="2"/>
      <c r="AD3967" s="502"/>
      <c r="AE3967" s="911"/>
      <c r="AF3967" s="502"/>
      <c r="AH3967" s="898"/>
      <c r="AI3967" s="502"/>
      <c r="AJ3967" s="502"/>
      <c r="AL3967" s="434"/>
      <c r="AM3967" s="436"/>
      <c r="AN3967" s="434"/>
      <c r="AO3967" s="434"/>
      <c r="AP3967" s="556"/>
      <c r="AQ3967" s="556"/>
      <c r="AR3967" s="556"/>
      <c r="CF3967" s="2"/>
    </row>
    <row r="3968" spans="3:84">
      <c r="C3968" s="2"/>
      <c r="AD3968" s="502"/>
      <c r="AE3968" s="911"/>
      <c r="AF3968" s="502"/>
      <c r="AH3968" s="898"/>
      <c r="AI3968" s="502"/>
      <c r="AJ3968" s="502"/>
      <c r="AL3968" s="434"/>
      <c r="AM3968" s="436"/>
      <c r="AN3968" s="434"/>
      <c r="AO3968" s="434"/>
      <c r="AP3968" s="556"/>
      <c r="AQ3968" s="556"/>
      <c r="AR3968" s="556"/>
      <c r="CF3968" s="2"/>
    </row>
    <row r="3969" spans="3:84">
      <c r="C3969" s="2"/>
      <c r="AD3969" s="502"/>
      <c r="AE3969" s="911"/>
      <c r="AF3969" s="502"/>
      <c r="AH3969" s="898"/>
      <c r="AI3969" s="502"/>
      <c r="AJ3969" s="502"/>
      <c r="AL3969" s="434"/>
      <c r="AM3969" s="436"/>
      <c r="AN3969" s="434"/>
      <c r="AO3969" s="434"/>
      <c r="AP3969" s="556"/>
      <c r="AQ3969" s="556"/>
      <c r="AR3969" s="556"/>
      <c r="CF3969" s="2"/>
    </row>
    <row r="3970" spans="3:84">
      <c r="C3970" s="2"/>
      <c r="AD3970" s="502"/>
      <c r="AE3970" s="911"/>
      <c r="AF3970" s="502"/>
      <c r="AH3970" s="898"/>
      <c r="AI3970" s="502"/>
      <c r="AJ3970" s="502"/>
      <c r="AL3970" s="434"/>
      <c r="AM3970" s="436"/>
      <c r="AN3970" s="434"/>
      <c r="AO3970" s="434"/>
      <c r="AP3970" s="556"/>
      <c r="AQ3970" s="556"/>
      <c r="AR3970" s="556"/>
      <c r="CF3970" s="2"/>
    </row>
    <row r="3971" spans="3:84">
      <c r="C3971" s="2"/>
      <c r="AD3971" s="502"/>
      <c r="AE3971" s="911"/>
      <c r="AF3971" s="502"/>
      <c r="AH3971" s="898"/>
      <c r="AI3971" s="502"/>
      <c r="AJ3971" s="502"/>
      <c r="AL3971" s="434"/>
      <c r="AM3971" s="436"/>
      <c r="AN3971" s="434"/>
      <c r="AO3971" s="434"/>
      <c r="AP3971" s="556"/>
      <c r="AQ3971" s="556"/>
      <c r="AR3971" s="556"/>
      <c r="CF3971" s="2"/>
    </row>
    <row r="3972" spans="3:84">
      <c r="C3972" s="2"/>
      <c r="AD3972" s="502"/>
      <c r="AE3972" s="911"/>
      <c r="AF3972" s="502"/>
      <c r="AH3972" s="898"/>
      <c r="AI3972" s="502"/>
      <c r="AJ3972" s="502"/>
      <c r="AL3972" s="434"/>
      <c r="AM3972" s="436"/>
      <c r="AN3972" s="434"/>
      <c r="AO3972" s="434"/>
      <c r="AP3972" s="556"/>
      <c r="AQ3972" s="556"/>
      <c r="AR3972" s="556"/>
      <c r="CF3972" s="2"/>
    </row>
    <row r="3973" spans="3:84">
      <c r="C3973" s="2"/>
      <c r="AD3973" s="502"/>
      <c r="AE3973" s="911"/>
      <c r="AF3973" s="502"/>
      <c r="AH3973" s="898"/>
      <c r="AI3973" s="502"/>
      <c r="AJ3973" s="502"/>
      <c r="AL3973" s="434"/>
      <c r="AM3973" s="436"/>
      <c r="AN3973" s="434"/>
      <c r="AO3973" s="434"/>
      <c r="AP3973" s="556"/>
      <c r="AQ3973" s="556"/>
      <c r="AR3973" s="556"/>
      <c r="CF3973" s="2"/>
    </row>
    <row r="3974" spans="3:84">
      <c r="C3974" s="2"/>
      <c r="AD3974" s="502"/>
      <c r="AE3974" s="911"/>
      <c r="AF3974" s="502"/>
      <c r="AH3974" s="898"/>
      <c r="AI3974" s="502"/>
      <c r="AJ3974" s="502"/>
      <c r="AL3974" s="434"/>
      <c r="AM3974" s="436"/>
      <c r="AN3974" s="434"/>
      <c r="AO3974" s="434"/>
      <c r="AP3974" s="556"/>
      <c r="AQ3974" s="556"/>
      <c r="AR3974" s="556"/>
      <c r="CF3974" s="2"/>
    </row>
    <row r="3975" spans="3:84">
      <c r="C3975" s="2"/>
      <c r="AD3975" s="502"/>
      <c r="AE3975" s="911"/>
      <c r="AF3975" s="502"/>
      <c r="AH3975" s="898"/>
      <c r="AI3975" s="502"/>
      <c r="AJ3975" s="502"/>
      <c r="AL3975" s="434"/>
      <c r="AM3975" s="436"/>
      <c r="AN3975" s="434"/>
      <c r="AO3975" s="434"/>
      <c r="AP3975" s="556"/>
      <c r="AQ3975" s="556"/>
      <c r="AR3975" s="556"/>
      <c r="CF3975" s="2"/>
    </row>
    <row r="3976" spans="3:84">
      <c r="C3976" s="2"/>
      <c r="AD3976" s="502"/>
      <c r="AE3976" s="911"/>
      <c r="AF3976" s="502"/>
      <c r="AH3976" s="898"/>
      <c r="AI3976" s="502"/>
      <c r="AJ3976" s="502"/>
      <c r="AL3976" s="434"/>
      <c r="AM3976" s="436"/>
      <c r="AN3976" s="434"/>
      <c r="AO3976" s="434"/>
      <c r="AP3976" s="556"/>
      <c r="AQ3976" s="556"/>
      <c r="AR3976" s="556"/>
      <c r="CF3976" s="2"/>
    </row>
    <row r="3977" spans="3:84">
      <c r="C3977" s="2"/>
      <c r="AD3977" s="502"/>
      <c r="AE3977" s="911"/>
      <c r="AF3977" s="502"/>
      <c r="AH3977" s="898"/>
      <c r="AI3977" s="502"/>
      <c r="AJ3977" s="502"/>
      <c r="AL3977" s="434"/>
      <c r="AM3977" s="436"/>
      <c r="AN3977" s="434"/>
      <c r="AO3977" s="434"/>
      <c r="AP3977" s="556"/>
      <c r="AQ3977" s="556"/>
      <c r="AR3977" s="556"/>
      <c r="CF3977" s="2"/>
    </row>
    <row r="3978" spans="3:84">
      <c r="C3978" s="2"/>
      <c r="AD3978" s="502"/>
      <c r="AE3978" s="911"/>
      <c r="AF3978" s="502"/>
      <c r="AH3978" s="898"/>
      <c r="AI3978" s="502"/>
      <c r="AJ3978" s="502"/>
      <c r="AL3978" s="434"/>
      <c r="AM3978" s="436"/>
      <c r="AN3978" s="434"/>
      <c r="AO3978" s="434"/>
      <c r="AP3978" s="556"/>
      <c r="AQ3978" s="556"/>
      <c r="AR3978" s="556"/>
      <c r="CF3978" s="2"/>
    </row>
    <row r="3979" spans="3:84">
      <c r="C3979" s="2"/>
      <c r="AD3979" s="502"/>
      <c r="AE3979" s="911"/>
      <c r="AF3979" s="502"/>
      <c r="AH3979" s="898"/>
      <c r="AI3979" s="502"/>
      <c r="AJ3979" s="502"/>
      <c r="AL3979" s="434"/>
      <c r="AM3979" s="436"/>
      <c r="AN3979" s="434"/>
      <c r="AO3979" s="434"/>
      <c r="AP3979" s="556"/>
      <c r="AQ3979" s="556"/>
      <c r="AR3979" s="556"/>
      <c r="CF3979" s="2"/>
    </row>
    <row r="3980" spans="3:84">
      <c r="C3980" s="2"/>
      <c r="AD3980" s="502"/>
      <c r="AE3980" s="911"/>
      <c r="AF3980" s="502"/>
      <c r="AH3980" s="898"/>
      <c r="AI3980" s="502"/>
      <c r="AJ3980" s="502"/>
      <c r="AL3980" s="434"/>
      <c r="AM3980" s="436"/>
      <c r="AN3980" s="434"/>
      <c r="AO3980" s="434"/>
      <c r="AP3980" s="556"/>
      <c r="AQ3980" s="556"/>
      <c r="AR3980" s="556"/>
      <c r="CF3980" s="2"/>
    </row>
    <row r="3981" spans="3:84">
      <c r="C3981" s="2"/>
      <c r="AD3981" s="502"/>
      <c r="AE3981" s="911"/>
      <c r="AF3981" s="502"/>
      <c r="AH3981" s="898"/>
      <c r="AI3981" s="502"/>
      <c r="AJ3981" s="502"/>
      <c r="AL3981" s="434"/>
      <c r="AM3981" s="436"/>
      <c r="AN3981" s="434"/>
      <c r="AO3981" s="434"/>
      <c r="AP3981" s="556"/>
      <c r="AQ3981" s="556"/>
      <c r="AR3981" s="556"/>
      <c r="CF3981" s="2"/>
    </row>
    <row r="3982" spans="3:84">
      <c r="C3982" s="2"/>
      <c r="AD3982" s="502"/>
      <c r="AE3982" s="911"/>
      <c r="AF3982" s="502"/>
      <c r="AH3982" s="898"/>
      <c r="AI3982" s="502"/>
      <c r="AJ3982" s="502"/>
      <c r="AL3982" s="434"/>
      <c r="AM3982" s="436"/>
      <c r="AN3982" s="434"/>
      <c r="AO3982" s="434"/>
      <c r="AP3982" s="556"/>
      <c r="AQ3982" s="556"/>
      <c r="AR3982" s="556"/>
      <c r="CF3982" s="2"/>
    </row>
    <row r="3983" spans="3:84">
      <c r="C3983" s="2"/>
      <c r="AD3983" s="502"/>
      <c r="AE3983" s="911"/>
      <c r="AF3983" s="502"/>
      <c r="AH3983" s="898"/>
      <c r="AI3983" s="502"/>
      <c r="AJ3983" s="502"/>
      <c r="AL3983" s="434"/>
      <c r="AM3983" s="436"/>
      <c r="AN3983" s="434"/>
      <c r="AO3983" s="434"/>
      <c r="AP3983" s="556"/>
      <c r="AQ3983" s="556"/>
      <c r="AR3983" s="556"/>
      <c r="CF3983" s="2"/>
    </row>
    <row r="3984" spans="3:84">
      <c r="C3984" s="2"/>
      <c r="AD3984" s="502"/>
      <c r="AE3984" s="911"/>
      <c r="AF3984" s="502"/>
      <c r="AH3984" s="898"/>
      <c r="AI3984" s="502"/>
      <c r="AJ3984" s="502"/>
      <c r="AL3984" s="434"/>
      <c r="AM3984" s="436"/>
      <c r="AN3984" s="434"/>
      <c r="AO3984" s="434"/>
      <c r="AP3984" s="556"/>
      <c r="AQ3984" s="556"/>
      <c r="AR3984" s="556"/>
      <c r="CF3984" s="2"/>
    </row>
    <row r="3985" spans="3:84">
      <c r="C3985" s="2"/>
      <c r="AD3985" s="502"/>
      <c r="AE3985" s="911"/>
      <c r="AF3985" s="502"/>
      <c r="AH3985" s="898"/>
      <c r="AI3985" s="502"/>
      <c r="AJ3985" s="502"/>
      <c r="AL3985" s="434"/>
      <c r="AM3985" s="436"/>
      <c r="AN3985" s="434"/>
      <c r="AO3985" s="434"/>
      <c r="AP3985" s="556"/>
      <c r="AQ3985" s="556"/>
      <c r="AR3985" s="556"/>
      <c r="CF3985" s="2"/>
    </row>
    <row r="3986" spans="3:84">
      <c r="C3986" s="2"/>
      <c r="AD3986" s="502"/>
      <c r="AE3986" s="911"/>
      <c r="AF3986" s="502"/>
      <c r="AH3986" s="898"/>
      <c r="AI3986" s="502"/>
      <c r="AJ3986" s="502"/>
      <c r="AL3986" s="434"/>
      <c r="AM3986" s="436"/>
      <c r="AN3986" s="434"/>
      <c r="AO3986" s="434"/>
      <c r="AP3986" s="556"/>
      <c r="AQ3986" s="556"/>
      <c r="AR3986" s="556"/>
      <c r="CF3986" s="2"/>
    </row>
    <row r="3987" spans="3:84">
      <c r="C3987" s="2"/>
      <c r="AD3987" s="502"/>
      <c r="AE3987" s="911"/>
      <c r="AF3987" s="502"/>
      <c r="AH3987" s="898"/>
      <c r="AI3987" s="502"/>
      <c r="AJ3987" s="502"/>
      <c r="AL3987" s="434"/>
      <c r="AM3987" s="436"/>
      <c r="AN3987" s="434"/>
      <c r="AO3987" s="434"/>
      <c r="AP3987" s="556"/>
      <c r="AQ3987" s="556"/>
      <c r="AR3987" s="556"/>
      <c r="CF3987" s="2"/>
    </row>
    <row r="3988" spans="3:84">
      <c r="C3988" s="2"/>
      <c r="AD3988" s="502"/>
      <c r="AE3988" s="911"/>
      <c r="AF3988" s="502"/>
      <c r="AH3988" s="898"/>
      <c r="AI3988" s="502"/>
      <c r="AJ3988" s="502"/>
      <c r="AL3988" s="434"/>
      <c r="AM3988" s="436"/>
      <c r="AN3988" s="434"/>
      <c r="AO3988" s="434"/>
      <c r="AP3988" s="556"/>
      <c r="AQ3988" s="556"/>
      <c r="AR3988" s="556"/>
      <c r="CF3988" s="2"/>
    </row>
    <row r="3989" spans="3:84">
      <c r="C3989" s="2"/>
      <c r="AD3989" s="502"/>
      <c r="AE3989" s="911"/>
      <c r="AF3989" s="502"/>
      <c r="AH3989" s="898"/>
      <c r="AI3989" s="502"/>
      <c r="AJ3989" s="502"/>
      <c r="AL3989" s="434"/>
      <c r="AM3989" s="436"/>
      <c r="AN3989" s="434"/>
      <c r="AO3989" s="434"/>
      <c r="AP3989" s="556"/>
      <c r="AQ3989" s="556"/>
      <c r="AR3989" s="556"/>
      <c r="CF3989" s="2"/>
    </row>
    <row r="3990" spans="3:84">
      <c r="C3990" s="2"/>
      <c r="AD3990" s="502"/>
      <c r="AE3990" s="911"/>
      <c r="AF3990" s="502"/>
      <c r="AH3990" s="898"/>
      <c r="AI3990" s="502"/>
      <c r="AJ3990" s="502"/>
      <c r="AL3990" s="434"/>
      <c r="AM3990" s="436"/>
      <c r="AN3990" s="434"/>
      <c r="AO3990" s="434"/>
      <c r="AP3990" s="556"/>
      <c r="AQ3990" s="556"/>
      <c r="AR3990" s="556"/>
      <c r="CF3990" s="2"/>
    </row>
    <row r="3991" spans="3:84">
      <c r="C3991" s="2"/>
      <c r="AD3991" s="502"/>
      <c r="AE3991" s="911"/>
      <c r="AF3991" s="502"/>
      <c r="AH3991" s="898"/>
      <c r="AI3991" s="502"/>
      <c r="AJ3991" s="502"/>
      <c r="AL3991" s="434"/>
      <c r="AM3991" s="436"/>
      <c r="AN3991" s="434"/>
      <c r="AO3991" s="434"/>
      <c r="AP3991" s="556"/>
      <c r="AQ3991" s="556"/>
      <c r="AR3991" s="556"/>
      <c r="CF3991" s="2"/>
    </row>
    <row r="3992" spans="3:84">
      <c r="C3992" s="2"/>
      <c r="AD3992" s="502"/>
      <c r="AE3992" s="911"/>
      <c r="AF3992" s="502"/>
      <c r="AH3992" s="898"/>
      <c r="AI3992" s="502"/>
      <c r="AJ3992" s="502"/>
      <c r="AL3992" s="434"/>
      <c r="AM3992" s="436"/>
      <c r="AN3992" s="434"/>
      <c r="AO3992" s="434"/>
      <c r="AP3992" s="556"/>
      <c r="AQ3992" s="556"/>
      <c r="AR3992" s="556"/>
      <c r="CF3992" s="2"/>
    </row>
    <row r="3993" spans="3:84">
      <c r="C3993" s="2"/>
      <c r="AD3993" s="502"/>
      <c r="AE3993" s="911"/>
      <c r="AF3993" s="502"/>
      <c r="AH3993" s="898"/>
      <c r="AI3993" s="502"/>
      <c r="AJ3993" s="502"/>
      <c r="AL3993" s="434"/>
      <c r="AM3993" s="436"/>
      <c r="AN3993" s="434"/>
      <c r="AO3993" s="434"/>
      <c r="AP3993" s="556"/>
      <c r="AQ3993" s="556"/>
      <c r="AR3993" s="556"/>
      <c r="CF3993" s="2"/>
    </row>
    <row r="3994" spans="3:84">
      <c r="C3994" s="2"/>
      <c r="AD3994" s="502"/>
      <c r="AE3994" s="911"/>
      <c r="AF3994" s="502"/>
      <c r="AH3994" s="898"/>
      <c r="AI3994" s="502"/>
      <c r="AJ3994" s="502"/>
      <c r="AL3994" s="434"/>
      <c r="AM3994" s="436"/>
      <c r="AN3994" s="434"/>
      <c r="AO3994" s="434"/>
      <c r="AP3994" s="556"/>
      <c r="AQ3994" s="556"/>
      <c r="AR3994" s="556"/>
      <c r="CF3994" s="2"/>
    </row>
    <row r="3995" spans="3:84">
      <c r="C3995" s="2"/>
      <c r="AD3995" s="502"/>
      <c r="AE3995" s="911"/>
      <c r="AF3995" s="502"/>
      <c r="AH3995" s="898"/>
      <c r="AI3995" s="502"/>
      <c r="AJ3995" s="502"/>
      <c r="AL3995" s="434"/>
      <c r="AM3995" s="436"/>
      <c r="AN3995" s="434"/>
      <c r="AO3995" s="434"/>
      <c r="AP3995" s="556"/>
      <c r="AQ3995" s="556"/>
      <c r="AR3995" s="556"/>
      <c r="CF3995" s="2"/>
    </row>
    <row r="3996" spans="3:84">
      <c r="C3996" s="2"/>
      <c r="AD3996" s="502"/>
      <c r="AE3996" s="911"/>
      <c r="AF3996" s="502"/>
      <c r="AH3996" s="898"/>
      <c r="AI3996" s="502"/>
      <c r="AJ3996" s="502"/>
      <c r="AL3996" s="434"/>
      <c r="AM3996" s="436"/>
      <c r="AN3996" s="434"/>
      <c r="AO3996" s="434"/>
      <c r="AP3996" s="556"/>
      <c r="AQ3996" s="556"/>
      <c r="AR3996" s="556"/>
      <c r="CF3996" s="2"/>
    </row>
    <row r="3997" spans="3:84">
      <c r="C3997" s="2"/>
      <c r="AD3997" s="502"/>
      <c r="AE3997" s="911"/>
      <c r="AF3997" s="502"/>
      <c r="AH3997" s="898"/>
      <c r="AI3997" s="502"/>
      <c r="AJ3997" s="502"/>
      <c r="AL3997" s="434"/>
      <c r="AM3997" s="436"/>
      <c r="AN3997" s="434"/>
      <c r="AO3997" s="434"/>
      <c r="AP3997" s="556"/>
      <c r="AQ3997" s="556"/>
      <c r="AR3997" s="556"/>
      <c r="CF3997" s="2"/>
    </row>
    <row r="3998" spans="3:84">
      <c r="C3998" s="2"/>
      <c r="AD3998" s="502"/>
      <c r="AE3998" s="911"/>
      <c r="AF3998" s="502"/>
      <c r="AH3998" s="898"/>
      <c r="AI3998" s="502"/>
      <c r="AJ3998" s="502"/>
      <c r="AL3998" s="434"/>
      <c r="AM3998" s="436"/>
      <c r="AN3998" s="434"/>
      <c r="AO3998" s="434"/>
      <c r="AP3998" s="556"/>
      <c r="AQ3998" s="556"/>
      <c r="AR3998" s="556"/>
      <c r="CF3998" s="2"/>
    </row>
    <row r="3999" spans="3:84">
      <c r="C3999" s="2"/>
      <c r="AD3999" s="502"/>
      <c r="AE3999" s="911"/>
      <c r="AF3999" s="502"/>
      <c r="AH3999" s="898"/>
      <c r="AI3999" s="502"/>
      <c r="AJ3999" s="502"/>
      <c r="AL3999" s="434"/>
      <c r="AM3999" s="436"/>
      <c r="AN3999" s="434"/>
      <c r="AO3999" s="434"/>
      <c r="AP3999" s="556"/>
      <c r="AQ3999" s="556"/>
      <c r="AR3999" s="556"/>
      <c r="CF3999" s="2"/>
    </row>
    <row r="4000" spans="3:84">
      <c r="C4000" s="2"/>
      <c r="AD4000" s="502"/>
      <c r="AE4000" s="911"/>
      <c r="AF4000" s="502"/>
      <c r="AH4000" s="898"/>
      <c r="AI4000" s="502"/>
      <c r="AJ4000" s="502"/>
      <c r="AL4000" s="434"/>
      <c r="AM4000" s="436"/>
      <c r="AN4000" s="434"/>
      <c r="AO4000" s="434"/>
      <c r="AP4000" s="556"/>
      <c r="AQ4000" s="556"/>
      <c r="AR4000" s="556"/>
      <c r="CF4000" s="2"/>
    </row>
    <row r="4001" spans="3:84">
      <c r="C4001" s="2"/>
      <c r="AD4001" s="502"/>
      <c r="AE4001" s="911"/>
      <c r="AF4001" s="502"/>
      <c r="AH4001" s="898"/>
      <c r="AI4001" s="502"/>
      <c r="AJ4001" s="502"/>
      <c r="AL4001" s="434"/>
      <c r="AM4001" s="436"/>
      <c r="AN4001" s="434"/>
      <c r="AO4001" s="434"/>
      <c r="AP4001" s="556"/>
      <c r="AQ4001" s="556"/>
      <c r="AR4001" s="556"/>
      <c r="CF4001" s="2"/>
    </row>
    <row r="4002" spans="3:84">
      <c r="C4002" s="2"/>
      <c r="AD4002" s="502"/>
      <c r="AE4002" s="911"/>
      <c r="AF4002" s="502"/>
      <c r="AH4002" s="898"/>
      <c r="AI4002" s="502"/>
      <c r="AJ4002" s="502"/>
      <c r="AL4002" s="434"/>
      <c r="AM4002" s="436"/>
      <c r="AN4002" s="434"/>
      <c r="AO4002" s="434"/>
      <c r="AP4002" s="556"/>
      <c r="AQ4002" s="556"/>
      <c r="AR4002" s="556"/>
      <c r="CF4002" s="2"/>
    </row>
    <row r="4003" spans="3:84">
      <c r="C4003" s="2"/>
      <c r="AD4003" s="502"/>
      <c r="AE4003" s="911"/>
      <c r="AF4003" s="502"/>
      <c r="AH4003" s="898"/>
      <c r="AI4003" s="502"/>
      <c r="AJ4003" s="502"/>
      <c r="AL4003" s="434"/>
      <c r="AM4003" s="436"/>
      <c r="AN4003" s="434"/>
      <c r="AO4003" s="434"/>
      <c r="AP4003" s="556"/>
      <c r="AQ4003" s="556"/>
      <c r="AR4003" s="556"/>
      <c r="CF4003" s="2"/>
    </row>
    <row r="4004" spans="3:84">
      <c r="C4004" s="2"/>
      <c r="AD4004" s="502"/>
      <c r="AE4004" s="911"/>
      <c r="AF4004" s="502"/>
      <c r="AH4004" s="898"/>
      <c r="AI4004" s="502"/>
      <c r="AJ4004" s="502"/>
      <c r="AL4004" s="434"/>
      <c r="AM4004" s="436"/>
      <c r="AN4004" s="434"/>
      <c r="AO4004" s="434"/>
      <c r="AP4004" s="556"/>
      <c r="AQ4004" s="556"/>
      <c r="AR4004" s="556"/>
      <c r="CF4004" s="2"/>
    </row>
    <row r="4005" spans="3:84">
      <c r="C4005" s="2"/>
      <c r="AD4005" s="502"/>
      <c r="AE4005" s="911"/>
      <c r="AF4005" s="502"/>
      <c r="AH4005" s="898"/>
      <c r="AI4005" s="502"/>
      <c r="AJ4005" s="502"/>
      <c r="AL4005" s="434"/>
      <c r="AM4005" s="436"/>
      <c r="AN4005" s="434"/>
      <c r="AO4005" s="434"/>
      <c r="AP4005" s="556"/>
      <c r="AQ4005" s="556"/>
      <c r="AR4005" s="556"/>
      <c r="CF4005" s="2"/>
    </row>
    <row r="4006" spans="3:84">
      <c r="C4006" s="2"/>
      <c r="AD4006" s="502"/>
      <c r="AE4006" s="911"/>
      <c r="AF4006" s="502"/>
      <c r="AH4006" s="898"/>
      <c r="AI4006" s="502"/>
      <c r="AJ4006" s="502"/>
      <c r="AL4006" s="434"/>
      <c r="AM4006" s="436"/>
      <c r="AN4006" s="434"/>
      <c r="AO4006" s="434"/>
      <c r="AP4006" s="556"/>
      <c r="AQ4006" s="556"/>
      <c r="AR4006" s="556"/>
      <c r="CF4006" s="2"/>
    </row>
    <row r="4007" spans="3:84">
      <c r="C4007" s="2"/>
      <c r="AD4007" s="502"/>
      <c r="AE4007" s="911"/>
      <c r="AF4007" s="502"/>
      <c r="AH4007" s="898"/>
      <c r="AI4007" s="502"/>
      <c r="AJ4007" s="502"/>
      <c r="AL4007" s="434"/>
      <c r="AM4007" s="436"/>
      <c r="AN4007" s="434"/>
      <c r="AO4007" s="434"/>
      <c r="AP4007" s="556"/>
      <c r="AQ4007" s="556"/>
      <c r="AR4007" s="556"/>
      <c r="CF4007" s="2"/>
    </row>
    <row r="4008" spans="3:84">
      <c r="C4008" s="2"/>
      <c r="AD4008" s="502"/>
      <c r="AE4008" s="911"/>
      <c r="AF4008" s="502"/>
      <c r="AH4008" s="898"/>
      <c r="AI4008" s="502"/>
      <c r="AJ4008" s="502"/>
      <c r="AL4008" s="434"/>
      <c r="AM4008" s="436"/>
      <c r="AN4008" s="434"/>
      <c r="AO4008" s="434"/>
      <c r="AP4008" s="556"/>
      <c r="AQ4008" s="556"/>
      <c r="AR4008" s="556"/>
      <c r="CF4008" s="2"/>
    </row>
    <row r="4009" spans="3:84">
      <c r="C4009" s="2"/>
      <c r="AD4009" s="502"/>
      <c r="AE4009" s="911"/>
      <c r="AF4009" s="502"/>
      <c r="AH4009" s="898"/>
      <c r="AI4009" s="502"/>
      <c r="AJ4009" s="502"/>
      <c r="AL4009" s="434"/>
      <c r="AM4009" s="436"/>
      <c r="AN4009" s="434"/>
      <c r="AO4009" s="434"/>
      <c r="AP4009" s="556"/>
      <c r="AQ4009" s="556"/>
      <c r="AR4009" s="556"/>
      <c r="CF4009" s="2"/>
    </row>
    <row r="4010" spans="3:84">
      <c r="C4010" s="2"/>
      <c r="AD4010" s="502"/>
      <c r="AE4010" s="911"/>
      <c r="AF4010" s="502"/>
      <c r="AH4010" s="898"/>
      <c r="AI4010" s="502"/>
      <c r="AJ4010" s="502"/>
      <c r="AL4010" s="434"/>
      <c r="AM4010" s="436"/>
      <c r="AN4010" s="434"/>
      <c r="AO4010" s="434"/>
      <c r="AP4010" s="556"/>
      <c r="AQ4010" s="556"/>
      <c r="AR4010" s="556"/>
      <c r="CF4010" s="2"/>
    </row>
    <row r="4011" spans="3:84">
      <c r="C4011" s="2"/>
      <c r="AD4011" s="502"/>
      <c r="AE4011" s="911"/>
      <c r="AF4011" s="502"/>
      <c r="AH4011" s="898"/>
      <c r="AI4011" s="502"/>
      <c r="AJ4011" s="502"/>
      <c r="AL4011" s="434"/>
      <c r="AM4011" s="436"/>
      <c r="AN4011" s="434"/>
      <c r="AO4011" s="434"/>
      <c r="AP4011" s="556"/>
      <c r="AQ4011" s="556"/>
      <c r="AR4011" s="556"/>
      <c r="CF4011" s="2"/>
    </row>
    <row r="4012" spans="3:84">
      <c r="C4012" s="2"/>
      <c r="AD4012" s="502"/>
      <c r="AE4012" s="911"/>
      <c r="AF4012" s="502"/>
      <c r="AH4012" s="898"/>
      <c r="AI4012" s="502"/>
      <c r="AJ4012" s="502"/>
      <c r="AL4012" s="434"/>
      <c r="AM4012" s="436"/>
      <c r="AN4012" s="434"/>
      <c r="AO4012" s="434"/>
      <c r="AP4012" s="556"/>
      <c r="AQ4012" s="556"/>
      <c r="AR4012" s="556"/>
      <c r="CF4012" s="2"/>
    </row>
    <row r="4013" spans="3:84">
      <c r="C4013" s="2"/>
      <c r="AD4013" s="502"/>
      <c r="AE4013" s="911"/>
      <c r="AF4013" s="502"/>
      <c r="AH4013" s="898"/>
      <c r="AI4013" s="502"/>
      <c r="AJ4013" s="502"/>
      <c r="AL4013" s="434"/>
      <c r="AM4013" s="436"/>
      <c r="AN4013" s="434"/>
      <c r="AO4013" s="434"/>
      <c r="AP4013" s="556"/>
      <c r="AQ4013" s="556"/>
      <c r="AR4013" s="556"/>
      <c r="CF4013" s="2"/>
    </row>
    <row r="4014" spans="3:84">
      <c r="C4014" s="2"/>
      <c r="AD4014" s="502"/>
      <c r="AE4014" s="911"/>
      <c r="AF4014" s="502"/>
      <c r="AH4014" s="898"/>
      <c r="AI4014" s="502"/>
      <c r="AJ4014" s="502"/>
      <c r="AL4014" s="434"/>
      <c r="AM4014" s="436"/>
      <c r="AN4014" s="434"/>
      <c r="AO4014" s="434"/>
      <c r="AP4014" s="556"/>
      <c r="AQ4014" s="556"/>
      <c r="AR4014" s="556"/>
      <c r="CF4014" s="2"/>
    </row>
    <row r="4015" spans="3:84">
      <c r="C4015" s="2"/>
      <c r="AD4015" s="502"/>
      <c r="AE4015" s="911"/>
      <c r="AF4015" s="502"/>
      <c r="AH4015" s="898"/>
      <c r="AI4015" s="502"/>
      <c r="AJ4015" s="502"/>
      <c r="AL4015" s="434"/>
      <c r="AM4015" s="436"/>
      <c r="AN4015" s="434"/>
      <c r="AO4015" s="434"/>
      <c r="AP4015" s="556"/>
      <c r="AQ4015" s="556"/>
      <c r="AR4015" s="556"/>
      <c r="CF4015" s="2"/>
    </row>
    <row r="4016" spans="3:84">
      <c r="C4016" s="2"/>
      <c r="AD4016" s="502"/>
      <c r="AE4016" s="911"/>
      <c r="AF4016" s="502"/>
      <c r="AH4016" s="898"/>
      <c r="AI4016" s="502"/>
      <c r="AJ4016" s="502"/>
      <c r="AL4016" s="434"/>
      <c r="AM4016" s="436"/>
      <c r="AN4016" s="434"/>
      <c r="AO4016" s="434"/>
      <c r="AP4016" s="556"/>
      <c r="AQ4016" s="556"/>
      <c r="AR4016" s="556"/>
      <c r="CF4016" s="2"/>
    </row>
    <row r="4017" spans="3:84">
      <c r="C4017" s="2"/>
      <c r="AD4017" s="502"/>
      <c r="AE4017" s="911"/>
      <c r="AF4017" s="502"/>
      <c r="AH4017" s="898"/>
      <c r="AI4017" s="502"/>
      <c r="AJ4017" s="502"/>
      <c r="AL4017" s="434"/>
      <c r="AM4017" s="436"/>
      <c r="AN4017" s="434"/>
      <c r="AO4017" s="434"/>
      <c r="AP4017" s="556"/>
      <c r="AQ4017" s="556"/>
      <c r="AR4017" s="556"/>
      <c r="CF4017" s="2"/>
    </row>
    <row r="4018" spans="3:84">
      <c r="C4018" s="2"/>
      <c r="AD4018" s="502"/>
      <c r="AE4018" s="911"/>
      <c r="AF4018" s="502"/>
      <c r="AH4018" s="898"/>
      <c r="AI4018" s="502"/>
      <c r="AJ4018" s="502"/>
      <c r="AL4018" s="434"/>
      <c r="AM4018" s="436"/>
      <c r="AN4018" s="434"/>
      <c r="AO4018" s="434"/>
      <c r="AP4018" s="556"/>
      <c r="AQ4018" s="556"/>
      <c r="AR4018" s="556"/>
      <c r="CF4018" s="2"/>
    </row>
    <row r="4019" spans="3:84">
      <c r="C4019" s="2"/>
      <c r="AD4019" s="502"/>
      <c r="AE4019" s="911"/>
      <c r="AF4019" s="502"/>
      <c r="AH4019" s="898"/>
      <c r="AI4019" s="502"/>
      <c r="AJ4019" s="502"/>
      <c r="AL4019" s="434"/>
      <c r="AM4019" s="436"/>
      <c r="AN4019" s="434"/>
      <c r="AO4019" s="434"/>
      <c r="AP4019" s="556"/>
      <c r="AQ4019" s="556"/>
      <c r="AR4019" s="556"/>
      <c r="CF4019" s="2"/>
    </row>
    <row r="4020" spans="3:84">
      <c r="C4020" s="2"/>
      <c r="AD4020" s="502"/>
      <c r="AE4020" s="911"/>
      <c r="AF4020" s="502"/>
      <c r="AH4020" s="898"/>
      <c r="AI4020" s="502"/>
      <c r="AJ4020" s="502"/>
      <c r="AL4020" s="434"/>
      <c r="AM4020" s="436"/>
      <c r="AN4020" s="434"/>
      <c r="AO4020" s="434"/>
      <c r="AP4020" s="556"/>
      <c r="AQ4020" s="556"/>
      <c r="AR4020" s="556"/>
      <c r="CF4020" s="2"/>
    </row>
    <row r="4021" spans="3:84">
      <c r="C4021" s="2"/>
      <c r="AD4021" s="502"/>
      <c r="AE4021" s="911"/>
      <c r="AF4021" s="502"/>
      <c r="AH4021" s="898"/>
      <c r="AI4021" s="502"/>
      <c r="AJ4021" s="502"/>
      <c r="AL4021" s="434"/>
      <c r="AM4021" s="436"/>
      <c r="AN4021" s="434"/>
      <c r="AO4021" s="434"/>
      <c r="AP4021" s="556"/>
      <c r="AQ4021" s="556"/>
      <c r="AR4021" s="556"/>
      <c r="CF4021" s="2"/>
    </row>
    <row r="4022" spans="3:84">
      <c r="C4022" s="2"/>
      <c r="AD4022" s="502"/>
      <c r="AE4022" s="911"/>
      <c r="AF4022" s="502"/>
      <c r="AH4022" s="898"/>
      <c r="AI4022" s="502"/>
      <c r="AJ4022" s="502"/>
      <c r="AL4022" s="434"/>
      <c r="AM4022" s="436"/>
      <c r="AN4022" s="434"/>
      <c r="AO4022" s="434"/>
      <c r="AP4022" s="556"/>
      <c r="AQ4022" s="556"/>
      <c r="AR4022" s="556"/>
      <c r="CF4022" s="2"/>
    </row>
    <row r="4023" spans="3:84">
      <c r="C4023" s="2"/>
      <c r="AD4023" s="502"/>
      <c r="AE4023" s="911"/>
      <c r="AF4023" s="502"/>
      <c r="AH4023" s="898"/>
      <c r="AI4023" s="502"/>
      <c r="AJ4023" s="502"/>
      <c r="AL4023" s="434"/>
      <c r="AM4023" s="436"/>
      <c r="AN4023" s="434"/>
      <c r="AO4023" s="434"/>
      <c r="AP4023" s="556"/>
      <c r="AQ4023" s="556"/>
      <c r="AR4023" s="556"/>
      <c r="CF4023" s="2"/>
    </row>
    <row r="4024" spans="3:84">
      <c r="C4024" s="2"/>
      <c r="AD4024" s="502"/>
      <c r="AE4024" s="911"/>
      <c r="AF4024" s="502"/>
      <c r="AH4024" s="898"/>
      <c r="AI4024" s="502"/>
      <c r="AJ4024" s="502"/>
      <c r="AL4024" s="434"/>
      <c r="AM4024" s="436"/>
      <c r="AN4024" s="434"/>
      <c r="AO4024" s="434"/>
      <c r="AP4024" s="556"/>
      <c r="AQ4024" s="556"/>
      <c r="AR4024" s="556"/>
      <c r="CF4024" s="2"/>
    </row>
    <row r="4025" spans="3:84">
      <c r="C4025" s="2"/>
      <c r="AD4025" s="502"/>
      <c r="AE4025" s="911"/>
      <c r="AF4025" s="502"/>
      <c r="AH4025" s="898"/>
      <c r="AI4025" s="502"/>
      <c r="AJ4025" s="502"/>
      <c r="AL4025" s="434"/>
      <c r="AM4025" s="436"/>
      <c r="AN4025" s="434"/>
      <c r="AO4025" s="434"/>
      <c r="AP4025" s="556"/>
      <c r="AQ4025" s="556"/>
      <c r="AR4025" s="556"/>
      <c r="CF4025" s="2"/>
    </row>
    <row r="4026" spans="3:84">
      <c r="C4026" s="2"/>
      <c r="AD4026" s="502"/>
      <c r="AE4026" s="911"/>
      <c r="AF4026" s="502"/>
      <c r="AH4026" s="898"/>
      <c r="AI4026" s="502"/>
      <c r="AJ4026" s="502"/>
      <c r="AL4026" s="434"/>
      <c r="AM4026" s="436"/>
      <c r="AN4026" s="434"/>
      <c r="AO4026" s="434"/>
      <c r="AP4026" s="556"/>
      <c r="AQ4026" s="556"/>
      <c r="AR4026" s="556"/>
      <c r="CF4026" s="2"/>
    </row>
    <row r="4027" spans="3:84">
      <c r="C4027" s="2"/>
      <c r="AD4027" s="502"/>
      <c r="AE4027" s="911"/>
      <c r="AF4027" s="502"/>
      <c r="AH4027" s="898"/>
      <c r="AI4027" s="502"/>
      <c r="AJ4027" s="502"/>
      <c r="AL4027" s="434"/>
      <c r="AM4027" s="436"/>
      <c r="AN4027" s="434"/>
      <c r="AO4027" s="434"/>
      <c r="AP4027" s="556"/>
      <c r="AQ4027" s="556"/>
      <c r="AR4027" s="556"/>
      <c r="CF4027" s="2"/>
    </row>
    <row r="4028" spans="3:84">
      <c r="C4028" s="2"/>
      <c r="AD4028" s="502"/>
      <c r="AE4028" s="911"/>
      <c r="AF4028" s="502"/>
      <c r="AH4028" s="898"/>
      <c r="AI4028" s="502"/>
      <c r="AJ4028" s="502"/>
      <c r="AL4028" s="434"/>
      <c r="AM4028" s="436"/>
      <c r="AN4028" s="434"/>
      <c r="AO4028" s="434"/>
      <c r="AP4028" s="556"/>
      <c r="AQ4028" s="556"/>
      <c r="AR4028" s="556"/>
      <c r="CF4028" s="2"/>
    </row>
    <row r="4029" spans="3:84">
      <c r="C4029" s="2"/>
      <c r="AD4029" s="502"/>
      <c r="AE4029" s="911"/>
      <c r="AF4029" s="502"/>
      <c r="AH4029" s="898"/>
      <c r="AI4029" s="502"/>
      <c r="AJ4029" s="502"/>
      <c r="AL4029" s="434"/>
      <c r="AM4029" s="436"/>
      <c r="AN4029" s="434"/>
      <c r="AO4029" s="434"/>
      <c r="AP4029" s="556"/>
      <c r="AQ4029" s="556"/>
      <c r="AR4029" s="556"/>
      <c r="CF4029" s="2"/>
    </row>
    <row r="4030" spans="3:84">
      <c r="C4030" s="2"/>
      <c r="AD4030" s="502"/>
      <c r="AE4030" s="911"/>
      <c r="AF4030" s="502"/>
      <c r="AH4030" s="898"/>
      <c r="AI4030" s="502"/>
      <c r="AJ4030" s="502"/>
      <c r="AL4030" s="434"/>
      <c r="AM4030" s="436"/>
      <c r="AN4030" s="434"/>
      <c r="AO4030" s="434"/>
      <c r="AP4030" s="556"/>
      <c r="AQ4030" s="556"/>
      <c r="AR4030" s="556"/>
      <c r="CF4030" s="2"/>
    </row>
    <row r="4031" spans="3:84">
      <c r="C4031" s="2"/>
      <c r="AD4031" s="502"/>
      <c r="AE4031" s="911"/>
      <c r="AF4031" s="502"/>
      <c r="AH4031" s="898"/>
      <c r="AI4031" s="502"/>
      <c r="AJ4031" s="502"/>
      <c r="AL4031" s="434"/>
      <c r="AM4031" s="436"/>
      <c r="AN4031" s="434"/>
      <c r="AO4031" s="434"/>
      <c r="AP4031" s="556"/>
      <c r="AQ4031" s="556"/>
      <c r="AR4031" s="556"/>
      <c r="CF4031" s="2"/>
    </row>
    <row r="4032" spans="3:84">
      <c r="C4032" s="2"/>
      <c r="AD4032" s="502"/>
      <c r="AE4032" s="911"/>
      <c r="AF4032" s="502"/>
      <c r="AH4032" s="898"/>
      <c r="AI4032" s="502"/>
      <c r="AJ4032" s="502"/>
      <c r="AL4032" s="434"/>
      <c r="AM4032" s="436"/>
      <c r="AN4032" s="434"/>
      <c r="AO4032" s="434"/>
      <c r="AP4032" s="556"/>
      <c r="AQ4032" s="556"/>
      <c r="AR4032" s="556"/>
      <c r="CF4032" s="2"/>
    </row>
    <row r="4033" spans="3:84">
      <c r="C4033" s="2"/>
      <c r="AD4033" s="502"/>
      <c r="AE4033" s="911"/>
      <c r="AF4033" s="502"/>
      <c r="AH4033" s="898"/>
      <c r="AI4033" s="502"/>
      <c r="AJ4033" s="502"/>
      <c r="AL4033" s="434"/>
      <c r="AM4033" s="436"/>
      <c r="AN4033" s="434"/>
      <c r="AO4033" s="434"/>
      <c r="AP4033" s="556"/>
      <c r="AQ4033" s="556"/>
      <c r="AR4033" s="556"/>
      <c r="CF4033" s="2"/>
    </row>
    <row r="4034" spans="3:84">
      <c r="C4034" s="2"/>
      <c r="AD4034" s="502"/>
      <c r="AE4034" s="911"/>
      <c r="AF4034" s="502"/>
      <c r="AH4034" s="898"/>
      <c r="AI4034" s="502"/>
      <c r="AJ4034" s="502"/>
      <c r="AL4034" s="434"/>
      <c r="AM4034" s="436"/>
      <c r="AN4034" s="434"/>
      <c r="AO4034" s="434"/>
      <c r="AP4034" s="556"/>
      <c r="AQ4034" s="556"/>
      <c r="AR4034" s="556"/>
      <c r="CF4034" s="2"/>
    </row>
    <row r="4035" spans="3:84">
      <c r="C4035" s="2"/>
      <c r="AD4035" s="502"/>
      <c r="AE4035" s="911"/>
      <c r="AF4035" s="502"/>
      <c r="AH4035" s="898"/>
      <c r="AI4035" s="502"/>
      <c r="AJ4035" s="502"/>
      <c r="AL4035" s="434"/>
      <c r="AM4035" s="436"/>
      <c r="AN4035" s="434"/>
      <c r="AO4035" s="434"/>
      <c r="AP4035" s="556"/>
      <c r="AQ4035" s="556"/>
      <c r="AR4035" s="556"/>
      <c r="CF4035" s="2"/>
    </row>
    <row r="4036" spans="3:84">
      <c r="C4036" s="2"/>
      <c r="AD4036" s="502"/>
      <c r="AE4036" s="911"/>
      <c r="AF4036" s="502"/>
      <c r="AH4036" s="898"/>
      <c r="AI4036" s="502"/>
      <c r="AJ4036" s="502"/>
      <c r="AL4036" s="434"/>
      <c r="AM4036" s="436"/>
      <c r="AN4036" s="434"/>
      <c r="AO4036" s="434"/>
      <c r="AP4036" s="556"/>
      <c r="AQ4036" s="556"/>
      <c r="AR4036" s="556"/>
      <c r="CF4036" s="2"/>
    </row>
    <row r="4037" spans="3:84">
      <c r="C4037" s="2"/>
      <c r="AD4037" s="502"/>
      <c r="AE4037" s="911"/>
      <c r="AF4037" s="502"/>
      <c r="AH4037" s="898"/>
      <c r="AI4037" s="502"/>
      <c r="AJ4037" s="502"/>
      <c r="AL4037" s="434"/>
      <c r="AM4037" s="436"/>
      <c r="AN4037" s="434"/>
      <c r="AO4037" s="434"/>
      <c r="AP4037" s="556"/>
      <c r="AQ4037" s="556"/>
      <c r="AR4037" s="556"/>
      <c r="CF4037" s="2"/>
    </row>
    <row r="4038" spans="3:84">
      <c r="C4038" s="2"/>
      <c r="AD4038" s="502"/>
      <c r="AE4038" s="911"/>
      <c r="AF4038" s="502"/>
      <c r="AH4038" s="898"/>
      <c r="AI4038" s="502"/>
      <c r="AJ4038" s="502"/>
      <c r="AL4038" s="434"/>
      <c r="AM4038" s="436"/>
      <c r="AN4038" s="434"/>
      <c r="AO4038" s="434"/>
      <c r="AP4038" s="556"/>
      <c r="AQ4038" s="556"/>
      <c r="AR4038" s="556"/>
      <c r="CF4038" s="2"/>
    </row>
    <row r="4039" spans="3:84">
      <c r="C4039" s="2"/>
      <c r="AD4039" s="502"/>
      <c r="AE4039" s="911"/>
      <c r="AF4039" s="502"/>
      <c r="AH4039" s="898"/>
      <c r="AI4039" s="502"/>
      <c r="AJ4039" s="502"/>
      <c r="AL4039" s="434"/>
      <c r="AM4039" s="436"/>
      <c r="AN4039" s="434"/>
      <c r="AO4039" s="434"/>
      <c r="AP4039" s="556"/>
      <c r="AQ4039" s="556"/>
      <c r="AR4039" s="556"/>
      <c r="CF4039" s="2"/>
    </row>
    <row r="4040" spans="3:84">
      <c r="C4040" s="2"/>
      <c r="AD4040" s="502"/>
      <c r="AE4040" s="911"/>
      <c r="AF4040" s="502"/>
      <c r="AH4040" s="898"/>
      <c r="AI4040" s="502"/>
      <c r="AJ4040" s="502"/>
      <c r="AL4040" s="434"/>
      <c r="AM4040" s="436"/>
      <c r="AN4040" s="434"/>
      <c r="AO4040" s="434"/>
      <c r="AP4040" s="556"/>
      <c r="AQ4040" s="556"/>
      <c r="AR4040" s="556"/>
      <c r="CF4040" s="2"/>
    </row>
    <row r="4041" spans="3:84">
      <c r="C4041" s="2"/>
      <c r="AD4041" s="502"/>
      <c r="AE4041" s="911"/>
      <c r="AF4041" s="502"/>
      <c r="AH4041" s="898"/>
      <c r="AI4041" s="502"/>
      <c r="AJ4041" s="502"/>
      <c r="AL4041" s="434"/>
      <c r="AM4041" s="436"/>
      <c r="AN4041" s="434"/>
      <c r="AO4041" s="434"/>
      <c r="AP4041" s="556"/>
      <c r="AQ4041" s="556"/>
      <c r="AR4041" s="556"/>
      <c r="CF4041" s="2"/>
    </row>
    <row r="4042" spans="3:84">
      <c r="C4042" s="2"/>
      <c r="AD4042" s="502"/>
      <c r="AE4042" s="911"/>
      <c r="AF4042" s="502"/>
      <c r="AH4042" s="898"/>
      <c r="AI4042" s="502"/>
      <c r="AJ4042" s="502"/>
      <c r="AL4042" s="434"/>
      <c r="AM4042" s="436"/>
      <c r="AN4042" s="434"/>
      <c r="AO4042" s="434"/>
      <c r="AP4042" s="556"/>
      <c r="AQ4042" s="556"/>
      <c r="AR4042" s="556"/>
      <c r="CF4042" s="2"/>
    </row>
    <row r="4043" spans="3:84">
      <c r="C4043" s="2"/>
      <c r="AD4043" s="502"/>
      <c r="AE4043" s="911"/>
      <c r="AF4043" s="502"/>
      <c r="AH4043" s="898"/>
      <c r="AI4043" s="502"/>
      <c r="AJ4043" s="502"/>
      <c r="AL4043" s="434"/>
      <c r="AM4043" s="436"/>
      <c r="AN4043" s="434"/>
      <c r="AO4043" s="434"/>
      <c r="AP4043" s="556"/>
      <c r="AQ4043" s="556"/>
      <c r="AR4043" s="556"/>
      <c r="CF4043" s="2"/>
    </row>
    <row r="4044" spans="3:84">
      <c r="C4044" s="2"/>
      <c r="AD4044" s="502"/>
      <c r="AE4044" s="911"/>
      <c r="AF4044" s="502"/>
      <c r="AH4044" s="898"/>
      <c r="AI4044" s="502"/>
      <c r="AJ4044" s="502"/>
      <c r="AL4044" s="434"/>
      <c r="AM4044" s="436"/>
      <c r="AN4044" s="434"/>
      <c r="AO4044" s="434"/>
      <c r="AP4044" s="556"/>
      <c r="AQ4044" s="556"/>
      <c r="AR4044" s="556"/>
      <c r="CF4044" s="2"/>
    </row>
    <row r="4045" spans="3:84">
      <c r="C4045" s="2"/>
      <c r="AD4045" s="502"/>
      <c r="AE4045" s="911"/>
      <c r="AF4045" s="502"/>
      <c r="AH4045" s="898"/>
      <c r="AI4045" s="502"/>
      <c r="AJ4045" s="502"/>
      <c r="AL4045" s="434"/>
      <c r="AM4045" s="436"/>
      <c r="AN4045" s="434"/>
      <c r="AO4045" s="434"/>
      <c r="AP4045" s="556"/>
      <c r="AQ4045" s="556"/>
      <c r="AR4045" s="556"/>
      <c r="CF4045" s="2"/>
    </row>
    <row r="4046" spans="3:84">
      <c r="C4046" s="2"/>
      <c r="AD4046" s="502"/>
      <c r="AE4046" s="911"/>
      <c r="AF4046" s="502"/>
      <c r="AH4046" s="898"/>
      <c r="AI4046" s="502"/>
      <c r="AJ4046" s="502"/>
      <c r="AL4046" s="434"/>
      <c r="AM4046" s="436"/>
      <c r="AN4046" s="434"/>
      <c r="AO4046" s="434"/>
      <c r="AP4046" s="556"/>
      <c r="AQ4046" s="556"/>
      <c r="AR4046" s="556"/>
      <c r="CF4046" s="2"/>
    </row>
    <row r="4047" spans="3:84">
      <c r="C4047" s="2"/>
      <c r="AD4047" s="502"/>
      <c r="AE4047" s="911"/>
      <c r="AF4047" s="502"/>
      <c r="AH4047" s="898"/>
      <c r="AI4047" s="502"/>
      <c r="AJ4047" s="502"/>
      <c r="AL4047" s="434"/>
      <c r="AM4047" s="436"/>
      <c r="AN4047" s="434"/>
      <c r="AO4047" s="434"/>
      <c r="AP4047" s="556"/>
      <c r="AQ4047" s="556"/>
      <c r="AR4047" s="556"/>
      <c r="CF4047" s="2"/>
    </row>
    <row r="4048" spans="3:84">
      <c r="C4048" s="2"/>
      <c r="AD4048" s="502"/>
      <c r="AE4048" s="911"/>
      <c r="AF4048" s="502"/>
      <c r="AH4048" s="898"/>
      <c r="AI4048" s="502"/>
      <c r="AJ4048" s="502"/>
      <c r="AL4048" s="434"/>
      <c r="AM4048" s="436"/>
      <c r="AN4048" s="434"/>
      <c r="AO4048" s="434"/>
      <c r="AP4048" s="556"/>
      <c r="AQ4048" s="556"/>
      <c r="AR4048" s="556"/>
      <c r="CF4048" s="2"/>
    </row>
    <row r="4049" spans="3:84">
      <c r="C4049" s="2"/>
      <c r="AD4049" s="502"/>
      <c r="AE4049" s="911"/>
      <c r="AF4049" s="502"/>
      <c r="AH4049" s="898"/>
      <c r="AI4049" s="502"/>
      <c r="AJ4049" s="502"/>
      <c r="AL4049" s="434"/>
      <c r="AM4049" s="436"/>
      <c r="AN4049" s="434"/>
      <c r="AO4049" s="434"/>
      <c r="AP4049" s="556"/>
      <c r="AQ4049" s="556"/>
      <c r="AR4049" s="556"/>
      <c r="CF4049" s="2"/>
    </row>
    <row r="4050" spans="3:84">
      <c r="C4050" s="2"/>
      <c r="AD4050" s="502"/>
      <c r="AE4050" s="911"/>
      <c r="AF4050" s="502"/>
      <c r="AH4050" s="898"/>
      <c r="AI4050" s="502"/>
      <c r="AJ4050" s="502"/>
      <c r="AL4050" s="434"/>
      <c r="AM4050" s="436"/>
      <c r="AN4050" s="434"/>
      <c r="AO4050" s="434"/>
      <c r="AP4050" s="556"/>
      <c r="AQ4050" s="556"/>
      <c r="AR4050" s="556"/>
      <c r="CF4050" s="2"/>
    </row>
    <row r="4051" spans="3:84">
      <c r="C4051" s="2"/>
      <c r="AD4051" s="502"/>
      <c r="AE4051" s="911"/>
      <c r="AF4051" s="502"/>
      <c r="AH4051" s="898"/>
      <c r="AI4051" s="502"/>
      <c r="AJ4051" s="502"/>
      <c r="AL4051" s="434"/>
      <c r="AM4051" s="436"/>
      <c r="AN4051" s="434"/>
      <c r="AO4051" s="434"/>
      <c r="AP4051" s="556"/>
      <c r="AQ4051" s="556"/>
      <c r="AR4051" s="556"/>
      <c r="CF4051" s="2"/>
    </row>
    <row r="4052" spans="3:84">
      <c r="C4052" s="2"/>
      <c r="AD4052" s="502"/>
      <c r="AE4052" s="911"/>
      <c r="AF4052" s="502"/>
      <c r="AH4052" s="898"/>
      <c r="AI4052" s="502"/>
      <c r="AJ4052" s="502"/>
      <c r="AL4052" s="434"/>
      <c r="AM4052" s="436"/>
      <c r="AN4052" s="434"/>
      <c r="AO4052" s="434"/>
      <c r="AP4052" s="556"/>
      <c r="AQ4052" s="556"/>
      <c r="AR4052" s="556"/>
      <c r="CF4052" s="2"/>
    </row>
    <row r="4053" spans="3:84">
      <c r="C4053" s="2"/>
      <c r="AD4053" s="502"/>
      <c r="AE4053" s="911"/>
      <c r="AF4053" s="502"/>
      <c r="AH4053" s="898"/>
      <c r="AI4053" s="502"/>
      <c r="AJ4053" s="502"/>
      <c r="AL4053" s="434"/>
      <c r="AM4053" s="436"/>
      <c r="AN4053" s="434"/>
      <c r="AO4053" s="434"/>
      <c r="AP4053" s="556"/>
      <c r="AQ4053" s="556"/>
      <c r="AR4053" s="556"/>
      <c r="CF4053" s="2"/>
    </row>
    <row r="4054" spans="3:84">
      <c r="C4054" s="2"/>
      <c r="AD4054" s="502"/>
      <c r="AE4054" s="911"/>
      <c r="AF4054" s="502"/>
      <c r="AH4054" s="898"/>
      <c r="AI4054" s="502"/>
      <c r="AJ4054" s="502"/>
      <c r="AL4054" s="434"/>
      <c r="AM4054" s="436"/>
      <c r="AN4054" s="434"/>
      <c r="AO4054" s="434"/>
      <c r="AP4054" s="556"/>
      <c r="AQ4054" s="556"/>
      <c r="AR4054" s="556"/>
      <c r="CF4054" s="2"/>
    </row>
    <row r="4055" spans="3:84">
      <c r="C4055" s="2"/>
      <c r="AD4055" s="502"/>
      <c r="AE4055" s="911"/>
      <c r="AF4055" s="502"/>
      <c r="AH4055" s="898"/>
      <c r="AI4055" s="502"/>
      <c r="AJ4055" s="502"/>
      <c r="AL4055" s="434"/>
      <c r="AM4055" s="436"/>
      <c r="AN4055" s="434"/>
      <c r="AO4055" s="434"/>
      <c r="AP4055" s="556"/>
      <c r="AQ4055" s="556"/>
      <c r="AR4055" s="556"/>
      <c r="CF4055" s="2"/>
    </row>
    <row r="4056" spans="3:84">
      <c r="C4056" s="2"/>
      <c r="AD4056" s="502"/>
      <c r="AE4056" s="911"/>
      <c r="AF4056" s="502"/>
      <c r="AH4056" s="898"/>
      <c r="AI4056" s="502"/>
      <c r="AJ4056" s="502"/>
      <c r="AL4056" s="434"/>
      <c r="AM4056" s="436"/>
      <c r="AN4056" s="434"/>
      <c r="AO4056" s="434"/>
      <c r="AP4056" s="556"/>
      <c r="AQ4056" s="556"/>
      <c r="AR4056" s="556"/>
      <c r="CF4056" s="2"/>
    </row>
    <row r="4057" spans="3:84">
      <c r="C4057" s="2"/>
      <c r="AD4057" s="502"/>
      <c r="AE4057" s="911"/>
      <c r="AF4057" s="502"/>
      <c r="AH4057" s="898"/>
      <c r="AI4057" s="502"/>
      <c r="AJ4057" s="502"/>
      <c r="AL4057" s="434"/>
      <c r="AM4057" s="436"/>
      <c r="AN4057" s="434"/>
      <c r="AO4057" s="434"/>
      <c r="AP4057" s="556"/>
      <c r="AQ4057" s="556"/>
      <c r="AR4057" s="556"/>
      <c r="CF4057" s="2"/>
    </row>
    <row r="4058" spans="3:84">
      <c r="C4058" s="2"/>
      <c r="AD4058" s="502"/>
      <c r="AE4058" s="911"/>
      <c r="AF4058" s="502"/>
      <c r="AH4058" s="898"/>
      <c r="AI4058" s="502"/>
      <c r="AJ4058" s="502"/>
      <c r="AL4058" s="434"/>
      <c r="AM4058" s="436"/>
      <c r="AN4058" s="434"/>
      <c r="AO4058" s="434"/>
      <c r="AP4058" s="556"/>
      <c r="AQ4058" s="556"/>
      <c r="AR4058" s="556"/>
      <c r="CF4058" s="2"/>
    </row>
    <row r="4059" spans="3:84">
      <c r="C4059" s="2"/>
      <c r="AD4059" s="502"/>
      <c r="AE4059" s="911"/>
      <c r="AF4059" s="502"/>
      <c r="AH4059" s="898"/>
      <c r="AI4059" s="502"/>
      <c r="AJ4059" s="502"/>
      <c r="AL4059" s="434"/>
      <c r="AM4059" s="436"/>
      <c r="AN4059" s="434"/>
      <c r="AO4059" s="434"/>
      <c r="AP4059" s="556"/>
      <c r="AQ4059" s="556"/>
      <c r="AR4059" s="556"/>
      <c r="CF4059" s="2"/>
    </row>
    <row r="4060" spans="3:84">
      <c r="C4060" s="2"/>
      <c r="AD4060" s="502"/>
      <c r="AE4060" s="911"/>
      <c r="AF4060" s="502"/>
      <c r="AH4060" s="898"/>
      <c r="AI4060" s="502"/>
      <c r="AJ4060" s="502"/>
      <c r="AL4060" s="434"/>
      <c r="AM4060" s="436"/>
      <c r="AN4060" s="434"/>
      <c r="AO4060" s="434"/>
      <c r="AP4060" s="556"/>
      <c r="AQ4060" s="556"/>
      <c r="AR4060" s="556"/>
      <c r="CF4060" s="2"/>
    </row>
    <row r="4061" spans="3:84">
      <c r="C4061" s="2"/>
      <c r="AD4061" s="502"/>
      <c r="AE4061" s="911"/>
      <c r="AF4061" s="502"/>
      <c r="AH4061" s="898"/>
      <c r="AI4061" s="502"/>
      <c r="AJ4061" s="502"/>
      <c r="AL4061" s="434"/>
      <c r="AM4061" s="436"/>
      <c r="AN4061" s="434"/>
      <c r="AO4061" s="434"/>
      <c r="AP4061" s="556"/>
      <c r="AQ4061" s="556"/>
      <c r="AR4061" s="556"/>
      <c r="CF4061" s="2"/>
    </row>
    <row r="4062" spans="3:84">
      <c r="C4062" s="2"/>
      <c r="AD4062" s="502"/>
      <c r="AE4062" s="911"/>
      <c r="AF4062" s="502"/>
      <c r="AH4062" s="898"/>
      <c r="AI4062" s="502"/>
      <c r="AJ4062" s="502"/>
      <c r="AL4062" s="434"/>
      <c r="AM4062" s="436"/>
      <c r="AN4062" s="434"/>
      <c r="AO4062" s="434"/>
      <c r="AP4062" s="556"/>
      <c r="AQ4062" s="556"/>
      <c r="AR4062" s="556"/>
      <c r="CF4062" s="2"/>
    </row>
    <row r="4063" spans="3:84">
      <c r="C4063" s="2"/>
      <c r="AD4063" s="502"/>
      <c r="AE4063" s="911"/>
      <c r="AF4063" s="502"/>
      <c r="AH4063" s="898"/>
      <c r="AI4063" s="502"/>
      <c r="AJ4063" s="502"/>
      <c r="AL4063" s="434"/>
      <c r="AM4063" s="436"/>
      <c r="AN4063" s="434"/>
      <c r="AO4063" s="434"/>
      <c r="AP4063" s="556"/>
      <c r="AQ4063" s="556"/>
      <c r="AR4063" s="556"/>
      <c r="CF4063" s="2"/>
    </row>
    <row r="4064" spans="3:84">
      <c r="C4064" s="2"/>
      <c r="AD4064" s="502"/>
      <c r="AE4064" s="911"/>
      <c r="AF4064" s="502"/>
      <c r="AH4064" s="898"/>
      <c r="AI4064" s="502"/>
      <c r="AJ4064" s="502"/>
      <c r="AL4064" s="434"/>
      <c r="AM4064" s="436"/>
      <c r="AN4064" s="434"/>
      <c r="AO4064" s="434"/>
      <c r="AP4064" s="556"/>
      <c r="AQ4064" s="556"/>
      <c r="AR4064" s="556"/>
      <c r="CF4064" s="2"/>
    </row>
    <row r="4065" spans="3:84">
      <c r="C4065" s="2"/>
      <c r="AD4065" s="502"/>
      <c r="AE4065" s="911"/>
      <c r="AF4065" s="502"/>
      <c r="AH4065" s="898"/>
      <c r="AI4065" s="502"/>
      <c r="AJ4065" s="502"/>
      <c r="AL4065" s="434"/>
      <c r="AM4065" s="436"/>
      <c r="AN4065" s="434"/>
      <c r="AO4065" s="434"/>
      <c r="AP4065" s="556"/>
      <c r="AQ4065" s="556"/>
      <c r="AR4065" s="556"/>
      <c r="CF4065" s="2"/>
    </row>
    <row r="4066" spans="3:84">
      <c r="C4066" s="2"/>
      <c r="AD4066" s="502"/>
      <c r="AE4066" s="911"/>
      <c r="AF4066" s="502"/>
      <c r="AH4066" s="898"/>
      <c r="AI4066" s="502"/>
      <c r="AJ4066" s="502"/>
      <c r="AL4066" s="434"/>
      <c r="AM4066" s="436"/>
      <c r="AN4066" s="434"/>
      <c r="AO4066" s="434"/>
      <c r="AP4066" s="556"/>
      <c r="AQ4066" s="556"/>
      <c r="AR4066" s="556"/>
      <c r="CF4066" s="2"/>
    </row>
    <row r="4067" spans="3:84">
      <c r="C4067" s="2"/>
      <c r="AD4067" s="502"/>
      <c r="AE4067" s="911"/>
      <c r="AF4067" s="502"/>
      <c r="AH4067" s="898"/>
      <c r="AI4067" s="502"/>
      <c r="AJ4067" s="502"/>
      <c r="AL4067" s="434"/>
      <c r="AM4067" s="436"/>
      <c r="AN4067" s="434"/>
      <c r="AO4067" s="434"/>
      <c r="AP4067" s="556"/>
      <c r="AQ4067" s="556"/>
      <c r="AR4067" s="556"/>
      <c r="CF4067" s="2"/>
    </row>
    <row r="4068" spans="3:84">
      <c r="C4068" s="2"/>
      <c r="AD4068" s="502"/>
      <c r="AE4068" s="911"/>
      <c r="AF4068" s="502"/>
      <c r="AH4068" s="898"/>
      <c r="AI4068" s="502"/>
      <c r="AJ4068" s="502"/>
      <c r="AL4068" s="434"/>
      <c r="AM4068" s="436"/>
      <c r="AN4068" s="434"/>
      <c r="AO4068" s="434"/>
      <c r="AP4068" s="556"/>
      <c r="AQ4068" s="556"/>
      <c r="AR4068" s="556"/>
      <c r="CF4068" s="2"/>
    </row>
    <row r="4069" spans="3:84">
      <c r="C4069" s="2"/>
      <c r="AD4069" s="502"/>
      <c r="AE4069" s="911"/>
      <c r="AF4069" s="502"/>
      <c r="AH4069" s="898"/>
      <c r="AI4069" s="502"/>
      <c r="AJ4069" s="502"/>
      <c r="AL4069" s="434"/>
      <c r="AM4069" s="436"/>
      <c r="AN4069" s="434"/>
      <c r="AO4069" s="434"/>
      <c r="AP4069" s="556"/>
      <c r="AQ4069" s="556"/>
      <c r="AR4069" s="556"/>
      <c r="CF4069" s="2"/>
    </row>
    <row r="4070" spans="3:84">
      <c r="C4070" s="2"/>
      <c r="AD4070" s="502"/>
      <c r="AE4070" s="911"/>
      <c r="AF4070" s="502"/>
      <c r="AH4070" s="898"/>
      <c r="AI4070" s="502"/>
      <c r="AJ4070" s="502"/>
      <c r="AL4070" s="434"/>
      <c r="AM4070" s="436"/>
      <c r="AN4070" s="434"/>
      <c r="AO4070" s="434"/>
      <c r="AP4070" s="556"/>
      <c r="AQ4070" s="556"/>
      <c r="AR4070" s="556"/>
      <c r="CF4070" s="2"/>
    </row>
    <row r="4071" spans="3:84">
      <c r="C4071" s="2"/>
      <c r="AD4071" s="502"/>
      <c r="AE4071" s="911"/>
      <c r="AF4071" s="502"/>
      <c r="AH4071" s="898"/>
      <c r="AI4071" s="502"/>
      <c r="AJ4071" s="502"/>
      <c r="AL4071" s="434"/>
      <c r="AM4071" s="436"/>
      <c r="AN4071" s="434"/>
      <c r="AO4071" s="434"/>
      <c r="AP4071" s="556"/>
      <c r="AQ4071" s="556"/>
      <c r="AR4071" s="556"/>
      <c r="CF4071" s="2"/>
    </row>
    <row r="4072" spans="3:84">
      <c r="C4072" s="2"/>
      <c r="AD4072" s="502"/>
      <c r="AE4072" s="911"/>
      <c r="AF4072" s="502"/>
      <c r="AH4072" s="898"/>
      <c r="AI4072" s="502"/>
      <c r="AJ4072" s="502"/>
      <c r="AL4072" s="434"/>
      <c r="AM4072" s="436"/>
      <c r="AN4072" s="434"/>
      <c r="AO4072" s="434"/>
      <c r="AP4072" s="556"/>
      <c r="AQ4072" s="556"/>
      <c r="AR4072" s="556"/>
      <c r="CF4072" s="2"/>
    </row>
    <row r="4073" spans="3:84">
      <c r="C4073" s="2"/>
      <c r="AD4073" s="502"/>
      <c r="AE4073" s="911"/>
      <c r="AF4073" s="502"/>
      <c r="AH4073" s="898"/>
      <c r="AI4073" s="502"/>
      <c r="AJ4073" s="502"/>
      <c r="AL4073" s="434"/>
      <c r="AM4073" s="436"/>
      <c r="AN4073" s="434"/>
      <c r="AO4073" s="434"/>
      <c r="AP4073" s="556"/>
      <c r="AQ4073" s="556"/>
      <c r="AR4073" s="556"/>
      <c r="CF4073" s="2"/>
    </row>
    <row r="4074" spans="3:84">
      <c r="C4074" s="2"/>
      <c r="AD4074" s="502"/>
      <c r="AE4074" s="911"/>
      <c r="AF4074" s="502"/>
      <c r="AH4074" s="898"/>
      <c r="AI4074" s="502"/>
      <c r="AJ4074" s="502"/>
      <c r="AL4074" s="434"/>
      <c r="AM4074" s="436"/>
      <c r="AN4074" s="434"/>
      <c r="AO4074" s="434"/>
      <c r="AP4074" s="556"/>
      <c r="AQ4074" s="556"/>
      <c r="AR4074" s="556"/>
      <c r="CF4074" s="2"/>
    </row>
    <row r="4075" spans="3:84">
      <c r="C4075" s="2"/>
      <c r="AD4075" s="502"/>
      <c r="AE4075" s="911"/>
      <c r="AF4075" s="502"/>
      <c r="AH4075" s="898"/>
      <c r="AI4075" s="502"/>
      <c r="AJ4075" s="502"/>
      <c r="AL4075" s="434"/>
      <c r="AM4075" s="436"/>
      <c r="AN4075" s="434"/>
      <c r="AO4075" s="434"/>
      <c r="AP4075" s="556"/>
      <c r="AQ4075" s="556"/>
      <c r="AR4075" s="556"/>
      <c r="CF4075" s="2"/>
    </row>
    <row r="4076" spans="3:84">
      <c r="C4076" s="2"/>
      <c r="AD4076" s="502"/>
      <c r="AE4076" s="911"/>
      <c r="AF4076" s="502"/>
      <c r="AH4076" s="898"/>
      <c r="AI4076" s="502"/>
      <c r="AJ4076" s="502"/>
      <c r="AL4076" s="434"/>
      <c r="AM4076" s="436"/>
      <c r="AN4076" s="434"/>
      <c r="AO4076" s="434"/>
      <c r="AP4076" s="556"/>
      <c r="AQ4076" s="556"/>
      <c r="AR4076" s="556"/>
      <c r="CF4076" s="2"/>
    </row>
    <row r="4077" spans="3:84">
      <c r="C4077" s="2"/>
      <c r="AD4077" s="502"/>
      <c r="AE4077" s="911"/>
      <c r="AF4077" s="502"/>
      <c r="AH4077" s="898"/>
      <c r="AI4077" s="502"/>
      <c r="AJ4077" s="502"/>
      <c r="AL4077" s="434"/>
      <c r="AM4077" s="436"/>
      <c r="AN4077" s="434"/>
      <c r="AO4077" s="434"/>
      <c r="AP4077" s="556"/>
      <c r="AQ4077" s="556"/>
      <c r="AR4077" s="556"/>
      <c r="CF4077" s="2"/>
    </row>
    <row r="4078" spans="3:84">
      <c r="C4078" s="2"/>
      <c r="AD4078" s="502"/>
      <c r="AE4078" s="911"/>
      <c r="AF4078" s="502"/>
      <c r="AH4078" s="898"/>
      <c r="AI4078" s="502"/>
      <c r="AJ4078" s="502"/>
      <c r="AL4078" s="434"/>
      <c r="AM4078" s="436"/>
      <c r="AN4078" s="434"/>
      <c r="AO4078" s="434"/>
      <c r="AP4078" s="556"/>
      <c r="AQ4078" s="556"/>
      <c r="AR4078" s="556"/>
      <c r="CF4078" s="2"/>
    </row>
    <row r="4079" spans="3:84">
      <c r="C4079" s="2"/>
      <c r="AD4079" s="502"/>
      <c r="AE4079" s="911"/>
      <c r="AF4079" s="502"/>
      <c r="AH4079" s="898"/>
      <c r="AI4079" s="502"/>
      <c r="AJ4079" s="502"/>
      <c r="AL4079" s="434"/>
      <c r="AM4079" s="436"/>
      <c r="AN4079" s="434"/>
      <c r="AO4079" s="434"/>
      <c r="AP4079" s="556"/>
      <c r="AQ4079" s="556"/>
      <c r="AR4079" s="556"/>
      <c r="CF4079" s="2"/>
    </row>
    <row r="4080" spans="3:84">
      <c r="C4080" s="2"/>
      <c r="AD4080" s="502"/>
      <c r="AE4080" s="911"/>
      <c r="AF4080" s="502"/>
      <c r="AH4080" s="898"/>
      <c r="AI4080" s="502"/>
      <c r="AJ4080" s="502"/>
      <c r="AL4080" s="434"/>
      <c r="AM4080" s="436"/>
      <c r="AN4080" s="434"/>
      <c r="AO4080" s="434"/>
      <c r="AP4080" s="556"/>
      <c r="AQ4080" s="556"/>
      <c r="AR4080" s="556"/>
      <c r="CF4080" s="2"/>
    </row>
    <row r="4081" spans="3:84">
      <c r="C4081" s="2"/>
      <c r="AD4081" s="502"/>
      <c r="AE4081" s="911"/>
      <c r="AF4081" s="502"/>
      <c r="AH4081" s="898"/>
      <c r="AI4081" s="502"/>
      <c r="AJ4081" s="502"/>
      <c r="AL4081" s="434"/>
      <c r="AM4081" s="436"/>
      <c r="AN4081" s="434"/>
      <c r="AO4081" s="434"/>
      <c r="AP4081" s="556"/>
      <c r="AQ4081" s="556"/>
      <c r="AR4081" s="556"/>
      <c r="CF4081" s="2"/>
    </row>
    <row r="4082" spans="3:84">
      <c r="C4082" s="2"/>
      <c r="AD4082" s="502"/>
      <c r="AE4082" s="911"/>
      <c r="AF4082" s="502"/>
      <c r="AH4082" s="898"/>
      <c r="AI4082" s="502"/>
      <c r="AJ4082" s="502"/>
      <c r="AL4082" s="434"/>
      <c r="AM4082" s="436"/>
      <c r="AN4082" s="434"/>
      <c r="AO4082" s="434"/>
      <c r="AP4082" s="556"/>
      <c r="AQ4082" s="556"/>
      <c r="AR4082" s="556"/>
      <c r="CF4082" s="2"/>
    </row>
    <row r="4083" spans="3:84">
      <c r="C4083" s="2"/>
      <c r="AD4083" s="502"/>
      <c r="AE4083" s="911"/>
      <c r="AF4083" s="502"/>
      <c r="AH4083" s="898"/>
      <c r="AI4083" s="502"/>
      <c r="AJ4083" s="502"/>
      <c r="AL4083" s="434"/>
      <c r="AM4083" s="436"/>
      <c r="AN4083" s="434"/>
      <c r="AO4083" s="434"/>
      <c r="AP4083" s="556"/>
      <c r="AQ4083" s="556"/>
      <c r="AR4083" s="556"/>
      <c r="CF4083" s="2"/>
    </row>
    <row r="4084" spans="3:84">
      <c r="C4084" s="2"/>
      <c r="AD4084" s="502"/>
      <c r="AE4084" s="911"/>
      <c r="AF4084" s="502"/>
      <c r="AH4084" s="898"/>
      <c r="AI4084" s="502"/>
      <c r="AJ4084" s="502"/>
      <c r="AL4084" s="434"/>
      <c r="AM4084" s="436"/>
      <c r="AN4084" s="434"/>
      <c r="AO4084" s="434"/>
      <c r="AP4084" s="556"/>
      <c r="AQ4084" s="556"/>
      <c r="AR4084" s="556"/>
      <c r="CF4084" s="2"/>
    </row>
    <row r="4085" spans="3:84">
      <c r="C4085" s="2"/>
      <c r="AD4085" s="502"/>
      <c r="AE4085" s="911"/>
      <c r="AF4085" s="502"/>
      <c r="AH4085" s="898"/>
      <c r="AI4085" s="502"/>
      <c r="AJ4085" s="502"/>
      <c r="AL4085" s="434"/>
      <c r="AM4085" s="436"/>
      <c r="AN4085" s="434"/>
      <c r="AO4085" s="434"/>
      <c r="AP4085" s="556"/>
      <c r="AQ4085" s="556"/>
      <c r="AR4085" s="556"/>
      <c r="CF4085" s="2"/>
    </row>
    <row r="4086" spans="3:84">
      <c r="C4086" s="2"/>
      <c r="AD4086" s="502"/>
      <c r="AE4086" s="911"/>
      <c r="AF4086" s="502"/>
      <c r="AH4086" s="898"/>
      <c r="AI4086" s="502"/>
      <c r="AJ4086" s="502"/>
      <c r="AL4086" s="434"/>
      <c r="AM4086" s="436"/>
      <c r="AN4086" s="434"/>
      <c r="AO4086" s="434"/>
      <c r="AP4086" s="556"/>
      <c r="AQ4086" s="556"/>
      <c r="AR4086" s="556"/>
      <c r="CF4086" s="2"/>
    </row>
    <row r="4087" spans="3:84">
      <c r="C4087" s="2"/>
      <c r="AD4087" s="502"/>
      <c r="AE4087" s="911"/>
      <c r="AF4087" s="502"/>
      <c r="AH4087" s="898"/>
      <c r="AI4087" s="502"/>
      <c r="AJ4087" s="502"/>
      <c r="AL4087" s="434"/>
      <c r="AM4087" s="436"/>
      <c r="AN4087" s="434"/>
      <c r="AO4087" s="434"/>
      <c r="AP4087" s="556"/>
      <c r="AQ4087" s="556"/>
      <c r="AR4087" s="556"/>
      <c r="CF4087" s="2"/>
    </row>
    <row r="4088" spans="3:84">
      <c r="C4088" s="2"/>
      <c r="AD4088" s="502"/>
      <c r="AE4088" s="911"/>
      <c r="AF4088" s="502"/>
      <c r="AH4088" s="898"/>
      <c r="AI4088" s="502"/>
      <c r="AJ4088" s="502"/>
      <c r="AL4088" s="434"/>
      <c r="AM4088" s="436"/>
      <c r="AN4088" s="434"/>
      <c r="AO4088" s="434"/>
      <c r="AP4088" s="556"/>
      <c r="AQ4088" s="556"/>
      <c r="AR4088" s="556"/>
      <c r="CF4088" s="2"/>
    </row>
    <row r="4089" spans="3:84">
      <c r="C4089" s="2"/>
      <c r="AD4089" s="502"/>
      <c r="AE4089" s="911"/>
      <c r="AF4089" s="502"/>
      <c r="AH4089" s="898"/>
      <c r="AI4089" s="502"/>
      <c r="AJ4089" s="502"/>
      <c r="AL4089" s="434"/>
      <c r="AM4089" s="436"/>
      <c r="AN4089" s="434"/>
      <c r="AO4089" s="434"/>
      <c r="AP4089" s="556"/>
      <c r="AQ4089" s="556"/>
      <c r="AR4089" s="556"/>
      <c r="CF4089" s="2"/>
    </row>
    <row r="4090" spans="3:84">
      <c r="C4090" s="2"/>
      <c r="AD4090" s="502"/>
      <c r="AE4090" s="911"/>
      <c r="AF4090" s="502"/>
      <c r="AH4090" s="898"/>
      <c r="AI4090" s="502"/>
      <c r="AJ4090" s="502"/>
      <c r="AL4090" s="434"/>
      <c r="AM4090" s="436"/>
      <c r="AN4090" s="434"/>
      <c r="AO4090" s="434"/>
      <c r="AP4090" s="556"/>
      <c r="AQ4090" s="556"/>
      <c r="AR4090" s="556"/>
      <c r="CF4090" s="2"/>
    </row>
    <row r="4091" spans="3:84">
      <c r="C4091" s="2"/>
      <c r="AD4091" s="502"/>
      <c r="AE4091" s="911"/>
      <c r="AF4091" s="502"/>
      <c r="AH4091" s="898"/>
      <c r="AI4091" s="502"/>
      <c r="AJ4091" s="502"/>
      <c r="AL4091" s="434"/>
      <c r="AM4091" s="436"/>
      <c r="AN4091" s="434"/>
      <c r="AO4091" s="434"/>
      <c r="AP4091" s="556"/>
      <c r="AQ4091" s="556"/>
      <c r="AR4091" s="556"/>
      <c r="CF4091" s="2"/>
    </row>
    <row r="4092" spans="3:84">
      <c r="C4092" s="2"/>
      <c r="AD4092" s="502"/>
      <c r="AE4092" s="911"/>
      <c r="AF4092" s="502"/>
      <c r="AH4092" s="898"/>
      <c r="AI4092" s="502"/>
      <c r="AJ4092" s="502"/>
      <c r="AL4092" s="434"/>
      <c r="AM4092" s="436"/>
      <c r="AN4092" s="434"/>
      <c r="AO4092" s="434"/>
      <c r="AP4092" s="556"/>
      <c r="AQ4092" s="556"/>
      <c r="AR4092" s="556"/>
      <c r="CF4092" s="2"/>
    </row>
    <row r="4093" spans="3:84">
      <c r="C4093" s="2"/>
      <c r="AD4093" s="502"/>
      <c r="AE4093" s="911"/>
      <c r="AF4093" s="502"/>
      <c r="AH4093" s="898"/>
      <c r="AI4093" s="502"/>
      <c r="AJ4093" s="502"/>
      <c r="AL4093" s="434"/>
      <c r="AM4093" s="436"/>
      <c r="AN4093" s="434"/>
      <c r="AO4093" s="434"/>
      <c r="AP4093" s="556"/>
      <c r="AQ4093" s="556"/>
      <c r="AR4093" s="556"/>
      <c r="CF4093" s="2"/>
    </row>
    <row r="4094" spans="3:84">
      <c r="C4094" s="2"/>
      <c r="AD4094" s="502"/>
      <c r="AE4094" s="911"/>
      <c r="AF4094" s="502"/>
      <c r="AH4094" s="898"/>
      <c r="AI4094" s="502"/>
      <c r="AJ4094" s="502"/>
      <c r="AL4094" s="434"/>
      <c r="AM4094" s="436"/>
      <c r="AN4094" s="434"/>
      <c r="AO4094" s="434"/>
      <c r="AP4094" s="556"/>
      <c r="AQ4094" s="556"/>
      <c r="AR4094" s="556"/>
      <c r="CF4094" s="2"/>
    </row>
    <row r="4095" spans="3:84">
      <c r="C4095" s="2"/>
      <c r="AD4095" s="502"/>
      <c r="AE4095" s="911"/>
      <c r="AF4095" s="502"/>
      <c r="AH4095" s="898"/>
      <c r="AI4095" s="502"/>
      <c r="AJ4095" s="502"/>
      <c r="AL4095" s="434"/>
      <c r="AM4095" s="436"/>
      <c r="AN4095" s="434"/>
      <c r="AO4095" s="434"/>
      <c r="AP4095" s="556"/>
      <c r="AQ4095" s="556"/>
      <c r="AR4095" s="556"/>
      <c r="CF4095" s="2"/>
    </row>
    <row r="4096" spans="3:84">
      <c r="C4096" s="2"/>
      <c r="AD4096" s="502"/>
      <c r="AE4096" s="911"/>
      <c r="AF4096" s="502"/>
      <c r="AH4096" s="898"/>
      <c r="AI4096" s="502"/>
      <c r="AJ4096" s="502"/>
      <c r="AL4096" s="434"/>
      <c r="AM4096" s="436"/>
      <c r="AN4096" s="434"/>
      <c r="AO4096" s="434"/>
      <c r="AP4096" s="556"/>
      <c r="AQ4096" s="556"/>
      <c r="AR4096" s="556"/>
      <c r="CF4096" s="2"/>
    </row>
    <row r="4097" spans="3:84">
      <c r="C4097" s="2"/>
      <c r="AD4097" s="502"/>
      <c r="AE4097" s="911"/>
      <c r="AF4097" s="502"/>
      <c r="AH4097" s="898"/>
      <c r="AI4097" s="502"/>
      <c r="AJ4097" s="502"/>
      <c r="AL4097" s="434"/>
      <c r="AM4097" s="436"/>
      <c r="AN4097" s="434"/>
      <c r="AO4097" s="434"/>
      <c r="AP4097" s="556"/>
      <c r="AQ4097" s="556"/>
      <c r="AR4097" s="556"/>
      <c r="CF4097" s="2"/>
    </row>
    <row r="4098" spans="3:84">
      <c r="C4098" s="2"/>
      <c r="AD4098" s="502"/>
      <c r="AE4098" s="911"/>
      <c r="AF4098" s="502"/>
      <c r="AH4098" s="898"/>
      <c r="AI4098" s="502"/>
      <c r="AJ4098" s="502"/>
      <c r="AL4098" s="434"/>
      <c r="AM4098" s="436"/>
      <c r="AN4098" s="434"/>
      <c r="AO4098" s="434"/>
      <c r="AP4098" s="556"/>
      <c r="AQ4098" s="556"/>
      <c r="AR4098" s="556"/>
      <c r="CF4098" s="2"/>
    </row>
    <row r="4099" spans="3:84">
      <c r="C4099" s="2"/>
      <c r="AD4099" s="502"/>
      <c r="AE4099" s="911"/>
      <c r="AF4099" s="502"/>
      <c r="AH4099" s="898"/>
      <c r="AI4099" s="502"/>
      <c r="AJ4099" s="502"/>
      <c r="AL4099" s="434"/>
      <c r="AM4099" s="436"/>
      <c r="AN4099" s="434"/>
      <c r="AO4099" s="434"/>
      <c r="AP4099" s="556"/>
      <c r="AQ4099" s="556"/>
      <c r="AR4099" s="556"/>
      <c r="CF4099" s="2"/>
    </row>
    <row r="4100" spans="3:84">
      <c r="C4100" s="2"/>
      <c r="AD4100" s="502"/>
      <c r="AE4100" s="911"/>
      <c r="AF4100" s="502"/>
      <c r="AH4100" s="898"/>
      <c r="AI4100" s="502"/>
      <c r="AJ4100" s="502"/>
      <c r="AL4100" s="434"/>
      <c r="AM4100" s="436"/>
      <c r="AN4100" s="434"/>
      <c r="AO4100" s="434"/>
      <c r="AP4100" s="556"/>
      <c r="AQ4100" s="556"/>
      <c r="AR4100" s="556"/>
      <c r="CF4100" s="2"/>
    </row>
    <row r="4101" spans="3:84">
      <c r="C4101" s="2"/>
      <c r="AD4101" s="502"/>
      <c r="AE4101" s="911"/>
      <c r="AF4101" s="502"/>
      <c r="AH4101" s="898"/>
      <c r="AI4101" s="502"/>
      <c r="AJ4101" s="502"/>
      <c r="AL4101" s="434"/>
      <c r="AM4101" s="436"/>
      <c r="AN4101" s="434"/>
      <c r="AO4101" s="434"/>
      <c r="AP4101" s="556"/>
      <c r="AQ4101" s="556"/>
      <c r="AR4101" s="556"/>
      <c r="CF4101" s="2"/>
    </row>
    <row r="4102" spans="3:84">
      <c r="C4102" s="2"/>
      <c r="AD4102" s="502"/>
      <c r="AE4102" s="911"/>
      <c r="AF4102" s="502"/>
      <c r="AH4102" s="898"/>
      <c r="AI4102" s="502"/>
      <c r="AJ4102" s="502"/>
      <c r="AL4102" s="434"/>
      <c r="AM4102" s="436"/>
      <c r="AN4102" s="434"/>
      <c r="AO4102" s="434"/>
      <c r="AP4102" s="556"/>
      <c r="AQ4102" s="556"/>
      <c r="AR4102" s="556"/>
      <c r="CF4102" s="2"/>
    </row>
    <row r="4103" spans="3:84">
      <c r="C4103" s="2"/>
      <c r="AD4103" s="502"/>
      <c r="AE4103" s="911"/>
      <c r="AF4103" s="502"/>
      <c r="AH4103" s="898"/>
      <c r="AI4103" s="502"/>
      <c r="AJ4103" s="502"/>
      <c r="AL4103" s="434"/>
      <c r="AM4103" s="436"/>
      <c r="AN4103" s="434"/>
      <c r="AO4103" s="434"/>
      <c r="AP4103" s="556"/>
      <c r="AQ4103" s="556"/>
      <c r="AR4103" s="556"/>
      <c r="CF4103" s="2"/>
    </row>
    <row r="4104" spans="3:84">
      <c r="C4104" s="2"/>
      <c r="AD4104" s="502"/>
      <c r="AE4104" s="911"/>
      <c r="AF4104" s="502"/>
      <c r="AH4104" s="898"/>
      <c r="AI4104" s="502"/>
      <c r="AJ4104" s="502"/>
      <c r="AL4104" s="434"/>
      <c r="AM4104" s="436"/>
      <c r="AN4104" s="434"/>
      <c r="AO4104" s="434"/>
      <c r="AP4104" s="556"/>
      <c r="AQ4104" s="556"/>
      <c r="AR4104" s="556"/>
      <c r="CF4104" s="2"/>
    </row>
    <row r="4105" spans="3:84">
      <c r="C4105" s="2"/>
      <c r="AD4105" s="502"/>
      <c r="AE4105" s="911"/>
      <c r="AF4105" s="502"/>
      <c r="AH4105" s="898"/>
      <c r="AI4105" s="502"/>
      <c r="AJ4105" s="502"/>
      <c r="AL4105" s="434"/>
      <c r="AM4105" s="436"/>
      <c r="AN4105" s="434"/>
      <c r="AO4105" s="434"/>
      <c r="AP4105" s="556"/>
      <c r="AQ4105" s="556"/>
      <c r="AR4105" s="556"/>
      <c r="CF4105" s="2"/>
    </row>
    <row r="4106" spans="3:84">
      <c r="C4106" s="2"/>
      <c r="AD4106" s="502"/>
      <c r="AE4106" s="911"/>
      <c r="AF4106" s="502"/>
      <c r="AH4106" s="898"/>
      <c r="AI4106" s="502"/>
      <c r="AJ4106" s="502"/>
      <c r="AL4106" s="434"/>
      <c r="AM4106" s="436"/>
      <c r="AN4106" s="434"/>
      <c r="AO4106" s="434"/>
      <c r="AP4106" s="556"/>
      <c r="AQ4106" s="556"/>
      <c r="AR4106" s="556"/>
      <c r="CF4106" s="2"/>
    </row>
    <row r="4107" spans="3:84">
      <c r="C4107" s="2"/>
      <c r="AD4107" s="502"/>
      <c r="AE4107" s="911"/>
      <c r="AF4107" s="502"/>
      <c r="AH4107" s="898"/>
      <c r="AI4107" s="502"/>
      <c r="AJ4107" s="502"/>
      <c r="AL4107" s="434"/>
      <c r="AM4107" s="436"/>
      <c r="AN4107" s="434"/>
      <c r="AO4107" s="434"/>
      <c r="AP4107" s="556"/>
      <c r="AQ4107" s="556"/>
      <c r="AR4107" s="556"/>
      <c r="CF4107" s="2"/>
    </row>
    <row r="4108" spans="3:84">
      <c r="C4108" s="2"/>
      <c r="AD4108" s="502"/>
      <c r="AE4108" s="911"/>
      <c r="AF4108" s="502"/>
      <c r="AH4108" s="898"/>
      <c r="AI4108" s="502"/>
      <c r="AJ4108" s="502"/>
      <c r="AL4108" s="434"/>
      <c r="AM4108" s="436"/>
      <c r="AN4108" s="434"/>
      <c r="AO4108" s="434"/>
      <c r="AP4108" s="556"/>
      <c r="AQ4108" s="556"/>
      <c r="AR4108" s="556"/>
      <c r="CF4108" s="2"/>
    </row>
    <row r="4109" spans="3:84">
      <c r="C4109" s="2"/>
      <c r="AD4109" s="502"/>
      <c r="AE4109" s="911"/>
      <c r="AF4109" s="502"/>
      <c r="AH4109" s="898"/>
      <c r="AI4109" s="502"/>
      <c r="AJ4109" s="502"/>
      <c r="AL4109" s="434"/>
      <c r="AM4109" s="436"/>
      <c r="AN4109" s="434"/>
      <c r="AO4109" s="434"/>
      <c r="AP4109" s="556"/>
      <c r="AQ4109" s="556"/>
      <c r="AR4109" s="556"/>
      <c r="CF4109" s="2"/>
    </row>
    <row r="4110" spans="3:84">
      <c r="C4110" s="2"/>
      <c r="AD4110" s="502"/>
      <c r="AE4110" s="911"/>
      <c r="AF4110" s="502"/>
      <c r="AH4110" s="898"/>
      <c r="AI4110" s="502"/>
      <c r="AJ4110" s="502"/>
      <c r="AL4110" s="434"/>
      <c r="AM4110" s="436"/>
      <c r="AN4110" s="434"/>
      <c r="AO4110" s="434"/>
      <c r="AP4110" s="556"/>
      <c r="AQ4110" s="556"/>
      <c r="AR4110" s="556"/>
      <c r="CF4110" s="2"/>
    </row>
    <row r="4111" spans="3:84">
      <c r="C4111" s="2"/>
      <c r="AD4111" s="502"/>
      <c r="AE4111" s="911"/>
      <c r="AF4111" s="502"/>
      <c r="AH4111" s="898"/>
      <c r="AI4111" s="502"/>
      <c r="AJ4111" s="502"/>
      <c r="AL4111" s="434"/>
      <c r="AM4111" s="436"/>
      <c r="AN4111" s="434"/>
      <c r="AO4111" s="434"/>
      <c r="AP4111" s="556"/>
      <c r="AQ4111" s="556"/>
      <c r="AR4111" s="556"/>
      <c r="CF4111" s="2"/>
    </row>
    <row r="4112" spans="3:84">
      <c r="C4112" s="2"/>
      <c r="AD4112" s="502"/>
      <c r="AE4112" s="911"/>
      <c r="AF4112" s="502"/>
      <c r="AH4112" s="898"/>
      <c r="AI4112" s="502"/>
      <c r="AJ4112" s="502"/>
      <c r="AL4112" s="434"/>
      <c r="AM4112" s="436"/>
      <c r="AN4112" s="434"/>
      <c r="AO4112" s="434"/>
      <c r="AP4112" s="556"/>
      <c r="AQ4112" s="556"/>
      <c r="AR4112" s="556"/>
      <c r="CF4112" s="2"/>
    </row>
    <row r="4113" spans="3:84">
      <c r="C4113" s="2"/>
      <c r="AD4113" s="502"/>
      <c r="AE4113" s="911"/>
      <c r="AF4113" s="502"/>
      <c r="AH4113" s="898"/>
      <c r="AI4113" s="502"/>
      <c r="AJ4113" s="502"/>
      <c r="AL4113" s="434"/>
      <c r="AM4113" s="436"/>
      <c r="AN4113" s="434"/>
      <c r="AO4113" s="434"/>
      <c r="AP4113" s="556"/>
      <c r="AQ4113" s="556"/>
      <c r="AR4113" s="556"/>
      <c r="CF4113" s="2"/>
    </row>
    <row r="4114" spans="3:84">
      <c r="C4114" s="2"/>
      <c r="AD4114" s="502"/>
      <c r="AE4114" s="911"/>
      <c r="AF4114" s="502"/>
      <c r="AH4114" s="898"/>
      <c r="AI4114" s="502"/>
      <c r="AJ4114" s="502"/>
      <c r="AL4114" s="434"/>
      <c r="AM4114" s="436"/>
      <c r="AN4114" s="434"/>
      <c r="AO4114" s="434"/>
      <c r="AP4114" s="556"/>
      <c r="AQ4114" s="556"/>
      <c r="AR4114" s="556"/>
      <c r="CF4114" s="2"/>
    </row>
    <row r="4115" spans="3:84">
      <c r="C4115" s="2"/>
      <c r="AD4115" s="502"/>
      <c r="AE4115" s="911"/>
      <c r="AF4115" s="502"/>
      <c r="AH4115" s="898"/>
      <c r="AI4115" s="502"/>
      <c r="AJ4115" s="502"/>
      <c r="AL4115" s="434"/>
      <c r="AM4115" s="436"/>
      <c r="AN4115" s="434"/>
      <c r="AO4115" s="434"/>
      <c r="AP4115" s="556"/>
      <c r="AQ4115" s="556"/>
      <c r="AR4115" s="556"/>
      <c r="CF4115" s="2"/>
    </row>
    <row r="4116" spans="3:84">
      <c r="C4116" s="2"/>
      <c r="AD4116" s="502"/>
      <c r="AE4116" s="911"/>
      <c r="AF4116" s="502"/>
      <c r="AH4116" s="898"/>
      <c r="AI4116" s="502"/>
      <c r="AJ4116" s="502"/>
      <c r="AL4116" s="434"/>
      <c r="AM4116" s="436"/>
      <c r="AN4116" s="434"/>
      <c r="AO4116" s="434"/>
      <c r="AP4116" s="556"/>
      <c r="AQ4116" s="556"/>
      <c r="AR4116" s="556"/>
      <c r="CF4116" s="2"/>
    </row>
    <row r="4117" spans="3:84">
      <c r="C4117" s="2"/>
      <c r="AD4117" s="502"/>
      <c r="AE4117" s="911"/>
      <c r="AF4117" s="502"/>
      <c r="AH4117" s="898"/>
      <c r="AI4117" s="502"/>
      <c r="AJ4117" s="502"/>
      <c r="AL4117" s="434"/>
      <c r="AM4117" s="436"/>
      <c r="AN4117" s="434"/>
      <c r="AO4117" s="434"/>
      <c r="AP4117" s="556"/>
      <c r="AQ4117" s="556"/>
      <c r="AR4117" s="556"/>
      <c r="CF4117" s="2"/>
    </row>
    <row r="4118" spans="3:84">
      <c r="C4118" s="2"/>
      <c r="AD4118" s="502"/>
      <c r="AE4118" s="911"/>
      <c r="AF4118" s="502"/>
      <c r="AH4118" s="898"/>
      <c r="AI4118" s="502"/>
      <c r="AJ4118" s="502"/>
      <c r="AL4118" s="434"/>
      <c r="AM4118" s="436"/>
      <c r="AN4118" s="434"/>
      <c r="AO4118" s="434"/>
      <c r="AP4118" s="556"/>
      <c r="AQ4118" s="556"/>
      <c r="AR4118" s="556"/>
      <c r="CF4118" s="2"/>
    </row>
    <row r="4119" spans="3:84">
      <c r="C4119" s="2"/>
      <c r="AD4119" s="502"/>
      <c r="AE4119" s="911"/>
      <c r="AF4119" s="502"/>
      <c r="AH4119" s="898"/>
      <c r="AI4119" s="502"/>
      <c r="AJ4119" s="502"/>
      <c r="AL4119" s="434"/>
      <c r="AM4119" s="436"/>
      <c r="AN4119" s="434"/>
      <c r="AO4119" s="434"/>
      <c r="AP4119" s="556"/>
      <c r="AQ4119" s="556"/>
      <c r="AR4119" s="556"/>
      <c r="CF4119" s="2"/>
    </row>
    <row r="4120" spans="3:84">
      <c r="C4120" s="2"/>
      <c r="AD4120" s="502"/>
      <c r="AE4120" s="911"/>
      <c r="AF4120" s="502"/>
      <c r="AH4120" s="898"/>
      <c r="AI4120" s="502"/>
      <c r="AJ4120" s="502"/>
      <c r="AL4120" s="434"/>
      <c r="AM4120" s="436"/>
      <c r="AN4120" s="434"/>
      <c r="AO4120" s="434"/>
      <c r="AP4120" s="556"/>
      <c r="AQ4120" s="556"/>
      <c r="AR4120" s="556"/>
      <c r="CF4120" s="2"/>
    </row>
    <row r="4121" spans="3:84">
      <c r="C4121" s="2"/>
      <c r="AD4121" s="502"/>
      <c r="AE4121" s="911"/>
      <c r="AF4121" s="502"/>
      <c r="AH4121" s="898"/>
      <c r="AI4121" s="502"/>
      <c r="AJ4121" s="502"/>
      <c r="AL4121" s="434"/>
      <c r="AM4121" s="436"/>
      <c r="AN4121" s="434"/>
      <c r="AO4121" s="434"/>
      <c r="AP4121" s="556"/>
      <c r="AQ4121" s="556"/>
      <c r="AR4121" s="556"/>
      <c r="CF4121" s="2"/>
    </row>
    <row r="4122" spans="3:84">
      <c r="C4122" s="2"/>
      <c r="AD4122" s="502"/>
      <c r="AE4122" s="911"/>
      <c r="AF4122" s="502"/>
      <c r="AH4122" s="898"/>
      <c r="AI4122" s="502"/>
      <c r="AJ4122" s="502"/>
      <c r="AL4122" s="434"/>
      <c r="AM4122" s="436"/>
      <c r="AN4122" s="434"/>
      <c r="AO4122" s="434"/>
      <c r="AP4122" s="556"/>
      <c r="AQ4122" s="556"/>
      <c r="AR4122" s="556"/>
      <c r="CF4122" s="2"/>
    </row>
    <row r="4123" spans="3:84">
      <c r="C4123" s="2"/>
      <c r="AD4123" s="502"/>
      <c r="AE4123" s="911"/>
      <c r="AF4123" s="502"/>
      <c r="AH4123" s="898"/>
      <c r="AI4123" s="502"/>
      <c r="AJ4123" s="502"/>
      <c r="AL4123" s="434"/>
      <c r="AM4123" s="436"/>
      <c r="AN4123" s="434"/>
      <c r="AO4123" s="434"/>
      <c r="AP4123" s="556"/>
      <c r="AQ4123" s="556"/>
      <c r="AR4123" s="556"/>
      <c r="CF4123" s="2"/>
    </row>
    <row r="4124" spans="3:84">
      <c r="C4124" s="2"/>
      <c r="AD4124" s="502"/>
      <c r="AE4124" s="911"/>
      <c r="AF4124" s="502"/>
      <c r="AH4124" s="898"/>
      <c r="AI4124" s="502"/>
      <c r="AJ4124" s="502"/>
      <c r="AL4124" s="434"/>
      <c r="AM4124" s="436"/>
      <c r="AN4124" s="434"/>
      <c r="AO4124" s="434"/>
      <c r="AP4124" s="556"/>
      <c r="AQ4124" s="556"/>
      <c r="AR4124" s="556"/>
      <c r="CF4124" s="2"/>
    </row>
    <row r="4125" spans="3:84">
      <c r="C4125" s="2"/>
      <c r="AD4125" s="502"/>
      <c r="AE4125" s="911"/>
      <c r="AF4125" s="502"/>
      <c r="AH4125" s="898"/>
      <c r="AI4125" s="502"/>
      <c r="AJ4125" s="502"/>
      <c r="AL4125" s="434"/>
      <c r="AM4125" s="436"/>
      <c r="AN4125" s="434"/>
      <c r="AO4125" s="434"/>
      <c r="AP4125" s="556"/>
      <c r="AQ4125" s="556"/>
      <c r="AR4125" s="556"/>
      <c r="CF4125" s="2"/>
    </row>
    <row r="4126" spans="3:84">
      <c r="C4126" s="2"/>
      <c r="AD4126" s="502"/>
      <c r="AE4126" s="911"/>
      <c r="AF4126" s="502"/>
      <c r="AH4126" s="898"/>
      <c r="AI4126" s="502"/>
      <c r="AJ4126" s="502"/>
      <c r="AL4126" s="434"/>
      <c r="AM4126" s="436"/>
      <c r="AN4126" s="434"/>
      <c r="AO4126" s="434"/>
      <c r="AP4126" s="556"/>
      <c r="AQ4126" s="556"/>
      <c r="AR4126" s="556"/>
      <c r="CF4126" s="2"/>
    </row>
    <row r="4127" spans="3:84">
      <c r="C4127" s="2"/>
      <c r="AD4127" s="502"/>
      <c r="AE4127" s="911"/>
      <c r="AF4127" s="502"/>
      <c r="AH4127" s="898"/>
      <c r="AI4127" s="502"/>
      <c r="AJ4127" s="502"/>
      <c r="AL4127" s="434"/>
      <c r="AM4127" s="436"/>
      <c r="AN4127" s="434"/>
      <c r="AO4127" s="434"/>
      <c r="AP4127" s="556"/>
      <c r="AQ4127" s="556"/>
      <c r="AR4127" s="556"/>
      <c r="CF4127" s="2"/>
    </row>
    <row r="4128" spans="3:84">
      <c r="C4128" s="2"/>
      <c r="AD4128" s="502"/>
      <c r="AE4128" s="911"/>
      <c r="AF4128" s="502"/>
      <c r="AH4128" s="898"/>
      <c r="AI4128" s="502"/>
      <c r="AJ4128" s="502"/>
      <c r="AL4128" s="434"/>
      <c r="AM4128" s="436"/>
      <c r="AN4128" s="434"/>
      <c r="AO4128" s="434"/>
      <c r="AP4128" s="556"/>
      <c r="AQ4128" s="556"/>
      <c r="AR4128" s="556"/>
      <c r="CF4128" s="2"/>
    </row>
    <row r="4129" spans="3:84">
      <c r="C4129" s="2"/>
      <c r="AD4129" s="502"/>
      <c r="AE4129" s="911"/>
      <c r="AF4129" s="502"/>
      <c r="AH4129" s="898"/>
      <c r="AI4129" s="502"/>
      <c r="AJ4129" s="502"/>
      <c r="AL4129" s="434"/>
      <c r="AM4129" s="436"/>
      <c r="AN4129" s="434"/>
      <c r="AO4129" s="434"/>
      <c r="AP4129" s="556"/>
      <c r="AQ4129" s="556"/>
      <c r="AR4129" s="556"/>
      <c r="CF4129" s="2"/>
    </row>
    <row r="4130" spans="3:84">
      <c r="C4130" s="2"/>
      <c r="AD4130" s="502"/>
      <c r="AE4130" s="911"/>
      <c r="AF4130" s="502"/>
      <c r="AH4130" s="898"/>
      <c r="AI4130" s="502"/>
      <c r="AJ4130" s="502"/>
      <c r="AL4130" s="434"/>
      <c r="AM4130" s="436"/>
      <c r="AN4130" s="434"/>
      <c r="AO4130" s="434"/>
      <c r="AP4130" s="556"/>
      <c r="AQ4130" s="556"/>
      <c r="AR4130" s="556"/>
      <c r="CF4130" s="2"/>
    </row>
    <row r="4131" spans="3:84">
      <c r="C4131" s="2"/>
      <c r="AD4131" s="502"/>
      <c r="AE4131" s="911"/>
      <c r="AF4131" s="502"/>
      <c r="AH4131" s="898"/>
      <c r="AI4131" s="502"/>
      <c r="AJ4131" s="502"/>
      <c r="AL4131" s="434"/>
      <c r="AM4131" s="436"/>
      <c r="AN4131" s="434"/>
      <c r="AO4131" s="434"/>
      <c r="AP4131" s="556"/>
      <c r="AQ4131" s="556"/>
      <c r="AR4131" s="556"/>
      <c r="CF4131" s="2"/>
    </row>
    <row r="4132" spans="3:84">
      <c r="C4132" s="2"/>
      <c r="AD4132" s="502"/>
      <c r="AE4132" s="911"/>
      <c r="AF4132" s="502"/>
      <c r="AH4132" s="898"/>
      <c r="AI4132" s="502"/>
      <c r="AJ4132" s="502"/>
      <c r="AL4132" s="434"/>
      <c r="AM4132" s="436"/>
      <c r="AN4132" s="434"/>
      <c r="AO4132" s="434"/>
      <c r="AP4132" s="556"/>
      <c r="AQ4132" s="556"/>
      <c r="AR4132" s="556"/>
      <c r="CF4132" s="2"/>
    </row>
    <row r="4133" spans="3:84">
      <c r="C4133" s="2"/>
      <c r="AD4133" s="502"/>
      <c r="AE4133" s="911"/>
      <c r="AF4133" s="502"/>
      <c r="AH4133" s="898"/>
      <c r="AI4133" s="502"/>
      <c r="AJ4133" s="502"/>
      <c r="AL4133" s="434"/>
      <c r="AM4133" s="436"/>
      <c r="AN4133" s="434"/>
      <c r="AO4133" s="434"/>
      <c r="AP4133" s="556"/>
      <c r="AQ4133" s="556"/>
      <c r="AR4133" s="556"/>
      <c r="CF4133" s="2"/>
    </row>
    <row r="4134" spans="3:84">
      <c r="C4134" s="2"/>
      <c r="AD4134" s="502"/>
      <c r="AE4134" s="911"/>
      <c r="AF4134" s="502"/>
      <c r="AH4134" s="898"/>
      <c r="AI4134" s="502"/>
      <c r="AJ4134" s="502"/>
      <c r="AL4134" s="434"/>
      <c r="AM4134" s="436"/>
      <c r="AN4134" s="434"/>
      <c r="AO4134" s="434"/>
      <c r="AP4134" s="556"/>
      <c r="AQ4134" s="556"/>
      <c r="AR4134" s="556"/>
      <c r="CF4134" s="2"/>
    </row>
    <row r="4135" spans="3:84">
      <c r="C4135" s="2"/>
      <c r="AD4135" s="502"/>
      <c r="AE4135" s="911"/>
      <c r="AF4135" s="502"/>
      <c r="AH4135" s="898"/>
      <c r="AI4135" s="502"/>
      <c r="AJ4135" s="502"/>
      <c r="AL4135" s="434"/>
      <c r="AM4135" s="436"/>
      <c r="AN4135" s="434"/>
      <c r="AO4135" s="434"/>
      <c r="AP4135" s="556"/>
      <c r="AQ4135" s="556"/>
      <c r="AR4135" s="556"/>
      <c r="CF4135" s="2"/>
    </row>
    <row r="4136" spans="3:84">
      <c r="C4136" s="2"/>
      <c r="AD4136" s="502"/>
      <c r="AE4136" s="911"/>
      <c r="AF4136" s="502"/>
      <c r="AH4136" s="898"/>
      <c r="AI4136" s="502"/>
      <c r="AJ4136" s="502"/>
      <c r="AL4136" s="434"/>
      <c r="AM4136" s="436"/>
      <c r="AN4136" s="434"/>
      <c r="AO4136" s="434"/>
      <c r="AP4136" s="556"/>
      <c r="AQ4136" s="556"/>
      <c r="AR4136" s="556"/>
      <c r="CF4136" s="2"/>
    </row>
    <row r="4137" spans="3:84">
      <c r="C4137" s="2"/>
      <c r="AD4137" s="502"/>
      <c r="AE4137" s="911"/>
      <c r="AF4137" s="502"/>
      <c r="AH4137" s="898"/>
      <c r="AI4137" s="502"/>
      <c r="AJ4137" s="502"/>
      <c r="AL4137" s="434"/>
      <c r="AM4137" s="436"/>
      <c r="AN4137" s="434"/>
      <c r="AO4137" s="434"/>
      <c r="AP4137" s="556"/>
      <c r="AQ4137" s="556"/>
      <c r="AR4137" s="556"/>
      <c r="CF4137" s="2"/>
    </row>
    <row r="4138" spans="3:84">
      <c r="C4138" s="2"/>
      <c r="AD4138" s="502"/>
      <c r="AE4138" s="911"/>
      <c r="AF4138" s="502"/>
      <c r="AH4138" s="898"/>
      <c r="AI4138" s="502"/>
      <c r="AJ4138" s="502"/>
      <c r="AL4138" s="434"/>
      <c r="AM4138" s="436"/>
      <c r="AN4138" s="434"/>
      <c r="AO4138" s="434"/>
      <c r="AP4138" s="556"/>
      <c r="AQ4138" s="556"/>
      <c r="AR4138" s="556"/>
      <c r="CF4138" s="2"/>
    </row>
    <row r="4139" spans="3:84">
      <c r="C4139" s="2"/>
      <c r="AD4139" s="502"/>
      <c r="AE4139" s="911"/>
      <c r="AF4139" s="502"/>
      <c r="AH4139" s="898"/>
      <c r="AI4139" s="502"/>
      <c r="AJ4139" s="502"/>
      <c r="AL4139" s="434"/>
      <c r="AM4139" s="436"/>
      <c r="AN4139" s="434"/>
      <c r="AO4139" s="434"/>
      <c r="AP4139" s="556"/>
      <c r="AQ4139" s="556"/>
      <c r="AR4139" s="556"/>
      <c r="CF4139" s="2"/>
    </row>
    <row r="4140" spans="3:84">
      <c r="C4140" s="2"/>
      <c r="AD4140" s="502"/>
      <c r="AE4140" s="911"/>
      <c r="AF4140" s="502"/>
      <c r="AH4140" s="898"/>
      <c r="AI4140" s="502"/>
      <c r="AJ4140" s="502"/>
      <c r="AL4140" s="434"/>
      <c r="AM4140" s="436"/>
      <c r="AN4140" s="434"/>
      <c r="AO4140" s="434"/>
      <c r="AP4140" s="556"/>
      <c r="AQ4140" s="556"/>
      <c r="AR4140" s="556"/>
      <c r="CF4140" s="2"/>
    </row>
    <row r="4141" spans="3:84">
      <c r="C4141" s="2"/>
      <c r="AD4141" s="502"/>
      <c r="AE4141" s="911"/>
      <c r="AF4141" s="502"/>
      <c r="AH4141" s="898"/>
      <c r="AI4141" s="502"/>
      <c r="AJ4141" s="502"/>
      <c r="AL4141" s="434"/>
      <c r="AM4141" s="436"/>
      <c r="AN4141" s="434"/>
      <c r="AO4141" s="434"/>
      <c r="AP4141" s="556"/>
      <c r="AQ4141" s="556"/>
      <c r="AR4141" s="556"/>
      <c r="CF4141" s="2"/>
    </row>
    <row r="4142" spans="3:84">
      <c r="C4142" s="2"/>
      <c r="AD4142" s="502"/>
      <c r="AE4142" s="911"/>
      <c r="AF4142" s="502"/>
      <c r="AH4142" s="898"/>
      <c r="AI4142" s="502"/>
      <c r="AJ4142" s="502"/>
      <c r="AL4142" s="434"/>
      <c r="AM4142" s="436"/>
      <c r="AN4142" s="434"/>
      <c r="AO4142" s="434"/>
      <c r="AP4142" s="556"/>
      <c r="AQ4142" s="556"/>
      <c r="AR4142" s="556"/>
      <c r="CF4142" s="2"/>
    </row>
    <row r="4143" spans="3:84">
      <c r="C4143" s="2"/>
      <c r="AD4143" s="502"/>
      <c r="AE4143" s="911"/>
      <c r="AF4143" s="502"/>
      <c r="AH4143" s="898"/>
      <c r="AI4143" s="502"/>
      <c r="AJ4143" s="502"/>
      <c r="AL4143" s="434"/>
      <c r="AM4143" s="436"/>
      <c r="AN4143" s="434"/>
      <c r="AO4143" s="434"/>
      <c r="AP4143" s="556"/>
      <c r="AQ4143" s="556"/>
      <c r="AR4143" s="556"/>
      <c r="CF4143" s="2"/>
    </row>
    <row r="4144" spans="3:84">
      <c r="C4144" s="2"/>
      <c r="AD4144" s="502"/>
      <c r="AE4144" s="911"/>
      <c r="AF4144" s="502"/>
      <c r="AH4144" s="898"/>
      <c r="AI4144" s="502"/>
      <c r="AJ4144" s="502"/>
      <c r="AL4144" s="434"/>
      <c r="AM4144" s="436"/>
      <c r="AN4144" s="434"/>
      <c r="AO4144" s="434"/>
      <c r="AP4144" s="556"/>
      <c r="AQ4144" s="556"/>
      <c r="AR4144" s="556"/>
      <c r="CF4144" s="2"/>
    </row>
    <row r="4145" spans="3:84">
      <c r="C4145" s="2"/>
      <c r="AD4145" s="502"/>
      <c r="AE4145" s="911"/>
      <c r="AF4145" s="502"/>
      <c r="AH4145" s="898"/>
      <c r="AI4145" s="502"/>
      <c r="AJ4145" s="502"/>
      <c r="AL4145" s="434"/>
      <c r="AM4145" s="436"/>
      <c r="AN4145" s="434"/>
      <c r="AO4145" s="434"/>
      <c r="AP4145" s="556"/>
      <c r="AQ4145" s="556"/>
      <c r="AR4145" s="556"/>
      <c r="CF4145" s="2"/>
    </row>
    <row r="4146" spans="3:84">
      <c r="C4146" s="2"/>
      <c r="AD4146" s="502"/>
      <c r="AE4146" s="911"/>
      <c r="AF4146" s="502"/>
      <c r="AH4146" s="898"/>
      <c r="AI4146" s="502"/>
      <c r="AJ4146" s="502"/>
      <c r="AL4146" s="434"/>
      <c r="AM4146" s="436"/>
      <c r="AN4146" s="434"/>
      <c r="AO4146" s="434"/>
      <c r="AP4146" s="556"/>
      <c r="AQ4146" s="556"/>
      <c r="AR4146" s="556"/>
      <c r="CF4146" s="2"/>
    </row>
    <row r="4147" spans="3:84">
      <c r="C4147" s="2"/>
      <c r="AD4147" s="502"/>
      <c r="AE4147" s="911"/>
      <c r="AF4147" s="502"/>
      <c r="AH4147" s="898"/>
      <c r="AI4147" s="502"/>
      <c r="AJ4147" s="502"/>
      <c r="AL4147" s="434"/>
      <c r="AM4147" s="436"/>
      <c r="AN4147" s="434"/>
      <c r="AO4147" s="434"/>
      <c r="AP4147" s="556"/>
      <c r="AQ4147" s="556"/>
      <c r="AR4147" s="556"/>
      <c r="CF4147" s="2"/>
    </row>
    <row r="4148" spans="3:84">
      <c r="C4148" s="2"/>
      <c r="AD4148" s="502"/>
      <c r="AE4148" s="911"/>
      <c r="AF4148" s="502"/>
      <c r="AH4148" s="898"/>
      <c r="AI4148" s="502"/>
      <c r="AJ4148" s="502"/>
      <c r="AL4148" s="434"/>
      <c r="AM4148" s="436"/>
      <c r="AN4148" s="434"/>
      <c r="AO4148" s="434"/>
      <c r="AP4148" s="556"/>
      <c r="AQ4148" s="556"/>
      <c r="AR4148" s="556"/>
      <c r="CF4148" s="2"/>
    </row>
    <row r="4149" spans="3:84">
      <c r="C4149" s="2"/>
      <c r="AD4149" s="502"/>
      <c r="AE4149" s="911"/>
      <c r="AF4149" s="502"/>
      <c r="AH4149" s="898"/>
      <c r="AI4149" s="502"/>
      <c r="AJ4149" s="502"/>
      <c r="AL4149" s="434"/>
      <c r="AM4149" s="436"/>
      <c r="AN4149" s="434"/>
      <c r="AO4149" s="434"/>
      <c r="AP4149" s="556"/>
      <c r="AQ4149" s="556"/>
      <c r="AR4149" s="556"/>
      <c r="CF4149" s="2"/>
    </row>
    <row r="4150" spans="3:84">
      <c r="C4150" s="2"/>
      <c r="AD4150" s="502"/>
      <c r="AE4150" s="911"/>
      <c r="AF4150" s="502"/>
      <c r="AH4150" s="898"/>
      <c r="AI4150" s="502"/>
      <c r="AJ4150" s="502"/>
      <c r="AL4150" s="434"/>
      <c r="AM4150" s="436"/>
      <c r="AN4150" s="434"/>
      <c r="AO4150" s="434"/>
      <c r="AP4150" s="556"/>
      <c r="AQ4150" s="556"/>
      <c r="AR4150" s="556"/>
      <c r="CF4150" s="2"/>
    </row>
    <row r="4151" spans="3:84">
      <c r="C4151" s="2"/>
      <c r="AD4151" s="502"/>
      <c r="AE4151" s="911"/>
      <c r="AF4151" s="502"/>
      <c r="AH4151" s="898"/>
      <c r="AI4151" s="502"/>
      <c r="AJ4151" s="502"/>
      <c r="AL4151" s="434"/>
      <c r="AM4151" s="436"/>
      <c r="AN4151" s="434"/>
      <c r="AO4151" s="434"/>
      <c r="AP4151" s="556"/>
      <c r="AQ4151" s="556"/>
      <c r="AR4151" s="556"/>
      <c r="CF4151" s="2"/>
    </row>
    <row r="4152" spans="3:84">
      <c r="C4152" s="2"/>
      <c r="AD4152" s="502"/>
      <c r="AE4152" s="911"/>
      <c r="AF4152" s="502"/>
      <c r="AH4152" s="898"/>
      <c r="AI4152" s="502"/>
      <c r="AJ4152" s="502"/>
      <c r="AL4152" s="434"/>
      <c r="AM4152" s="436"/>
      <c r="AN4152" s="434"/>
      <c r="AO4152" s="434"/>
      <c r="AP4152" s="556"/>
      <c r="AQ4152" s="556"/>
      <c r="AR4152" s="556"/>
      <c r="CF4152" s="2"/>
    </row>
    <row r="4153" spans="3:84">
      <c r="C4153" s="2"/>
      <c r="AD4153" s="502"/>
      <c r="AE4153" s="911"/>
      <c r="AF4153" s="502"/>
      <c r="AH4153" s="898"/>
      <c r="AI4153" s="502"/>
      <c r="AJ4153" s="502"/>
      <c r="AL4153" s="434"/>
      <c r="AM4153" s="436"/>
      <c r="AN4153" s="434"/>
      <c r="AO4153" s="434"/>
      <c r="AP4153" s="556"/>
      <c r="AQ4153" s="556"/>
      <c r="AR4153" s="556"/>
      <c r="CF4153" s="2"/>
    </row>
    <row r="4154" spans="3:84">
      <c r="C4154" s="2"/>
      <c r="AD4154" s="502"/>
      <c r="AE4154" s="911"/>
      <c r="AF4154" s="502"/>
      <c r="AH4154" s="898"/>
      <c r="AI4154" s="502"/>
      <c r="AJ4154" s="502"/>
      <c r="AL4154" s="434"/>
      <c r="AM4154" s="436"/>
      <c r="AN4154" s="434"/>
      <c r="AO4154" s="434"/>
      <c r="AP4154" s="556"/>
      <c r="AQ4154" s="556"/>
      <c r="AR4154" s="556"/>
      <c r="CF4154" s="2"/>
    </row>
    <row r="4155" spans="3:84">
      <c r="C4155" s="2"/>
      <c r="AD4155" s="502"/>
      <c r="AE4155" s="911"/>
      <c r="AF4155" s="502"/>
      <c r="AH4155" s="898"/>
      <c r="AI4155" s="502"/>
      <c r="AJ4155" s="502"/>
      <c r="AL4155" s="434"/>
      <c r="AM4155" s="436"/>
      <c r="AN4155" s="434"/>
      <c r="AO4155" s="434"/>
      <c r="AP4155" s="556"/>
      <c r="AQ4155" s="556"/>
      <c r="AR4155" s="556"/>
      <c r="CF4155" s="2"/>
    </row>
    <row r="4156" spans="3:84">
      <c r="C4156" s="2"/>
      <c r="AD4156" s="502"/>
      <c r="AE4156" s="911"/>
      <c r="AF4156" s="502"/>
      <c r="AH4156" s="898"/>
      <c r="AI4156" s="502"/>
      <c r="AJ4156" s="502"/>
      <c r="AL4156" s="434"/>
      <c r="AM4156" s="436"/>
      <c r="AN4156" s="434"/>
      <c r="AO4156" s="434"/>
      <c r="AP4156" s="556"/>
      <c r="AQ4156" s="556"/>
      <c r="AR4156" s="556"/>
      <c r="CF4156" s="2"/>
    </row>
    <row r="4157" spans="3:84">
      <c r="C4157" s="2"/>
      <c r="AD4157" s="502"/>
      <c r="AE4157" s="911"/>
      <c r="AF4157" s="502"/>
      <c r="AH4157" s="898"/>
      <c r="AI4157" s="502"/>
      <c r="AJ4157" s="502"/>
      <c r="AL4157" s="434"/>
      <c r="AM4157" s="436"/>
      <c r="AN4157" s="434"/>
      <c r="AO4157" s="434"/>
      <c r="AP4157" s="556"/>
      <c r="AQ4157" s="556"/>
      <c r="AR4157" s="556"/>
      <c r="CF4157" s="2"/>
    </row>
    <row r="4158" spans="3:84">
      <c r="C4158" s="2"/>
      <c r="AD4158" s="502"/>
      <c r="AE4158" s="911"/>
      <c r="AF4158" s="502"/>
      <c r="AH4158" s="898"/>
      <c r="AI4158" s="502"/>
      <c r="AJ4158" s="502"/>
      <c r="AL4158" s="434"/>
      <c r="AM4158" s="436"/>
      <c r="AN4158" s="434"/>
      <c r="AO4158" s="434"/>
      <c r="AP4158" s="556"/>
      <c r="AQ4158" s="556"/>
      <c r="AR4158" s="556"/>
      <c r="CF4158" s="2"/>
    </row>
    <row r="4159" spans="3:84">
      <c r="C4159" s="2"/>
      <c r="AD4159" s="502"/>
      <c r="AE4159" s="911"/>
      <c r="AF4159" s="502"/>
      <c r="AH4159" s="898"/>
      <c r="AI4159" s="502"/>
      <c r="AJ4159" s="502"/>
      <c r="AL4159" s="434"/>
      <c r="AM4159" s="436"/>
      <c r="AN4159" s="434"/>
      <c r="AO4159" s="434"/>
      <c r="AP4159" s="556"/>
      <c r="AQ4159" s="556"/>
      <c r="AR4159" s="556"/>
      <c r="CF4159" s="2"/>
    </row>
    <row r="4160" spans="3:84">
      <c r="C4160" s="2"/>
      <c r="AD4160" s="502"/>
      <c r="AE4160" s="911"/>
      <c r="AF4160" s="502"/>
      <c r="AH4160" s="898"/>
      <c r="AI4160" s="502"/>
      <c r="AJ4160" s="502"/>
      <c r="AL4160" s="434"/>
      <c r="AM4160" s="436"/>
      <c r="AN4160" s="434"/>
      <c r="AO4160" s="434"/>
      <c r="AP4160" s="556"/>
      <c r="AQ4160" s="556"/>
      <c r="AR4160" s="556"/>
      <c r="CF4160" s="2"/>
    </row>
    <row r="4161" spans="3:84">
      <c r="C4161" s="2"/>
      <c r="AD4161" s="502"/>
      <c r="AE4161" s="911"/>
      <c r="AF4161" s="502"/>
      <c r="AH4161" s="898"/>
      <c r="AI4161" s="502"/>
      <c r="AJ4161" s="502"/>
      <c r="AL4161" s="434"/>
      <c r="AM4161" s="436"/>
      <c r="AN4161" s="434"/>
      <c r="AO4161" s="434"/>
      <c r="AP4161" s="556"/>
      <c r="AQ4161" s="556"/>
      <c r="AR4161" s="556"/>
      <c r="CF4161" s="2"/>
    </row>
    <row r="4162" spans="3:84">
      <c r="C4162" s="2"/>
      <c r="AD4162" s="502"/>
      <c r="AE4162" s="911"/>
      <c r="AF4162" s="502"/>
      <c r="AH4162" s="898"/>
      <c r="AI4162" s="502"/>
      <c r="AJ4162" s="502"/>
      <c r="AL4162" s="434"/>
      <c r="AM4162" s="436"/>
      <c r="AN4162" s="434"/>
      <c r="AO4162" s="434"/>
      <c r="AP4162" s="556"/>
      <c r="AQ4162" s="556"/>
      <c r="AR4162" s="556"/>
      <c r="CF4162" s="2"/>
    </row>
    <row r="4163" spans="3:84">
      <c r="C4163" s="2"/>
      <c r="AD4163" s="502"/>
      <c r="AE4163" s="911"/>
      <c r="AF4163" s="502"/>
      <c r="AH4163" s="898"/>
      <c r="AI4163" s="502"/>
      <c r="AJ4163" s="502"/>
      <c r="AL4163" s="434"/>
      <c r="AM4163" s="436"/>
      <c r="AN4163" s="434"/>
      <c r="AO4163" s="434"/>
      <c r="AP4163" s="556"/>
      <c r="AQ4163" s="556"/>
      <c r="AR4163" s="556"/>
      <c r="CF4163" s="2"/>
    </row>
    <row r="4164" spans="3:84">
      <c r="C4164" s="2"/>
      <c r="AD4164" s="502"/>
      <c r="AE4164" s="911"/>
      <c r="AF4164" s="502"/>
      <c r="AH4164" s="898"/>
      <c r="AI4164" s="502"/>
      <c r="AJ4164" s="502"/>
      <c r="AL4164" s="434"/>
      <c r="AM4164" s="436"/>
      <c r="AN4164" s="434"/>
      <c r="AO4164" s="434"/>
      <c r="AP4164" s="556"/>
      <c r="AQ4164" s="556"/>
      <c r="AR4164" s="556"/>
      <c r="CF4164" s="2"/>
    </row>
    <row r="4165" spans="3:84">
      <c r="C4165" s="2"/>
      <c r="AD4165" s="502"/>
      <c r="AE4165" s="911"/>
      <c r="AF4165" s="502"/>
      <c r="AH4165" s="898"/>
      <c r="AI4165" s="502"/>
      <c r="AJ4165" s="502"/>
      <c r="AL4165" s="434"/>
      <c r="AM4165" s="436"/>
      <c r="AN4165" s="434"/>
      <c r="AO4165" s="434"/>
      <c r="AP4165" s="556"/>
      <c r="AQ4165" s="556"/>
      <c r="AR4165" s="556"/>
      <c r="CF4165" s="2"/>
    </row>
    <row r="4166" spans="3:84">
      <c r="C4166" s="2"/>
      <c r="AD4166" s="502"/>
      <c r="AE4166" s="911"/>
      <c r="AF4166" s="502"/>
      <c r="AH4166" s="898"/>
      <c r="AI4166" s="502"/>
      <c r="AJ4166" s="502"/>
      <c r="AL4166" s="434"/>
      <c r="AM4166" s="436"/>
      <c r="AN4166" s="434"/>
      <c r="AO4166" s="434"/>
      <c r="AP4166" s="556"/>
      <c r="AQ4166" s="556"/>
      <c r="AR4166" s="556"/>
      <c r="CF4166" s="2"/>
    </row>
    <row r="4167" spans="3:84">
      <c r="C4167" s="2"/>
      <c r="AD4167" s="502"/>
      <c r="AE4167" s="911"/>
      <c r="AF4167" s="502"/>
      <c r="AH4167" s="898"/>
      <c r="AI4167" s="502"/>
      <c r="AJ4167" s="502"/>
      <c r="AL4167" s="434"/>
      <c r="AM4167" s="436"/>
      <c r="AN4167" s="434"/>
      <c r="AO4167" s="434"/>
      <c r="AP4167" s="556"/>
      <c r="AQ4167" s="556"/>
      <c r="AR4167" s="556"/>
      <c r="CF4167" s="2"/>
    </row>
    <row r="4168" spans="3:84">
      <c r="C4168" s="2"/>
      <c r="AD4168" s="502"/>
      <c r="AE4168" s="911"/>
      <c r="AF4168" s="502"/>
      <c r="AH4168" s="898"/>
      <c r="AI4168" s="502"/>
      <c r="AJ4168" s="502"/>
      <c r="AL4168" s="434"/>
      <c r="AM4168" s="436"/>
      <c r="AN4168" s="434"/>
      <c r="AO4168" s="434"/>
      <c r="AP4168" s="556"/>
      <c r="AQ4168" s="556"/>
      <c r="AR4168" s="556"/>
      <c r="CF4168" s="2"/>
    </row>
    <row r="4169" spans="3:84">
      <c r="C4169" s="2"/>
      <c r="AD4169" s="502"/>
      <c r="AE4169" s="911"/>
      <c r="AF4169" s="502"/>
      <c r="AH4169" s="898"/>
      <c r="AI4169" s="502"/>
      <c r="AJ4169" s="502"/>
      <c r="AL4169" s="434"/>
      <c r="AM4169" s="436"/>
      <c r="AN4169" s="434"/>
      <c r="AO4169" s="434"/>
      <c r="AP4169" s="556"/>
      <c r="AQ4169" s="556"/>
      <c r="AR4169" s="556"/>
      <c r="CF4169" s="2"/>
    </row>
    <row r="4170" spans="3:84">
      <c r="C4170" s="2"/>
      <c r="AD4170" s="502"/>
      <c r="AE4170" s="911"/>
      <c r="AF4170" s="502"/>
      <c r="AH4170" s="898"/>
      <c r="AI4170" s="502"/>
      <c r="AJ4170" s="502"/>
      <c r="AL4170" s="434"/>
      <c r="AM4170" s="436"/>
      <c r="AN4170" s="434"/>
      <c r="AO4170" s="434"/>
      <c r="AP4170" s="556"/>
      <c r="AQ4170" s="556"/>
      <c r="AR4170" s="556"/>
      <c r="CF4170" s="2"/>
    </row>
    <row r="4171" spans="3:84">
      <c r="C4171" s="2"/>
      <c r="AD4171" s="502"/>
      <c r="AE4171" s="911"/>
      <c r="AF4171" s="502"/>
      <c r="AH4171" s="898"/>
      <c r="AI4171" s="502"/>
      <c r="AJ4171" s="502"/>
      <c r="AL4171" s="434"/>
      <c r="AM4171" s="436"/>
      <c r="AN4171" s="434"/>
      <c r="AO4171" s="434"/>
      <c r="AP4171" s="556"/>
      <c r="AQ4171" s="556"/>
      <c r="AR4171" s="556"/>
      <c r="CF4171" s="2"/>
    </row>
    <row r="4172" spans="3:84">
      <c r="C4172" s="2"/>
      <c r="AD4172" s="502"/>
      <c r="AE4172" s="911"/>
      <c r="AF4172" s="502"/>
      <c r="AH4172" s="898"/>
      <c r="AI4172" s="502"/>
      <c r="AJ4172" s="502"/>
      <c r="AL4172" s="434"/>
      <c r="AM4172" s="436"/>
      <c r="AN4172" s="434"/>
      <c r="AO4172" s="434"/>
      <c r="AP4172" s="556"/>
      <c r="AQ4172" s="556"/>
      <c r="AR4172" s="556"/>
      <c r="CF4172" s="2"/>
    </row>
    <row r="4173" spans="3:84">
      <c r="C4173" s="2"/>
      <c r="AD4173" s="502"/>
      <c r="AE4173" s="911"/>
      <c r="AF4173" s="502"/>
      <c r="AH4173" s="898"/>
      <c r="AI4173" s="502"/>
      <c r="AJ4173" s="502"/>
      <c r="AL4173" s="434"/>
      <c r="AM4173" s="436"/>
      <c r="AN4173" s="434"/>
      <c r="AO4173" s="434"/>
      <c r="AP4173" s="556"/>
      <c r="AQ4173" s="556"/>
      <c r="AR4173" s="556"/>
      <c r="CF4173" s="2"/>
    </row>
    <row r="4174" spans="3:84">
      <c r="C4174" s="2"/>
      <c r="AD4174" s="502"/>
      <c r="AE4174" s="911"/>
      <c r="AF4174" s="502"/>
      <c r="AH4174" s="898"/>
      <c r="AI4174" s="502"/>
      <c r="AJ4174" s="502"/>
      <c r="AL4174" s="434"/>
      <c r="AM4174" s="436"/>
      <c r="AN4174" s="434"/>
      <c r="AO4174" s="434"/>
      <c r="AP4174" s="556"/>
      <c r="AQ4174" s="556"/>
      <c r="AR4174" s="556"/>
      <c r="CF4174" s="2"/>
    </row>
    <row r="4175" spans="3:84">
      <c r="C4175" s="2"/>
      <c r="AD4175" s="502"/>
      <c r="AE4175" s="911"/>
      <c r="AF4175" s="502"/>
      <c r="AH4175" s="898"/>
      <c r="AI4175" s="502"/>
      <c r="AJ4175" s="502"/>
      <c r="AL4175" s="434"/>
      <c r="AM4175" s="436"/>
      <c r="AN4175" s="434"/>
      <c r="AO4175" s="434"/>
      <c r="AP4175" s="556"/>
      <c r="AQ4175" s="556"/>
      <c r="AR4175" s="556"/>
      <c r="CF4175" s="2"/>
    </row>
    <row r="4176" spans="3:84">
      <c r="C4176" s="2"/>
      <c r="AD4176" s="502"/>
      <c r="AE4176" s="911"/>
      <c r="AF4176" s="502"/>
      <c r="AH4176" s="898"/>
      <c r="AI4176" s="502"/>
      <c r="AJ4176" s="502"/>
      <c r="AL4176" s="434"/>
      <c r="AM4176" s="436"/>
      <c r="AN4176" s="434"/>
      <c r="AO4176" s="434"/>
      <c r="AP4176" s="556"/>
      <c r="AQ4176" s="556"/>
      <c r="AR4176" s="556"/>
      <c r="CF4176" s="2"/>
    </row>
    <row r="4177" spans="3:84">
      <c r="C4177" s="2"/>
      <c r="AD4177" s="502"/>
      <c r="AE4177" s="911"/>
      <c r="AF4177" s="502"/>
      <c r="AH4177" s="898"/>
      <c r="AI4177" s="502"/>
      <c r="AJ4177" s="502"/>
      <c r="AL4177" s="434"/>
      <c r="AM4177" s="436"/>
      <c r="AN4177" s="434"/>
      <c r="AO4177" s="434"/>
      <c r="AP4177" s="556"/>
      <c r="AQ4177" s="556"/>
      <c r="AR4177" s="556"/>
      <c r="CF4177" s="2"/>
    </row>
    <row r="4178" spans="3:84">
      <c r="C4178" s="2"/>
      <c r="AD4178" s="502"/>
      <c r="AE4178" s="911"/>
      <c r="AF4178" s="502"/>
      <c r="AH4178" s="898"/>
      <c r="AI4178" s="502"/>
      <c r="AJ4178" s="502"/>
      <c r="AL4178" s="434"/>
      <c r="AM4178" s="436"/>
      <c r="AN4178" s="434"/>
      <c r="AO4178" s="434"/>
      <c r="AP4178" s="556"/>
      <c r="AQ4178" s="556"/>
      <c r="AR4178" s="556"/>
      <c r="CF4178" s="2"/>
    </row>
    <row r="4179" spans="3:84">
      <c r="C4179" s="2"/>
      <c r="AD4179" s="502"/>
      <c r="AE4179" s="911"/>
      <c r="AF4179" s="502"/>
      <c r="AH4179" s="898"/>
      <c r="AI4179" s="502"/>
      <c r="AJ4179" s="502"/>
      <c r="AL4179" s="434"/>
      <c r="AM4179" s="436"/>
      <c r="AN4179" s="434"/>
      <c r="AO4179" s="434"/>
      <c r="AP4179" s="556"/>
      <c r="AQ4179" s="556"/>
      <c r="AR4179" s="556"/>
      <c r="CF4179" s="2"/>
    </row>
    <row r="4180" spans="3:84">
      <c r="C4180" s="2"/>
      <c r="AD4180" s="502"/>
      <c r="AE4180" s="911"/>
      <c r="AF4180" s="502"/>
      <c r="AH4180" s="898"/>
      <c r="AI4180" s="502"/>
      <c r="AJ4180" s="502"/>
      <c r="AL4180" s="434"/>
      <c r="AM4180" s="436"/>
      <c r="AN4180" s="434"/>
      <c r="AO4180" s="434"/>
      <c r="AP4180" s="556"/>
      <c r="AQ4180" s="556"/>
      <c r="AR4180" s="556"/>
      <c r="CF4180" s="2"/>
    </row>
    <row r="4181" spans="3:84">
      <c r="C4181" s="2"/>
      <c r="AD4181" s="502"/>
      <c r="AE4181" s="911"/>
      <c r="AF4181" s="502"/>
      <c r="AH4181" s="898"/>
      <c r="AI4181" s="502"/>
      <c r="AJ4181" s="502"/>
      <c r="AL4181" s="434"/>
      <c r="AM4181" s="436"/>
      <c r="AN4181" s="434"/>
      <c r="AO4181" s="434"/>
      <c r="AP4181" s="556"/>
      <c r="AQ4181" s="556"/>
      <c r="AR4181" s="556"/>
      <c r="CF4181" s="2"/>
    </row>
    <row r="4182" spans="3:84">
      <c r="C4182" s="2"/>
      <c r="AD4182" s="502"/>
      <c r="AE4182" s="911"/>
      <c r="AF4182" s="502"/>
      <c r="AH4182" s="898"/>
      <c r="AI4182" s="502"/>
      <c r="AJ4182" s="502"/>
      <c r="AL4182" s="434"/>
      <c r="AM4182" s="436"/>
      <c r="AN4182" s="434"/>
      <c r="AO4182" s="434"/>
      <c r="AP4182" s="556"/>
      <c r="AQ4182" s="556"/>
      <c r="AR4182" s="556"/>
      <c r="CF4182" s="2"/>
    </row>
    <row r="4183" spans="3:84">
      <c r="C4183" s="2"/>
      <c r="AD4183" s="502"/>
      <c r="AE4183" s="911"/>
      <c r="AF4183" s="502"/>
      <c r="AH4183" s="898"/>
      <c r="AI4183" s="502"/>
      <c r="AJ4183" s="502"/>
      <c r="AL4183" s="434"/>
      <c r="AM4183" s="436"/>
      <c r="AN4183" s="434"/>
      <c r="AO4183" s="434"/>
      <c r="AP4183" s="556"/>
      <c r="AQ4183" s="556"/>
      <c r="AR4183" s="556"/>
      <c r="CF4183" s="2"/>
    </row>
    <row r="4184" spans="3:84">
      <c r="C4184" s="2"/>
      <c r="AD4184" s="502"/>
      <c r="AE4184" s="911"/>
      <c r="AF4184" s="502"/>
      <c r="AH4184" s="898"/>
      <c r="AI4184" s="502"/>
      <c r="AJ4184" s="502"/>
      <c r="AL4184" s="434"/>
      <c r="AM4184" s="436"/>
      <c r="AN4184" s="434"/>
      <c r="AO4184" s="434"/>
      <c r="AP4184" s="556"/>
      <c r="AQ4184" s="556"/>
      <c r="AR4184" s="556"/>
      <c r="CF4184" s="2"/>
    </row>
    <row r="4185" spans="3:84">
      <c r="C4185" s="2"/>
      <c r="AD4185" s="502"/>
      <c r="AE4185" s="911"/>
      <c r="AF4185" s="502"/>
      <c r="AH4185" s="898"/>
      <c r="AI4185" s="502"/>
      <c r="AJ4185" s="502"/>
      <c r="AL4185" s="434"/>
      <c r="AM4185" s="436"/>
      <c r="AN4185" s="434"/>
      <c r="AO4185" s="434"/>
      <c r="AP4185" s="556"/>
      <c r="AQ4185" s="556"/>
      <c r="AR4185" s="556"/>
      <c r="CF4185" s="2"/>
    </row>
    <row r="4186" spans="3:84">
      <c r="C4186" s="2"/>
      <c r="AD4186" s="502"/>
      <c r="AE4186" s="911"/>
      <c r="AF4186" s="502"/>
      <c r="AH4186" s="898"/>
      <c r="AI4186" s="502"/>
      <c r="AJ4186" s="502"/>
      <c r="AL4186" s="434"/>
      <c r="AM4186" s="436"/>
      <c r="AN4186" s="434"/>
      <c r="AO4186" s="434"/>
      <c r="AP4186" s="556"/>
      <c r="AQ4186" s="556"/>
      <c r="AR4186" s="556"/>
      <c r="CF4186" s="2"/>
    </row>
    <row r="4187" spans="3:84">
      <c r="C4187" s="2"/>
      <c r="AD4187" s="502"/>
      <c r="AE4187" s="911"/>
      <c r="AF4187" s="502"/>
      <c r="AH4187" s="898"/>
      <c r="AI4187" s="502"/>
      <c r="AJ4187" s="502"/>
      <c r="AL4187" s="434"/>
      <c r="AM4187" s="436"/>
      <c r="AN4187" s="434"/>
      <c r="AO4187" s="434"/>
      <c r="AP4187" s="556"/>
      <c r="AQ4187" s="556"/>
      <c r="AR4187" s="556"/>
      <c r="CF4187" s="2"/>
    </row>
    <row r="4188" spans="3:84">
      <c r="C4188" s="2"/>
      <c r="AD4188" s="502"/>
      <c r="AE4188" s="911"/>
      <c r="AF4188" s="502"/>
      <c r="AH4188" s="898"/>
      <c r="AI4188" s="502"/>
      <c r="AJ4188" s="502"/>
      <c r="AL4188" s="434"/>
      <c r="AM4188" s="436"/>
      <c r="AN4188" s="434"/>
      <c r="AO4188" s="434"/>
      <c r="AP4188" s="556"/>
      <c r="AQ4188" s="556"/>
      <c r="AR4188" s="556"/>
      <c r="CF4188" s="2"/>
    </row>
    <row r="4189" spans="3:84">
      <c r="C4189" s="2"/>
      <c r="AD4189" s="502"/>
      <c r="AE4189" s="911"/>
      <c r="AF4189" s="502"/>
      <c r="AH4189" s="898"/>
      <c r="AI4189" s="502"/>
      <c r="AJ4189" s="502"/>
      <c r="AL4189" s="434"/>
      <c r="AM4189" s="436"/>
      <c r="AN4189" s="434"/>
      <c r="AO4189" s="434"/>
      <c r="AP4189" s="556"/>
      <c r="AQ4189" s="556"/>
      <c r="AR4189" s="556"/>
      <c r="CF4189" s="2"/>
    </row>
    <row r="4190" spans="3:84">
      <c r="C4190" s="2"/>
      <c r="AD4190" s="502"/>
      <c r="AE4190" s="911"/>
      <c r="AF4190" s="502"/>
      <c r="AH4190" s="898"/>
      <c r="AI4190" s="502"/>
      <c r="AJ4190" s="502"/>
      <c r="AL4190" s="434"/>
      <c r="AM4190" s="436"/>
      <c r="AN4190" s="434"/>
      <c r="AO4190" s="434"/>
      <c r="AP4190" s="556"/>
      <c r="AQ4190" s="556"/>
      <c r="AR4190" s="556"/>
      <c r="CF4190" s="2"/>
    </row>
    <row r="4191" spans="3:84">
      <c r="C4191" s="2"/>
      <c r="AD4191" s="502"/>
      <c r="AE4191" s="911"/>
      <c r="AF4191" s="502"/>
      <c r="AH4191" s="898"/>
      <c r="AI4191" s="502"/>
      <c r="AJ4191" s="502"/>
      <c r="AL4191" s="434"/>
      <c r="AM4191" s="436"/>
      <c r="AN4191" s="434"/>
      <c r="AO4191" s="434"/>
      <c r="AP4191" s="556"/>
      <c r="AQ4191" s="556"/>
      <c r="AR4191" s="556"/>
      <c r="CF4191" s="2"/>
    </row>
    <row r="4192" spans="3:84">
      <c r="C4192" s="2"/>
      <c r="AD4192" s="502"/>
      <c r="AE4192" s="911"/>
      <c r="AF4192" s="502"/>
      <c r="AH4192" s="898"/>
      <c r="AI4192" s="502"/>
      <c r="AJ4192" s="502"/>
      <c r="AL4192" s="434"/>
      <c r="AM4192" s="436"/>
      <c r="AN4192" s="434"/>
      <c r="AO4192" s="434"/>
      <c r="AP4192" s="556"/>
      <c r="AQ4192" s="556"/>
      <c r="AR4192" s="556"/>
      <c r="CF4192" s="2"/>
    </row>
    <row r="4193" spans="3:84">
      <c r="C4193" s="2"/>
      <c r="AD4193" s="502"/>
      <c r="AE4193" s="911"/>
      <c r="AF4193" s="502"/>
      <c r="AH4193" s="898"/>
      <c r="AI4193" s="502"/>
      <c r="AJ4193" s="502"/>
      <c r="AL4193" s="434"/>
      <c r="AM4193" s="436"/>
      <c r="AN4193" s="434"/>
      <c r="AO4193" s="434"/>
      <c r="AP4193" s="556"/>
      <c r="AQ4193" s="556"/>
      <c r="AR4193" s="556"/>
      <c r="CF4193" s="2"/>
    </row>
    <row r="4194" spans="3:84">
      <c r="C4194" s="2"/>
      <c r="AD4194" s="502"/>
      <c r="AE4194" s="911"/>
      <c r="AF4194" s="502"/>
      <c r="AH4194" s="898"/>
      <c r="AI4194" s="502"/>
      <c r="AJ4194" s="502"/>
      <c r="AL4194" s="434"/>
      <c r="AM4194" s="436"/>
      <c r="AN4194" s="434"/>
      <c r="AO4194" s="434"/>
      <c r="AP4194" s="556"/>
      <c r="AQ4194" s="556"/>
      <c r="AR4194" s="556"/>
      <c r="CF4194" s="2"/>
    </row>
    <row r="4195" spans="3:84">
      <c r="C4195" s="2"/>
      <c r="AD4195" s="502"/>
      <c r="AE4195" s="911"/>
      <c r="AF4195" s="502"/>
      <c r="AH4195" s="898"/>
      <c r="AI4195" s="502"/>
      <c r="AJ4195" s="502"/>
      <c r="AL4195" s="434"/>
      <c r="AM4195" s="436"/>
      <c r="AN4195" s="434"/>
      <c r="AO4195" s="434"/>
      <c r="AP4195" s="556"/>
      <c r="AQ4195" s="556"/>
      <c r="AR4195" s="556"/>
      <c r="CF4195" s="2"/>
    </row>
    <row r="4196" spans="3:84">
      <c r="C4196" s="2"/>
      <c r="AD4196" s="502"/>
      <c r="AE4196" s="911"/>
      <c r="AF4196" s="502"/>
      <c r="AH4196" s="898"/>
      <c r="AI4196" s="502"/>
      <c r="AJ4196" s="502"/>
      <c r="AL4196" s="434"/>
      <c r="AM4196" s="436"/>
      <c r="AN4196" s="434"/>
      <c r="AO4196" s="434"/>
      <c r="AP4196" s="556"/>
      <c r="AQ4196" s="556"/>
      <c r="AR4196" s="556"/>
      <c r="CF4196" s="2"/>
    </row>
    <row r="4197" spans="3:84">
      <c r="C4197" s="2"/>
      <c r="AD4197" s="502"/>
      <c r="AE4197" s="911"/>
      <c r="AF4197" s="502"/>
      <c r="AH4197" s="898"/>
      <c r="AI4197" s="502"/>
      <c r="AJ4197" s="502"/>
      <c r="AL4197" s="434"/>
      <c r="AM4197" s="436"/>
      <c r="AN4197" s="434"/>
      <c r="AO4197" s="434"/>
      <c r="AP4197" s="556"/>
      <c r="AQ4197" s="556"/>
      <c r="AR4197" s="556"/>
      <c r="CF4197" s="2"/>
    </row>
    <row r="4198" spans="3:84">
      <c r="C4198" s="2"/>
      <c r="AD4198" s="502"/>
      <c r="AE4198" s="911"/>
      <c r="AF4198" s="502"/>
      <c r="AH4198" s="898"/>
      <c r="AI4198" s="502"/>
      <c r="AJ4198" s="502"/>
      <c r="AL4198" s="434"/>
      <c r="AM4198" s="436"/>
      <c r="AN4198" s="434"/>
      <c r="AO4198" s="434"/>
      <c r="AP4198" s="556"/>
      <c r="AQ4198" s="556"/>
      <c r="AR4198" s="556"/>
      <c r="CF4198" s="2"/>
    </row>
    <row r="4199" spans="3:84">
      <c r="C4199" s="2"/>
      <c r="AD4199" s="502"/>
      <c r="AE4199" s="911"/>
      <c r="AF4199" s="502"/>
      <c r="AH4199" s="898"/>
      <c r="AI4199" s="502"/>
      <c r="AJ4199" s="502"/>
      <c r="AL4199" s="434"/>
      <c r="AM4199" s="436"/>
      <c r="AN4199" s="434"/>
      <c r="AO4199" s="434"/>
      <c r="AP4199" s="556"/>
      <c r="AQ4199" s="556"/>
      <c r="AR4199" s="556"/>
      <c r="CF4199" s="2"/>
    </row>
    <row r="4200" spans="3:84">
      <c r="C4200" s="2"/>
      <c r="AD4200" s="502"/>
      <c r="AE4200" s="911"/>
      <c r="AF4200" s="502"/>
      <c r="AH4200" s="898"/>
      <c r="AI4200" s="502"/>
      <c r="AJ4200" s="502"/>
      <c r="AL4200" s="434"/>
      <c r="AM4200" s="436"/>
      <c r="AN4200" s="434"/>
      <c r="AO4200" s="434"/>
      <c r="AP4200" s="556"/>
      <c r="AQ4200" s="556"/>
      <c r="AR4200" s="556"/>
      <c r="CF4200" s="2"/>
    </row>
    <row r="4201" spans="3:84">
      <c r="C4201" s="2"/>
      <c r="AD4201" s="502"/>
      <c r="AE4201" s="911"/>
      <c r="AF4201" s="502"/>
      <c r="AH4201" s="898"/>
      <c r="AI4201" s="502"/>
      <c r="AJ4201" s="502"/>
      <c r="AL4201" s="434"/>
      <c r="AM4201" s="436"/>
      <c r="AN4201" s="434"/>
      <c r="AO4201" s="434"/>
      <c r="AP4201" s="556"/>
      <c r="AQ4201" s="556"/>
      <c r="AR4201" s="556"/>
      <c r="CF4201" s="2"/>
    </row>
    <row r="4202" spans="3:84">
      <c r="C4202" s="2"/>
      <c r="AD4202" s="502"/>
      <c r="AE4202" s="911"/>
      <c r="AF4202" s="502"/>
      <c r="AH4202" s="898"/>
      <c r="AI4202" s="502"/>
      <c r="AJ4202" s="502"/>
      <c r="AL4202" s="434"/>
      <c r="AM4202" s="436"/>
      <c r="AN4202" s="434"/>
      <c r="AO4202" s="434"/>
      <c r="AP4202" s="556"/>
      <c r="AQ4202" s="556"/>
      <c r="AR4202" s="556"/>
      <c r="CF4202" s="2"/>
    </row>
    <row r="4203" spans="3:84">
      <c r="C4203" s="2"/>
      <c r="AD4203" s="502"/>
      <c r="AE4203" s="911"/>
      <c r="AF4203" s="502"/>
      <c r="AH4203" s="898"/>
      <c r="AI4203" s="502"/>
      <c r="AJ4203" s="502"/>
      <c r="AL4203" s="434"/>
      <c r="AM4203" s="436"/>
      <c r="AN4203" s="434"/>
      <c r="AO4203" s="434"/>
      <c r="AP4203" s="556"/>
      <c r="AQ4203" s="556"/>
      <c r="AR4203" s="556"/>
      <c r="CF4203" s="2"/>
    </row>
    <row r="4204" spans="3:84">
      <c r="C4204" s="2"/>
      <c r="AD4204" s="502"/>
      <c r="AE4204" s="911"/>
      <c r="AF4204" s="502"/>
      <c r="AH4204" s="898"/>
      <c r="AI4204" s="502"/>
      <c r="AJ4204" s="502"/>
      <c r="AL4204" s="434"/>
      <c r="AM4204" s="436"/>
      <c r="AN4204" s="434"/>
      <c r="AO4204" s="434"/>
      <c r="AP4204" s="556"/>
      <c r="AQ4204" s="556"/>
      <c r="AR4204" s="556"/>
      <c r="CF4204" s="2"/>
    </row>
    <row r="4205" spans="3:84">
      <c r="C4205" s="2"/>
      <c r="AD4205" s="502"/>
      <c r="AE4205" s="911"/>
      <c r="AF4205" s="502"/>
      <c r="AH4205" s="898"/>
      <c r="AI4205" s="502"/>
      <c r="AJ4205" s="502"/>
      <c r="AL4205" s="434"/>
      <c r="AM4205" s="436"/>
      <c r="AN4205" s="434"/>
      <c r="AO4205" s="434"/>
      <c r="AP4205" s="556"/>
      <c r="AQ4205" s="556"/>
      <c r="AR4205" s="556"/>
      <c r="CF4205" s="2"/>
    </row>
    <row r="4206" spans="3:84">
      <c r="C4206" s="2"/>
      <c r="AD4206" s="502"/>
      <c r="AE4206" s="911"/>
      <c r="AF4206" s="502"/>
      <c r="AH4206" s="898"/>
      <c r="AI4206" s="502"/>
      <c r="AJ4206" s="502"/>
      <c r="AL4206" s="434"/>
      <c r="AM4206" s="436"/>
      <c r="AN4206" s="434"/>
      <c r="AO4206" s="434"/>
      <c r="AP4206" s="556"/>
      <c r="AQ4206" s="556"/>
      <c r="AR4206" s="556"/>
      <c r="CF4206" s="2"/>
    </row>
    <row r="4207" spans="3:84">
      <c r="C4207" s="2"/>
      <c r="AD4207" s="502"/>
      <c r="AE4207" s="911"/>
      <c r="AF4207" s="502"/>
      <c r="AH4207" s="898"/>
      <c r="AI4207" s="502"/>
      <c r="AJ4207" s="502"/>
      <c r="AL4207" s="434"/>
      <c r="AM4207" s="436"/>
      <c r="AN4207" s="434"/>
      <c r="AO4207" s="434"/>
      <c r="AP4207" s="556"/>
      <c r="AQ4207" s="556"/>
      <c r="AR4207" s="556"/>
      <c r="CF4207" s="2"/>
    </row>
    <row r="4208" spans="3:84">
      <c r="C4208" s="2"/>
      <c r="AD4208" s="502"/>
      <c r="AE4208" s="911"/>
      <c r="AF4208" s="502"/>
      <c r="AH4208" s="898"/>
      <c r="AI4208" s="502"/>
      <c r="AJ4208" s="502"/>
      <c r="AL4208" s="434"/>
      <c r="AM4208" s="436"/>
      <c r="AN4208" s="434"/>
      <c r="AO4208" s="434"/>
      <c r="AP4208" s="556"/>
      <c r="AQ4208" s="556"/>
      <c r="AR4208" s="556"/>
      <c r="CF4208" s="2"/>
    </row>
    <row r="4209" spans="3:84">
      <c r="C4209" s="2"/>
      <c r="AD4209" s="502"/>
      <c r="AE4209" s="911"/>
      <c r="AF4209" s="502"/>
      <c r="AH4209" s="898"/>
      <c r="AI4209" s="502"/>
      <c r="AJ4209" s="502"/>
      <c r="AL4209" s="434"/>
      <c r="AM4209" s="436"/>
      <c r="AN4209" s="434"/>
      <c r="AO4209" s="434"/>
      <c r="AP4209" s="556"/>
      <c r="AQ4209" s="556"/>
      <c r="AR4209" s="556"/>
      <c r="CF4209" s="2"/>
    </row>
    <row r="4210" spans="3:84">
      <c r="C4210" s="2"/>
      <c r="AD4210" s="502"/>
      <c r="AE4210" s="911"/>
      <c r="AF4210" s="502"/>
      <c r="AH4210" s="898"/>
      <c r="AI4210" s="502"/>
      <c r="AJ4210" s="502"/>
      <c r="AL4210" s="434"/>
      <c r="AM4210" s="436"/>
      <c r="AN4210" s="434"/>
      <c r="AO4210" s="434"/>
      <c r="AP4210" s="556"/>
      <c r="AQ4210" s="556"/>
      <c r="AR4210" s="556"/>
      <c r="CF4210" s="2"/>
    </row>
    <row r="4211" spans="3:84">
      <c r="C4211" s="2"/>
      <c r="AD4211" s="502"/>
      <c r="AE4211" s="911"/>
      <c r="AF4211" s="502"/>
      <c r="AH4211" s="898"/>
      <c r="AI4211" s="502"/>
      <c r="AJ4211" s="502"/>
      <c r="AL4211" s="434"/>
      <c r="AM4211" s="436"/>
      <c r="AN4211" s="434"/>
      <c r="AO4211" s="434"/>
      <c r="AP4211" s="556"/>
      <c r="AQ4211" s="556"/>
      <c r="AR4211" s="556"/>
      <c r="CF4211" s="2"/>
    </row>
    <row r="4212" spans="3:84">
      <c r="C4212" s="2"/>
      <c r="AD4212" s="502"/>
      <c r="AE4212" s="911"/>
      <c r="AF4212" s="502"/>
      <c r="AH4212" s="898"/>
      <c r="AI4212" s="502"/>
      <c r="AJ4212" s="502"/>
      <c r="AL4212" s="434"/>
      <c r="AM4212" s="436"/>
      <c r="AN4212" s="434"/>
      <c r="AO4212" s="434"/>
      <c r="AP4212" s="556"/>
      <c r="AQ4212" s="556"/>
      <c r="AR4212" s="556"/>
      <c r="CF4212" s="2"/>
    </row>
    <row r="4213" spans="3:84">
      <c r="C4213" s="2"/>
      <c r="AD4213" s="502"/>
      <c r="AE4213" s="911"/>
      <c r="AF4213" s="502"/>
      <c r="AH4213" s="898"/>
      <c r="AI4213" s="502"/>
      <c r="AJ4213" s="502"/>
      <c r="AL4213" s="434"/>
      <c r="AM4213" s="436"/>
      <c r="AN4213" s="434"/>
      <c r="AO4213" s="434"/>
      <c r="AP4213" s="556"/>
      <c r="AQ4213" s="556"/>
      <c r="AR4213" s="556"/>
      <c r="CF4213" s="2"/>
    </row>
    <row r="4214" spans="3:84">
      <c r="C4214" s="2"/>
      <c r="AD4214" s="502"/>
      <c r="AE4214" s="911"/>
      <c r="AF4214" s="502"/>
      <c r="AH4214" s="898"/>
      <c r="AI4214" s="502"/>
      <c r="AJ4214" s="502"/>
      <c r="AL4214" s="434"/>
      <c r="AM4214" s="436"/>
      <c r="AN4214" s="434"/>
      <c r="AO4214" s="434"/>
      <c r="AP4214" s="556"/>
      <c r="AQ4214" s="556"/>
      <c r="AR4214" s="556"/>
      <c r="CF4214" s="2"/>
    </row>
    <row r="4215" spans="3:84">
      <c r="C4215" s="2"/>
      <c r="AD4215" s="502"/>
      <c r="AE4215" s="911"/>
      <c r="AF4215" s="502"/>
      <c r="AH4215" s="898"/>
      <c r="AI4215" s="502"/>
      <c r="AJ4215" s="502"/>
      <c r="AL4215" s="434"/>
      <c r="AM4215" s="436"/>
      <c r="AN4215" s="434"/>
      <c r="AO4215" s="434"/>
      <c r="AP4215" s="556"/>
      <c r="AQ4215" s="556"/>
      <c r="AR4215" s="556"/>
      <c r="CF4215" s="2"/>
    </row>
    <row r="4216" spans="3:84">
      <c r="C4216" s="2"/>
      <c r="AD4216" s="502"/>
      <c r="AE4216" s="911"/>
      <c r="AF4216" s="502"/>
      <c r="AH4216" s="898"/>
      <c r="AI4216" s="502"/>
      <c r="AJ4216" s="502"/>
      <c r="AL4216" s="434"/>
      <c r="AM4216" s="436"/>
      <c r="AN4216" s="434"/>
      <c r="AO4216" s="434"/>
      <c r="AP4216" s="556"/>
      <c r="AQ4216" s="556"/>
      <c r="AR4216" s="556"/>
      <c r="CF4216" s="2"/>
    </row>
    <row r="4217" spans="3:84">
      <c r="C4217" s="2"/>
      <c r="AD4217" s="502"/>
      <c r="AE4217" s="911"/>
      <c r="AF4217" s="502"/>
      <c r="AH4217" s="898"/>
      <c r="AI4217" s="502"/>
      <c r="AJ4217" s="502"/>
      <c r="AL4217" s="434"/>
      <c r="AM4217" s="436"/>
      <c r="AN4217" s="434"/>
      <c r="AO4217" s="434"/>
      <c r="AP4217" s="556"/>
      <c r="AQ4217" s="556"/>
      <c r="AR4217" s="556"/>
      <c r="CF4217" s="2"/>
    </row>
    <row r="4218" spans="3:84">
      <c r="C4218" s="2"/>
      <c r="AD4218" s="502"/>
      <c r="AE4218" s="911"/>
      <c r="AF4218" s="502"/>
      <c r="AH4218" s="898"/>
      <c r="AI4218" s="502"/>
      <c r="AJ4218" s="502"/>
      <c r="AL4218" s="434"/>
      <c r="AM4218" s="436"/>
      <c r="AN4218" s="434"/>
      <c r="AO4218" s="434"/>
      <c r="AP4218" s="556"/>
      <c r="AQ4218" s="556"/>
      <c r="AR4218" s="556"/>
      <c r="CF4218" s="2"/>
    </row>
    <row r="4219" spans="3:84">
      <c r="C4219" s="2"/>
      <c r="AD4219" s="502"/>
      <c r="AE4219" s="911"/>
      <c r="AF4219" s="502"/>
      <c r="AH4219" s="898"/>
      <c r="AI4219" s="502"/>
      <c r="AJ4219" s="502"/>
      <c r="AL4219" s="434"/>
      <c r="AM4219" s="436"/>
      <c r="AN4219" s="434"/>
      <c r="AO4219" s="434"/>
      <c r="AP4219" s="556"/>
      <c r="AQ4219" s="556"/>
      <c r="AR4219" s="556"/>
      <c r="CF4219" s="2"/>
    </row>
    <row r="4220" spans="3:84">
      <c r="C4220" s="2"/>
      <c r="AD4220" s="502"/>
      <c r="AE4220" s="911"/>
      <c r="AF4220" s="502"/>
      <c r="AH4220" s="898"/>
      <c r="AI4220" s="502"/>
      <c r="AJ4220" s="502"/>
      <c r="AL4220" s="434"/>
      <c r="AM4220" s="436"/>
      <c r="AN4220" s="434"/>
      <c r="AO4220" s="434"/>
      <c r="AP4220" s="556"/>
      <c r="AQ4220" s="556"/>
      <c r="AR4220" s="556"/>
      <c r="CF4220" s="2"/>
    </row>
    <row r="4221" spans="3:84">
      <c r="C4221" s="2"/>
      <c r="AD4221" s="502"/>
      <c r="AE4221" s="911"/>
      <c r="AF4221" s="502"/>
      <c r="AH4221" s="898"/>
      <c r="AI4221" s="502"/>
      <c r="AJ4221" s="502"/>
      <c r="AL4221" s="434"/>
      <c r="AM4221" s="436"/>
      <c r="AN4221" s="434"/>
      <c r="AO4221" s="434"/>
      <c r="AP4221" s="556"/>
      <c r="AQ4221" s="556"/>
      <c r="AR4221" s="556"/>
      <c r="CF4221" s="2"/>
    </row>
    <row r="4222" spans="3:84">
      <c r="C4222" s="2"/>
      <c r="AD4222" s="502"/>
      <c r="AE4222" s="911"/>
      <c r="AF4222" s="502"/>
      <c r="AH4222" s="898"/>
      <c r="AI4222" s="502"/>
      <c r="AJ4222" s="502"/>
      <c r="AL4222" s="434"/>
      <c r="AM4222" s="436"/>
      <c r="AN4222" s="434"/>
      <c r="AO4222" s="434"/>
      <c r="AP4222" s="556"/>
      <c r="AQ4222" s="556"/>
      <c r="AR4222" s="556"/>
      <c r="CF4222" s="2"/>
    </row>
    <row r="4223" spans="3:84">
      <c r="C4223" s="2"/>
      <c r="AD4223" s="502"/>
      <c r="AE4223" s="911"/>
      <c r="AF4223" s="502"/>
      <c r="AH4223" s="898"/>
      <c r="AI4223" s="502"/>
      <c r="AJ4223" s="502"/>
      <c r="AL4223" s="434"/>
      <c r="AM4223" s="436"/>
      <c r="AN4223" s="434"/>
      <c r="AO4223" s="434"/>
      <c r="AP4223" s="556"/>
      <c r="AQ4223" s="556"/>
      <c r="AR4223" s="556"/>
      <c r="CF4223" s="2"/>
    </row>
    <row r="4224" spans="3:84">
      <c r="C4224" s="2"/>
      <c r="AD4224" s="502"/>
      <c r="AE4224" s="911"/>
      <c r="AF4224" s="502"/>
      <c r="AH4224" s="898"/>
      <c r="AI4224" s="502"/>
      <c r="AJ4224" s="502"/>
      <c r="AL4224" s="434"/>
      <c r="AM4224" s="436"/>
      <c r="AN4224" s="434"/>
      <c r="AO4224" s="434"/>
      <c r="AP4224" s="556"/>
      <c r="AQ4224" s="556"/>
      <c r="AR4224" s="556"/>
      <c r="CF4224" s="2"/>
    </row>
    <row r="4225" spans="3:84">
      <c r="C4225" s="2"/>
      <c r="AD4225" s="502"/>
      <c r="AE4225" s="911"/>
      <c r="AF4225" s="502"/>
      <c r="AH4225" s="898"/>
      <c r="AI4225" s="502"/>
      <c r="AJ4225" s="502"/>
      <c r="AL4225" s="434"/>
      <c r="AM4225" s="436"/>
      <c r="AN4225" s="434"/>
      <c r="AO4225" s="434"/>
      <c r="AP4225" s="556"/>
      <c r="AQ4225" s="556"/>
      <c r="AR4225" s="556"/>
      <c r="CF4225" s="2"/>
    </row>
    <row r="4226" spans="3:84">
      <c r="C4226" s="2"/>
      <c r="AD4226" s="502"/>
      <c r="AE4226" s="911"/>
      <c r="AF4226" s="502"/>
      <c r="AH4226" s="898"/>
      <c r="AI4226" s="502"/>
      <c r="AJ4226" s="502"/>
      <c r="AL4226" s="434"/>
      <c r="AM4226" s="436"/>
      <c r="AN4226" s="434"/>
      <c r="AO4226" s="434"/>
      <c r="AP4226" s="556"/>
      <c r="AQ4226" s="556"/>
      <c r="AR4226" s="556"/>
      <c r="CF4226" s="2"/>
    </row>
    <row r="4227" spans="3:84">
      <c r="C4227" s="2"/>
      <c r="AD4227" s="502"/>
      <c r="AE4227" s="911"/>
      <c r="AF4227" s="502"/>
      <c r="AH4227" s="898"/>
      <c r="AI4227" s="502"/>
      <c r="AJ4227" s="502"/>
      <c r="AL4227" s="434"/>
      <c r="AM4227" s="436"/>
      <c r="AN4227" s="434"/>
      <c r="AO4227" s="434"/>
      <c r="AP4227" s="556"/>
      <c r="AQ4227" s="556"/>
      <c r="AR4227" s="556"/>
      <c r="CF4227" s="2"/>
    </row>
    <row r="4228" spans="3:84">
      <c r="C4228" s="2"/>
      <c r="AD4228" s="502"/>
      <c r="AE4228" s="911"/>
      <c r="AF4228" s="502"/>
      <c r="AH4228" s="898"/>
      <c r="AI4228" s="502"/>
      <c r="AJ4228" s="502"/>
      <c r="AL4228" s="434"/>
      <c r="AM4228" s="436"/>
      <c r="AN4228" s="434"/>
      <c r="AO4228" s="434"/>
      <c r="AP4228" s="556"/>
      <c r="AQ4228" s="556"/>
      <c r="AR4228" s="556"/>
      <c r="CF4228" s="2"/>
    </row>
    <row r="4229" spans="3:84">
      <c r="C4229" s="2"/>
      <c r="AD4229" s="502"/>
      <c r="AE4229" s="911"/>
      <c r="AF4229" s="502"/>
      <c r="AH4229" s="898"/>
      <c r="AI4229" s="502"/>
      <c r="AJ4229" s="502"/>
      <c r="AL4229" s="434"/>
      <c r="AM4229" s="436"/>
      <c r="AN4229" s="434"/>
      <c r="AO4229" s="434"/>
      <c r="AP4229" s="556"/>
      <c r="AQ4229" s="556"/>
      <c r="AR4229" s="556"/>
      <c r="CF4229" s="2"/>
    </row>
    <row r="4230" spans="3:84">
      <c r="C4230" s="2"/>
      <c r="AD4230" s="502"/>
      <c r="AE4230" s="911"/>
      <c r="AF4230" s="502"/>
      <c r="AH4230" s="898"/>
      <c r="AI4230" s="502"/>
      <c r="AJ4230" s="502"/>
      <c r="AL4230" s="434"/>
      <c r="AM4230" s="436"/>
      <c r="AN4230" s="434"/>
      <c r="AO4230" s="434"/>
      <c r="AP4230" s="556"/>
      <c r="AQ4230" s="556"/>
      <c r="AR4230" s="556"/>
      <c r="CF4230" s="2"/>
    </row>
    <row r="4231" spans="3:84">
      <c r="C4231" s="2"/>
      <c r="AD4231" s="502"/>
      <c r="AE4231" s="911"/>
      <c r="AF4231" s="502"/>
      <c r="AH4231" s="898"/>
      <c r="AI4231" s="502"/>
      <c r="AJ4231" s="502"/>
      <c r="AL4231" s="434"/>
      <c r="AM4231" s="436"/>
      <c r="AN4231" s="434"/>
      <c r="AO4231" s="434"/>
      <c r="AP4231" s="556"/>
      <c r="AQ4231" s="556"/>
      <c r="AR4231" s="556"/>
      <c r="CF4231" s="2"/>
    </row>
    <row r="4232" spans="3:84">
      <c r="C4232" s="2"/>
      <c r="AD4232" s="502"/>
      <c r="AE4232" s="911"/>
      <c r="AF4232" s="502"/>
      <c r="AH4232" s="898"/>
      <c r="AI4232" s="502"/>
      <c r="AJ4232" s="502"/>
      <c r="AL4232" s="434"/>
      <c r="AM4232" s="436"/>
      <c r="AN4232" s="434"/>
      <c r="AO4232" s="434"/>
      <c r="AP4232" s="556"/>
      <c r="AQ4232" s="556"/>
      <c r="AR4232" s="556"/>
      <c r="CF4232" s="2"/>
    </row>
    <row r="4233" spans="3:84">
      <c r="C4233" s="2"/>
      <c r="AD4233" s="502"/>
      <c r="AE4233" s="911"/>
      <c r="AF4233" s="502"/>
      <c r="AH4233" s="898"/>
      <c r="AI4233" s="502"/>
      <c r="AJ4233" s="502"/>
      <c r="AL4233" s="434"/>
      <c r="AM4233" s="436"/>
      <c r="AN4233" s="434"/>
      <c r="AO4233" s="434"/>
      <c r="AP4233" s="556"/>
      <c r="AQ4233" s="556"/>
      <c r="AR4233" s="556"/>
      <c r="CF4233" s="2"/>
    </row>
    <row r="4234" spans="3:84">
      <c r="C4234" s="2"/>
      <c r="AD4234" s="502"/>
      <c r="AE4234" s="911"/>
      <c r="AF4234" s="502"/>
      <c r="AH4234" s="898"/>
      <c r="AI4234" s="502"/>
      <c r="AJ4234" s="502"/>
      <c r="AL4234" s="434"/>
      <c r="AM4234" s="436"/>
      <c r="AN4234" s="434"/>
      <c r="AO4234" s="434"/>
      <c r="AP4234" s="556"/>
      <c r="AQ4234" s="556"/>
      <c r="AR4234" s="556"/>
      <c r="CF4234" s="2"/>
    </row>
    <row r="4235" spans="3:84">
      <c r="C4235" s="2"/>
      <c r="AD4235" s="502"/>
      <c r="AE4235" s="911"/>
      <c r="AF4235" s="502"/>
      <c r="AH4235" s="898"/>
      <c r="AI4235" s="502"/>
      <c r="AJ4235" s="502"/>
      <c r="AL4235" s="434"/>
      <c r="AM4235" s="436"/>
      <c r="AN4235" s="434"/>
      <c r="AO4235" s="434"/>
      <c r="AP4235" s="556"/>
      <c r="AQ4235" s="556"/>
      <c r="AR4235" s="556"/>
      <c r="CF4235" s="2"/>
    </row>
    <row r="4236" spans="3:84">
      <c r="C4236" s="2"/>
      <c r="AD4236" s="502"/>
      <c r="AE4236" s="911"/>
      <c r="AF4236" s="502"/>
      <c r="AH4236" s="898"/>
      <c r="AI4236" s="502"/>
      <c r="AJ4236" s="502"/>
      <c r="AL4236" s="434"/>
      <c r="AM4236" s="436"/>
      <c r="AN4236" s="434"/>
      <c r="AO4236" s="434"/>
      <c r="AP4236" s="556"/>
      <c r="AQ4236" s="556"/>
      <c r="AR4236" s="556"/>
      <c r="CF4236" s="2"/>
    </row>
    <row r="4237" spans="3:84">
      <c r="C4237" s="2"/>
      <c r="AD4237" s="502"/>
      <c r="AE4237" s="911"/>
      <c r="AF4237" s="502"/>
      <c r="AH4237" s="898"/>
      <c r="AI4237" s="502"/>
      <c r="AJ4237" s="502"/>
      <c r="AL4237" s="434"/>
      <c r="AM4237" s="436"/>
      <c r="AN4237" s="434"/>
      <c r="AO4237" s="434"/>
      <c r="AP4237" s="556"/>
      <c r="AQ4237" s="556"/>
      <c r="AR4237" s="556"/>
      <c r="CF4237" s="2"/>
    </row>
    <row r="4238" spans="3:84">
      <c r="C4238" s="2"/>
      <c r="AD4238" s="502"/>
      <c r="AE4238" s="911"/>
      <c r="AF4238" s="502"/>
      <c r="AH4238" s="898"/>
      <c r="AI4238" s="502"/>
      <c r="AJ4238" s="502"/>
      <c r="AL4238" s="434"/>
      <c r="AM4238" s="436"/>
      <c r="AN4238" s="434"/>
      <c r="AO4238" s="434"/>
      <c r="AP4238" s="556"/>
      <c r="AQ4238" s="556"/>
      <c r="AR4238" s="556"/>
      <c r="CF4238" s="2"/>
    </row>
    <row r="4239" spans="3:84">
      <c r="C4239" s="2"/>
      <c r="AD4239" s="502"/>
      <c r="AE4239" s="911"/>
      <c r="AF4239" s="502"/>
      <c r="AH4239" s="898"/>
      <c r="AI4239" s="502"/>
      <c r="AJ4239" s="502"/>
      <c r="AL4239" s="434"/>
      <c r="AM4239" s="436"/>
      <c r="AN4239" s="434"/>
      <c r="AO4239" s="434"/>
      <c r="AP4239" s="556"/>
      <c r="AQ4239" s="556"/>
      <c r="AR4239" s="556"/>
      <c r="CF4239" s="2"/>
    </row>
    <row r="4240" spans="3:84">
      <c r="C4240" s="2"/>
      <c r="AD4240" s="502"/>
      <c r="AE4240" s="911"/>
      <c r="AF4240" s="502"/>
      <c r="AH4240" s="898"/>
      <c r="AI4240" s="502"/>
      <c r="AJ4240" s="502"/>
      <c r="AL4240" s="434"/>
      <c r="AM4240" s="436"/>
      <c r="AN4240" s="434"/>
      <c r="AO4240" s="434"/>
      <c r="AP4240" s="556"/>
      <c r="AQ4240" s="556"/>
      <c r="AR4240" s="556"/>
      <c r="CF4240" s="2"/>
    </row>
    <row r="4241" spans="3:84">
      <c r="C4241" s="2"/>
      <c r="AD4241" s="502"/>
      <c r="AE4241" s="911"/>
      <c r="AF4241" s="502"/>
      <c r="AH4241" s="898"/>
      <c r="AI4241" s="502"/>
      <c r="AJ4241" s="502"/>
      <c r="AL4241" s="434"/>
      <c r="AM4241" s="436"/>
      <c r="AN4241" s="434"/>
      <c r="AO4241" s="434"/>
      <c r="AP4241" s="556"/>
      <c r="AQ4241" s="556"/>
      <c r="AR4241" s="556"/>
      <c r="CF4241" s="2"/>
    </row>
    <row r="4242" spans="3:84">
      <c r="C4242" s="2"/>
      <c r="AD4242" s="502"/>
      <c r="AE4242" s="911"/>
      <c r="AF4242" s="502"/>
      <c r="AH4242" s="898"/>
      <c r="AI4242" s="502"/>
      <c r="AJ4242" s="502"/>
      <c r="AL4242" s="434"/>
      <c r="AM4242" s="436"/>
      <c r="AN4242" s="434"/>
      <c r="AO4242" s="434"/>
      <c r="AP4242" s="556"/>
      <c r="AQ4242" s="556"/>
      <c r="AR4242" s="556"/>
      <c r="CF4242" s="2"/>
    </row>
    <row r="4243" spans="3:84">
      <c r="C4243" s="2"/>
      <c r="AD4243" s="502"/>
      <c r="AE4243" s="911"/>
      <c r="AF4243" s="502"/>
      <c r="AH4243" s="898"/>
      <c r="AI4243" s="502"/>
      <c r="AJ4243" s="502"/>
      <c r="AL4243" s="434"/>
      <c r="AM4243" s="436"/>
      <c r="AN4243" s="434"/>
      <c r="AO4243" s="434"/>
      <c r="AP4243" s="556"/>
      <c r="AQ4243" s="556"/>
      <c r="AR4243" s="556"/>
      <c r="CF4243" s="2"/>
    </row>
    <row r="4244" spans="3:84">
      <c r="C4244" s="2"/>
      <c r="AD4244" s="502"/>
      <c r="AE4244" s="911"/>
      <c r="AF4244" s="502"/>
      <c r="AH4244" s="898"/>
      <c r="AI4244" s="502"/>
      <c r="AJ4244" s="502"/>
      <c r="AL4244" s="434"/>
      <c r="AM4244" s="436"/>
      <c r="AN4244" s="434"/>
      <c r="AO4244" s="434"/>
      <c r="AP4244" s="556"/>
      <c r="AQ4244" s="556"/>
      <c r="AR4244" s="556"/>
      <c r="CF4244" s="2"/>
    </row>
    <row r="4245" spans="3:84">
      <c r="C4245" s="2"/>
      <c r="AD4245" s="502"/>
      <c r="AE4245" s="911"/>
      <c r="AF4245" s="502"/>
      <c r="AH4245" s="898"/>
      <c r="AI4245" s="502"/>
      <c r="AJ4245" s="502"/>
      <c r="AL4245" s="434"/>
      <c r="AM4245" s="436"/>
      <c r="AN4245" s="434"/>
      <c r="AO4245" s="434"/>
      <c r="AP4245" s="556"/>
      <c r="AQ4245" s="556"/>
      <c r="AR4245" s="556"/>
      <c r="CF4245" s="2"/>
    </row>
    <row r="4246" spans="3:84">
      <c r="C4246" s="2"/>
      <c r="AD4246" s="502"/>
      <c r="AE4246" s="911"/>
      <c r="AF4246" s="502"/>
      <c r="AH4246" s="898"/>
      <c r="AI4246" s="502"/>
      <c r="AJ4246" s="502"/>
      <c r="AL4246" s="434"/>
      <c r="AM4246" s="436"/>
      <c r="AN4246" s="434"/>
      <c r="AO4246" s="434"/>
      <c r="AP4246" s="556"/>
      <c r="AQ4246" s="556"/>
      <c r="AR4246" s="556"/>
      <c r="CF4246" s="2"/>
    </row>
    <row r="4247" spans="3:84">
      <c r="C4247" s="2"/>
      <c r="AD4247" s="502"/>
      <c r="AE4247" s="911"/>
      <c r="AF4247" s="502"/>
      <c r="AH4247" s="898"/>
      <c r="AI4247" s="502"/>
      <c r="AJ4247" s="502"/>
      <c r="AL4247" s="434"/>
      <c r="AM4247" s="436"/>
      <c r="AN4247" s="434"/>
      <c r="AO4247" s="434"/>
      <c r="AP4247" s="556"/>
      <c r="AQ4247" s="556"/>
      <c r="AR4247" s="556"/>
      <c r="CF4247" s="2"/>
    </row>
    <row r="4248" spans="3:84">
      <c r="C4248" s="2"/>
      <c r="AD4248" s="502"/>
      <c r="AE4248" s="911"/>
      <c r="AF4248" s="502"/>
      <c r="AH4248" s="898"/>
      <c r="AI4248" s="502"/>
      <c r="AJ4248" s="502"/>
      <c r="AL4248" s="434"/>
      <c r="AM4248" s="436"/>
      <c r="AN4248" s="434"/>
      <c r="AO4248" s="434"/>
      <c r="AP4248" s="556"/>
      <c r="AQ4248" s="556"/>
      <c r="AR4248" s="556"/>
      <c r="CF4248" s="2"/>
    </row>
    <row r="4249" spans="3:84">
      <c r="C4249" s="2"/>
      <c r="AD4249" s="502"/>
      <c r="AE4249" s="911"/>
      <c r="AF4249" s="502"/>
      <c r="AH4249" s="898"/>
      <c r="AI4249" s="502"/>
      <c r="AJ4249" s="502"/>
      <c r="AL4249" s="434"/>
      <c r="AM4249" s="436"/>
      <c r="AN4249" s="434"/>
      <c r="AO4249" s="434"/>
      <c r="AP4249" s="556"/>
      <c r="AQ4249" s="556"/>
      <c r="AR4249" s="556"/>
      <c r="CF4249" s="2"/>
    </row>
    <row r="4250" spans="3:84">
      <c r="C4250" s="2"/>
      <c r="AD4250" s="502"/>
      <c r="AE4250" s="911"/>
      <c r="AF4250" s="502"/>
      <c r="AH4250" s="898"/>
      <c r="AI4250" s="502"/>
      <c r="AJ4250" s="502"/>
      <c r="AL4250" s="434"/>
      <c r="AM4250" s="436"/>
      <c r="AN4250" s="434"/>
      <c r="AO4250" s="434"/>
      <c r="AP4250" s="556"/>
      <c r="AQ4250" s="556"/>
      <c r="AR4250" s="556"/>
      <c r="CF4250" s="2"/>
    </row>
    <row r="4251" spans="3:84">
      <c r="C4251" s="2"/>
      <c r="AD4251" s="502"/>
      <c r="AE4251" s="911"/>
      <c r="AF4251" s="502"/>
      <c r="AH4251" s="898"/>
      <c r="AI4251" s="502"/>
      <c r="AJ4251" s="502"/>
      <c r="AL4251" s="434"/>
      <c r="AM4251" s="436"/>
      <c r="AN4251" s="434"/>
      <c r="AO4251" s="434"/>
      <c r="AP4251" s="556"/>
      <c r="AQ4251" s="556"/>
      <c r="AR4251" s="556"/>
      <c r="CF4251" s="2"/>
    </row>
    <row r="4252" spans="3:84">
      <c r="C4252" s="2"/>
      <c r="AD4252" s="502"/>
      <c r="AE4252" s="911"/>
      <c r="AF4252" s="502"/>
      <c r="AH4252" s="898"/>
      <c r="AI4252" s="502"/>
      <c r="AJ4252" s="502"/>
      <c r="AL4252" s="434"/>
      <c r="AM4252" s="436"/>
      <c r="AN4252" s="434"/>
      <c r="AO4252" s="434"/>
      <c r="AP4252" s="556"/>
      <c r="AQ4252" s="556"/>
      <c r="AR4252" s="556"/>
      <c r="CF4252" s="2"/>
    </row>
    <row r="4253" spans="3:84">
      <c r="C4253" s="2"/>
      <c r="AD4253" s="502"/>
      <c r="AE4253" s="911"/>
      <c r="AF4253" s="502"/>
      <c r="AH4253" s="898"/>
      <c r="AI4253" s="502"/>
      <c r="AJ4253" s="502"/>
      <c r="AL4253" s="434"/>
      <c r="AM4253" s="436"/>
      <c r="AN4253" s="434"/>
      <c r="AO4253" s="434"/>
      <c r="AP4253" s="556"/>
      <c r="AQ4253" s="556"/>
      <c r="AR4253" s="556"/>
      <c r="CF4253" s="2"/>
    </row>
    <row r="4254" spans="3:84">
      <c r="C4254" s="2"/>
      <c r="AD4254" s="502"/>
      <c r="AE4254" s="911"/>
      <c r="AF4254" s="502"/>
      <c r="AH4254" s="898"/>
      <c r="AI4254" s="502"/>
      <c r="AJ4254" s="502"/>
      <c r="AL4254" s="434"/>
      <c r="AM4254" s="436"/>
      <c r="AN4254" s="434"/>
      <c r="AO4254" s="434"/>
      <c r="AP4254" s="556"/>
      <c r="AQ4254" s="556"/>
      <c r="AR4254" s="556"/>
      <c r="CF4254" s="2"/>
    </row>
    <row r="4255" spans="3:84">
      <c r="C4255" s="2"/>
      <c r="AD4255" s="502"/>
      <c r="AE4255" s="911"/>
      <c r="AF4255" s="502"/>
      <c r="AH4255" s="898"/>
      <c r="AI4255" s="502"/>
      <c r="AJ4255" s="502"/>
      <c r="AL4255" s="434"/>
      <c r="AM4255" s="436"/>
      <c r="AN4255" s="434"/>
      <c r="AO4255" s="434"/>
      <c r="AP4255" s="556"/>
      <c r="AQ4255" s="556"/>
      <c r="AR4255" s="556"/>
      <c r="CF4255" s="2"/>
    </row>
    <row r="4256" spans="3:84">
      <c r="C4256" s="2"/>
      <c r="AD4256" s="502"/>
      <c r="AE4256" s="911"/>
      <c r="AF4256" s="502"/>
      <c r="AH4256" s="898"/>
      <c r="AI4256" s="502"/>
      <c r="AJ4256" s="502"/>
      <c r="AL4256" s="434"/>
      <c r="AM4256" s="436"/>
      <c r="AN4256" s="434"/>
      <c r="AO4256" s="434"/>
      <c r="AP4256" s="556"/>
      <c r="AQ4256" s="556"/>
      <c r="AR4256" s="556"/>
      <c r="CF4256" s="2"/>
    </row>
    <row r="4257" spans="3:84">
      <c r="C4257" s="2"/>
      <c r="AD4257" s="502"/>
      <c r="AE4257" s="911"/>
      <c r="AF4257" s="502"/>
      <c r="AH4257" s="898"/>
      <c r="AI4257" s="502"/>
      <c r="AJ4257" s="502"/>
      <c r="AL4257" s="434"/>
      <c r="AM4257" s="436"/>
      <c r="AN4257" s="434"/>
      <c r="AO4257" s="434"/>
      <c r="AP4257" s="556"/>
      <c r="AQ4257" s="556"/>
      <c r="AR4257" s="556"/>
      <c r="CF4257" s="2"/>
    </row>
    <row r="4258" spans="3:84">
      <c r="C4258" s="2"/>
      <c r="AD4258" s="502"/>
      <c r="AE4258" s="911"/>
      <c r="AF4258" s="502"/>
      <c r="AH4258" s="898"/>
      <c r="AI4258" s="502"/>
      <c r="AJ4258" s="502"/>
      <c r="AL4258" s="434"/>
      <c r="AM4258" s="436"/>
      <c r="AN4258" s="434"/>
      <c r="AO4258" s="434"/>
      <c r="AP4258" s="556"/>
      <c r="AQ4258" s="556"/>
      <c r="AR4258" s="556"/>
      <c r="CF4258" s="2"/>
    </row>
    <row r="4259" spans="3:84">
      <c r="C4259" s="2"/>
      <c r="AD4259" s="502"/>
      <c r="AE4259" s="911"/>
      <c r="AF4259" s="502"/>
      <c r="AH4259" s="898"/>
      <c r="AI4259" s="502"/>
      <c r="AJ4259" s="502"/>
      <c r="AL4259" s="434"/>
      <c r="AM4259" s="436"/>
      <c r="AN4259" s="434"/>
      <c r="AO4259" s="434"/>
      <c r="AP4259" s="556"/>
      <c r="AQ4259" s="556"/>
      <c r="AR4259" s="556"/>
      <c r="CF4259" s="2"/>
    </row>
    <row r="4260" spans="3:84">
      <c r="C4260" s="2"/>
      <c r="AD4260" s="502"/>
      <c r="AE4260" s="911"/>
      <c r="AF4260" s="502"/>
      <c r="AH4260" s="898"/>
      <c r="AI4260" s="502"/>
      <c r="AJ4260" s="502"/>
      <c r="AL4260" s="434"/>
      <c r="AM4260" s="436"/>
      <c r="AN4260" s="434"/>
      <c r="AO4260" s="434"/>
      <c r="AP4260" s="556"/>
      <c r="AQ4260" s="556"/>
      <c r="AR4260" s="556"/>
      <c r="CF4260" s="2"/>
    </row>
    <row r="4261" spans="3:84">
      <c r="C4261" s="2"/>
      <c r="AD4261" s="502"/>
      <c r="AE4261" s="911"/>
      <c r="AF4261" s="502"/>
      <c r="AH4261" s="898"/>
      <c r="AI4261" s="502"/>
      <c r="AJ4261" s="502"/>
      <c r="AL4261" s="434"/>
      <c r="AM4261" s="436"/>
      <c r="AN4261" s="434"/>
      <c r="AO4261" s="434"/>
      <c r="AP4261" s="556"/>
      <c r="AQ4261" s="556"/>
      <c r="AR4261" s="556"/>
      <c r="CF4261" s="2"/>
    </row>
    <row r="4262" spans="3:84">
      <c r="C4262" s="2"/>
      <c r="AD4262" s="502"/>
      <c r="AE4262" s="911"/>
      <c r="AF4262" s="502"/>
      <c r="AH4262" s="898"/>
      <c r="AI4262" s="502"/>
      <c r="AJ4262" s="502"/>
      <c r="AL4262" s="434"/>
      <c r="AM4262" s="436"/>
      <c r="AN4262" s="434"/>
      <c r="AO4262" s="434"/>
      <c r="AP4262" s="556"/>
      <c r="AQ4262" s="556"/>
      <c r="AR4262" s="556"/>
      <c r="CF4262" s="2"/>
    </row>
    <row r="4263" spans="3:84">
      <c r="C4263" s="2"/>
      <c r="AD4263" s="502"/>
      <c r="AE4263" s="911"/>
      <c r="AF4263" s="502"/>
      <c r="AH4263" s="898"/>
      <c r="AI4263" s="502"/>
      <c r="AJ4263" s="502"/>
      <c r="AL4263" s="434"/>
      <c r="AM4263" s="436"/>
      <c r="AN4263" s="434"/>
      <c r="AO4263" s="434"/>
      <c r="AP4263" s="556"/>
      <c r="AQ4263" s="556"/>
      <c r="AR4263" s="556"/>
      <c r="CF4263" s="2"/>
    </row>
    <row r="4264" spans="3:84">
      <c r="C4264" s="2"/>
      <c r="AD4264" s="502"/>
      <c r="AE4264" s="911"/>
      <c r="AF4264" s="502"/>
      <c r="AH4264" s="898"/>
      <c r="AI4264" s="502"/>
      <c r="AJ4264" s="502"/>
      <c r="AL4264" s="434"/>
      <c r="AM4264" s="436"/>
      <c r="AN4264" s="434"/>
      <c r="AO4264" s="434"/>
      <c r="AP4264" s="556"/>
      <c r="AQ4264" s="556"/>
      <c r="AR4264" s="556"/>
      <c r="CF4264" s="2"/>
    </row>
    <row r="4265" spans="3:84">
      <c r="C4265" s="2"/>
      <c r="AD4265" s="502"/>
      <c r="AE4265" s="911"/>
      <c r="AF4265" s="502"/>
      <c r="AH4265" s="898"/>
      <c r="AI4265" s="502"/>
      <c r="AJ4265" s="502"/>
      <c r="AL4265" s="434"/>
      <c r="AM4265" s="436"/>
      <c r="AN4265" s="434"/>
      <c r="AO4265" s="434"/>
      <c r="AP4265" s="556"/>
      <c r="AQ4265" s="556"/>
      <c r="AR4265" s="556"/>
      <c r="CF4265" s="2"/>
    </row>
    <row r="4266" spans="3:84">
      <c r="C4266" s="2"/>
      <c r="AD4266" s="502"/>
      <c r="AE4266" s="911"/>
      <c r="AF4266" s="502"/>
      <c r="AH4266" s="898"/>
      <c r="AI4266" s="502"/>
      <c r="AJ4266" s="502"/>
      <c r="AL4266" s="434"/>
      <c r="AM4266" s="436"/>
      <c r="AN4266" s="434"/>
      <c r="AO4266" s="434"/>
      <c r="AP4266" s="556"/>
      <c r="AQ4266" s="556"/>
      <c r="AR4266" s="556"/>
      <c r="CF4266" s="2"/>
    </row>
    <row r="4267" spans="3:84">
      <c r="C4267" s="2"/>
      <c r="AD4267" s="502"/>
      <c r="AE4267" s="911"/>
      <c r="AF4267" s="502"/>
      <c r="AH4267" s="898"/>
      <c r="AI4267" s="502"/>
      <c r="AJ4267" s="502"/>
      <c r="AL4267" s="434"/>
      <c r="AM4267" s="436"/>
      <c r="AN4267" s="434"/>
      <c r="AO4267" s="434"/>
      <c r="AP4267" s="556"/>
      <c r="AQ4267" s="556"/>
      <c r="AR4267" s="556"/>
      <c r="CF4267" s="2"/>
    </row>
    <row r="4268" spans="3:84">
      <c r="C4268" s="2"/>
      <c r="AD4268" s="502"/>
      <c r="AE4268" s="911"/>
      <c r="AF4268" s="502"/>
      <c r="AH4268" s="898"/>
      <c r="AI4268" s="502"/>
      <c r="AJ4268" s="502"/>
      <c r="AL4268" s="434"/>
      <c r="AM4268" s="436"/>
      <c r="AN4268" s="434"/>
      <c r="AO4268" s="434"/>
      <c r="AP4268" s="556"/>
      <c r="AQ4268" s="556"/>
      <c r="AR4268" s="556"/>
      <c r="CF4268" s="2"/>
    </row>
    <row r="4269" spans="3:84">
      <c r="C4269" s="2"/>
      <c r="AD4269" s="502"/>
      <c r="AE4269" s="911"/>
      <c r="AF4269" s="502"/>
      <c r="AH4269" s="898"/>
      <c r="AI4269" s="502"/>
      <c r="AJ4269" s="502"/>
      <c r="AL4269" s="434"/>
      <c r="AM4269" s="436"/>
      <c r="AN4269" s="434"/>
      <c r="AO4269" s="434"/>
      <c r="AP4269" s="556"/>
      <c r="AQ4269" s="556"/>
      <c r="AR4269" s="556"/>
      <c r="CF4269" s="2"/>
    </row>
    <row r="4270" spans="3:84">
      <c r="C4270" s="2"/>
      <c r="AD4270" s="502"/>
      <c r="AE4270" s="911"/>
      <c r="AF4270" s="502"/>
      <c r="AH4270" s="898"/>
      <c r="AI4270" s="502"/>
      <c r="AJ4270" s="502"/>
      <c r="AL4270" s="434"/>
      <c r="AM4270" s="436"/>
      <c r="AN4270" s="434"/>
      <c r="AO4270" s="434"/>
      <c r="AP4270" s="556"/>
      <c r="AQ4270" s="556"/>
      <c r="AR4270" s="556"/>
      <c r="CF4270" s="2"/>
    </row>
    <row r="4271" spans="3:84">
      <c r="C4271" s="2"/>
      <c r="AD4271" s="502"/>
      <c r="AE4271" s="911"/>
      <c r="AF4271" s="502"/>
      <c r="AH4271" s="898"/>
      <c r="AI4271" s="502"/>
      <c r="AJ4271" s="502"/>
      <c r="AL4271" s="434"/>
      <c r="AM4271" s="436"/>
      <c r="AN4271" s="434"/>
      <c r="AO4271" s="434"/>
      <c r="AP4271" s="556"/>
      <c r="AQ4271" s="556"/>
      <c r="AR4271" s="556"/>
      <c r="CF4271" s="2"/>
    </row>
    <row r="4272" spans="3:84">
      <c r="C4272" s="2"/>
      <c r="AD4272" s="502"/>
      <c r="AE4272" s="911"/>
      <c r="AF4272" s="502"/>
      <c r="AH4272" s="898"/>
      <c r="AI4272" s="502"/>
      <c r="AJ4272" s="502"/>
      <c r="AL4272" s="434"/>
      <c r="AM4272" s="436"/>
      <c r="AN4272" s="434"/>
      <c r="AO4272" s="434"/>
      <c r="AP4272" s="556"/>
      <c r="AQ4272" s="556"/>
      <c r="AR4272" s="556"/>
      <c r="CF4272" s="2"/>
    </row>
    <row r="4273" spans="3:84">
      <c r="C4273" s="2"/>
      <c r="AD4273" s="502"/>
      <c r="AE4273" s="911"/>
      <c r="AF4273" s="502"/>
      <c r="AH4273" s="898"/>
      <c r="AI4273" s="502"/>
      <c r="AJ4273" s="502"/>
      <c r="AL4273" s="434"/>
      <c r="AM4273" s="436"/>
      <c r="AN4273" s="434"/>
      <c r="AO4273" s="434"/>
      <c r="AP4273" s="556"/>
      <c r="AQ4273" s="556"/>
      <c r="AR4273" s="556"/>
      <c r="CF4273" s="2"/>
    </row>
    <row r="4274" spans="3:84">
      <c r="C4274" s="2"/>
      <c r="AD4274" s="502"/>
      <c r="AE4274" s="911"/>
      <c r="AF4274" s="502"/>
      <c r="AH4274" s="898"/>
      <c r="AI4274" s="502"/>
      <c r="AJ4274" s="502"/>
      <c r="AL4274" s="434"/>
      <c r="AM4274" s="436"/>
      <c r="AN4274" s="434"/>
      <c r="AO4274" s="434"/>
      <c r="AP4274" s="556"/>
      <c r="AQ4274" s="556"/>
      <c r="AR4274" s="556"/>
      <c r="CF4274" s="2"/>
    </row>
    <row r="4275" spans="3:84">
      <c r="C4275" s="2"/>
      <c r="AD4275" s="502"/>
      <c r="AE4275" s="911"/>
      <c r="AF4275" s="502"/>
      <c r="AH4275" s="898"/>
      <c r="AI4275" s="502"/>
      <c r="AJ4275" s="502"/>
      <c r="AL4275" s="434"/>
      <c r="AM4275" s="436"/>
      <c r="AN4275" s="434"/>
      <c r="AO4275" s="434"/>
      <c r="AP4275" s="556"/>
      <c r="AQ4275" s="556"/>
      <c r="AR4275" s="556"/>
      <c r="CF4275" s="2"/>
    </row>
    <row r="4276" spans="3:84">
      <c r="C4276" s="2"/>
      <c r="AD4276" s="502"/>
      <c r="AE4276" s="911"/>
      <c r="AF4276" s="502"/>
      <c r="AH4276" s="898"/>
      <c r="AI4276" s="502"/>
      <c r="AJ4276" s="502"/>
      <c r="AL4276" s="434"/>
      <c r="AM4276" s="436"/>
      <c r="AN4276" s="434"/>
      <c r="AO4276" s="434"/>
      <c r="AP4276" s="556"/>
      <c r="AQ4276" s="556"/>
      <c r="AR4276" s="556"/>
      <c r="CF4276" s="2"/>
    </row>
    <row r="4277" spans="3:84">
      <c r="C4277" s="2"/>
      <c r="AD4277" s="502"/>
      <c r="AE4277" s="911"/>
      <c r="AF4277" s="502"/>
      <c r="AH4277" s="898"/>
      <c r="AI4277" s="502"/>
      <c r="AJ4277" s="502"/>
      <c r="AL4277" s="434"/>
      <c r="AM4277" s="436"/>
      <c r="AN4277" s="434"/>
      <c r="AO4277" s="434"/>
      <c r="AP4277" s="556"/>
      <c r="AQ4277" s="556"/>
      <c r="AR4277" s="556"/>
      <c r="CF4277" s="2"/>
    </row>
    <row r="4278" spans="3:84">
      <c r="C4278" s="2"/>
      <c r="AD4278" s="502"/>
      <c r="AE4278" s="911"/>
      <c r="AF4278" s="502"/>
      <c r="AH4278" s="898"/>
      <c r="AI4278" s="502"/>
      <c r="AJ4278" s="502"/>
      <c r="AL4278" s="434"/>
      <c r="AM4278" s="436"/>
      <c r="AN4278" s="434"/>
      <c r="AO4278" s="434"/>
      <c r="AP4278" s="556"/>
      <c r="AQ4278" s="556"/>
      <c r="AR4278" s="556"/>
      <c r="CF4278" s="2"/>
    </row>
    <row r="4279" spans="3:84">
      <c r="C4279" s="2"/>
      <c r="AD4279" s="502"/>
      <c r="AE4279" s="911"/>
      <c r="AF4279" s="502"/>
      <c r="AH4279" s="898"/>
      <c r="AI4279" s="502"/>
      <c r="AJ4279" s="502"/>
      <c r="AL4279" s="434"/>
      <c r="AM4279" s="436"/>
      <c r="AN4279" s="434"/>
      <c r="AO4279" s="434"/>
      <c r="AP4279" s="556"/>
      <c r="AQ4279" s="556"/>
      <c r="AR4279" s="556"/>
      <c r="CF4279" s="2"/>
    </row>
    <row r="4280" spans="3:84">
      <c r="C4280" s="2"/>
      <c r="AD4280" s="502"/>
      <c r="AE4280" s="911"/>
      <c r="AF4280" s="502"/>
      <c r="AH4280" s="898"/>
      <c r="AI4280" s="502"/>
      <c r="AJ4280" s="502"/>
      <c r="AL4280" s="434"/>
      <c r="AM4280" s="436"/>
      <c r="AN4280" s="434"/>
      <c r="AO4280" s="434"/>
      <c r="AP4280" s="556"/>
      <c r="AQ4280" s="556"/>
      <c r="AR4280" s="556"/>
      <c r="CF4280" s="2"/>
    </row>
    <row r="4281" spans="3:84">
      <c r="C4281" s="2"/>
      <c r="AD4281" s="502"/>
      <c r="AE4281" s="911"/>
      <c r="AF4281" s="502"/>
      <c r="AH4281" s="898"/>
      <c r="AI4281" s="502"/>
      <c r="AJ4281" s="502"/>
      <c r="AL4281" s="434"/>
      <c r="AM4281" s="436"/>
      <c r="AN4281" s="434"/>
      <c r="AO4281" s="434"/>
      <c r="AP4281" s="556"/>
      <c r="AQ4281" s="556"/>
      <c r="AR4281" s="556"/>
      <c r="CF4281" s="2"/>
    </row>
    <row r="4282" spans="3:84">
      <c r="C4282" s="2"/>
      <c r="AD4282" s="502"/>
      <c r="AE4282" s="911"/>
      <c r="AF4282" s="502"/>
      <c r="AH4282" s="898"/>
      <c r="AI4282" s="502"/>
      <c r="AJ4282" s="502"/>
      <c r="AL4282" s="434"/>
      <c r="AM4282" s="436"/>
      <c r="AN4282" s="434"/>
      <c r="AO4282" s="434"/>
      <c r="AP4282" s="556"/>
      <c r="AQ4282" s="556"/>
      <c r="AR4282" s="556"/>
      <c r="CF4282" s="2"/>
    </row>
    <row r="4283" spans="3:84">
      <c r="C4283" s="2"/>
      <c r="AD4283" s="502"/>
      <c r="AE4283" s="911"/>
      <c r="AF4283" s="502"/>
      <c r="AH4283" s="898"/>
      <c r="AI4283" s="502"/>
      <c r="AJ4283" s="502"/>
      <c r="AL4283" s="434"/>
      <c r="AM4283" s="436"/>
      <c r="AN4283" s="434"/>
      <c r="AO4283" s="434"/>
      <c r="AP4283" s="556"/>
      <c r="AQ4283" s="556"/>
      <c r="AR4283" s="556"/>
      <c r="CF4283" s="2"/>
    </row>
    <row r="4284" spans="3:84">
      <c r="C4284" s="2"/>
      <c r="AD4284" s="502"/>
      <c r="AE4284" s="911"/>
      <c r="AF4284" s="502"/>
      <c r="AH4284" s="898"/>
      <c r="AI4284" s="502"/>
      <c r="AJ4284" s="502"/>
      <c r="AL4284" s="434"/>
      <c r="AM4284" s="436"/>
      <c r="AN4284" s="434"/>
      <c r="AO4284" s="434"/>
      <c r="AP4284" s="556"/>
      <c r="AQ4284" s="556"/>
      <c r="AR4284" s="556"/>
      <c r="CF4284" s="2"/>
    </row>
    <row r="4285" spans="3:84">
      <c r="C4285" s="2"/>
      <c r="AD4285" s="502"/>
      <c r="AE4285" s="911"/>
      <c r="AF4285" s="502"/>
      <c r="AH4285" s="898"/>
      <c r="AI4285" s="502"/>
      <c r="AJ4285" s="502"/>
      <c r="AL4285" s="434"/>
      <c r="AM4285" s="436"/>
      <c r="AN4285" s="434"/>
      <c r="AO4285" s="434"/>
      <c r="AP4285" s="556"/>
      <c r="AQ4285" s="556"/>
      <c r="AR4285" s="556"/>
      <c r="CF4285" s="2"/>
    </row>
    <row r="4286" spans="3:84">
      <c r="C4286" s="2"/>
      <c r="AD4286" s="502"/>
      <c r="AE4286" s="911"/>
      <c r="AF4286" s="502"/>
      <c r="AH4286" s="898"/>
      <c r="AI4286" s="502"/>
      <c r="AJ4286" s="502"/>
      <c r="AL4286" s="434"/>
      <c r="AM4286" s="436"/>
      <c r="AN4286" s="434"/>
      <c r="AO4286" s="434"/>
      <c r="AP4286" s="556"/>
      <c r="AQ4286" s="556"/>
      <c r="AR4286" s="556"/>
      <c r="CF4286" s="2"/>
    </row>
    <row r="4287" spans="3:84">
      <c r="C4287" s="2"/>
      <c r="AD4287" s="502"/>
      <c r="AE4287" s="911"/>
      <c r="AF4287" s="502"/>
      <c r="AH4287" s="898"/>
      <c r="AI4287" s="502"/>
      <c r="AJ4287" s="502"/>
      <c r="AL4287" s="434"/>
      <c r="AM4287" s="436"/>
      <c r="AN4287" s="434"/>
      <c r="AO4287" s="434"/>
      <c r="AP4287" s="556"/>
      <c r="AQ4287" s="556"/>
      <c r="AR4287" s="556"/>
      <c r="CF4287" s="2"/>
    </row>
    <row r="4288" spans="3:84">
      <c r="C4288" s="2"/>
      <c r="AD4288" s="502"/>
      <c r="AE4288" s="911"/>
      <c r="AF4288" s="502"/>
      <c r="AH4288" s="898"/>
      <c r="AI4288" s="502"/>
      <c r="AJ4288" s="502"/>
      <c r="AL4288" s="434"/>
      <c r="AM4288" s="436"/>
      <c r="AN4288" s="434"/>
      <c r="AO4288" s="434"/>
      <c r="AP4288" s="556"/>
      <c r="AQ4288" s="556"/>
      <c r="AR4288" s="556"/>
      <c r="CF4288" s="2"/>
    </row>
    <row r="4289" spans="3:84">
      <c r="C4289" s="2"/>
      <c r="AD4289" s="502"/>
      <c r="AE4289" s="911"/>
      <c r="AF4289" s="502"/>
      <c r="AH4289" s="898"/>
      <c r="AI4289" s="502"/>
      <c r="AJ4289" s="502"/>
      <c r="AL4289" s="434"/>
      <c r="AM4289" s="436"/>
      <c r="AN4289" s="434"/>
      <c r="AO4289" s="434"/>
      <c r="AP4289" s="556"/>
      <c r="AQ4289" s="556"/>
      <c r="AR4289" s="556"/>
      <c r="CF4289" s="2"/>
    </row>
    <row r="4290" spans="3:84">
      <c r="C4290" s="2"/>
      <c r="AD4290" s="502"/>
      <c r="AE4290" s="911"/>
      <c r="AF4290" s="502"/>
      <c r="AH4290" s="898"/>
      <c r="AI4290" s="502"/>
      <c r="AJ4290" s="502"/>
      <c r="AL4290" s="434"/>
      <c r="AM4290" s="436"/>
      <c r="AN4290" s="434"/>
      <c r="AO4290" s="434"/>
      <c r="AP4290" s="556"/>
      <c r="AQ4290" s="556"/>
      <c r="AR4290" s="556"/>
      <c r="CF4290" s="2"/>
    </row>
    <row r="4291" spans="3:84">
      <c r="C4291" s="2"/>
      <c r="AD4291" s="502"/>
      <c r="AE4291" s="911"/>
      <c r="AF4291" s="502"/>
      <c r="AH4291" s="898"/>
      <c r="AI4291" s="502"/>
      <c r="AJ4291" s="502"/>
      <c r="AL4291" s="434"/>
      <c r="AM4291" s="436"/>
      <c r="AN4291" s="434"/>
      <c r="AO4291" s="434"/>
      <c r="AP4291" s="556"/>
      <c r="AQ4291" s="556"/>
      <c r="AR4291" s="556"/>
      <c r="CF4291" s="2"/>
    </row>
    <row r="4292" spans="3:84">
      <c r="C4292" s="2"/>
      <c r="AD4292" s="502"/>
      <c r="AE4292" s="911"/>
      <c r="AF4292" s="502"/>
      <c r="AH4292" s="898"/>
      <c r="AI4292" s="502"/>
      <c r="AJ4292" s="502"/>
      <c r="AL4292" s="434"/>
      <c r="AM4292" s="436"/>
      <c r="AN4292" s="434"/>
      <c r="AO4292" s="434"/>
      <c r="AP4292" s="556"/>
      <c r="AQ4292" s="556"/>
      <c r="AR4292" s="556"/>
      <c r="CF4292" s="2"/>
    </row>
    <row r="4293" spans="3:84">
      <c r="C4293" s="2"/>
      <c r="AD4293" s="502"/>
      <c r="AE4293" s="911"/>
      <c r="AF4293" s="502"/>
      <c r="AH4293" s="898"/>
      <c r="AI4293" s="502"/>
      <c r="AJ4293" s="502"/>
      <c r="AL4293" s="434"/>
      <c r="AM4293" s="436"/>
      <c r="AN4293" s="434"/>
      <c r="AO4293" s="434"/>
      <c r="AP4293" s="556"/>
      <c r="AQ4293" s="556"/>
      <c r="AR4293" s="556"/>
      <c r="CF4293" s="2"/>
    </row>
    <row r="4294" spans="3:84">
      <c r="C4294" s="2"/>
      <c r="AD4294" s="502"/>
      <c r="AE4294" s="911"/>
      <c r="AF4294" s="502"/>
      <c r="AH4294" s="898"/>
      <c r="AI4294" s="502"/>
      <c r="AJ4294" s="502"/>
      <c r="AL4294" s="434"/>
      <c r="AM4294" s="436"/>
      <c r="AN4294" s="434"/>
      <c r="AO4294" s="434"/>
      <c r="AP4294" s="556"/>
      <c r="AQ4294" s="556"/>
      <c r="AR4294" s="556"/>
      <c r="CF4294" s="2"/>
    </row>
    <row r="4295" spans="3:84">
      <c r="C4295" s="2"/>
      <c r="AD4295" s="502"/>
      <c r="AE4295" s="911"/>
      <c r="AF4295" s="502"/>
      <c r="AH4295" s="898"/>
      <c r="AI4295" s="502"/>
      <c r="AJ4295" s="502"/>
      <c r="AL4295" s="434"/>
      <c r="AM4295" s="436"/>
      <c r="AN4295" s="434"/>
      <c r="AO4295" s="434"/>
      <c r="AP4295" s="556"/>
      <c r="AQ4295" s="556"/>
      <c r="AR4295" s="556"/>
      <c r="CF4295" s="2"/>
    </row>
    <row r="4296" spans="3:84">
      <c r="C4296" s="2"/>
      <c r="AD4296" s="502"/>
      <c r="AE4296" s="911"/>
      <c r="AF4296" s="502"/>
      <c r="AH4296" s="898"/>
      <c r="AI4296" s="502"/>
      <c r="AJ4296" s="502"/>
      <c r="AL4296" s="434"/>
      <c r="AM4296" s="436"/>
      <c r="AN4296" s="434"/>
      <c r="AO4296" s="434"/>
      <c r="AP4296" s="556"/>
      <c r="AQ4296" s="556"/>
      <c r="AR4296" s="556"/>
      <c r="CF4296" s="2"/>
    </row>
    <row r="4297" spans="3:84">
      <c r="C4297" s="2"/>
      <c r="AD4297" s="502"/>
      <c r="AE4297" s="911"/>
      <c r="AF4297" s="502"/>
      <c r="AH4297" s="898"/>
      <c r="AI4297" s="502"/>
      <c r="AJ4297" s="502"/>
      <c r="AL4297" s="434"/>
      <c r="AM4297" s="436"/>
      <c r="AN4297" s="434"/>
      <c r="AO4297" s="434"/>
      <c r="AP4297" s="556"/>
      <c r="AQ4297" s="556"/>
      <c r="AR4297" s="556"/>
      <c r="CF4297" s="2"/>
    </row>
    <row r="4298" spans="3:84">
      <c r="C4298" s="2"/>
      <c r="AD4298" s="502"/>
      <c r="AE4298" s="911"/>
      <c r="AF4298" s="502"/>
      <c r="AH4298" s="898"/>
      <c r="AI4298" s="502"/>
      <c r="AJ4298" s="502"/>
      <c r="AL4298" s="434"/>
      <c r="AM4298" s="436"/>
      <c r="AN4298" s="434"/>
      <c r="AO4298" s="434"/>
      <c r="AP4298" s="556"/>
      <c r="AQ4298" s="556"/>
      <c r="AR4298" s="556"/>
      <c r="CF4298" s="2"/>
    </row>
    <row r="4299" spans="3:84">
      <c r="C4299" s="2"/>
      <c r="AD4299" s="502"/>
      <c r="AE4299" s="911"/>
      <c r="AF4299" s="502"/>
      <c r="AH4299" s="898"/>
      <c r="AI4299" s="502"/>
      <c r="AJ4299" s="502"/>
      <c r="AL4299" s="434"/>
      <c r="AM4299" s="436"/>
      <c r="AN4299" s="434"/>
      <c r="AO4299" s="434"/>
      <c r="AP4299" s="556"/>
      <c r="AQ4299" s="556"/>
      <c r="AR4299" s="556"/>
      <c r="CF4299" s="2"/>
    </row>
    <row r="4300" spans="3:84">
      <c r="C4300" s="2"/>
      <c r="AD4300" s="502"/>
      <c r="AE4300" s="911"/>
      <c r="AF4300" s="502"/>
      <c r="AH4300" s="898"/>
      <c r="AI4300" s="502"/>
      <c r="AJ4300" s="502"/>
      <c r="AL4300" s="434"/>
      <c r="AM4300" s="436"/>
      <c r="AN4300" s="434"/>
      <c r="AO4300" s="434"/>
      <c r="AP4300" s="556"/>
      <c r="AQ4300" s="556"/>
      <c r="AR4300" s="556"/>
      <c r="CF4300" s="2"/>
    </row>
    <row r="4301" spans="3:84">
      <c r="C4301" s="2"/>
      <c r="AD4301" s="502"/>
      <c r="AE4301" s="911"/>
      <c r="AF4301" s="502"/>
      <c r="AH4301" s="898"/>
      <c r="AI4301" s="502"/>
      <c r="AJ4301" s="502"/>
      <c r="AL4301" s="434"/>
      <c r="AM4301" s="436"/>
      <c r="AN4301" s="434"/>
      <c r="AO4301" s="434"/>
      <c r="AP4301" s="556"/>
      <c r="AQ4301" s="556"/>
      <c r="AR4301" s="556"/>
      <c r="CF4301" s="2"/>
    </row>
    <row r="4302" spans="3:84">
      <c r="C4302" s="2"/>
      <c r="AD4302" s="502"/>
      <c r="AE4302" s="911"/>
      <c r="AF4302" s="502"/>
      <c r="AH4302" s="898"/>
      <c r="AI4302" s="502"/>
      <c r="AJ4302" s="502"/>
      <c r="AL4302" s="434"/>
      <c r="AM4302" s="436"/>
      <c r="AN4302" s="434"/>
      <c r="AO4302" s="434"/>
      <c r="AP4302" s="556"/>
      <c r="AQ4302" s="556"/>
      <c r="AR4302" s="556"/>
      <c r="CF4302" s="2"/>
    </row>
    <row r="4303" spans="3:84">
      <c r="C4303" s="2"/>
      <c r="AD4303" s="502"/>
      <c r="AE4303" s="911"/>
      <c r="AF4303" s="502"/>
      <c r="AH4303" s="898"/>
      <c r="AI4303" s="502"/>
      <c r="AJ4303" s="502"/>
      <c r="AL4303" s="434"/>
      <c r="AM4303" s="436"/>
      <c r="AN4303" s="434"/>
      <c r="AO4303" s="434"/>
      <c r="AP4303" s="556"/>
      <c r="AQ4303" s="556"/>
      <c r="AR4303" s="556"/>
      <c r="CF4303" s="2"/>
    </row>
    <row r="4304" spans="3:84">
      <c r="C4304" s="2"/>
      <c r="AD4304" s="502"/>
      <c r="AE4304" s="911"/>
      <c r="AF4304" s="502"/>
      <c r="AH4304" s="898"/>
      <c r="AI4304" s="502"/>
      <c r="AJ4304" s="502"/>
      <c r="AL4304" s="434"/>
      <c r="AM4304" s="436"/>
      <c r="AN4304" s="434"/>
      <c r="AO4304" s="434"/>
      <c r="AP4304" s="556"/>
      <c r="AQ4304" s="556"/>
      <c r="AR4304" s="556"/>
      <c r="CF4304" s="2"/>
    </row>
    <row r="4305" spans="3:84">
      <c r="C4305" s="2"/>
      <c r="AD4305" s="502"/>
      <c r="AE4305" s="911"/>
      <c r="AF4305" s="502"/>
      <c r="AH4305" s="898"/>
      <c r="AI4305" s="502"/>
      <c r="AJ4305" s="502"/>
      <c r="AL4305" s="434"/>
      <c r="AM4305" s="436"/>
      <c r="AN4305" s="434"/>
      <c r="AO4305" s="434"/>
      <c r="AP4305" s="556"/>
      <c r="AQ4305" s="556"/>
      <c r="AR4305" s="556"/>
      <c r="CF4305" s="2"/>
    </row>
    <row r="4306" spans="3:84">
      <c r="C4306" s="2"/>
      <c r="AD4306" s="502"/>
      <c r="AE4306" s="911"/>
      <c r="AF4306" s="502"/>
      <c r="AH4306" s="898"/>
      <c r="AI4306" s="502"/>
      <c r="AJ4306" s="502"/>
      <c r="AL4306" s="434"/>
      <c r="AM4306" s="436"/>
      <c r="AN4306" s="434"/>
      <c r="AO4306" s="434"/>
      <c r="AP4306" s="556"/>
      <c r="AQ4306" s="556"/>
      <c r="AR4306" s="556"/>
      <c r="CF4306" s="2"/>
    </row>
    <row r="4307" spans="3:84">
      <c r="C4307" s="2"/>
      <c r="AD4307" s="502"/>
      <c r="AE4307" s="911"/>
      <c r="AF4307" s="502"/>
      <c r="AH4307" s="898"/>
      <c r="AI4307" s="502"/>
      <c r="AJ4307" s="502"/>
      <c r="AL4307" s="434"/>
      <c r="AM4307" s="436"/>
      <c r="AN4307" s="434"/>
      <c r="AO4307" s="434"/>
      <c r="AP4307" s="556"/>
      <c r="AQ4307" s="556"/>
      <c r="AR4307" s="556"/>
      <c r="CF4307" s="2"/>
    </row>
    <row r="4308" spans="3:84">
      <c r="C4308" s="2"/>
      <c r="AD4308" s="502"/>
      <c r="AE4308" s="911"/>
      <c r="AF4308" s="502"/>
      <c r="AH4308" s="898"/>
      <c r="AI4308" s="502"/>
      <c r="AJ4308" s="502"/>
      <c r="AL4308" s="434"/>
      <c r="AM4308" s="436"/>
      <c r="AN4308" s="434"/>
      <c r="AO4308" s="434"/>
      <c r="AP4308" s="556"/>
      <c r="AQ4308" s="556"/>
      <c r="AR4308" s="556"/>
      <c r="CF4308" s="2"/>
    </row>
    <row r="4309" spans="3:84">
      <c r="C4309" s="2"/>
      <c r="AD4309" s="502"/>
      <c r="AE4309" s="911"/>
      <c r="AF4309" s="502"/>
      <c r="AH4309" s="898"/>
      <c r="AI4309" s="502"/>
      <c r="AJ4309" s="502"/>
      <c r="AL4309" s="434"/>
      <c r="AM4309" s="436"/>
      <c r="AN4309" s="434"/>
      <c r="AO4309" s="434"/>
      <c r="AP4309" s="556"/>
      <c r="AQ4309" s="556"/>
      <c r="AR4309" s="556"/>
      <c r="CF4309" s="2"/>
    </row>
    <row r="4310" spans="3:84">
      <c r="C4310" s="2"/>
      <c r="AD4310" s="502"/>
      <c r="AE4310" s="911"/>
      <c r="AF4310" s="502"/>
      <c r="AH4310" s="898"/>
      <c r="AI4310" s="502"/>
      <c r="AJ4310" s="502"/>
      <c r="AL4310" s="434"/>
      <c r="AM4310" s="436"/>
      <c r="AN4310" s="434"/>
      <c r="AO4310" s="434"/>
      <c r="AP4310" s="556"/>
      <c r="AQ4310" s="556"/>
      <c r="AR4310" s="556"/>
      <c r="CF4310" s="2"/>
    </row>
    <row r="4311" spans="3:84">
      <c r="C4311" s="2"/>
      <c r="AD4311" s="502"/>
      <c r="AE4311" s="911"/>
      <c r="AF4311" s="502"/>
      <c r="AH4311" s="898"/>
      <c r="AI4311" s="502"/>
      <c r="AJ4311" s="502"/>
      <c r="AL4311" s="434"/>
      <c r="AM4311" s="436"/>
      <c r="AN4311" s="434"/>
      <c r="AO4311" s="434"/>
      <c r="AP4311" s="556"/>
      <c r="AQ4311" s="556"/>
      <c r="AR4311" s="556"/>
      <c r="CF4311" s="2"/>
    </row>
    <row r="4312" spans="3:84">
      <c r="C4312" s="2"/>
      <c r="AD4312" s="502"/>
      <c r="AE4312" s="911"/>
      <c r="AF4312" s="502"/>
      <c r="AH4312" s="898"/>
      <c r="AI4312" s="502"/>
      <c r="AJ4312" s="502"/>
      <c r="AL4312" s="434"/>
      <c r="AM4312" s="436"/>
      <c r="AN4312" s="434"/>
      <c r="AO4312" s="434"/>
      <c r="AP4312" s="556"/>
      <c r="AQ4312" s="556"/>
      <c r="AR4312" s="556"/>
      <c r="CF4312" s="2"/>
    </row>
    <row r="4313" spans="3:84">
      <c r="C4313" s="2"/>
      <c r="AD4313" s="502"/>
      <c r="AE4313" s="911"/>
      <c r="AF4313" s="502"/>
      <c r="AH4313" s="898"/>
      <c r="AI4313" s="502"/>
      <c r="AJ4313" s="502"/>
      <c r="AL4313" s="434"/>
      <c r="AM4313" s="436"/>
      <c r="AN4313" s="434"/>
      <c r="AO4313" s="434"/>
      <c r="AP4313" s="556"/>
      <c r="AQ4313" s="556"/>
      <c r="AR4313" s="556"/>
      <c r="CF4313" s="2"/>
    </row>
    <row r="4314" spans="3:84">
      <c r="C4314" s="2"/>
      <c r="AD4314" s="502"/>
      <c r="AE4314" s="911"/>
      <c r="AF4314" s="502"/>
      <c r="AH4314" s="898"/>
      <c r="AI4314" s="502"/>
      <c r="AJ4314" s="502"/>
      <c r="AL4314" s="434"/>
      <c r="AM4314" s="436"/>
      <c r="AN4314" s="434"/>
      <c r="AO4314" s="434"/>
      <c r="AP4314" s="556"/>
      <c r="AQ4314" s="556"/>
      <c r="AR4314" s="556"/>
      <c r="CF4314" s="2"/>
    </row>
    <row r="4315" spans="3:84">
      <c r="C4315" s="2"/>
      <c r="AD4315" s="502"/>
      <c r="AE4315" s="911"/>
      <c r="AF4315" s="502"/>
      <c r="AH4315" s="898"/>
      <c r="AI4315" s="502"/>
      <c r="AJ4315" s="502"/>
      <c r="AL4315" s="434"/>
      <c r="AM4315" s="436"/>
      <c r="AN4315" s="434"/>
      <c r="AO4315" s="434"/>
      <c r="AP4315" s="556"/>
      <c r="AQ4315" s="556"/>
      <c r="AR4315" s="556"/>
      <c r="CF4315" s="2"/>
    </row>
    <row r="4316" spans="3:84">
      <c r="C4316" s="2"/>
      <c r="AD4316" s="502"/>
      <c r="AE4316" s="911"/>
      <c r="AF4316" s="502"/>
      <c r="AH4316" s="898"/>
      <c r="AI4316" s="502"/>
      <c r="AJ4316" s="502"/>
      <c r="AL4316" s="434"/>
      <c r="AM4316" s="436"/>
      <c r="AN4316" s="434"/>
      <c r="AO4316" s="434"/>
      <c r="AP4316" s="556"/>
      <c r="AQ4316" s="556"/>
      <c r="AR4316" s="556"/>
      <c r="CF4316" s="2"/>
    </row>
    <row r="4317" spans="3:84">
      <c r="C4317" s="2"/>
      <c r="AD4317" s="502"/>
      <c r="AE4317" s="911"/>
      <c r="AF4317" s="502"/>
      <c r="AH4317" s="898"/>
      <c r="AI4317" s="502"/>
      <c r="AJ4317" s="502"/>
      <c r="AL4317" s="434"/>
      <c r="AM4317" s="436"/>
      <c r="AN4317" s="434"/>
      <c r="AO4317" s="434"/>
      <c r="AP4317" s="556"/>
      <c r="AQ4317" s="556"/>
      <c r="AR4317" s="556"/>
      <c r="CF4317" s="2"/>
    </row>
    <row r="4318" spans="3:84">
      <c r="C4318" s="2"/>
      <c r="AD4318" s="502"/>
      <c r="AE4318" s="911"/>
      <c r="AF4318" s="502"/>
      <c r="AH4318" s="898"/>
      <c r="AI4318" s="502"/>
      <c r="AJ4318" s="502"/>
      <c r="AL4318" s="434"/>
      <c r="AM4318" s="436"/>
      <c r="AN4318" s="434"/>
      <c r="AO4318" s="434"/>
      <c r="AP4318" s="556"/>
      <c r="AQ4318" s="556"/>
      <c r="AR4318" s="556"/>
      <c r="CF4318" s="2"/>
    </row>
    <row r="4319" spans="3:84">
      <c r="C4319" s="2"/>
      <c r="AD4319" s="502"/>
      <c r="AE4319" s="911"/>
      <c r="AF4319" s="502"/>
      <c r="AH4319" s="898"/>
      <c r="AI4319" s="502"/>
      <c r="AJ4319" s="502"/>
      <c r="AL4319" s="434"/>
      <c r="AM4319" s="436"/>
      <c r="AN4319" s="434"/>
      <c r="AO4319" s="434"/>
      <c r="AP4319" s="556"/>
      <c r="AQ4319" s="556"/>
      <c r="AR4319" s="556"/>
      <c r="CF4319" s="2"/>
    </row>
    <row r="4320" spans="3:84">
      <c r="C4320" s="2"/>
      <c r="AD4320" s="502"/>
      <c r="AE4320" s="911"/>
      <c r="AF4320" s="502"/>
      <c r="AH4320" s="898"/>
      <c r="AI4320" s="502"/>
      <c r="AJ4320" s="502"/>
      <c r="AL4320" s="434"/>
      <c r="AM4320" s="436"/>
      <c r="AN4320" s="434"/>
      <c r="AO4320" s="434"/>
      <c r="AP4320" s="556"/>
      <c r="AQ4320" s="556"/>
      <c r="AR4320" s="556"/>
      <c r="CF4320" s="2"/>
    </row>
    <row r="4321" spans="3:84">
      <c r="C4321" s="2"/>
      <c r="AD4321" s="502"/>
      <c r="AE4321" s="911"/>
      <c r="AF4321" s="502"/>
      <c r="AH4321" s="898"/>
      <c r="AI4321" s="502"/>
      <c r="AJ4321" s="502"/>
      <c r="AL4321" s="434"/>
      <c r="AM4321" s="436"/>
      <c r="AN4321" s="434"/>
      <c r="AO4321" s="434"/>
      <c r="AP4321" s="556"/>
      <c r="AQ4321" s="556"/>
      <c r="AR4321" s="556"/>
      <c r="CF4321" s="2"/>
    </row>
    <row r="4322" spans="3:84">
      <c r="C4322" s="2"/>
      <c r="AD4322" s="502"/>
      <c r="AE4322" s="911"/>
      <c r="AF4322" s="502"/>
      <c r="AH4322" s="898"/>
      <c r="AI4322" s="502"/>
      <c r="AJ4322" s="502"/>
      <c r="AL4322" s="434"/>
      <c r="AM4322" s="436"/>
      <c r="AN4322" s="434"/>
      <c r="AO4322" s="434"/>
      <c r="AP4322" s="556"/>
      <c r="AQ4322" s="556"/>
      <c r="AR4322" s="556"/>
      <c r="CF4322" s="2"/>
    </row>
    <row r="4323" spans="3:84">
      <c r="C4323" s="2"/>
      <c r="AD4323" s="502"/>
      <c r="AE4323" s="911"/>
      <c r="AF4323" s="502"/>
      <c r="AH4323" s="898"/>
      <c r="AI4323" s="502"/>
      <c r="AJ4323" s="502"/>
      <c r="AL4323" s="434"/>
      <c r="AM4323" s="436"/>
      <c r="AN4323" s="434"/>
      <c r="AO4323" s="434"/>
      <c r="AP4323" s="556"/>
      <c r="AQ4323" s="556"/>
      <c r="AR4323" s="556"/>
      <c r="CF4323" s="2"/>
    </row>
    <row r="4324" spans="3:84">
      <c r="C4324" s="2"/>
      <c r="AD4324" s="502"/>
      <c r="AE4324" s="911"/>
      <c r="AF4324" s="502"/>
      <c r="AH4324" s="898"/>
      <c r="AI4324" s="502"/>
      <c r="AJ4324" s="502"/>
      <c r="AL4324" s="434"/>
      <c r="AM4324" s="436"/>
      <c r="AN4324" s="434"/>
      <c r="AO4324" s="434"/>
      <c r="AP4324" s="556"/>
      <c r="AQ4324" s="556"/>
      <c r="AR4324" s="556"/>
      <c r="CF4324" s="2"/>
    </row>
    <row r="4325" spans="3:84">
      <c r="C4325" s="2"/>
      <c r="AD4325" s="502"/>
      <c r="AE4325" s="911"/>
      <c r="AF4325" s="502"/>
      <c r="AH4325" s="898"/>
      <c r="AI4325" s="502"/>
      <c r="AJ4325" s="502"/>
      <c r="AL4325" s="434"/>
      <c r="AM4325" s="436"/>
      <c r="AN4325" s="434"/>
      <c r="AO4325" s="434"/>
      <c r="AP4325" s="556"/>
      <c r="AQ4325" s="556"/>
      <c r="AR4325" s="556"/>
      <c r="CF4325" s="2"/>
    </row>
    <row r="4326" spans="3:84">
      <c r="C4326" s="2"/>
      <c r="AD4326" s="502"/>
      <c r="AE4326" s="911"/>
      <c r="AF4326" s="502"/>
      <c r="AH4326" s="898"/>
      <c r="AI4326" s="502"/>
      <c r="AJ4326" s="502"/>
      <c r="AL4326" s="434"/>
      <c r="AM4326" s="436"/>
      <c r="AN4326" s="434"/>
      <c r="AO4326" s="434"/>
      <c r="AP4326" s="556"/>
      <c r="AQ4326" s="556"/>
      <c r="AR4326" s="556"/>
      <c r="CF4326" s="2"/>
    </row>
    <row r="4327" spans="3:84">
      <c r="C4327" s="2"/>
      <c r="AD4327" s="502"/>
      <c r="AE4327" s="911"/>
      <c r="AF4327" s="502"/>
      <c r="AH4327" s="898"/>
      <c r="AI4327" s="502"/>
      <c r="AJ4327" s="502"/>
      <c r="AL4327" s="434"/>
      <c r="AM4327" s="436"/>
      <c r="AN4327" s="434"/>
      <c r="AO4327" s="434"/>
      <c r="AP4327" s="556"/>
      <c r="AQ4327" s="556"/>
      <c r="AR4327" s="556"/>
      <c r="CF4327" s="2"/>
    </row>
    <row r="4328" spans="3:84">
      <c r="C4328" s="2"/>
      <c r="AD4328" s="502"/>
      <c r="AE4328" s="911"/>
      <c r="AF4328" s="502"/>
      <c r="AH4328" s="898"/>
      <c r="AI4328" s="502"/>
      <c r="AJ4328" s="502"/>
      <c r="AL4328" s="434"/>
      <c r="AM4328" s="436"/>
      <c r="AN4328" s="434"/>
      <c r="AO4328" s="434"/>
      <c r="AP4328" s="556"/>
      <c r="AQ4328" s="556"/>
      <c r="AR4328" s="556"/>
      <c r="CF4328" s="2"/>
    </row>
    <row r="4329" spans="3:84">
      <c r="C4329" s="2"/>
      <c r="AD4329" s="502"/>
      <c r="AE4329" s="911"/>
      <c r="AF4329" s="502"/>
      <c r="AH4329" s="898"/>
      <c r="AI4329" s="502"/>
      <c r="AJ4329" s="502"/>
      <c r="AL4329" s="434"/>
      <c r="AM4329" s="436"/>
      <c r="AN4329" s="434"/>
      <c r="AO4329" s="434"/>
      <c r="AP4329" s="556"/>
      <c r="AQ4329" s="556"/>
      <c r="AR4329" s="556"/>
      <c r="CF4329" s="2"/>
    </row>
    <row r="4330" spans="3:84">
      <c r="C4330" s="2"/>
      <c r="AD4330" s="502"/>
      <c r="AE4330" s="911"/>
      <c r="AF4330" s="502"/>
      <c r="AH4330" s="898"/>
      <c r="AI4330" s="502"/>
      <c r="AJ4330" s="502"/>
      <c r="AL4330" s="434"/>
      <c r="AM4330" s="436"/>
      <c r="AN4330" s="434"/>
      <c r="AO4330" s="434"/>
      <c r="AP4330" s="556"/>
      <c r="AQ4330" s="556"/>
      <c r="AR4330" s="556"/>
      <c r="CF4330" s="2"/>
    </row>
    <row r="4331" spans="3:84">
      <c r="C4331" s="2"/>
      <c r="AD4331" s="502"/>
      <c r="AE4331" s="911"/>
      <c r="AF4331" s="502"/>
      <c r="AH4331" s="898"/>
      <c r="AI4331" s="502"/>
      <c r="AJ4331" s="502"/>
      <c r="AL4331" s="434"/>
      <c r="AM4331" s="436"/>
      <c r="AN4331" s="434"/>
      <c r="AO4331" s="434"/>
      <c r="AP4331" s="556"/>
      <c r="AQ4331" s="556"/>
      <c r="AR4331" s="556"/>
      <c r="CF4331" s="2"/>
    </row>
    <row r="4332" spans="3:84">
      <c r="C4332" s="2"/>
      <c r="AD4332" s="502"/>
      <c r="AE4332" s="911"/>
      <c r="AF4332" s="502"/>
      <c r="AH4332" s="898"/>
      <c r="AI4332" s="502"/>
      <c r="AJ4332" s="502"/>
      <c r="AL4332" s="434"/>
      <c r="AM4332" s="436"/>
      <c r="AN4332" s="434"/>
      <c r="AO4332" s="434"/>
      <c r="AP4332" s="556"/>
      <c r="AQ4332" s="556"/>
      <c r="AR4332" s="556"/>
      <c r="CF4332" s="2"/>
    </row>
    <row r="4333" spans="3:84">
      <c r="C4333" s="2"/>
      <c r="AD4333" s="502"/>
      <c r="AE4333" s="911"/>
      <c r="AF4333" s="502"/>
      <c r="AH4333" s="898"/>
      <c r="AI4333" s="502"/>
      <c r="AJ4333" s="502"/>
      <c r="AL4333" s="434"/>
      <c r="AM4333" s="436"/>
      <c r="AN4333" s="434"/>
      <c r="AO4333" s="434"/>
      <c r="AP4333" s="556"/>
      <c r="AQ4333" s="556"/>
      <c r="AR4333" s="556"/>
      <c r="CF4333" s="2"/>
    </row>
    <row r="4334" spans="3:84">
      <c r="C4334" s="2"/>
      <c r="AD4334" s="502"/>
      <c r="AE4334" s="911"/>
      <c r="AF4334" s="502"/>
      <c r="AH4334" s="898"/>
      <c r="AI4334" s="502"/>
      <c r="AJ4334" s="502"/>
      <c r="AL4334" s="434"/>
      <c r="AM4334" s="436"/>
      <c r="AN4334" s="434"/>
      <c r="AO4334" s="434"/>
      <c r="AP4334" s="556"/>
      <c r="AQ4334" s="556"/>
      <c r="AR4334" s="556"/>
      <c r="CF4334" s="2"/>
    </row>
    <row r="4335" spans="3:84">
      <c r="C4335" s="2"/>
      <c r="AD4335" s="502"/>
      <c r="AE4335" s="911"/>
      <c r="AF4335" s="502"/>
      <c r="AH4335" s="898"/>
      <c r="AI4335" s="502"/>
      <c r="AJ4335" s="502"/>
      <c r="AL4335" s="434"/>
      <c r="AM4335" s="436"/>
      <c r="AN4335" s="434"/>
      <c r="AO4335" s="434"/>
      <c r="AP4335" s="556"/>
      <c r="AQ4335" s="556"/>
      <c r="AR4335" s="556"/>
      <c r="CF4335" s="2"/>
    </row>
    <row r="4336" spans="3:84">
      <c r="C4336" s="2"/>
      <c r="AD4336" s="502"/>
      <c r="AE4336" s="911"/>
      <c r="AF4336" s="502"/>
      <c r="AH4336" s="898"/>
      <c r="AI4336" s="502"/>
      <c r="AJ4336" s="502"/>
      <c r="AL4336" s="434"/>
      <c r="AM4336" s="436"/>
      <c r="AN4336" s="434"/>
      <c r="AO4336" s="434"/>
      <c r="AP4336" s="556"/>
      <c r="AQ4336" s="556"/>
      <c r="AR4336" s="556"/>
      <c r="CF4336" s="2"/>
    </row>
    <row r="4337" spans="3:84">
      <c r="C4337" s="2"/>
      <c r="AD4337" s="502"/>
      <c r="AE4337" s="911"/>
      <c r="AF4337" s="502"/>
      <c r="AH4337" s="898"/>
      <c r="AI4337" s="502"/>
      <c r="AJ4337" s="502"/>
      <c r="AL4337" s="434"/>
      <c r="AM4337" s="436"/>
      <c r="AN4337" s="434"/>
      <c r="AO4337" s="434"/>
      <c r="AP4337" s="556"/>
      <c r="AQ4337" s="556"/>
      <c r="AR4337" s="556"/>
      <c r="CF4337" s="2"/>
    </row>
    <row r="4338" spans="3:84">
      <c r="C4338" s="2"/>
      <c r="AD4338" s="502"/>
      <c r="AE4338" s="911"/>
      <c r="AF4338" s="502"/>
      <c r="AH4338" s="898"/>
      <c r="AI4338" s="502"/>
      <c r="AJ4338" s="502"/>
      <c r="AL4338" s="434"/>
      <c r="AM4338" s="436"/>
      <c r="AN4338" s="434"/>
      <c r="AO4338" s="434"/>
      <c r="AP4338" s="556"/>
      <c r="AQ4338" s="556"/>
      <c r="AR4338" s="556"/>
      <c r="CF4338" s="2"/>
    </row>
    <row r="4339" spans="3:84">
      <c r="C4339" s="2"/>
      <c r="AD4339" s="502"/>
      <c r="AE4339" s="911"/>
      <c r="AF4339" s="502"/>
      <c r="AH4339" s="898"/>
      <c r="AI4339" s="502"/>
      <c r="AJ4339" s="502"/>
      <c r="AL4339" s="434"/>
      <c r="AM4339" s="436"/>
      <c r="AN4339" s="434"/>
      <c r="AO4339" s="434"/>
      <c r="AP4339" s="556"/>
      <c r="AQ4339" s="556"/>
      <c r="AR4339" s="556"/>
      <c r="CF4339" s="2"/>
    </row>
    <row r="4340" spans="3:84">
      <c r="C4340" s="2"/>
      <c r="AD4340" s="502"/>
      <c r="AE4340" s="911"/>
      <c r="AF4340" s="502"/>
      <c r="AH4340" s="898"/>
      <c r="AI4340" s="502"/>
      <c r="AJ4340" s="502"/>
      <c r="AL4340" s="434"/>
      <c r="AM4340" s="436"/>
      <c r="AN4340" s="434"/>
      <c r="AO4340" s="434"/>
      <c r="AP4340" s="556"/>
      <c r="AQ4340" s="556"/>
      <c r="AR4340" s="556"/>
      <c r="CF4340" s="2"/>
    </row>
    <row r="4341" spans="3:84">
      <c r="C4341" s="2"/>
      <c r="AD4341" s="502"/>
      <c r="AE4341" s="911"/>
      <c r="AF4341" s="502"/>
      <c r="AH4341" s="898"/>
      <c r="AI4341" s="502"/>
      <c r="AJ4341" s="502"/>
      <c r="AL4341" s="434"/>
      <c r="AM4341" s="436"/>
      <c r="AN4341" s="434"/>
      <c r="AO4341" s="434"/>
      <c r="AP4341" s="556"/>
      <c r="AQ4341" s="556"/>
      <c r="AR4341" s="556"/>
      <c r="CF4341" s="2"/>
    </row>
    <row r="4342" spans="3:84">
      <c r="C4342" s="2"/>
      <c r="AD4342" s="502"/>
      <c r="AE4342" s="911"/>
      <c r="AF4342" s="502"/>
      <c r="AH4342" s="898"/>
      <c r="AI4342" s="502"/>
      <c r="AJ4342" s="502"/>
      <c r="AL4342" s="434"/>
      <c r="AM4342" s="436"/>
      <c r="AN4342" s="434"/>
      <c r="AO4342" s="434"/>
      <c r="AP4342" s="556"/>
      <c r="AQ4342" s="556"/>
      <c r="AR4342" s="556"/>
      <c r="CF4342" s="2"/>
    </row>
    <row r="4343" spans="3:84">
      <c r="C4343" s="2"/>
      <c r="AD4343" s="502"/>
      <c r="AE4343" s="911"/>
      <c r="AF4343" s="502"/>
      <c r="AH4343" s="898"/>
      <c r="AI4343" s="502"/>
      <c r="AJ4343" s="502"/>
      <c r="AL4343" s="434"/>
      <c r="AM4343" s="436"/>
      <c r="AN4343" s="434"/>
      <c r="AO4343" s="434"/>
      <c r="AP4343" s="556"/>
      <c r="AQ4343" s="556"/>
      <c r="AR4343" s="556"/>
      <c r="CF4343" s="2"/>
    </row>
    <row r="4344" spans="3:84">
      <c r="C4344" s="2"/>
      <c r="AD4344" s="502"/>
      <c r="AE4344" s="911"/>
      <c r="AF4344" s="502"/>
      <c r="AH4344" s="898"/>
      <c r="AI4344" s="502"/>
      <c r="AJ4344" s="502"/>
      <c r="AL4344" s="434"/>
      <c r="AM4344" s="436"/>
      <c r="AN4344" s="434"/>
      <c r="AO4344" s="434"/>
      <c r="AP4344" s="556"/>
      <c r="AQ4344" s="556"/>
      <c r="AR4344" s="556"/>
      <c r="CF4344" s="2"/>
    </row>
    <row r="4345" spans="3:84">
      <c r="C4345" s="2"/>
      <c r="AD4345" s="502"/>
      <c r="AE4345" s="911"/>
      <c r="AF4345" s="502"/>
      <c r="AH4345" s="898"/>
      <c r="AI4345" s="502"/>
      <c r="AJ4345" s="502"/>
      <c r="AL4345" s="434"/>
      <c r="AM4345" s="436"/>
      <c r="AN4345" s="434"/>
      <c r="AO4345" s="434"/>
      <c r="AP4345" s="556"/>
      <c r="AQ4345" s="556"/>
      <c r="AR4345" s="556"/>
      <c r="CF4345" s="2"/>
    </row>
    <row r="4346" spans="3:84">
      <c r="C4346" s="2"/>
      <c r="AD4346" s="502"/>
      <c r="AE4346" s="911"/>
      <c r="AF4346" s="502"/>
      <c r="AH4346" s="898"/>
      <c r="AI4346" s="502"/>
      <c r="AJ4346" s="502"/>
      <c r="AL4346" s="434"/>
      <c r="AM4346" s="436"/>
      <c r="AN4346" s="434"/>
      <c r="AO4346" s="434"/>
      <c r="AP4346" s="556"/>
      <c r="AQ4346" s="556"/>
      <c r="AR4346" s="556"/>
      <c r="CF4346" s="2"/>
    </row>
    <row r="4347" spans="3:84">
      <c r="C4347" s="2"/>
      <c r="AD4347" s="502"/>
      <c r="AE4347" s="911"/>
      <c r="AF4347" s="502"/>
      <c r="AH4347" s="898"/>
      <c r="AI4347" s="502"/>
      <c r="AJ4347" s="502"/>
      <c r="AL4347" s="434"/>
      <c r="AM4347" s="436"/>
      <c r="AN4347" s="434"/>
      <c r="AO4347" s="434"/>
      <c r="AP4347" s="556"/>
      <c r="AQ4347" s="556"/>
      <c r="AR4347" s="556"/>
      <c r="CF4347" s="2"/>
    </row>
    <row r="4348" spans="3:84">
      <c r="C4348" s="2"/>
      <c r="AD4348" s="502"/>
      <c r="AE4348" s="911"/>
      <c r="AF4348" s="502"/>
      <c r="AH4348" s="898"/>
      <c r="AI4348" s="502"/>
      <c r="AJ4348" s="502"/>
      <c r="AL4348" s="434"/>
      <c r="AM4348" s="436"/>
      <c r="AN4348" s="434"/>
      <c r="AO4348" s="434"/>
      <c r="AP4348" s="556"/>
      <c r="AQ4348" s="556"/>
      <c r="AR4348" s="556"/>
      <c r="CF4348" s="2"/>
    </row>
    <row r="4349" spans="3:84">
      <c r="C4349" s="2"/>
      <c r="AD4349" s="502"/>
      <c r="AE4349" s="911"/>
      <c r="AF4349" s="502"/>
      <c r="AH4349" s="898"/>
      <c r="AI4349" s="502"/>
      <c r="AJ4349" s="502"/>
      <c r="AL4349" s="434"/>
      <c r="AM4349" s="436"/>
      <c r="AN4349" s="434"/>
      <c r="AO4349" s="434"/>
      <c r="AP4349" s="556"/>
      <c r="AQ4349" s="556"/>
      <c r="AR4349" s="556"/>
      <c r="CF4349" s="2"/>
    </row>
    <row r="4350" spans="3:84">
      <c r="C4350" s="2"/>
      <c r="AD4350" s="502"/>
      <c r="AE4350" s="911"/>
      <c r="AF4350" s="502"/>
      <c r="AH4350" s="898"/>
      <c r="AI4350" s="502"/>
      <c r="AJ4350" s="502"/>
      <c r="AL4350" s="434"/>
      <c r="AM4350" s="436"/>
      <c r="AN4350" s="434"/>
      <c r="AO4350" s="434"/>
      <c r="AP4350" s="556"/>
      <c r="AQ4350" s="556"/>
      <c r="AR4350" s="556"/>
      <c r="CF4350" s="2"/>
    </row>
    <row r="4351" spans="3:84">
      <c r="C4351" s="2"/>
      <c r="AD4351" s="502"/>
      <c r="AE4351" s="911"/>
      <c r="AF4351" s="502"/>
      <c r="AH4351" s="898"/>
      <c r="AI4351" s="502"/>
      <c r="AJ4351" s="502"/>
      <c r="AL4351" s="434"/>
      <c r="AM4351" s="436"/>
      <c r="AN4351" s="434"/>
      <c r="AO4351" s="434"/>
      <c r="AP4351" s="556"/>
      <c r="AQ4351" s="556"/>
      <c r="AR4351" s="556"/>
      <c r="CF4351" s="2"/>
    </row>
    <row r="4352" spans="3:84">
      <c r="C4352" s="2"/>
      <c r="AD4352" s="502"/>
      <c r="AE4352" s="911"/>
      <c r="AF4352" s="502"/>
      <c r="AH4352" s="898"/>
      <c r="AI4352" s="502"/>
      <c r="AJ4352" s="502"/>
      <c r="AL4352" s="434"/>
      <c r="AM4352" s="436"/>
      <c r="AN4352" s="434"/>
      <c r="AO4352" s="434"/>
      <c r="AP4352" s="556"/>
      <c r="AQ4352" s="556"/>
      <c r="AR4352" s="556"/>
      <c r="CF4352" s="2"/>
    </row>
    <row r="4353" spans="3:84">
      <c r="C4353" s="2"/>
      <c r="AD4353" s="502"/>
      <c r="AE4353" s="911"/>
      <c r="AF4353" s="502"/>
      <c r="AH4353" s="898"/>
      <c r="AI4353" s="502"/>
      <c r="AJ4353" s="502"/>
      <c r="AL4353" s="434"/>
      <c r="AM4353" s="436"/>
      <c r="AN4353" s="434"/>
      <c r="AO4353" s="434"/>
      <c r="AP4353" s="556"/>
      <c r="AQ4353" s="556"/>
      <c r="AR4353" s="556"/>
      <c r="CF4353" s="2"/>
    </row>
    <row r="4354" spans="3:84">
      <c r="C4354" s="2"/>
      <c r="AD4354" s="502"/>
      <c r="AE4354" s="911"/>
      <c r="AF4354" s="502"/>
      <c r="AH4354" s="898"/>
      <c r="AI4354" s="502"/>
      <c r="AJ4354" s="502"/>
      <c r="AL4354" s="434"/>
      <c r="AM4354" s="436"/>
      <c r="AN4354" s="434"/>
      <c r="AO4354" s="434"/>
      <c r="AP4354" s="556"/>
      <c r="AQ4354" s="556"/>
      <c r="AR4354" s="556"/>
      <c r="CF4354" s="2"/>
    </row>
    <row r="4355" spans="3:84">
      <c r="C4355" s="2"/>
      <c r="AD4355" s="502"/>
      <c r="AE4355" s="911"/>
      <c r="AF4355" s="502"/>
      <c r="AH4355" s="898"/>
      <c r="AI4355" s="502"/>
      <c r="AJ4355" s="502"/>
      <c r="AL4355" s="434"/>
      <c r="AM4355" s="436"/>
      <c r="AN4355" s="434"/>
      <c r="AO4355" s="434"/>
      <c r="AP4355" s="556"/>
      <c r="AQ4355" s="556"/>
      <c r="AR4355" s="556"/>
      <c r="CF4355" s="2"/>
    </row>
    <row r="4356" spans="3:84">
      <c r="C4356" s="2"/>
      <c r="AD4356" s="502"/>
      <c r="AE4356" s="911"/>
      <c r="AF4356" s="502"/>
      <c r="AH4356" s="898"/>
      <c r="AI4356" s="502"/>
      <c r="AJ4356" s="502"/>
      <c r="AL4356" s="434"/>
      <c r="AM4356" s="436"/>
      <c r="AN4356" s="434"/>
      <c r="AO4356" s="434"/>
      <c r="AP4356" s="556"/>
      <c r="AQ4356" s="556"/>
      <c r="AR4356" s="556"/>
      <c r="CF4356" s="2"/>
    </row>
    <row r="4357" spans="3:84">
      <c r="C4357" s="2"/>
      <c r="AD4357" s="502"/>
      <c r="AE4357" s="911"/>
      <c r="AF4357" s="502"/>
      <c r="AH4357" s="898"/>
      <c r="AI4357" s="502"/>
      <c r="AJ4357" s="502"/>
      <c r="AL4357" s="434"/>
      <c r="AM4357" s="436"/>
      <c r="AN4357" s="434"/>
      <c r="AO4357" s="434"/>
      <c r="AP4357" s="556"/>
      <c r="AQ4357" s="556"/>
      <c r="AR4357" s="556"/>
      <c r="CF4357" s="2"/>
    </row>
    <row r="4358" spans="3:84">
      <c r="C4358" s="2"/>
      <c r="AD4358" s="502"/>
      <c r="AE4358" s="911"/>
      <c r="AF4358" s="502"/>
      <c r="AH4358" s="898"/>
      <c r="AI4358" s="502"/>
      <c r="AJ4358" s="502"/>
      <c r="AL4358" s="434"/>
      <c r="AM4358" s="436"/>
      <c r="AN4358" s="434"/>
      <c r="AO4358" s="434"/>
      <c r="AP4358" s="556"/>
      <c r="AQ4358" s="556"/>
      <c r="AR4358" s="556"/>
      <c r="CF4358" s="2"/>
    </row>
    <row r="4359" spans="3:84">
      <c r="C4359" s="2"/>
      <c r="AD4359" s="502"/>
      <c r="AE4359" s="911"/>
      <c r="AF4359" s="502"/>
      <c r="AH4359" s="898"/>
      <c r="AI4359" s="502"/>
      <c r="AJ4359" s="502"/>
      <c r="AL4359" s="434"/>
      <c r="AM4359" s="436"/>
      <c r="AN4359" s="434"/>
      <c r="AO4359" s="434"/>
      <c r="AP4359" s="556"/>
      <c r="AQ4359" s="556"/>
      <c r="AR4359" s="556"/>
      <c r="CF4359" s="2"/>
    </row>
    <row r="4360" spans="3:84">
      <c r="C4360" s="2"/>
      <c r="AD4360" s="502"/>
      <c r="AE4360" s="911"/>
      <c r="AF4360" s="502"/>
      <c r="AH4360" s="898"/>
      <c r="AI4360" s="502"/>
      <c r="AJ4360" s="502"/>
      <c r="AL4360" s="434"/>
      <c r="AM4360" s="436"/>
      <c r="AN4360" s="434"/>
      <c r="AO4360" s="434"/>
      <c r="AP4360" s="556"/>
      <c r="AQ4360" s="556"/>
      <c r="AR4360" s="556"/>
      <c r="CF4360" s="2"/>
    </row>
    <row r="4361" spans="3:84">
      <c r="C4361" s="2"/>
      <c r="AD4361" s="502"/>
      <c r="AE4361" s="911"/>
      <c r="AF4361" s="502"/>
      <c r="AH4361" s="898"/>
      <c r="AI4361" s="502"/>
      <c r="AJ4361" s="502"/>
      <c r="AL4361" s="434"/>
      <c r="AM4361" s="436"/>
      <c r="AN4361" s="434"/>
      <c r="AO4361" s="434"/>
      <c r="AP4361" s="556"/>
      <c r="AQ4361" s="556"/>
      <c r="AR4361" s="556"/>
      <c r="CF4361" s="2"/>
    </row>
    <row r="4362" spans="3:84">
      <c r="C4362" s="2"/>
      <c r="AD4362" s="502"/>
      <c r="AE4362" s="911"/>
      <c r="AF4362" s="502"/>
      <c r="AH4362" s="898"/>
      <c r="AI4362" s="502"/>
      <c r="AJ4362" s="502"/>
      <c r="AL4362" s="434"/>
      <c r="AM4362" s="436"/>
      <c r="AN4362" s="434"/>
      <c r="AO4362" s="434"/>
      <c r="AP4362" s="556"/>
      <c r="AQ4362" s="556"/>
      <c r="AR4362" s="556"/>
      <c r="CF4362" s="2"/>
    </row>
    <row r="4363" spans="3:84">
      <c r="C4363" s="2"/>
      <c r="AD4363" s="502"/>
      <c r="AE4363" s="911"/>
      <c r="AF4363" s="502"/>
      <c r="AH4363" s="898"/>
      <c r="AI4363" s="502"/>
      <c r="AJ4363" s="502"/>
      <c r="AL4363" s="434"/>
      <c r="AM4363" s="436"/>
      <c r="AN4363" s="434"/>
      <c r="AO4363" s="434"/>
      <c r="AP4363" s="556"/>
      <c r="AQ4363" s="556"/>
      <c r="AR4363" s="556"/>
      <c r="CF4363" s="2"/>
    </row>
    <row r="4364" spans="3:84">
      <c r="C4364" s="2"/>
      <c r="AD4364" s="502"/>
      <c r="AE4364" s="911"/>
      <c r="AF4364" s="502"/>
      <c r="AH4364" s="898"/>
      <c r="AI4364" s="502"/>
      <c r="AJ4364" s="502"/>
      <c r="AL4364" s="434"/>
      <c r="AM4364" s="436"/>
      <c r="AN4364" s="434"/>
      <c r="AO4364" s="434"/>
      <c r="AP4364" s="556"/>
      <c r="AQ4364" s="556"/>
      <c r="AR4364" s="556"/>
      <c r="CF4364" s="2"/>
    </row>
    <row r="4365" spans="3:84">
      <c r="C4365" s="2"/>
      <c r="AD4365" s="502"/>
      <c r="AE4365" s="911"/>
      <c r="AF4365" s="502"/>
      <c r="AH4365" s="898"/>
      <c r="AI4365" s="502"/>
      <c r="AJ4365" s="502"/>
      <c r="AL4365" s="434"/>
      <c r="AM4365" s="436"/>
      <c r="AN4365" s="434"/>
      <c r="AO4365" s="434"/>
      <c r="AP4365" s="556"/>
      <c r="AQ4365" s="556"/>
      <c r="AR4365" s="556"/>
      <c r="CF4365" s="2"/>
    </row>
    <row r="4366" spans="3:84">
      <c r="C4366" s="2"/>
      <c r="AD4366" s="502"/>
      <c r="AE4366" s="911"/>
      <c r="AF4366" s="502"/>
      <c r="AH4366" s="898"/>
      <c r="AI4366" s="502"/>
      <c r="AJ4366" s="502"/>
      <c r="AL4366" s="434"/>
      <c r="AM4366" s="436"/>
      <c r="AN4366" s="434"/>
      <c r="AO4366" s="434"/>
      <c r="AP4366" s="556"/>
      <c r="AQ4366" s="556"/>
      <c r="AR4366" s="556"/>
      <c r="CF4366" s="2"/>
    </row>
    <row r="4367" spans="3:84">
      <c r="C4367" s="2"/>
      <c r="AD4367" s="502"/>
      <c r="AE4367" s="911"/>
      <c r="AF4367" s="502"/>
      <c r="AH4367" s="898"/>
      <c r="AI4367" s="502"/>
      <c r="AJ4367" s="502"/>
      <c r="AL4367" s="434"/>
      <c r="AM4367" s="436"/>
      <c r="AN4367" s="434"/>
      <c r="AO4367" s="434"/>
      <c r="AP4367" s="556"/>
      <c r="AQ4367" s="556"/>
      <c r="AR4367" s="556"/>
      <c r="CF4367" s="2"/>
    </row>
    <row r="4368" spans="3:84">
      <c r="C4368" s="2"/>
      <c r="AD4368" s="502"/>
      <c r="AE4368" s="911"/>
      <c r="AF4368" s="502"/>
      <c r="AH4368" s="898"/>
      <c r="AI4368" s="502"/>
      <c r="AJ4368" s="502"/>
      <c r="AL4368" s="434"/>
      <c r="AM4368" s="436"/>
      <c r="AN4368" s="434"/>
      <c r="AO4368" s="434"/>
      <c r="AP4368" s="556"/>
      <c r="AQ4368" s="556"/>
      <c r="AR4368" s="556"/>
      <c r="CF4368" s="2"/>
    </row>
    <row r="4369" spans="3:84">
      <c r="C4369" s="2"/>
      <c r="AD4369" s="502"/>
      <c r="AE4369" s="911"/>
      <c r="AF4369" s="502"/>
      <c r="AH4369" s="898"/>
      <c r="AI4369" s="502"/>
      <c r="AJ4369" s="502"/>
      <c r="AL4369" s="434"/>
      <c r="AM4369" s="436"/>
      <c r="AN4369" s="434"/>
      <c r="AO4369" s="434"/>
      <c r="AP4369" s="556"/>
      <c r="AQ4369" s="556"/>
      <c r="AR4369" s="556"/>
      <c r="CF4369" s="2"/>
    </row>
    <row r="4370" spans="3:84">
      <c r="C4370" s="2"/>
      <c r="AD4370" s="502"/>
      <c r="AE4370" s="911"/>
      <c r="AF4370" s="502"/>
      <c r="AH4370" s="898"/>
      <c r="AI4370" s="502"/>
      <c r="AJ4370" s="502"/>
      <c r="AL4370" s="434"/>
      <c r="AM4370" s="436"/>
      <c r="AN4370" s="434"/>
      <c r="AO4370" s="434"/>
      <c r="AP4370" s="556"/>
      <c r="AQ4370" s="556"/>
      <c r="AR4370" s="556"/>
      <c r="CF4370" s="2"/>
    </row>
    <row r="4371" spans="3:84">
      <c r="C4371" s="2"/>
      <c r="AD4371" s="502"/>
      <c r="AE4371" s="911"/>
      <c r="AF4371" s="502"/>
      <c r="AH4371" s="898"/>
      <c r="AI4371" s="502"/>
      <c r="AJ4371" s="502"/>
      <c r="AL4371" s="434"/>
      <c r="AM4371" s="436"/>
      <c r="AN4371" s="434"/>
      <c r="AO4371" s="434"/>
      <c r="AP4371" s="556"/>
      <c r="AQ4371" s="556"/>
      <c r="AR4371" s="556"/>
      <c r="CF4371" s="2"/>
    </row>
    <row r="4372" spans="3:84">
      <c r="C4372" s="2"/>
      <c r="AD4372" s="502"/>
      <c r="AE4372" s="911"/>
      <c r="AF4372" s="502"/>
      <c r="AH4372" s="898"/>
      <c r="AI4372" s="502"/>
      <c r="AJ4372" s="502"/>
      <c r="AL4372" s="434"/>
      <c r="AM4372" s="436"/>
      <c r="AN4372" s="434"/>
      <c r="AO4372" s="434"/>
      <c r="AP4372" s="556"/>
      <c r="AQ4372" s="556"/>
      <c r="AR4372" s="556"/>
      <c r="CF4372" s="2"/>
    </row>
    <row r="4373" spans="3:84">
      <c r="C4373" s="2"/>
      <c r="AD4373" s="502"/>
      <c r="AE4373" s="911"/>
      <c r="AF4373" s="502"/>
      <c r="AH4373" s="898"/>
      <c r="AI4373" s="502"/>
      <c r="AJ4373" s="502"/>
      <c r="AL4373" s="434"/>
      <c r="AM4373" s="436"/>
      <c r="AN4373" s="434"/>
      <c r="AO4373" s="434"/>
      <c r="AP4373" s="556"/>
      <c r="AQ4373" s="556"/>
      <c r="AR4373" s="556"/>
      <c r="CF4373" s="2"/>
    </row>
    <row r="4374" spans="3:84">
      <c r="C4374" s="2"/>
      <c r="AD4374" s="502"/>
      <c r="AE4374" s="911"/>
      <c r="AF4374" s="502"/>
      <c r="AH4374" s="898"/>
      <c r="AI4374" s="502"/>
      <c r="AJ4374" s="502"/>
      <c r="AL4374" s="434"/>
      <c r="AM4374" s="436"/>
      <c r="AN4374" s="434"/>
      <c r="AO4374" s="434"/>
      <c r="AP4374" s="556"/>
      <c r="AQ4374" s="556"/>
      <c r="AR4374" s="556"/>
      <c r="CF4374" s="2"/>
    </row>
    <row r="4375" spans="3:84">
      <c r="C4375" s="2"/>
      <c r="AD4375" s="502"/>
      <c r="AE4375" s="911"/>
      <c r="AF4375" s="502"/>
      <c r="AH4375" s="898"/>
      <c r="AI4375" s="502"/>
      <c r="AJ4375" s="502"/>
      <c r="AL4375" s="434"/>
      <c r="AM4375" s="436"/>
      <c r="AN4375" s="434"/>
      <c r="AO4375" s="434"/>
      <c r="AP4375" s="556"/>
      <c r="AQ4375" s="556"/>
      <c r="AR4375" s="556"/>
      <c r="CF4375" s="2"/>
    </row>
    <row r="4376" spans="3:84">
      <c r="C4376" s="2"/>
      <c r="AD4376" s="502"/>
      <c r="AE4376" s="911"/>
      <c r="AF4376" s="502"/>
      <c r="AH4376" s="898"/>
      <c r="AI4376" s="502"/>
      <c r="AJ4376" s="502"/>
      <c r="AL4376" s="434"/>
      <c r="AM4376" s="436"/>
      <c r="AN4376" s="434"/>
      <c r="AO4376" s="434"/>
      <c r="AP4376" s="556"/>
      <c r="AQ4376" s="556"/>
      <c r="AR4376" s="556"/>
      <c r="CF4376" s="2"/>
    </row>
    <row r="4377" spans="3:84">
      <c r="C4377" s="2"/>
      <c r="AD4377" s="502"/>
      <c r="AE4377" s="911"/>
      <c r="AF4377" s="502"/>
      <c r="AH4377" s="898"/>
      <c r="AI4377" s="502"/>
      <c r="AJ4377" s="502"/>
      <c r="AL4377" s="434"/>
      <c r="AM4377" s="436"/>
      <c r="AN4377" s="434"/>
      <c r="AO4377" s="434"/>
      <c r="AP4377" s="556"/>
      <c r="AQ4377" s="556"/>
      <c r="AR4377" s="556"/>
      <c r="CF4377" s="2"/>
    </row>
    <row r="4378" spans="3:84">
      <c r="C4378" s="2"/>
      <c r="AD4378" s="502"/>
      <c r="AE4378" s="911"/>
      <c r="AF4378" s="502"/>
      <c r="AH4378" s="898"/>
      <c r="AI4378" s="502"/>
      <c r="AJ4378" s="502"/>
      <c r="AL4378" s="434"/>
      <c r="AM4378" s="436"/>
      <c r="AN4378" s="434"/>
      <c r="AO4378" s="434"/>
      <c r="AP4378" s="556"/>
      <c r="AQ4378" s="556"/>
      <c r="AR4378" s="556"/>
      <c r="CF4378" s="2"/>
    </row>
    <row r="4379" spans="3:84">
      <c r="C4379" s="2"/>
      <c r="AD4379" s="502"/>
      <c r="AE4379" s="911"/>
      <c r="AF4379" s="502"/>
      <c r="AH4379" s="898"/>
      <c r="AI4379" s="502"/>
      <c r="AJ4379" s="502"/>
      <c r="AL4379" s="434"/>
      <c r="AM4379" s="436"/>
      <c r="AN4379" s="434"/>
      <c r="AO4379" s="434"/>
      <c r="AP4379" s="556"/>
      <c r="AQ4379" s="556"/>
      <c r="AR4379" s="556"/>
      <c r="CF4379" s="2"/>
    </row>
    <row r="4380" spans="3:84">
      <c r="C4380" s="2"/>
      <c r="AD4380" s="502"/>
      <c r="AE4380" s="911"/>
      <c r="AF4380" s="502"/>
      <c r="AH4380" s="898"/>
      <c r="AI4380" s="502"/>
      <c r="AJ4380" s="502"/>
      <c r="AL4380" s="434"/>
      <c r="AM4380" s="436"/>
      <c r="AN4380" s="434"/>
      <c r="AO4380" s="434"/>
      <c r="AP4380" s="556"/>
      <c r="AQ4380" s="556"/>
      <c r="AR4380" s="556"/>
      <c r="CF4380" s="2"/>
    </row>
    <row r="4381" spans="3:84">
      <c r="C4381" s="2"/>
      <c r="AD4381" s="502"/>
      <c r="AE4381" s="911"/>
      <c r="AF4381" s="502"/>
      <c r="AH4381" s="898"/>
      <c r="AI4381" s="502"/>
      <c r="AJ4381" s="502"/>
      <c r="AL4381" s="434"/>
      <c r="AM4381" s="436"/>
      <c r="AN4381" s="434"/>
      <c r="AO4381" s="434"/>
      <c r="AP4381" s="556"/>
      <c r="AQ4381" s="556"/>
      <c r="AR4381" s="556"/>
      <c r="CF4381" s="2"/>
    </row>
    <row r="4382" spans="3:84">
      <c r="C4382" s="2"/>
      <c r="AD4382" s="502"/>
      <c r="AE4382" s="911"/>
      <c r="AF4382" s="502"/>
      <c r="AH4382" s="898"/>
      <c r="AI4382" s="502"/>
      <c r="AJ4382" s="502"/>
      <c r="AL4382" s="434"/>
      <c r="AM4382" s="436"/>
      <c r="AN4382" s="434"/>
      <c r="AO4382" s="434"/>
      <c r="AP4382" s="556"/>
      <c r="AQ4382" s="556"/>
      <c r="AR4382" s="556"/>
      <c r="CF4382" s="2"/>
    </row>
    <row r="4383" spans="3:84">
      <c r="C4383" s="2"/>
      <c r="AD4383" s="502"/>
      <c r="AE4383" s="911"/>
      <c r="AF4383" s="502"/>
      <c r="AH4383" s="898"/>
      <c r="AI4383" s="502"/>
      <c r="AJ4383" s="502"/>
      <c r="AL4383" s="434"/>
      <c r="AM4383" s="436"/>
      <c r="AN4383" s="434"/>
      <c r="AO4383" s="434"/>
      <c r="AP4383" s="556"/>
      <c r="AQ4383" s="556"/>
      <c r="AR4383" s="556"/>
      <c r="CF4383" s="2"/>
    </row>
    <row r="4384" spans="3:84">
      <c r="C4384" s="2"/>
      <c r="AD4384" s="502"/>
      <c r="AE4384" s="911"/>
      <c r="AF4384" s="502"/>
      <c r="AH4384" s="898"/>
      <c r="AI4384" s="502"/>
      <c r="AJ4384" s="502"/>
      <c r="AL4384" s="434"/>
      <c r="AM4384" s="436"/>
      <c r="AN4384" s="434"/>
      <c r="AO4384" s="434"/>
      <c r="AP4384" s="556"/>
      <c r="AQ4384" s="556"/>
      <c r="AR4384" s="556"/>
      <c r="CF4384" s="2"/>
    </row>
    <row r="4385" spans="3:84">
      <c r="C4385" s="2"/>
      <c r="AD4385" s="502"/>
      <c r="AE4385" s="911"/>
      <c r="AF4385" s="502"/>
      <c r="AH4385" s="898"/>
      <c r="AI4385" s="502"/>
      <c r="AJ4385" s="502"/>
      <c r="AL4385" s="434"/>
      <c r="AM4385" s="436"/>
      <c r="AN4385" s="434"/>
      <c r="AO4385" s="434"/>
      <c r="AP4385" s="556"/>
      <c r="AQ4385" s="556"/>
      <c r="AR4385" s="556"/>
      <c r="CF4385" s="2"/>
    </row>
    <row r="4386" spans="3:84">
      <c r="C4386" s="2"/>
      <c r="AD4386" s="502"/>
      <c r="AE4386" s="911"/>
      <c r="AF4386" s="502"/>
      <c r="AH4386" s="898"/>
      <c r="AI4386" s="502"/>
      <c r="AJ4386" s="502"/>
      <c r="AL4386" s="434"/>
      <c r="AM4386" s="436"/>
      <c r="AN4386" s="434"/>
      <c r="AO4386" s="434"/>
      <c r="AP4386" s="556"/>
      <c r="AQ4386" s="556"/>
      <c r="AR4386" s="556"/>
      <c r="CF4386" s="2"/>
    </row>
    <row r="4387" spans="3:84">
      <c r="C4387" s="2"/>
      <c r="AD4387" s="502"/>
      <c r="AE4387" s="911"/>
      <c r="AF4387" s="502"/>
      <c r="AH4387" s="898"/>
      <c r="AI4387" s="502"/>
      <c r="AJ4387" s="502"/>
      <c r="AL4387" s="434"/>
      <c r="AM4387" s="436"/>
      <c r="AN4387" s="434"/>
      <c r="AO4387" s="434"/>
      <c r="AP4387" s="556"/>
      <c r="AQ4387" s="556"/>
      <c r="AR4387" s="556"/>
      <c r="CF4387" s="2"/>
    </row>
    <row r="4388" spans="3:84">
      <c r="C4388" s="2"/>
      <c r="AD4388" s="502"/>
      <c r="AE4388" s="911"/>
      <c r="AF4388" s="502"/>
      <c r="AH4388" s="898"/>
      <c r="AI4388" s="502"/>
      <c r="AJ4388" s="502"/>
      <c r="AL4388" s="434"/>
      <c r="AM4388" s="436"/>
      <c r="AN4388" s="434"/>
      <c r="AO4388" s="434"/>
      <c r="AP4388" s="556"/>
      <c r="AQ4388" s="556"/>
      <c r="AR4388" s="556"/>
      <c r="CF4388" s="2"/>
    </row>
    <row r="4389" spans="3:84">
      <c r="C4389" s="2"/>
      <c r="AD4389" s="502"/>
      <c r="AE4389" s="911"/>
      <c r="AF4389" s="502"/>
      <c r="AH4389" s="898"/>
      <c r="AI4389" s="502"/>
      <c r="AJ4389" s="502"/>
      <c r="AL4389" s="434"/>
      <c r="AM4389" s="436"/>
      <c r="AN4389" s="434"/>
      <c r="AO4389" s="434"/>
      <c r="AP4389" s="556"/>
      <c r="AQ4389" s="556"/>
      <c r="AR4389" s="556"/>
      <c r="CF4389" s="2"/>
    </row>
    <row r="4390" spans="3:84">
      <c r="C4390" s="2"/>
      <c r="AD4390" s="502"/>
      <c r="AE4390" s="911"/>
      <c r="AF4390" s="502"/>
      <c r="AH4390" s="898"/>
      <c r="AI4390" s="502"/>
      <c r="AJ4390" s="502"/>
      <c r="AL4390" s="434"/>
      <c r="AM4390" s="436"/>
      <c r="AN4390" s="434"/>
      <c r="AO4390" s="434"/>
      <c r="AP4390" s="556"/>
      <c r="AQ4390" s="556"/>
      <c r="AR4390" s="556"/>
      <c r="CF4390" s="2"/>
    </row>
    <row r="4391" spans="3:84">
      <c r="C4391" s="2"/>
      <c r="AD4391" s="502"/>
      <c r="AE4391" s="911"/>
      <c r="AF4391" s="502"/>
      <c r="AH4391" s="898"/>
      <c r="AI4391" s="502"/>
      <c r="AJ4391" s="502"/>
      <c r="AL4391" s="434"/>
      <c r="AM4391" s="436"/>
      <c r="AN4391" s="434"/>
      <c r="AO4391" s="434"/>
      <c r="AP4391" s="556"/>
      <c r="AQ4391" s="556"/>
      <c r="AR4391" s="556"/>
      <c r="CF4391" s="2"/>
    </row>
    <row r="4392" spans="3:84">
      <c r="C4392" s="2"/>
      <c r="AD4392" s="502"/>
      <c r="AE4392" s="911"/>
      <c r="AF4392" s="502"/>
      <c r="AH4392" s="898"/>
      <c r="AI4392" s="502"/>
      <c r="AJ4392" s="502"/>
      <c r="AL4392" s="434"/>
      <c r="AM4392" s="436"/>
      <c r="AN4392" s="434"/>
      <c r="AO4392" s="434"/>
      <c r="AP4392" s="556"/>
      <c r="AQ4392" s="556"/>
      <c r="AR4392" s="556"/>
      <c r="CF4392" s="2"/>
    </row>
    <row r="4393" spans="3:84">
      <c r="C4393" s="2"/>
      <c r="AD4393" s="502"/>
      <c r="AE4393" s="911"/>
      <c r="AF4393" s="502"/>
      <c r="AH4393" s="898"/>
      <c r="AI4393" s="502"/>
      <c r="AJ4393" s="502"/>
      <c r="AL4393" s="434"/>
      <c r="AM4393" s="436"/>
      <c r="AN4393" s="434"/>
      <c r="AO4393" s="434"/>
      <c r="AP4393" s="556"/>
      <c r="AQ4393" s="556"/>
      <c r="AR4393" s="556"/>
      <c r="CF4393" s="2"/>
    </row>
    <row r="4394" spans="3:84">
      <c r="C4394" s="2"/>
      <c r="AD4394" s="502"/>
      <c r="AE4394" s="911"/>
      <c r="AF4394" s="502"/>
      <c r="AH4394" s="898"/>
      <c r="AI4394" s="502"/>
      <c r="AJ4394" s="502"/>
      <c r="AL4394" s="434"/>
      <c r="AM4394" s="436"/>
      <c r="AN4394" s="434"/>
      <c r="AO4394" s="434"/>
      <c r="AP4394" s="556"/>
      <c r="AQ4394" s="556"/>
      <c r="AR4394" s="556"/>
      <c r="CF4394" s="2"/>
    </row>
    <row r="4395" spans="3:84">
      <c r="C4395" s="2"/>
      <c r="AD4395" s="502"/>
      <c r="AE4395" s="911"/>
      <c r="AF4395" s="502"/>
      <c r="AH4395" s="898"/>
      <c r="AI4395" s="502"/>
      <c r="AJ4395" s="502"/>
      <c r="AL4395" s="434"/>
      <c r="AM4395" s="436"/>
      <c r="AN4395" s="434"/>
      <c r="AO4395" s="434"/>
      <c r="AP4395" s="556"/>
      <c r="AQ4395" s="556"/>
      <c r="AR4395" s="556"/>
      <c r="CF4395" s="2"/>
    </row>
    <row r="4396" spans="3:84">
      <c r="C4396" s="2"/>
      <c r="AD4396" s="502"/>
      <c r="AE4396" s="911"/>
      <c r="AF4396" s="502"/>
      <c r="AH4396" s="898"/>
      <c r="AI4396" s="502"/>
      <c r="AJ4396" s="502"/>
      <c r="AL4396" s="434"/>
      <c r="AM4396" s="436"/>
      <c r="AN4396" s="434"/>
      <c r="AO4396" s="434"/>
      <c r="AP4396" s="556"/>
      <c r="AQ4396" s="556"/>
      <c r="AR4396" s="556"/>
      <c r="CF4396" s="2"/>
    </row>
    <row r="4397" spans="3:84">
      <c r="C4397" s="2"/>
      <c r="AD4397" s="502"/>
      <c r="AE4397" s="911"/>
      <c r="AF4397" s="502"/>
      <c r="AH4397" s="898"/>
      <c r="AI4397" s="502"/>
      <c r="AJ4397" s="502"/>
      <c r="AL4397" s="434"/>
      <c r="AM4397" s="436"/>
      <c r="AN4397" s="434"/>
      <c r="AO4397" s="434"/>
      <c r="AP4397" s="556"/>
      <c r="AQ4397" s="556"/>
      <c r="AR4397" s="556"/>
      <c r="CF4397" s="2"/>
    </row>
    <row r="4398" spans="3:84">
      <c r="C4398" s="2"/>
      <c r="AD4398" s="502"/>
      <c r="AE4398" s="911"/>
      <c r="AF4398" s="502"/>
      <c r="AH4398" s="898"/>
      <c r="AI4398" s="502"/>
      <c r="AJ4398" s="502"/>
      <c r="AL4398" s="434"/>
      <c r="AM4398" s="436"/>
      <c r="AN4398" s="434"/>
      <c r="AO4398" s="434"/>
      <c r="AP4398" s="556"/>
      <c r="AQ4398" s="556"/>
      <c r="AR4398" s="556"/>
      <c r="CF4398" s="2"/>
    </row>
    <row r="4399" spans="3:84">
      <c r="C4399" s="2"/>
      <c r="AD4399" s="502"/>
      <c r="AE4399" s="911"/>
      <c r="AF4399" s="502"/>
      <c r="AH4399" s="898"/>
      <c r="AI4399" s="502"/>
      <c r="AJ4399" s="502"/>
      <c r="AL4399" s="434"/>
      <c r="AM4399" s="436"/>
      <c r="AN4399" s="434"/>
      <c r="AO4399" s="434"/>
      <c r="AP4399" s="556"/>
      <c r="AQ4399" s="556"/>
      <c r="AR4399" s="556"/>
      <c r="CF4399" s="2"/>
    </row>
    <row r="4400" spans="3:84">
      <c r="C4400" s="2"/>
      <c r="AD4400" s="502"/>
      <c r="AE4400" s="911"/>
      <c r="AF4400" s="502"/>
      <c r="AH4400" s="898"/>
      <c r="AI4400" s="502"/>
      <c r="AJ4400" s="502"/>
      <c r="AL4400" s="434"/>
      <c r="AM4400" s="436"/>
      <c r="AN4400" s="434"/>
      <c r="AO4400" s="434"/>
      <c r="AP4400" s="556"/>
      <c r="AQ4400" s="556"/>
      <c r="AR4400" s="556"/>
      <c r="CF4400" s="2"/>
    </row>
    <row r="4401" spans="3:84">
      <c r="C4401" s="2"/>
      <c r="AD4401" s="502"/>
      <c r="AE4401" s="911"/>
      <c r="AF4401" s="502"/>
      <c r="AH4401" s="898"/>
      <c r="AI4401" s="502"/>
      <c r="AJ4401" s="502"/>
      <c r="AL4401" s="434"/>
      <c r="AM4401" s="436"/>
      <c r="AN4401" s="434"/>
      <c r="AO4401" s="434"/>
      <c r="AP4401" s="556"/>
      <c r="AQ4401" s="556"/>
      <c r="AR4401" s="556"/>
      <c r="CF4401" s="2"/>
    </row>
    <row r="4402" spans="3:84">
      <c r="C4402" s="2"/>
      <c r="AD4402" s="502"/>
      <c r="AE4402" s="911"/>
      <c r="AF4402" s="502"/>
      <c r="AH4402" s="898"/>
      <c r="AI4402" s="502"/>
      <c r="AJ4402" s="502"/>
      <c r="AL4402" s="434"/>
      <c r="AM4402" s="436"/>
      <c r="AN4402" s="434"/>
      <c r="AO4402" s="434"/>
      <c r="AP4402" s="556"/>
      <c r="AQ4402" s="556"/>
      <c r="AR4402" s="556"/>
      <c r="CF4402" s="2"/>
    </row>
    <row r="4403" spans="3:84">
      <c r="C4403" s="2"/>
      <c r="AD4403" s="502"/>
      <c r="AE4403" s="911"/>
      <c r="AF4403" s="502"/>
      <c r="AH4403" s="898"/>
      <c r="AI4403" s="502"/>
      <c r="AJ4403" s="502"/>
      <c r="AL4403" s="434"/>
      <c r="AM4403" s="436"/>
      <c r="AN4403" s="434"/>
      <c r="AO4403" s="434"/>
      <c r="AP4403" s="556"/>
      <c r="AQ4403" s="556"/>
      <c r="AR4403" s="556"/>
      <c r="CF4403" s="2"/>
    </row>
    <row r="4404" spans="3:84">
      <c r="C4404" s="2"/>
      <c r="AD4404" s="502"/>
      <c r="AE4404" s="911"/>
      <c r="AF4404" s="502"/>
      <c r="AH4404" s="898"/>
      <c r="AI4404" s="502"/>
      <c r="AJ4404" s="502"/>
      <c r="AL4404" s="434"/>
      <c r="AM4404" s="436"/>
      <c r="AN4404" s="434"/>
      <c r="AO4404" s="434"/>
      <c r="AP4404" s="556"/>
      <c r="AQ4404" s="556"/>
      <c r="AR4404" s="556"/>
      <c r="CF4404" s="2"/>
    </row>
    <row r="4405" spans="3:84">
      <c r="C4405" s="2"/>
      <c r="AD4405" s="502"/>
      <c r="AE4405" s="911"/>
      <c r="AF4405" s="502"/>
      <c r="AH4405" s="898"/>
      <c r="AI4405" s="502"/>
      <c r="AJ4405" s="502"/>
      <c r="AL4405" s="434"/>
      <c r="AM4405" s="436"/>
      <c r="AN4405" s="434"/>
      <c r="AO4405" s="434"/>
      <c r="AP4405" s="556"/>
      <c r="AQ4405" s="556"/>
      <c r="AR4405" s="556"/>
      <c r="CF4405" s="2"/>
    </row>
    <row r="4406" spans="3:84">
      <c r="C4406" s="2"/>
      <c r="AD4406" s="502"/>
      <c r="AE4406" s="911"/>
      <c r="AF4406" s="502"/>
      <c r="AH4406" s="898"/>
      <c r="AI4406" s="502"/>
      <c r="AJ4406" s="502"/>
      <c r="AL4406" s="434"/>
      <c r="AM4406" s="436"/>
      <c r="AN4406" s="434"/>
      <c r="AO4406" s="434"/>
      <c r="AP4406" s="556"/>
      <c r="AQ4406" s="556"/>
      <c r="AR4406" s="556"/>
      <c r="CF4406" s="2"/>
    </row>
    <row r="4407" spans="3:84">
      <c r="C4407" s="2"/>
      <c r="AD4407" s="502"/>
      <c r="AE4407" s="911"/>
      <c r="AF4407" s="502"/>
      <c r="AH4407" s="898"/>
      <c r="AI4407" s="502"/>
      <c r="AJ4407" s="502"/>
      <c r="AL4407" s="434"/>
      <c r="AM4407" s="436"/>
      <c r="AN4407" s="434"/>
      <c r="AO4407" s="434"/>
      <c r="AP4407" s="556"/>
      <c r="AQ4407" s="556"/>
      <c r="AR4407" s="556"/>
      <c r="CF4407" s="2"/>
    </row>
    <row r="4408" spans="3:84">
      <c r="C4408" s="2"/>
      <c r="AD4408" s="502"/>
      <c r="AE4408" s="911"/>
      <c r="AF4408" s="502"/>
      <c r="AH4408" s="898"/>
      <c r="AI4408" s="502"/>
      <c r="AJ4408" s="502"/>
      <c r="AL4408" s="434"/>
      <c r="AM4408" s="436"/>
      <c r="AN4408" s="434"/>
      <c r="AO4408" s="434"/>
      <c r="AP4408" s="556"/>
      <c r="AQ4408" s="556"/>
      <c r="AR4408" s="556"/>
      <c r="CF4408" s="2"/>
    </row>
    <row r="4409" spans="3:84">
      <c r="C4409" s="2"/>
      <c r="AD4409" s="502"/>
      <c r="AE4409" s="911"/>
      <c r="AF4409" s="502"/>
      <c r="AH4409" s="898"/>
      <c r="AI4409" s="502"/>
      <c r="AJ4409" s="502"/>
      <c r="AL4409" s="434"/>
      <c r="AM4409" s="436"/>
      <c r="AN4409" s="434"/>
      <c r="AO4409" s="434"/>
      <c r="AP4409" s="556"/>
      <c r="AQ4409" s="556"/>
      <c r="AR4409" s="556"/>
      <c r="CF4409" s="2"/>
    </row>
    <row r="4410" spans="3:84">
      <c r="C4410" s="2"/>
      <c r="AD4410" s="502"/>
      <c r="AE4410" s="911"/>
      <c r="AF4410" s="502"/>
      <c r="AH4410" s="898"/>
      <c r="AI4410" s="502"/>
      <c r="AJ4410" s="502"/>
      <c r="AL4410" s="434"/>
      <c r="AM4410" s="436"/>
      <c r="AN4410" s="434"/>
      <c r="AO4410" s="434"/>
      <c r="AP4410" s="556"/>
      <c r="AQ4410" s="556"/>
      <c r="AR4410" s="556"/>
      <c r="CF4410" s="2"/>
    </row>
    <row r="4411" spans="3:84">
      <c r="C4411" s="2"/>
      <c r="AD4411" s="502"/>
      <c r="AE4411" s="911"/>
      <c r="AF4411" s="502"/>
      <c r="AH4411" s="898"/>
      <c r="AI4411" s="502"/>
      <c r="AJ4411" s="502"/>
      <c r="AL4411" s="434"/>
      <c r="AM4411" s="436"/>
      <c r="AN4411" s="434"/>
      <c r="AO4411" s="434"/>
      <c r="AP4411" s="556"/>
      <c r="AQ4411" s="556"/>
      <c r="AR4411" s="556"/>
      <c r="CF4411" s="2"/>
    </row>
    <row r="4412" spans="3:84">
      <c r="C4412" s="2"/>
      <c r="AD4412" s="502"/>
      <c r="AE4412" s="911"/>
      <c r="AF4412" s="502"/>
      <c r="AH4412" s="898"/>
      <c r="AI4412" s="502"/>
      <c r="AJ4412" s="502"/>
      <c r="AL4412" s="434"/>
      <c r="AM4412" s="436"/>
      <c r="AN4412" s="434"/>
      <c r="AO4412" s="434"/>
      <c r="AP4412" s="556"/>
      <c r="AQ4412" s="556"/>
      <c r="AR4412" s="556"/>
      <c r="CF4412" s="2"/>
    </row>
    <row r="4413" spans="3:84">
      <c r="C4413" s="2"/>
      <c r="AD4413" s="502"/>
      <c r="AE4413" s="911"/>
      <c r="AF4413" s="502"/>
      <c r="AH4413" s="898"/>
      <c r="AI4413" s="502"/>
      <c r="AJ4413" s="502"/>
      <c r="AL4413" s="434"/>
      <c r="AM4413" s="436"/>
      <c r="AN4413" s="434"/>
      <c r="AO4413" s="434"/>
      <c r="AP4413" s="556"/>
      <c r="AQ4413" s="556"/>
      <c r="AR4413" s="556"/>
      <c r="CF4413" s="2"/>
    </row>
    <row r="4414" spans="3:84">
      <c r="C4414" s="2"/>
      <c r="AD4414" s="502"/>
      <c r="AE4414" s="911"/>
      <c r="AF4414" s="502"/>
      <c r="AH4414" s="898"/>
      <c r="AI4414" s="502"/>
      <c r="AJ4414" s="502"/>
      <c r="AL4414" s="434"/>
      <c r="AM4414" s="436"/>
      <c r="AN4414" s="434"/>
      <c r="AO4414" s="434"/>
      <c r="AP4414" s="556"/>
      <c r="AQ4414" s="556"/>
      <c r="AR4414" s="556"/>
      <c r="CF4414" s="2"/>
    </row>
    <row r="4415" spans="3:84">
      <c r="C4415" s="2"/>
      <c r="AD4415" s="502"/>
      <c r="AE4415" s="911"/>
      <c r="AF4415" s="502"/>
      <c r="AH4415" s="898"/>
      <c r="AI4415" s="502"/>
      <c r="AJ4415" s="502"/>
      <c r="AL4415" s="434"/>
      <c r="AM4415" s="436"/>
      <c r="AN4415" s="434"/>
      <c r="AO4415" s="434"/>
      <c r="AP4415" s="556"/>
      <c r="AQ4415" s="556"/>
      <c r="AR4415" s="556"/>
      <c r="CF4415" s="2"/>
    </row>
    <row r="4416" spans="3:84">
      <c r="C4416" s="2"/>
      <c r="AD4416" s="502"/>
      <c r="AE4416" s="911"/>
      <c r="AF4416" s="502"/>
      <c r="AH4416" s="898"/>
      <c r="AI4416" s="502"/>
      <c r="AJ4416" s="502"/>
      <c r="AL4416" s="434"/>
      <c r="AM4416" s="436"/>
      <c r="AN4416" s="434"/>
      <c r="AO4416" s="434"/>
      <c r="AP4416" s="556"/>
      <c r="AQ4416" s="556"/>
      <c r="AR4416" s="556"/>
      <c r="CF4416" s="2"/>
    </row>
    <row r="4417" spans="3:84">
      <c r="C4417" s="2"/>
      <c r="AD4417" s="502"/>
      <c r="AE4417" s="911"/>
      <c r="AF4417" s="502"/>
      <c r="AH4417" s="898"/>
      <c r="AI4417" s="502"/>
      <c r="AJ4417" s="502"/>
      <c r="AL4417" s="434"/>
      <c r="AM4417" s="436"/>
      <c r="AN4417" s="434"/>
      <c r="AO4417" s="434"/>
      <c r="AP4417" s="556"/>
      <c r="AQ4417" s="556"/>
      <c r="AR4417" s="556"/>
      <c r="CF4417" s="2"/>
    </row>
    <row r="4418" spans="3:84">
      <c r="C4418" s="2"/>
      <c r="AD4418" s="502"/>
      <c r="AE4418" s="911"/>
      <c r="AF4418" s="502"/>
      <c r="AH4418" s="898"/>
      <c r="AI4418" s="502"/>
      <c r="AJ4418" s="502"/>
      <c r="AL4418" s="434"/>
      <c r="AM4418" s="436"/>
      <c r="AN4418" s="434"/>
      <c r="AO4418" s="434"/>
      <c r="AP4418" s="556"/>
      <c r="AQ4418" s="556"/>
      <c r="AR4418" s="556"/>
      <c r="CF4418" s="2"/>
    </row>
    <row r="4419" spans="3:84">
      <c r="C4419" s="2"/>
      <c r="AD4419" s="502"/>
      <c r="AE4419" s="911"/>
      <c r="AF4419" s="502"/>
      <c r="AH4419" s="898"/>
      <c r="AI4419" s="502"/>
      <c r="AJ4419" s="502"/>
      <c r="AL4419" s="434"/>
      <c r="AM4419" s="436"/>
      <c r="AN4419" s="434"/>
      <c r="AO4419" s="434"/>
      <c r="AP4419" s="556"/>
      <c r="AQ4419" s="556"/>
      <c r="AR4419" s="556"/>
      <c r="CF4419" s="2"/>
    </row>
    <row r="4420" spans="3:84">
      <c r="C4420" s="2"/>
      <c r="AD4420" s="502"/>
      <c r="AE4420" s="911"/>
      <c r="AF4420" s="502"/>
      <c r="AH4420" s="898"/>
      <c r="AI4420" s="502"/>
      <c r="AJ4420" s="502"/>
      <c r="AL4420" s="434"/>
      <c r="AM4420" s="436"/>
      <c r="AN4420" s="434"/>
      <c r="AO4420" s="434"/>
      <c r="AP4420" s="556"/>
      <c r="AQ4420" s="556"/>
      <c r="AR4420" s="556"/>
      <c r="CF4420" s="2"/>
    </row>
    <row r="4421" spans="3:84">
      <c r="C4421" s="2"/>
      <c r="AD4421" s="502"/>
      <c r="AE4421" s="911"/>
      <c r="AF4421" s="502"/>
      <c r="AH4421" s="898"/>
      <c r="AI4421" s="502"/>
      <c r="AJ4421" s="502"/>
      <c r="AL4421" s="434"/>
      <c r="AM4421" s="436"/>
      <c r="AN4421" s="434"/>
      <c r="AO4421" s="434"/>
      <c r="AP4421" s="556"/>
      <c r="AQ4421" s="556"/>
      <c r="AR4421" s="556"/>
      <c r="CF4421" s="2"/>
    </row>
    <row r="4422" spans="3:84">
      <c r="C4422" s="2"/>
      <c r="AD4422" s="502"/>
      <c r="AE4422" s="911"/>
      <c r="AF4422" s="502"/>
      <c r="AH4422" s="898"/>
      <c r="AI4422" s="502"/>
      <c r="AJ4422" s="502"/>
      <c r="AL4422" s="434"/>
      <c r="AM4422" s="436"/>
      <c r="AN4422" s="434"/>
      <c r="AO4422" s="434"/>
      <c r="AP4422" s="556"/>
      <c r="AQ4422" s="556"/>
      <c r="AR4422" s="556"/>
      <c r="CF4422" s="2"/>
    </row>
    <row r="4423" spans="3:84">
      <c r="C4423" s="2"/>
      <c r="AD4423" s="502"/>
      <c r="AE4423" s="911"/>
      <c r="AF4423" s="502"/>
      <c r="AH4423" s="898"/>
      <c r="AI4423" s="502"/>
      <c r="AJ4423" s="502"/>
      <c r="AL4423" s="434"/>
      <c r="AM4423" s="436"/>
      <c r="AN4423" s="434"/>
      <c r="AO4423" s="434"/>
      <c r="AP4423" s="556"/>
      <c r="AQ4423" s="556"/>
      <c r="AR4423" s="556"/>
      <c r="CF4423" s="2"/>
    </row>
    <row r="4424" spans="3:84">
      <c r="C4424" s="2"/>
      <c r="AD4424" s="502"/>
      <c r="AE4424" s="911"/>
      <c r="AF4424" s="502"/>
      <c r="AH4424" s="898"/>
      <c r="AI4424" s="502"/>
      <c r="AJ4424" s="502"/>
      <c r="AL4424" s="434"/>
      <c r="AM4424" s="436"/>
      <c r="AN4424" s="434"/>
      <c r="AO4424" s="434"/>
      <c r="AP4424" s="556"/>
      <c r="AQ4424" s="556"/>
      <c r="AR4424" s="556"/>
      <c r="CF4424" s="2"/>
    </row>
    <row r="4425" spans="3:84">
      <c r="C4425" s="2"/>
      <c r="AD4425" s="502"/>
      <c r="AE4425" s="911"/>
      <c r="AF4425" s="502"/>
      <c r="AH4425" s="898"/>
      <c r="AI4425" s="502"/>
      <c r="AJ4425" s="502"/>
      <c r="AL4425" s="434"/>
      <c r="AM4425" s="436"/>
      <c r="AN4425" s="434"/>
      <c r="AO4425" s="434"/>
      <c r="AP4425" s="556"/>
      <c r="AQ4425" s="556"/>
      <c r="AR4425" s="556"/>
      <c r="CF4425" s="2"/>
    </row>
    <row r="4426" spans="3:84">
      <c r="C4426" s="2"/>
      <c r="AD4426" s="502"/>
      <c r="AE4426" s="911"/>
      <c r="AF4426" s="502"/>
      <c r="AH4426" s="898"/>
      <c r="AI4426" s="502"/>
      <c r="AJ4426" s="502"/>
      <c r="AL4426" s="434"/>
      <c r="AM4426" s="436"/>
      <c r="AN4426" s="434"/>
      <c r="AO4426" s="434"/>
      <c r="AP4426" s="556"/>
      <c r="AQ4426" s="556"/>
      <c r="AR4426" s="556"/>
      <c r="CF4426" s="2"/>
    </row>
    <row r="4427" spans="3:84">
      <c r="C4427" s="2"/>
      <c r="AD4427" s="502"/>
      <c r="AE4427" s="911"/>
      <c r="AF4427" s="502"/>
      <c r="AH4427" s="898"/>
      <c r="AI4427" s="502"/>
      <c r="AJ4427" s="502"/>
      <c r="AL4427" s="434"/>
      <c r="AM4427" s="436"/>
      <c r="AN4427" s="434"/>
      <c r="AO4427" s="434"/>
      <c r="AP4427" s="556"/>
      <c r="AQ4427" s="556"/>
      <c r="AR4427" s="556"/>
      <c r="CF4427" s="2"/>
    </row>
    <row r="4428" spans="3:84">
      <c r="C4428" s="2"/>
      <c r="AD4428" s="502"/>
      <c r="AE4428" s="911"/>
      <c r="AF4428" s="502"/>
      <c r="AH4428" s="898"/>
      <c r="AI4428" s="502"/>
      <c r="AJ4428" s="502"/>
      <c r="AL4428" s="434"/>
      <c r="AM4428" s="436"/>
      <c r="AN4428" s="434"/>
      <c r="AO4428" s="434"/>
      <c r="AP4428" s="556"/>
      <c r="AQ4428" s="556"/>
      <c r="AR4428" s="556"/>
      <c r="CF4428" s="2"/>
    </row>
    <row r="4429" spans="3:84">
      <c r="C4429" s="2"/>
      <c r="AD4429" s="502"/>
      <c r="AE4429" s="911"/>
      <c r="AF4429" s="502"/>
      <c r="AH4429" s="898"/>
      <c r="AI4429" s="502"/>
      <c r="AJ4429" s="502"/>
      <c r="AL4429" s="434"/>
      <c r="AM4429" s="436"/>
      <c r="AN4429" s="434"/>
      <c r="AO4429" s="434"/>
      <c r="AP4429" s="556"/>
      <c r="AQ4429" s="556"/>
      <c r="AR4429" s="556"/>
      <c r="CF4429" s="2"/>
    </row>
    <row r="4430" spans="3:84">
      <c r="C4430" s="2"/>
      <c r="AD4430" s="502"/>
      <c r="AE4430" s="911"/>
      <c r="AF4430" s="502"/>
      <c r="AH4430" s="898"/>
      <c r="AI4430" s="502"/>
      <c r="AJ4430" s="502"/>
      <c r="AL4430" s="434"/>
      <c r="AM4430" s="436"/>
      <c r="AN4430" s="434"/>
      <c r="AO4430" s="434"/>
      <c r="AP4430" s="556"/>
      <c r="AQ4430" s="556"/>
      <c r="AR4430" s="556"/>
      <c r="CF4430" s="2"/>
    </row>
    <row r="4431" spans="3:84">
      <c r="C4431" s="2"/>
      <c r="AD4431" s="502"/>
      <c r="AE4431" s="911"/>
      <c r="AF4431" s="502"/>
      <c r="AH4431" s="898"/>
      <c r="AI4431" s="502"/>
      <c r="AJ4431" s="502"/>
      <c r="AL4431" s="434"/>
      <c r="AM4431" s="436"/>
      <c r="AN4431" s="434"/>
      <c r="AO4431" s="434"/>
      <c r="AP4431" s="556"/>
      <c r="AQ4431" s="556"/>
      <c r="AR4431" s="556"/>
      <c r="CF4431" s="2"/>
    </row>
    <row r="4432" spans="3:84">
      <c r="C4432" s="2"/>
      <c r="AD4432" s="502"/>
      <c r="AE4432" s="911"/>
      <c r="AF4432" s="502"/>
      <c r="AH4432" s="898"/>
      <c r="AI4432" s="502"/>
      <c r="AJ4432" s="502"/>
      <c r="AL4432" s="434"/>
      <c r="AM4432" s="436"/>
      <c r="AN4432" s="434"/>
      <c r="AO4432" s="434"/>
      <c r="AP4432" s="556"/>
      <c r="AQ4432" s="556"/>
      <c r="AR4432" s="556"/>
      <c r="CF4432" s="2"/>
    </row>
    <row r="4433" spans="3:84">
      <c r="C4433" s="2"/>
      <c r="AD4433" s="502"/>
      <c r="AE4433" s="911"/>
      <c r="AF4433" s="502"/>
      <c r="AH4433" s="898"/>
      <c r="AI4433" s="502"/>
      <c r="AJ4433" s="502"/>
      <c r="AL4433" s="434"/>
      <c r="AM4433" s="436"/>
      <c r="AN4433" s="434"/>
      <c r="AO4433" s="434"/>
      <c r="AP4433" s="556"/>
      <c r="AQ4433" s="556"/>
      <c r="AR4433" s="556"/>
      <c r="CF4433" s="2"/>
    </row>
    <row r="4434" spans="3:84">
      <c r="C4434" s="2"/>
      <c r="AD4434" s="502"/>
      <c r="AE4434" s="911"/>
      <c r="AF4434" s="502"/>
      <c r="AH4434" s="898"/>
      <c r="AI4434" s="502"/>
      <c r="AJ4434" s="502"/>
      <c r="AL4434" s="434"/>
      <c r="AM4434" s="436"/>
      <c r="AN4434" s="434"/>
      <c r="AO4434" s="434"/>
      <c r="AP4434" s="556"/>
      <c r="AQ4434" s="556"/>
      <c r="AR4434" s="556"/>
      <c r="CF4434" s="2"/>
    </row>
    <row r="4435" spans="3:84">
      <c r="C4435" s="2"/>
      <c r="AD4435" s="502"/>
      <c r="AE4435" s="911"/>
      <c r="AF4435" s="502"/>
      <c r="AH4435" s="898"/>
      <c r="AI4435" s="502"/>
      <c r="AJ4435" s="502"/>
      <c r="AL4435" s="434"/>
      <c r="AM4435" s="436"/>
      <c r="AN4435" s="434"/>
      <c r="AO4435" s="434"/>
      <c r="AP4435" s="556"/>
      <c r="AQ4435" s="556"/>
      <c r="AR4435" s="556"/>
      <c r="CF4435" s="2"/>
    </row>
    <row r="4436" spans="3:84">
      <c r="C4436" s="2"/>
      <c r="AD4436" s="502"/>
      <c r="AE4436" s="911"/>
      <c r="AF4436" s="502"/>
      <c r="AH4436" s="898"/>
      <c r="AI4436" s="502"/>
      <c r="AJ4436" s="502"/>
      <c r="AL4436" s="434"/>
      <c r="AM4436" s="436"/>
      <c r="AN4436" s="434"/>
      <c r="AO4436" s="434"/>
      <c r="AP4436" s="556"/>
      <c r="AQ4436" s="556"/>
      <c r="AR4436" s="556"/>
      <c r="CF4436" s="2"/>
    </row>
    <row r="4437" spans="3:84">
      <c r="C4437" s="2"/>
      <c r="AD4437" s="502"/>
      <c r="AE4437" s="911"/>
      <c r="AF4437" s="502"/>
      <c r="AH4437" s="898"/>
      <c r="AI4437" s="502"/>
      <c r="AJ4437" s="502"/>
      <c r="AL4437" s="434"/>
      <c r="AM4437" s="436"/>
      <c r="AN4437" s="434"/>
      <c r="AO4437" s="434"/>
      <c r="AP4437" s="556"/>
      <c r="AQ4437" s="556"/>
      <c r="AR4437" s="556"/>
      <c r="CF4437" s="2"/>
    </row>
    <row r="4438" spans="3:84">
      <c r="C4438" s="2"/>
      <c r="AD4438" s="502"/>
      <c r="AE4438" s="911"/>
      <c r="AF4438" s="502"/>
      <c r="AH4438" s="898"/>
      <c r="AI4438" s="502"/>
      <c r="AJ4438" s="502"/>
      <c r="AL4438" s="434"/>
      <c r="AM4438" s="436"/>
      <c r="AN4438" s="434"/>
      <c r="AO4438" s="434"/>
      <c r="AP4438" s="556"/>
      <c r="AQ4438" s="556"/>
      <c r="AR4438" s="556"/>
      <c r="CF4438" s="2"/>
    </row>
    <row r="4439" spans="3:84">
      <c r="C4439" s="2"/>
      <c r="AD4439" s="502"/>
      <c r="AE4439" s="911"/>
      <c r="AF4439" s="502"/>
      <c r="AH4439" s="898"/>
      <c r="AI4439" s="502"/>
      <c r="AJ4439" s="502"/>
      <c r="AL4439" s="434"/>
      <c r="AM4439" s="436"/>
      <c r="AN4439" s="434"/>
      <c r="AO4439" s="434"/>
      <c r="AP4439" s="556"/>
      <c r="AQ4439" s="556"/>
      <c r="AR4439" s="556"/>
      <c r="CF4439" s="2"/>
    </row>
    <row r="4440" spans="3:84">
      <c r="C4440" s="2"/>
      <c r="AD4440" s="502"/>
      <c r="AE4440" s="911"/>
      <c r="AF4440" s="502"/>
      <c r="AH4440" s="898"/>
      <c r="AI4440" s="502"/>
      <c r="AJ4440" s="502"/>
      <c r="AL4440" s="434"/>
      <c r="AM4440" s="436"/>
      <c r="AN4440" s="434"/>
      <c r="AO4440" s="434"/>
      <c r="AP4440" s="556"/>
      <c r="AQ4440" s="556"/>
      <c r="AR4440" s="556"/>
      <c r="CF4440" s="2"/>
    </row>
    <row r="4441" spans="3:84">
      <c r="C4441" s="2"/>
      <c r="AD4441" s="502"/>
      <c r="AE4441" s="911"/>
      <c r="AF4441" s="502"/>
      <c r="AH4441" s="898"/>
      <c r="AI4441" s="502"/>
      <c r="AJ4441" s="502"/>
      <c r="AL4441" s="434"/>
      <c r="AM4441" s="436"/>
      <c r="AN4441" s="434"/>
      <c r="AO4441" s="434"/>
      <c r="AP4441" s="556"/>
      <c r="AQ4441" s="556"/>
      <c r="AR4441" s="556"/>
      <c r="CF4441" s="2"/>
    </row>
    <row r="4442" spans="3:84">
      <c r="C4442" s="2"/>
      <c r="AD4442" s="502"/>
      <c r="AE4442" s="911"/>
      <c r="AF4442" s="502"/>
      <c r="AH4442" s="898"/>
      <c r="AI4442" s="502"/>
      <c r="AJ4442" s="502"/>
      <c r="AL4442" s="434"/>
      <c r="AM4442" s="436"/>
      <c r="AN4442" s="434"/>
      <c r="AO4442" s="434"/>
      <c r="AP4442" s="556"/>
      <c r="AQ4442" s="556"/>
      <c r="AR4442" s="556"/>
      <c r="CF4442" s="2"/>
    </row>
    <row r="4443" spans="3:84">
      <c r="C4443" s="2"/>
      <c r="AD4443" s="502"/>
      <c r="AE4443" s="911"/>
      <c r="AF4443" s="502"/>
      <c r="AH4443" s="898"/>
      <c r="AI4443" s="502"/>
      <c r="AJ4443" s="502"/>
      <c r="AL4443" s="434"/>
      <c r="AM4443" s="436"/>
      <c r="AN4443" s="434"/>
      <c r="AO4443" s="434"/>
      <c r="AP4443" s="556"/>
      <c r="AQ4443" s="556"/>
      <c r="AR4443" s="556"/>
      <c r="CF4443" s="2"/>
    </row>
    <row r="4444" spans="3:84">
      <c r="C4444" s="2"/>
      <c r="AD4444" s="502"/>
      <c r="AE4444" s="911"/>
      <c r="AF4444" s="502"/>
      <c r="AH4444" s="898"/>
      <c r="AI4444" s="502"/>
      <c r="AJ4444" s="502"/>
      <c r="AL4444" s="434"/>
      <c r="AM4444" s="436"/>
      <c r="AN4444" s="434"/>
      <c r="AO4444" s="434"/>
      <c r="AP4444" s="556"/>
      <c r="AQ4444" s="556"/>
      <c r="AR4444" s="556"/>
      <c r="CF4444" s="2"/>
    </row>
    <row r="4445" spans="3:84">
      <c r="C4445" s="2"/>
      <c r="AD4445" s="502"/>
      <c r="AE4445" s="911"/>
      <c r="AF4445" s="502"/>
      <c r="AH4445" s="898"/>
      <c r="AI4445" s="502"/>
      <c r="AJ4445" s="502"/>
      <c r="AL4445" s="434"/>
      <c r="AM4445" s="436"/>
      <c r="AN4445" s="434"/>
      <c r="AO4445" s="434"/>
      <c r="AP4445" s="556"/>
      <c r="AQ4445" s="556"/>
      <c r="AR4445" s="556"/>
      <c r="CF4445" s="2"/>
    </row>
    <row r="4446" spans="3:84">
      <c r="C4446" s="2"/>
      <c r="AD4446" s="502"/>
      <c r="AE4446" s="911"/>
      <c r="AF4446" s="502"/>
      <c r="AH4446" s="898"/>
      <c r="AI4446" s="502"/>
      <c r="AJ4446" s="502"/>
      <c r="AL4446" s="434"/>
      <c r="AM4446" s="436"/>
      <c r="AN4446" s="434"/>
      <c r="AO4446" s="434"/>
      <c r="AP4446" s="556"/>
      <c r="AQ4446" s="556"/>
      <c r="AR4446" s="556"/>
      <c r="CF4446" s="2"/>
    </row>
    <row r="4447" spans="3:84">
      <c r="C4447" s="2"/>
      <c r="AD4447" s="502"/>
      <c r="AE4447" s="911"/>
      <c r="AF4447" s="502"/>
      <c r="AH4447" s="898"/>
      <c r="AI4447" s="502"/>
      <c r="AJ4447" s="502"/>
      <c r="AL4447" s="434"/>
      <c r="AM4447" s="436"/>
      <c r="AN4447" s="434"/>
      <c r="AO4447" s="434"/>
      <c r="AP4447" s="556"/>
      <c r="AQ4447" s="556"/>
      <c r="AR4447" s="556"/>
      <c r="CF4447" s="2"/>
    </row>
    <row r="4448" spans="3:84">
      <c r="C4448" s="2"/>
      <c r="AD4448" s="502"/>
      <c r="AE4448" s="911"/>
      <c r="AF4448" s="502"/>
      <c r="AH4448" s="898"/>
      <c r="AI4448" s="502"/>
      <c r="AJ4448" s="502"/>
      <c r="AL4448" s="434"/>
      <c r="AM4448" s="436"/>
      <c r="AN4448" s="434"/>
      <c r="AO4448" s="434"/>
      <c r="AP4448" s="556"/>
      <c r="AQ4448" s="556"/>
      <c r="AR4448" s="556"/>
      <c r="CF4448" s="2"/>
    </row>
    <row r="4449" spans="3:84">
      <c r="C4449" s="2"/>
      <c r="AD4449" s="502"/>
      <c r="AE4449" s="911"/>
      <c r="AF4449" s="502"/>
      <c r="AH4449" s="898"/>
      <c r="AI4449" s="502"/>
      <c r="AJ4449" s="502"/>
      <c r="AL4449" s="434"/>
      <c r="AM4449" s="436"/>
      <c r="AN4449" s="434"/>
      <c r="AO4449" s="434"/>
      <c r="AP4449" s="556"/>
      <c r="AQ4449" s="556"/>
      <c r="AR4449" s="556"/>
      <c r="CF4449" s="2"/>
    </row>
    <row r="4450" spans="3:84">
      <c r="C4450" s="2"/>
      <c r="AD4450" s="502"/>
      <c r="AE4450" s="911"/>
      <c r="AF4450" s="502"/>
      <c r="AH4450" s="898"/>
      <c r="AI4450" s="502"/>
      <c r="AJ4450" s="502"/>
      <c r="AL4450" s="434"/>
      <c r="AM4450" s="436"/>
      <c r="AN4450" s="434"/>
      <c r="AO4450" s="434"/>
      <c r="AP4450" s="556"/>
      <c r="AQ4450" s="556"/>
      <c r="AR4450" s="556"/>
      <c r="CF4450" s="2"/>
    </row>
    <row r="4451" spans="3:84">
      <c r="C4451" s="2"/>
      <c r="AD4451" s="502"/>
      <c r="AE4451" s="911"/>
      <c r="AF4451" s="502"/>
      <c r="AH4451" s="898"/>
      <c r="AI4451" s="502"/>
      <c r="AJ4451" s="502"/>
      <c r="AL4451" s="434"/>
      <c r="AM4451" s="436"/>
      <c r="AN4451" s="434"/>
      <c r="AO4451" s="434"/>
      <c r="AP4451" s="556"/>
      <c r="AQ4451" s="556"/>
      <c r="AR4451" s="556"/>
      <c r="CF4451" s="2"/>
    </row>
    <row r="4452" spans="3:84">
      <c r="C4452" s="2"/>
      <c r="AD4452" s="502"/>
      <c r="AE4452" s="911"/>
      <c r="AF4452" s="502"/>
      <c r="AH4452" s="898"/>
      <c r="AI4452" s="502"/>
      <c r="AJ4452" s="502"/>
      <c r="AL4452" s="434"/>
      <c r="AM4452" s="436"/>
      <c r="AN4452" s="434"/>
      <c r="AO4452" s="434"/>
      <c r="AP4452" s="556"/>
      <c r="AQ4452" s="556"/>
      <c r="AR4452" s="556"/>
      <c r="CF4452" s="2"/>
    </row>
    <row r="4453" spans="3:84">
      <c r="C4453" s="2"/>
      <c r="AD4453" s="502"/>
      <c r="AE4453" s="911"/>
      <c r="AF4453" s="502"/>
      <c r="AH4453" s="898"/>
      <c r="AI4453" s="502"/>
      <c r="AJ4453" s="502"/>
      <c r="AL4453" s="434"/>
      <c r="AM4453" s="436"/>
      <c r="AN4453" s="434"/>
      <c r="AO4453" s="434"/>
      <c r="AP4453" s="556"/>
      <c r="AQ4453" s="556"/>
      <c r="AR4453" s="556"/>
      <c r="CF4453" s="2"/>
    </row>
    <row r="4454" spans="3:84">
      <c r="C4454" s="2"/>
      <c r="AD4454" s="502"/>
      <c r="AE4454" s="911"/>
      <c r="AF4454" s="502"/>
      <c r="AH4454" s="898"/>
      <c r="AI4454" s="502"/>
      <c r="AJ4454" s="502"/>
      <c r="AL4454" s="434"/>
      <c r="AM4454" s="436"/>
      <c r="AN4454" s="434"/>
      <c r="AO4454" s="434"/>
      <c r="AP4454" s="556"/>
      <c r="AQ4454" s="556"/>
      <c r="AR4454" s="556"/>
      <c r="CF4454" s="2"/>
    </row>
    <row r="4455" spans="3:84">
      <c r="C4455" s="2"/>
      <c r="AD4455" s="502"/>
      <c r="AE4455" s="911"/>
      <c r="AF4455" s="502"/>
      <c r="AH4455" s="898"/>
      <c r="AI4455" s="502"/>
      <c r="AJ4455" s="502"/>
      <c r="AL4455" s="434"/>
      <c r="AM4455" s="436"/>
      <c r="AN4455" s="434"/>
      <c r="AO4455" s="434"/>
      <c r="AP4455" s="556"/>
      <c r="AQ4455" s="556"/>
      <c r="AR4455" s="556"/>
      <c r="CF4455" s="2"/>
    </row>
    <row r="4456" spans="3:84">
      <c r="C4456" s="2"/>
      <c r="AD4456" s="502"/>
      <c r="AE4456" s="911"/>
      <c r="AF4456" s="502"/>
      <c r="AH4456" s="898"/>
      <c r="AI4456" s="502"/>
      <c r="AJ4456" s="502"/>
      <c r="AL4456" s="434"/>
      <c r="AM4456" s="436"/>
      <c r="AN4456" s="434"/>
      <c r="AO4456" s="434"/>
      <c r="AP4456" s="556"/>
      <c r="AQ4456" s="556"/>
      <c r="AR4456" s="556"/>
      <c r="CF4456" s="2"/>
    </row>
    <row r="4457" spans="3:84">
      <c r="C4457" s="2"/>
      <c r="AD4457" s="502"/>
      <c r="AE4457" s="911"/>
      <c r="AF4457" s="502"/>
      <c r="AH4457" s="898"/>
      <c r="AI4457" s="502"/>
      <c r="AJ4457" s="502"/>
      <c r="AL4457" s="434"/>
      <c r="AM4457" s="436"/>
      <c r="AN4457" s="434"/>
      <c r="AO4457" s="434"/>
      <c r="AP4457" s="556"/>
      <c r="AQ4457" s="556"/>
      <c r="AR4457" s="556"/>
      <c r="CF4457" s="2"/>
    </row>
    <row r="4458" spans="3:84">
      <c r="C4458" s="2"/>
      <c r="AD4458" s="502"/>
      <c r="AE4458" s="911"/>
      <c r="AF4458" s="502"/>
      <c r="AH4458" s="898"/>
      <c r="AI4458" s="502"/>
      <c r="AJ4458" s="502"/>
      <c r="AL4458" s="434"/>
      <c r="AM4458" s="436"/>
      <c r="AN4458" s="434"/>
      <c r="AO4458" s="434"/>
      <c r="AP4458" s="556"/>
      <c r="AQ4458" s="556"/>
      <c r="AR4458" s="556"/>
      <c r="CF4458" s="2"/>
    </row>
    <row r="4459" spans="3:84">
      <c r="C4459" s="2"/>
      <c r="AD4459" s="502"/>
      <c r="AE4459" s="911"/>
      <c r="AF4459" s="502"/>
      <c r="AH4459" s="898"/>
      <c r="AI4459" s="502"/>
      <c r="AJ4459" s="502"/>
      <c r="AL4459" s="434"/>
      <c r="AM4459" s="436"/>
      <c r="AN4459" s="434"/>
      <c r="AO4459" s="434"/>
      <c r="AP4459" s="556"/>
      <c r="AQ4459" s="556"/>
      <c r="AR4459" s="556"/>
      <c r="CF4459" s="2"/>
    </row>
    <row r="4460" spans="3:84">
      <c r="C4460" s="2"/>
      <c r="AD4460" s="502"/>
      <c r="AE4460" s="911"/>
      <c r="AF4460" s="502"/>
      <c r="AH4460" s="898"/>
      <c r="AI4460" s="502"/>
      <c r="AJ4460" s="502"/>
      <c r="AL4460" s="434"/>
      <c r="AM4460" s="436"/>
      <c r="AN4460" s="434"/>
      <c r="AO4460" s="434"/>
      <c r="AP4460" s="556"/>
      <c r="AQ4460" s="556"/>
      <c r="AR4460" s="556"/>
      <c r="CF4460" s="2"/>
    </row>
    <row r="4461" spans="3:84">
      <c r="C4461" s="2"/>
      <c r="AD4461" s="502"/>
      <c r="AE4461" s="911"/>
      <c r="AF4461" s="502"/>
      <c r="AH4461" s="898"/>
      <c r="AI4461" s="502"/>
      <c r="AJ4461" s="502"/>
      <c r="AL4461" s="434"/>
      <c r="AM4461" s="436"/>
      <c r="AN4461" s="434"/>
      <c r="AO4461" s="434"/>
      <c r="AP4461" s="556"/>
      <c r="AQ4461" s="556"/>
      <c r="AR4461" s="556"/>
      <c r="CF4461" s="2"/>
    </row>
    <row r="4462" spans="3:84">
      <c r="C4462" s="2"/>
      <c r="AD4462" s="502"/>
      <c r="AE4462" s="911"/>
      <c r="AF4462" s="502"/>
      <c r="AH4462" s="898"/>
      <c r="AI4462" s="502"/>
      <c r="AJ4462" s="502"/>
      <c r="AL4462" s="434"/>
      <c r="AM4462" s="436"/>
      <c r="AN4462" s="434"/>
      <c r="AO4462" s="434"/>
      <c r="AP4462" s="556"/>
      <c r="AQ4462" s="556"/>
      <c r="AR4462" s="556"/>
      <c r="CF4462" s="2"/>
    </row>
    <row r="4463" spans="3:84">
      <c r="C4463" s="2"/>
      <c r="AD4463" s="502"/>
      <c r="AE4463" s="911"/>
      <c r="AF4463" s="502"/>
      <c r="AH4463" s="898"/>
      <c r="AI4463" s="502"/>
      <c r="AJ4463" s="502"/>
      <c r="AL4463" s="434"/>
      <c r="AM4463" s="436"/>
      <c r="AN4463" s="434"/>
      <c r="AO4463" s="434"/>
      <c r="AP4463" s="556"/>
      <c r="AQ4463" s="556"/>
      <c r="AR4463" s="556"/>
      <c r="CF4463" s="2"/>
    </row>
    <row r="4464" spans="3:84">
      <c r="C4464" s="2"/>
      <c r="AD4464" s="502"/>
      <c r="AE4464" s="911"/>
      <c r="AF4464" s="502"/>
      <c r="AH4464" s="898"/>
      <c r="AI4464" s="502"/>
      <c r="AJ4464" s="502"/>
      <c r="AL4464" s="434"/>
      <c r="AM4464" s="436"/>
      <c r="AN4464" s="434"/>
      <c r="AO4464" s="434"/>
      <c r="AP4464" s="556"/>
      <c r="AQ4464" s="556"/>
      <c r="AR4464" s="556"/>
      <c r="CF4464" s="2"/>
    </row>
    <row r="4465" spans="3:84">
      <c r="C4465" s="2"/>
      <c r="AD4465" s="502"/>
      <c r="AE4465" s="911"/>
      <c r="AF4465" s="502"/>
      <c r="AH4465" s="898"/>
      <c r="AI4465" s="502"/>
      <c r="AJ4465" s="502"/>
      <c r="AL4465" s="434"/>
      <c r="AM4465" s="436"/>
      <c r="AN4465" s="434"/>
      <c r="AO4465" s="434"/>
      <c r="AP4465" s="556"/>
      <c r="AQ4465" s="556"/>
      <c r="AR4465" s="556"/>
      <c r="CF4465" s="2"/>
    </row>
    <row r="4466" spans="3:84">
      <c r="C4466" s="2"/>
      <c r="AD4466" s="502"/>
      <c r="AE4466" s="911"/>
      <c r="AF4466" s="502"/>
      <c r="AH4466" s="898"/>
      <c r="AI4466" s="502"/>
      <c r="AJ4466" s="502"/>
      <c r="AL4466" s="434"/>
      <c r="AM4466" s="436"/>
      <c r="AN4466" s="434"/>
      <c r="AO4466" s="434"/>
      <c r="AP4466" s="556"/>
      <c r="AQ4466" s="556"/>
      <c r="AR4466" s="556"/>
      <c r="CF4466" s="2"/>
    </row>
    <row r="4467" spans="3:84">
      <c r="C4467" s="2"/>
      <c r="AD4467" s="502"/>
      <c r="AE4467" s="911"/>
      <c r="AF4467" s="502"/>
      <c r="AH4467" s="898"/>
      <c r="AI4467" s="502"/>
      <c r="AJ4467" s="502"/>
      <c r="AL4467" s="434"/>
      <c r="AM4467" s="436"/>
      <c r="AN4467" s="434"/>
      <c r="AO4467" s="434"/>
      <c r="AP4467" s="556"/>
      <c r="AQ4467" s="556"/>
      <c r="AR4467" s="556"/>
      <c r="CF4467" s="2"/>
    </row>
    <row r="4468" spans="3:84">
      <c r="C4468" s="2"/>
      <c r="AD4468" s="502"/>
      <c r="AE4468" s="911"/>
      <c r="AF4468" s="502"/>
      <c r="AH4468" s="898"/>
      <c r="AI4468" s="502"/>
      <c r="AJ4468" s="502"/>
      <c r="AL4468" s="434"/>
      <c r="AM4468" s="436"/>
      <c r="AN4468" s="434"/>
      <c r="AO4468" s="434"/>
      <c r="AP4468" s="556"/>
      <c r="AQ4468" s="556"/>
      <c r="AR4468" s="556"/>
      <c r="CF4468" s="2"/>
    </row>
    <row r="4469" spans="3:84">
      <c r="C4469" s="2"/>
      <c r="AD4469" s="502"/>
      <c r="AE4469" s="911"/>
      <c r="AF4469" s="502"/>
      <c r="AH4469" s="898"/>
      <c r="AI4469" s="502"/>
      <c r="AJ4469" s="502"/>
      <c r="AL4469" s="434"/>
      <c r="AM4469" s="436"/>
      <c r="AN4469" s="434"/>
      <c r="AO4469" s="434"/>
      <c r="AP4469" s="556"/>
      <c r="AQ4469" s="556"/>
      <c r="AR4469" s="556"/>
      <c r="CF4469" s="2"/>
    </row>
    <row r="4470" spans="3:84">
      <c r="C4470" s="2"/>
      <c r="AD4470" s="502"/>
      <c r="AE4470" s="911"/>
      <c r="AF4470" s="502"/>
      <c r="AH4470" s="898"/>
      <c r="AI4470" s="502"/>
      <c r="AJ4470" s="502"/>
      <c r="AL4470" s="434"/>
      <c r="AM4470" s="436"/>
      <c r="AN4470" s="434"/>
      <c r="AO4470" s="434"/>
      <c r="AP4470" s="556"/>
      <c r="AQ4470" s="556"/>
      <c r="AR4470" s="556"/>
      <c r="CF4470" s="2"/>
    </row>
    <row r="4471" spans="3:84">
      <c r="C4471" s="2"/>
      <c r="AD4471" s="502"/>
      <c r="AE4471" s="911"/>
      <c r="AF4471" s="502"/>
      <c r="AH4471" s="898"/>
      <c r="AI4471" s="502"/>
      <c r="AJ4471" s="502"/>
      <c r="AL4471" s="434"/>
      <c r="AM4471" s="436"/>
      <c r="AN4471" s="434"/>
      <c r="AO4471" s="434"/>
      <c r="AP4471" s="556"/>
      <c r="AQ4471" s="556"/>
      <c r="AR4471" s="556"/>
      <c r="CF4471" s="2"/>
    </row>
    <row r="4472" spans="3:84">
      <c r="C4472" s="2"/>
      <c r="AD4472" s="502"/>
      <c r="AE4472" s="911"/>
      <c r="AF4472" s="502"/>
      <c r="AH4472" s="898"/>
      <c r="AI4472" s="502"/>
      <c r="AJ4472" s="502"/>
      <c r="AL4472" s="434"/>
      <c r="AM4472" s="436"/>
      <c r="AN4472" s="434"/>
      <c r="AO4472" s="434"/>
      <c r="AP4472" s="556"/>
      <c r="AQ4472" s="556"/>
      <c r="AR4472" s="556"/>
      <c r="CF4472" s="2"/>
    </row>
    <row r="4473" spans="3:84">
      <c r="C4473" s="2"/>
      <c r="AD4473" s="502"/>
      <c r="AE4473" s="911"/>
      <c r="AF4473" s="502"/>
      <c r="AH4473" s="898"/>
      <c r="AI4473" s="502"/>
      <c r="AJ4473" s="502"/>
      <c r="AL4473" s="434"/>
      <c r="AM4473" s="436"/>
      <c r="AN4473" s="434"/>
      <c r="AO4473" s="434"/>
      <c r="AP4473" s="556"/>
      <c r="AQ4473" s="556"/>
      <c r="AR4473" s="556"/>
      <c r="CF4473" s="2"/>
    </row>
    <row r="4474" spans="3:84">
      <c r="C4474" s="2"/>
      <c r="AD4474" s="502"/>
      <c r="AE4474" s="911"/>
      <c r="AF4474" s="502"/>
      <c r="AH4474" s="898"/>
      <c r="AI4474" s="502"/>
      <c r="AJ4474" s="502"/>
      <c r="AL4474" s="434"/>
      <c r="AM4474" s="436"/>
      <c r="AN4474" s="434"/>
      <c r="AO4474" s="434"/>
      <c r="AP4474" s="556"/>
      <c r="AQ4474" s="556"/>
      <c r="AR4474" s="556"/>
      <c r="CF4474" s="2"/>
    </row>
    <row r="4475" spans="3:84">
      <c r="C4475" s="2"/>
      <c r="AD4475" s="502"/>
      <c r="AE4475" s="911"/>
      <c r="AF4475" s="502"/>
      <c r="AH4475" s="898"/>
      <c r="AI4475" s="502"/>
      <c r="AJ4475" s="502"/>
      <c r="AL4475" s="434"/>
      <c r="AM4475" s="436"/>
      <c r="AN4475" s="434"/>
      <c r="AO4475" s="434"/>
      <c r="AP4475" s="556"/>
      <c r="AQ4475" s="556"/>
      <c r="AR4475" s="556"/>
      <c r="CF4475" s="2"/>
    </row>
    <row r="4476" spans="3:84">
      <c r="C4476" s="2"/>
      <c r="AD4476" s="502"/>
      <c r="AE4476" s="911"/>
      <c r="AF4476" s="502"/>
      <c r="AH4476" s="898"/>
      <c r="AI4476" s="502"/>
      <c r="AJ4476" s="502"/>
      <c r="AL4476" s="434"/>
      <c r="AM4476" s="436"/>
      <c r="AN4476" s="434"/>
      <c r="AO4476" s="434"/>
      <c r="AP4476" s="556"/>
      <c r="AQ4476" s="556"/>
      <c r="AR4476" s="556"/>
      <c r="CF4476" s="2"/>
    </row>
    <row r="4477" spans="3:84">
      <c r="C4477" s="2"/>
      <c r="AD4477" s="502"/>
      <c r="AE4477" s="911"/>
      <c r="AF4477" s="502"/>
      <c r="AH4477" s="898"/>
      <c r="AI4477" s="502"/>
      <c r="AJ4477" s="502"/>
      <c r="AL4477" s="434"/>
      <c r="AM4477" s="436"/>
      <c r="AN4477" s="434"/>
      <c r="AO4477" s="434"/>
      <c r="AP4477" s="556"/>
      <c r="AQ4477" s="556"/>
      <c r="AR4477" s="556"/>
      <c r="CF4477" s="2"/>
    </row>
    <row r="4478" spans="3:84">
      <c r="C4478" s="2"/>
      <c r="AD4478" s="502"/>
      <c r="AE4478" s="911"/>
      <c r="AF4478" s="502"/>
      <c r="AH4478" s="898"/>
      <c r="AI4478" s="502"/>
      <c r="AJ4478" s="502"/>
      <c r="AL4478" s="434"/>
      <c r="AM4478" s="436"/>
      <c r="AN4478" s="434"/>
      <c r="AO4478" s="434"/>
      <c r="AP4478" s="556"/>
      <c r="AQ4478" s="556"/>
      <c r="AR4478" s="556"/>
      <c r="CF4478" s="2"/>
    </row>
    <row r="4479" spans="3:84">
      <c r="C4479" s="2"/>
      <c r="AD4479" s="502"/>
      <c r="AE4479" s="911"/>
      <c r="AF4479" s="502"/>
      <c r="AH4479" s="898"/>
      <c r="AI4479" s="502"/>
      <c r="AJ4479" s="502"/>
      <c r="AL4479" s="434"/>
      <c r="AM4479" s="436"/>
      <c r="AN4479" s="434"/>
      <c r="AO4479" s="434"/>
      <c r="AP4479" s="556"/>
      <c r="AQ4479" s="556"/>
      <c r="AR4479" s="556"/>
      <c r="CF4479" s="2"/>
    </row>
    <row r="4480" spans="3:84">
      <c r="C4480" s="2"/>
      <c r="AD4480" s="502"/>
      <c r="AE4480" s="911"/>
      <c r="AF4480" s="502"/>
      <c r="AH4480" s="898"/>
      <c r="AI4480" s="502"/>
      <c r="AJ4480" s="502"/>
      <c r="AL4480" s="434"/>
      <c r="AM4480" s="436"/>
      <c r="AN4480" s="434"/>
      <c r="AO4480" s="434"/>
      <c r="AP4480" s="556"/>
      <c r="AQ4480" s="556"/>
      <c r="AR4480" s="556"/>
      <c r="CF4480" s="2"/>
    </row>
    <row r="4481" spans="3:84">
      <c r="C4481" s="2"/>
      <c r="AD4481" s="502"/>
      <c r="AE4481" s="911"/>
      <c r="AF4481" s="502"/>
      <c r="AH4481" s="898"/>
      <c r="AI4481" s="502"/>
      <c r="AJ4481" s="502"/>
      <c r="AL4481" s="434"/>
      <c r="AM4481" s="436"/>
      <c r="AN4481" s="434"/>
      <c r="AO4481" s="434"/>
      <c r="AP4481" s="556"/>
      <c r="AQ4481" s="556"/>
      <c r="AR4481" s="556"/>
      <c r="CF4481" s="2"/>
    </row>
    <row r="4482" spans="3:84">
      <c r="C4482" s="2"/>
      <c r="AD4482" s="502"/>
      <c r="AE4482" s="911"/>
      <c r="AF4482" s="502"/>
      <c r="AH4482" s="898"/>
      <c r="AI4482" s="502"/>
      <c r="AJ4482" s="502"/>
      <c r="AL4482" s="434"/>
      <c r="AM4482" s="436"/>
      <c r="AN4482" s="434"/>
      <c r="AO4482" s="434"/>
      <c r="AP4482" s="556"/>
      <c r="AQ4482" s="556"/>
      <c r="AR4482" s="556"/>
      <c r="CF4482" s="2"/>
    </row>
    <row r="4483" spans="3:84">
      <c r="C4483" s="2"/>
      <c r="AD4483" s="502"/>
      <c r="AE4483" s="911"/>
      <c r="AF4483" s="502"/>
      <c r="AH4483" s="898"/>
      <c r="AI4483" s="502"/>
      <c r="AJ4483" s="502"/>
      <c r="AL4483" s="434"/>
      <c r="AM4483" s="436"/>
      <c r="AN4483" s="434"/>
      <c r="AO4483" s="434"/>
      <c r="AP4483" s="556"/>
      <c r="AQ4483" s="556"/>
      <c r="AR4483" s="556"/>
      <c r="CF4483" s="2"/>
    </row>
    <row r="4484" spans="3:84">
      <c r="C4484" s="2"/>
      <c r="AD4484" s="502"/>
      <c r="AE4484" s="911"/>
      <c r="AF4484" s="502"/>
      <c r="AH4484" s="898"/>
      <c r="AI4484" s="502"/>
      <c r="AJ4484" s="502"/>
      <c r="AL4484" s="434"/>
      <c r="AM4484" s="436"/>
      <c r="AN4484" s="434"/>
      <c r="AO4484" s="434"/>
      <c r="AP4484" s="556"/>
      <c r="AQ4484" s="556"/>
      <c r="AR4484" s="556"/>
      <c r="CF4484" s="2"/>
    </row>
    <row r="4485" spans="3:84">
      <c r="C4485" s="2"/>
      <c r="AD4485" s="502"/>
      <c r="AE4485" s="911"/>
      <c r="AF4485" s="502"/>
      <c r="AH4485" s="898"/>
      <c r="AI4485" s="502"/>
      <c r="AJ4485" s="502"/>
      <c r="AL4485" s="434"/>
      <c r="AM4485" s="436"/>
      <c r="AN4485" s="434"/>
      <c r="AO4485" s="434"/>
      <c r="AP4485" s="556"/>
      <c r="AQ4485" s="556"/>
      <c r="AR4485" s="556"/>
      <c r="CF4485" s="2"/>
    </row>
    <row r="4486" spans="3:84">
      <c r="C4486" s="2"/>
      <c r="AD4486" s="502"/>
      <c r="AE4486" s="911"/>
      <c r="AF4486" s="502"/>
      <c r="AH4486" s="898"/>
      <c r="AI4486" s="502"/>
      <c r="AJ4486" s="502"/>
      <c r="AL4486" s="434"/>
      <c r="AM4486" s="436"/>
      <c r="AN4486" s="434"/>
      <c r="AO4486" s="434"/>
      <c r="AP4486" s="556"/>
      <c r="AQ4486" s="556"/>
      <c r="AR4486" s="556"/>
      <c r="CF4486" s="2"/>
    </row>
    <row r="4487" spans="3:84">
      <c r="C4487" s="2"/>
      <c r="AD4487" s="502"/>
      <c r="AE4487" s="911"/>
      <c r="AF4487" s="502"/>
      <c r="AH4487" s="898"/>
      <c r="AI4487" s="502"/>
      <c r="AJ4487" s="502"/>
      <c r="AL4487" s="434"/>
      <c r="AM4487" s="436"/>
      <c r="AN4487" s="434"/>
      <c r="AO4487" s="434"/>
      <c r="AP4487" s="556"/>
      <c r="AQ4487" s="556"/>
      <c r="AR4487" s="556"/>
      <c r="CF4487" s="2"/>
    </row>
    <row r="4488" spans="3:84">
      <c r="C4488" s="2"/>
      <c r="AD4488" s="502"/>
      <c r="AE4488" s="911"/>
      <c r="AF4488" s="502"/>
      <c r="AH4488" s="898"/>
      <c r="AI4488" s="502"/>
      <c r="AJ4488" s="502"/>
      <c r="AL4488" s="434"/>
      <c r="AM4488" s="436"/>
      <c r="AN4488" s="434"/>
      <c r="AO4488" s="434"/>
      <c r="AP4488" s="556"/>
      <c r="AQ4488" s="556"/>
      <c r="AR4488" s="556"/>
      <c r="CF4488" s="2"/>
    </row>
    <row r="4489" spans="3:84">
      <c r="C4489" s="2"/>
      <c r="AD4489" s="502"/>
      <c r="AE4489" s="911"/>
      <c r="AF4489" s="502"/>
      <c r="AH4489" s="898"/>
      <c r="AI4489" s="502"/>
      <c r="AJ4489" s="502"/>
      <c r="AL4489" s="434"/>
      <c r="AM4489" s="436"/>
      <c r="AN4489" s="434"/>
      <c r="AO4489" s="434"/>
      <c r="AP4489" s="556"/>
      <c r="AQ4489" s="556"/>
      <c r="AR4489" s="556"/>
      <c r="CF4489" s="2"/>
    </row>
    <row r="4490" spans="3:84">
      <c r="C4490" s="2"/>
      <c r="AD4490" s="502"/>
      <c r="AE4490" s="911"/>
      <c r="AF4490" s="502"/>
      <c r="AH4490" s="898"/>
      <c r="AI4490" s="502"/>
      <c r="AJ4490" s="502"/>
      <c r="AL4490" s="434"/>
      <c r="AM4490" s="436"/>
      <c r="AN4490" s="434"/>
      <c r="AO4490" s="434"/>
      <c r="AP4490" s="556"/>
      <c r="AQ4490" s="556"/>
      <c r="AR4490" s="556"/>
      <c r="CF4490" s="2"/>
    </row>
    <row r="4491" spans="3:84">
      <c r="C4491" s="2"/>
      <c r="AD4491" s="502"/>
      <c r="AE4491" s="911"/>
      <c r="AF4491" s="502"/>
      <c r="AH4491" s="898"/>
      <c r="AI4491" s="502"/>
      <c r="AJ4491" s="502"/>
      <c r="AL4491" s="434"/>
      <c r="AM4491" s="436"/>
      <c r="AN4491" s="434"/>
      <c r="AO4491" s="434"/>
      <c r="AP4491" s="556"/>
      <c r="AQ4491" s="556"/>
      <c r="AR4491" s="556"/>
      <c r="CF4491" s="2"/>
    </row>
    <row r="4492" spans="3:84">
      <c r="C4492" s="2"/>
      <c r="AD4492" s="502"/>
      <c r="AE4492" s="911"/>
      <c r="AF4492" s="502"/>
      <c r="AH4492" s="898"/>
      <c r="AI4492" s="502"/>
      <c r="AJ4492" s="502"/>
      <c r="AL4492" s="434"/>
      <c r="AM4492" s="436"/>
      <c r="AN4492" s="434"/>
      <c r="AO4492" s="434"/>
      <c r="AP4492" s="556"/>
      <c r="AQ4492" s="556"/>
      <c r="AR4492" s="556"/>
      <c r="CF4492" s="2"/>
    </row>
    <row r="4493" spans="3:84">
      <c r="C4493" s="2"/>
      <c r="AD4493" s="502"/>
      <c r="AE4493" s="911"/>
      <c r="AF4493" s="502"/>
      <c r="AH4493" s="898"/>
      <c r="AI4493" s="502"/>
      <c r="AJ4493" s="502"/>
      <c r="AL4493" s="434"/>
      <c r="AM4493" s="436"/>
      <c r="AN4493" s="434"/>
      <c r="AO4493" s="434"/>
      <c r="AP4493" s="556"/>
      <c r="AQ4493" s="556"/>
      <c r="AR4493" s="556"/>
      <c r="CF4493" s="2"/>
    </row>
    <row r="4494" spans="3:84">
      <c r="C4494" s="2"/>
      <c r="AD4494" s="502"/>
      <c r="AE4494" s="911"/>
      <c r="AF4494" s="502"/>
      <c r="AH4494" s="898"/>
      <c r="AI4494" s="502"/>
      <c r="AJ4494" s="502"/>
      <c r="AL4494" s="434"/>
      <c r="AM4494" s="436"/>
      <c r="AN4494" s="434"/>
      <c r="AO4494" s="434"/>
      <c r="AP4494" s="556"/>
      <c r="AQ4494" s="556"/>
      <c r="AR4494" s="556"/>
      <c r="CF4494" s="2"/>
    </row>
    <row r="4495" spans="3:84">
      <c r="C4495" s="2"/>
      <c r="AD4495" s="502"/>
      <c r="AE4495" s="911"/>
      <c r="AF4495" s="502"/>
      <c r="AH4495" s="898"/>
      <c r="AI4495" s="502"/>
      <c r="AJ4495" s="502"/>
      <c r="AL4495" s="434"/>
      <c r="AM4495" s="436"/>
      <c r="AN4495" s="434"/>
      <c r="AO4495" s="434"/>
      <c r="AP4495" s="556"/>
      <c r="AQ4495" s="556"/>
      <c r="AR4495" s="556"/>
      <c r="CF4495" s="2"/>
    </row>
    <row r="4496" spans="3:84">
      <c r="C4496" s="2"/>
      <c r="AD4496" s="502"/>
      <c r="AE4496" s="911"/>
      <c r="AF4496" s="502"/>
      <c r="AH4496" s="898"/>
      <c r="AI4496" s="502"/>
      <c r="AJ4496" s="502"/>
      <c r="AL4496" s="434"/>
      <c r="AM4496" s="436"/>
      <c r="AN4496" s="434"/>
      <c r="AO4496" s="434"/>
      <c r="AP4496" s="556"/>
      <c r="AQ4496" s="556"/>
      <c r="AR4496" s="556"/>
      <c r="CF4496" s="2"/>
    </row>
    <row r="4497" spans="3:84">
      <c r="C4497" s="2"/>
      <c r="AD4497" s="502"/>
      <c r="AE4497" s="911"/>
      <c r="AF4497" s="502"/>
      <c r="AH4497" s="898"/>
      <c r="AI4497" s="502"/>
      <c r="AJ4497" s="502"/>
      <c r="AL4497" s="434"/>
      <c r="AM4497" s="436"/>
      <c r="AN4497" s="434"/>
      <c r="AO4497" s="434"/>
      <c r="AP4497" s="556"/>
      <c r="AQ4497" s="556"/>
      <c r="AR4497" s="556"/>
      <c r="CF4497" s="2"/>
    </row>
    <row r="4498" spans="3:84">
      <c r="C4498" s="2"/>
      <c r="AD4498" s="502"/>
      <c r="AE4498" s="911"/>
      <c r="AF4498" s="502"/>
      <c r="AH4498" s="898"/>
      <c r="AI4498" s="502"/>
      <c r="AJ4498" s="502"/>
      <c r="AL4498" s="434"/>
      <c r="AM4498" s="436"/>
      <c r="AN4498" s="434"/>
      <c r="AO4498" s="434"/>
      <c r="AP4498" s="556"/>
      <c r="AQ4498" s="556"/>
      <c r="AR4498" s="556"/>
      <c r="CF4498" s="2"/>
    </row>
    <row r="4499" spans="3:84">
      <c r="C4499" s="2"/>
      <c r="AD4499" s="502"/>
      <c r="AE4499" s="911"/>
      <c r="AF4499" s="502"/>
      <c r="AH4499" s="898"/>
      <c r="AI4499" s="502"/>
      <c r="AJ4499" s="502"/>
      <c r="AL4499" s="434"/>
      <c r="AM4499" s="436"/>
      <c r="AN4499" s="434"/>
      <c r="AO4499" s="434"/>
      <c r="AP4499" s="556"/>
      <c r="AQ4499" s="556"/>
      <c r="AR4499" s="556"/>
      <c r="CF4499" s="2"/>
    </row>
    <row r="4500" spans="3:84">
      <c r="C4500" s="2"/>
      <c r="AD4500" s="502"/>
      <c r="AE4500" s="911"/>
      <c r="AF4500" s="502"/>
      <c r="AH4500" s="898"/>
      <c r="AI4500" s="502"/>
      <c r="AJ4500" s="502"/>
      <c r="AL4500" s="434"/>
      <c r="AM4500" s="436"/>
      <c r="AN4500" s="434"/>
      <c r="AO4500" s="434"/>
      <c r="AP4500" s="556"/>
      <c r="AQ4500" s="556"/>
      <c r="AR4500" s="556"/>
      <c r="CF4500" s="2"/>
    </row>
    <row r="4501" spans="3:84">
      <c r="C4501" s="2"/>
      <c r="AD4501" s="502"/>
      <c r="AE4501" s="911"/>
      <c r="AF4501" s="502"/>
      <c r="AH4501" s="898"/>
      <c r="AI4501" s="502"/>
      <c r="AJ4501" s="502"/>
      <c r="AL4501" s="434"/>
      <c r="AM4501" s="436"/>
      <c r="AN4501" s="434"/>
      <c r="AO4501" s="434"/>
      <c r="AP4501" s="556"/>
      <c r="AQ4501" s="556"/>
      <c r="AR4501" s="556"/>
      <c r="CF4501" s="2"/>
    </row>
    <row r="4502" spans="3:84">
      <c r="C4502" s="2"/>
      <c r="AD4502" s="502"/>
      <c r="AE4502" s="911"/>
      <c r="AF4502" s="502"/>
      <c r="AH4502" s="898"/>
      <c r="AI4502" s="502"/>
      <c r="AJ4502" s="502"/>
      <c r="AL4502" s="434"/>
      <c r="AM4502" s="436"/>
      <c r="AN4502" s="434"/>
      <c r="AO4502" s="434"/>
      <c r="AP4502" s="556"/>
      <c r="AQ4502" s="556"/>
      <c r="AR4502" s="556"/>
      <c r="CF4502" s="2"/>
    </row>
    <row r="4503" spans="3:84">
      <c r="C4503" s="2"/>
      <c r="AD4503" s="502"/>
      <c r="AE4503" s="911"/>
      <c r="AF4503" s="502"/>
      <c r="AH4503" s="898"/>
      <c r="AI4503" s="502"/>
      <c r="AJ4503" s="502"/>
      <c r="AL4503" s="434"/>
      <c r="AM4503" s="436"/>
      <c r="AN4503" s="434"/>
      <c r="AO4503" s="434"/>
      <c r="AP4503" s="556"/>
      <c r="AQ4503" s="556"/>
      <c r="AR4503" s="556"/>
      <c r="CF4503" s="2"/>
    </row>
    <row r="4504" spans="3:84">
      <c r="C4504" s="2"/>
      <c r="AD4504" s="502"/>
      <c r="AE4504" s="911"/>
      <c r="AF4504" s="502"/>
      <c r="AH4504" s="898"/>
      <c r="AI4504" s="502"/>
      <c r="AJ4504" s="502"/>
      <c r="AL4504" s="434"/>
      <c r="AM4504" s="436"/>
      <c r="AN4504" s="434"/>
      <c r="AO4504" s="434"/>
      <c r="AP4504" s="556"/>
      <c r="AQ4504" s="556"/>
      <c r="AR4504" s="556"/>
      <c r="CF4504" s="2"/>
    </row>
    <row r="4505" spans="3:84">
      <c r="C4505" s="2"/>
      <c r="AD4505" s="502"/>
      <c r="AE4505" s="911"/>
      <c r="AF4505" s="502"/>
      <c r="AH4505" s="898"/>
      <c r="AI4505" s="502"/>
      <c r="AJ4505" s="502"/>
      <c r="AL4505" s="434"/>
      <c r="AM4505" s="436"/>
      <c r="AN4505" s="434"/>
      <c r="AO4505" s="434"/>
      <c r="AP4505" s="556"/>
      <c r="AQ4505" s="556"/>
      <c r="AR4505" s="556"/>
      <c r="CF4505" s="2"/>
    </row>
    <row r="4506" spans="3:84">
      <c r="C4506" s="2"/>
      <c r="AD4506" s="502"/>
      <c r="AE4506" s="911"/>
      <c r="AF4506" s="502"/>
      <c r="AH4506" s="898"/>
      <c r="AI4506" s="502"/>
      <c r="AJ4506" s="502"/>
      <c r="AL4506" s="434"/>
      <c r="AM4506" s="436"/>
      <c r="AN4506" s="434"/>
      <c r="AO4506" s="434"/>
      <c r="AP4506" s="556"/>
      <c r="AQ4506" s="556"/>
      <c r="AR4506" s="556"/>
      <c r="CF4506" s="2"/>
    </row>
    <row r="4507" spans="3:84">
      <c r="C4507" s="2"/>
      <c r="AD4507" s="502"/>
      <c r="AE4507" s="911"/>
      <c r="AF4507" s="502"/>
      <c r="AH4507" s="898"/>
      <c r="AI4507" s="502"/>
      <c r="AJ4507" s="502"/>
      <c r="AL4507" s="434"/>
      <c r="AM4507" s="436"/>
      <c r="AN4507" s="434"/>
      <c r="AO4507" s="434"/>
      <c r="AP4507" s="556"/>
      <c r="AQ4507" s="556"/>
      <c r="AR4507" s="556"/>
      <c r="CF4507" s="2"/>
    </row>
    <row r="4508" spans="3:84">
      <c r="C4508" s="2"/>
      <c r="AD4508" s="502"/>
      <c r="AE4508" s="911"/>
      <c r="AF4508" s="502"/>
      <c r="AH4508" s="898"/>
      <c r="AI4508" s="502"/>
      <c r="AJ4508" s="502"/>
      <c r="AL4508" s="434"/>
      <c r="AM4508" s="436"/>
      <c r="AN4508" s="434"/>
      <c r="AO4508" s="434"/>
      <c r="AP4508" s="556"/>
      <c r="AQ4508" s="556"/>
      <c r="AR4508" s="556"/>
      <c r="CF4508" s="2"/>
    </row>
    <row r="4509" spans="3:84">
      <c r="C4509" s="2"/>
      <c r="AD4509" s="502"/>
      <c r="AE4509" s="911"/>
      <c r="AF4509" s="502"/>
      <c r="AH4509" s="898"/>
      <c r="AI4509" s="502"/>
      <c r="AJ4509" s="502"/>
      <c r="AL4509" s="434"/>
      <c r="AM4509" s="436"/>
      <c r="AN4509" s="434"/>
      <c r="AO4509" s="434"/>
      <c r="AP4509" s="556"/>
      <c r="AQ4509" s="556"/>
      <c r="AR4509" s="556"/>
      <c r="CF4509" s="2"/>
    </row>
    <row r="4510" spans="3:84">
      <c r="C4510" s="2"/>
      <c r="AD4510" s="502"/>
      <c r="AE4510" s="911"/>
      <c r="AF4510" s="502"/>
      <c r="AH4510" s="898"/>
      <c r="AI4510" s="502"/>
      <c r="AJ4510" s="502"/>
      <c r="AL4510" s="434"/>
      <c r="AM4510" s="436"/>
      <c r="AN4510" s="434"/>
      <c r="AO4510" s="434"/>
      <c r="AP4510" s="556"/>
      <c r="AQ4510" s="556"/>
      <c r="AR4510" s="556"/>
      <c r="CF4510" s="2"/>
    </row>
    <row r="4511" spans="3:84">
      <c r="C4511" s="2"/>
      <c r="AD4511" s="502"/>
      <c r="AE4511" s="911"/>
      <c r="AF4511" s="502"/>
      <c r="AH4511" s="898"/>
      <c r="AI4511" s="502"/>
      <c r="AJ4511" s="502"/>
      <c r="AL4511" s="434"/>
      <c r="AM4511" s="436"/>
      <c r="AN4511" s="434"/>
      <c r="AO4511" s="434"/>
      <c r="AP4511" s="556"/>
      <c r="AQ4511" s="556"/>
      <c r="AR4511" s="556"/>
      <c r="CF4511" s="2"/>
    </row>
    <row r="4512" spans="3:84">
      <c r="C4512" s="2"/>
      <c r="AD4512" s="502"/>
      <c r="AE4512" s="911"/>
      <c r="AF4512" s="502"/>
      <c r="AH4512" s="898"/>
      <c r="AI4512" s="502"/>
      <c r="AJ4512" s="502"/>
      <c r="AL4512" s="434"/>
      <c r="AM4512" s="436"/>
      <c r="AN4512" s="434"/>
      <c r="AO4512" s="434"/>
      <c r="AP4512" s="556"/>
      <c r="AQ4512" s="556"/>
      <c r="AR4512" s="556"/>
      <c r="CF4512" s="2"/>
    </row>
    <row r="4513" spans="3:84">
      <c r="C4513" s="2"/>
      <c r="AD4513" s="502"/>
      <c r="AE4513" s="911"/>
      <c r="AF4513" s="502"/>
      <c r="AH4513" s="898"/>
      <c r="AI4513" s="502"/>
      <c r="AJ4513" s="502"/>
      <c r="AL4513" s="434"/>
      <c r="AM4513" s="436"/>
      <c r="AN4513" s="434"/>
      <c r="AO4513" s="434"/>
      <c r="AP4513" s="556"/>
      <c r="AQ4513" s="556"/>
      <c r="AR4513" s="556"/>
      <c r="CF4513" s="2"/>
    </row>
    <row r="4514" spans="3:84">
      <c r="C4514" s="2"/>
      <c r="AD4514" s="502"/>
      <c r="AE4514" s="911"/>
      <c r="AF4514" s="502"/>
      <c r="AH4514" s="898"/>
      <c r="AI4514" s="502"/>
      <c r="AJ4514" s="502"/>
      <c r="AL4514" s="434"/>
      <c r="AM4514" s="436"/>
      <c r="AN4514" s="434"/>
      <c r="AO4514" s="434"/>
      <c r="AP4514" s="556"/>
      <c r="AQ4514" s="556"/>
      <c r="AR4514" s="556"/>
      <c r="CF4514" s="2"/>
    </row>
    <row r="4515" spans="3:84">
      <c r="C4515" s="2"/>
      <c r="AD4515" s="502"/>
      <c r="AE4515" s="911"/>
      <c r="AF4515" s="502"/>
      <c r="AH4515" s="898"/>
      <c r="AI4515" s="502"/>
      <c r="AJ4515" s="502"/>
      <c r="AL4515" s="434"/>
      <c r="AM4515" s="436"/>
      <c r="AN4515" s="434"/>
      <c r="AO4515" s="434"/>
      <c r="AP4515" s="556"/>
      <c r="AQ4515" s="556"/>
      <c r="AR4515" s="556"/>
      <c r="CF4515" s="2"/>
    </row>
    <row r="4516" spans="3:84">
      <c r="C4516" s="2"/>
      <c r="AD4516" s="502"/>
      <c r="AE4516" s="911"/>
      <c r="AF4516" s="502"/>
      <c r="AH4516" s="898"/>
      <c r="AI4516" s="502"/>
      <c r="AJ4516" s="502"/>
      <c r="AL4516" s="434"/>
      <c r="AM4516" s="436"/>
      <c r="AN4516" s="434"/>
      <c r="AO4516" s="434"/>
      <c r="AP4516" s="556"/>
      <c r="AQ4516" s="556"/>
      <c r="AR4516" s="556"/>
      <c r="CF4516" s="2"/>
    </row>
    <row r="4517" spans="3:84">
      <c r="C4517" s="2"/>
      <c r="AD4517" s="502"/>
      <c r="AE4517" s="911"/>
      <c r="AF4517" s="502"/>
      <c r="AH4517" s="898"/>
      <c r="AI4517" s="502"/>
      <c r="AJ4517" s="502"/>
      <c r="AL4517" s="434"/>
      <c r="AM4517" s="436"/>
      <c r="AN4517" s="434"/>
      <c r="AO4517" s="434"/>
      <c r="AP4517" s="556"/>
      <c r="AQ4517" s="556"/>
      <c r="AR4517" s="556"/>
      <c r="CF4517" s="2"/>
    </row>
    <row r="4518" spans="3:84">
      <c r="C4518" s="2"/>
      <c r="AD4518" s="502"/>
      <c r="AE4518" s="911"/>
      <c r="AF4518" s="502"/>
      <c r="AH4518" s="898"/>
      <c r="AI4518" s="502"/>
      <c r="AJ4518" s="502"/>
      <c r="AL4518" s="434"/>
      <c r="AM4518" s="436"/>
      <c r="AN4518" s="434"/>
      <c r="AO4518" s="434"/>
      <c r="AP4518" s="556"/>
      <c r="AQ4518" s="556"/>
      <c r="AR4518" s="556"/>
      <c r="CF4518" s="2"/>
    </row>
    <row r="4519" spans="3:84">
      <c r="C4519" s="2"/>
      <c r="AD4519" s="502"/>
      <c r="AE4519" s="911"/>
      <c r="AF4519" s="502"/>
      <c r="AH4519" s="898"/>
      <c r="AI4519" s="502"/>
      <c r="AJ4519" s="502"/>
      <c r="AL4519" s="434"/>
      <c r="AM4519" s="436"/>
      <c r="AN4519" s="434"/>
      <c r="AO4519" s="434"/>
      <c r="AP4519" s="556"/>
      <c r="AQ4519" s="556"/>
      <c r="AR4519" s="556"/>
      <c r="CF4519" s="2"/>
    </row>
    <row r="4520" spans="3:84">
      <c r="C4520" s="2"/>
      <c r="AD4520" s="502"/>
      <c r="AE4520" s="911"/>
      <c r="AF4520" s="502"/>
      <c r="AH4520" s="898"/>
      <c r="AI4520" s="502"/>
      <c r="AJ4520" s="502"/>
      <c r="AL4520" s="434"/>
      <c r="AM4520" s="436"/>
      <c r="AN4520" s="434"/>
      <c r="AO4520" s="434"/>
      <c r="AP4520" s="556"/>
      <c r="AQ4520" s="556"/>
      <c r="AR4520" s="556"/>
      <c r="CF4520" s="2"/>
    </row>
    <row r="4521" spans="3:84">
      <c r="C4521" s="2"/>
      <c r="AD4521" s="502"/>
      <c r="AE4521" s="911"/>
      <c r="AF4521" s="502"/>
      <c r="AH4521" s="898"/>
      <c r="AI4521" s="502"/>
      <c r="AJ4521" s="502"/>
      <c r="AL4521" s="434"/>
      <c r="AM4521" s="436"/>
      <c r="AN4521" s="434"/>
      <c r="AO4521" s="434"/>
      <c r="AP4521" s="556"/>
      <c r="AQ4521" s="556"/>
      <c r="AR4521" s="556"/>
      <c r="CF4521" s="2"/>
    </row>
    <row r="4522" spans="3:84">
      <c r="C4522" s="2"/>
      <c r="AD4522" s="502"/>
      <c r="AE4522" s="911"/>
      <c r="AF4522" s="502"/>
      <c r="AH4522" s="898"/>
      <c r="AI4522" s="502"/>
      <c r="AJ4522" s="502"/>
      <c r="AL4522" s="434"/>
      <c r="AM4522" s="436"/>
      <c r="AN4522" s="434"/>
      <c r="AO4522" s="434"/>
      <c r="AP4522" s="556"/>
      <c r="AQ4522" s="556"/>
      <c r="AR4522" s="556"/>
      <c r="CF4522" s="2"/>
    </row>
    <row r="4523" spans="3:84">
      <c r="C4523" s="2"/>
      <c r="AD4523" s="502"/>
      <c r="AE4523" s="911"/>
      <c r="AF4523" s="502"/>
      <c r="AH4523" s="898"/>
      <c r="AI4523" s="502"/>
      <c r="AJ4523" s="502"/>
      <c r="AL4523" s="434"/>
      <c r="AM4523" s="436"/>
      <c r="AN4523" s="434"/>
      <c r="AO4523" s="434"/>
      <c r="AP4523" s="556"/>
      <c r="AQ4523" s="556"/>
      <c r="AR4523" s="556"/>
      <c r="CF4523" s="2"/>
    </row>
    <row r="4524" spans="3:84">
      <c r="C4524" s="2"/>
      <c r="AD4524" s="502"/>
      <c r="AE4524" s="911"/>
      <c r="AF4524" s="502"/>
      <c r="AH4524" s="898"/>
      <c r="AI4524" s="502"/>
      <c r="AJ4524" s="502"/>
      <c r="AL4524" s="434"/>
      <c r="AM4524" s="436"/>
      <c r="AN4524" s="434"/>
      <c r="AO4524" s="434"/>
      <c r="AP4524" s="556"/>
      <c r="AQ4524" s="556"/>
      <c r="AR4524" s="556"/>
      <c r="CF4524" s="2"/>
    </row>
    <row r="4525" spans="3:84">
      <c r="C4525" s="2"/>
      <c r="AD4525" s="502"/>
      <c r="AE4525" s="911"/>
      <c r="AF4525" s="502"/>
      <c r="AH4525" s="898"/>
      <c r="AI4525" s="502"/>
      <c r="AJ4525" s="502"/>
      <c r="AL4525" s="434"/>
      <c r="AM4525" s="436"/>
      <c r="AN4525" s="434"/>
      <c r="AO4525" s="434"/>
      <c r="AP4525" s="556"/>
      <c r="AQ4525" s="556"/>
      <c r="AR4525" s="556"/>
      <c r="CF4525" s="2"/>
    </row>
    <row r="4526" spans="3:84">
      <c r="C4526" s="2"/>
      <c r="AD4526" s="502"/>
      <c r="AE4526" s="911"/>
      <c r="AF4526" s="502"/>
      <c r="AH4526" s="898"/>
      <c r="AI4526" s="502"/>
      <c r="AJ4526" s="502"/>
      <c r="AL4526" s="434"/>
      <c r="AM4526" s="436"/>
      <c r="AN4526" s="434"/>
      <c r="AO4526" s="434"/>
      <c r="AP4526" s="556"/>
      <c r="AQ4526" s="556"/>
      <c r="AR4526" s="556"/>
      <c r="CF4526" s="2"/>
    </row>
    <row r="4527" spans="3:84">
      <c r="C4527" s="2"/>
      <c r="AD4527" s="502"/>
      <c r="AE4527" s="911"/>
      <c r="AF4527" s="502"/>
      <c r="AH4527" s="898"/>
      <c r="AI4527" s="502"/>
      <c r="AJ4527" s="502"/>
      <c r="AL4527" s="434"/>
      <c r="AM4527" s="436"/>
      <c r="AN4527" s="434"/>
      <c r="AO4527" s="434"/>
      <c r="AP4527" s="556"/>
      <c r="AQ4527" s="556"/>
      <c r="AR4527" s="556"/>
      <c r="CF4527" s="2"/>
    </row>
    <row r="4528" spans="3:84">
      <c r="C4528" s="2"/>
      <c r="AD4528" s="502"/>
      <c r="AE4528" s="911"/>
      <c r="AF4528" s="502"/>
      <c r="AH4528" s="898"/>
      <c r="AI4528" s="502"/>
      <c r="AJ4528" s="502"/>
      <c r="AL4528" s="434"/>
      <c r="AM4528" s="436"/>
      <c r="AN4528" s="434"/>
      <c r="AO4528" s="434"/>
      <c r="AP4528" s="556"/>
      <c r="AQ4528" s="556"/>
      <c r="AR4528" s="556"/>
      <c r="CF4528" s="2"/>
    </row>
    <row r="4529" spans="3:84">
      <c r="C4529" s="2"/>
      <c r="AD4529" s="502"/>
      <c r="AE4529" s="911"/>
      <c r="AF4529" s="502"/>
      <c r="AH4529" s="898"/>
      <c r="AI4529" s="502"/>
      <c r="AJ4529" s="502"/>
      <c r="AL4529" s="434"/>
      <c r="AM4529" s="436"/>
      <c r="AN4529" s="434"/>
      <c r="AO4529" s="434"/>
      <c r="AP4529" s="556"/>
      <c r="AQ4529" s="556"/>
      <c r="AR4529" s="556"/>
      <c r="CF4529" s="2"/>
    </row>
    <row r="4530" spans="3:84">
      <c r="C4530" s="2"/>
      <c r="AD4530" s="502"/>
      <c r="AE4530" s="911"/>
      <c r="AF4530" s="502"/>
      <c r="AH4530" s="898"/>
      <c r="AI4530" s="502"/>
      <c r="AJ4530" s="502"/>
      <c r="AL4530" s="434"/>
      <c r="AM4530" s="436"/>
      <c r="AN4530" s="434"/>
      <c r="AO4530" s="434"/>
      <c r="AP4530" s="556"/>
      <c r="AQ4530" s="556"/>
      <c r="AR4530" s="556"/>
      <c r="CF4530" s="2"/>
    </row>
    <row r="4531" spans="3:84">
      <c r="C4531" s="2"/>
      <c r="AD4531" s="502"/>
      <c r="AE4531" s="911"/>
      <c r="AF4531" s="502"/>
      <c r="AH4531" s="898"/>
      <c r="AI4531" s="502"/>
      <c r="AJ4531" s="502"/>
      <c r="AL4531" s="434"/>
      <c r="AM4531" s="436"/>
      <c r="AN4531" s="434"/>
      <c r="AO4531" s="434"/>
      <c r="AP4531" s="556"/>
      <c r="AQ4531" s="556"/>
      <c r="AR4531" s="556"/>
      <c r="CF4531" s="2"/>
    </row>
    <row r="4532" spans="3:84">
      <c r="C4532" s="2"/>
      <c r="AD4532" s="502"/>
      <c r="AE4532" s="911"/>
      <c r="AF4532" s="502"/>
      <c r="AH4532" s="898"/>
      <c r="AI4532" s="502"/>
      <c r="AJ4532" s="502"/>
      <c r="AL4532" s="434"/>
      <c r="AM4532" s="436"/>
      <c r="AN4532" s="434"/>
      <c r="AO4532" s="434"/>
      <c r="AP4532" s="556"/>
      <c r="AQ4532" s="556"/>
      <c r="AR4532" s="556"/>
      <c r="CF4532" s="2"/>
    </row>
    <row r="4533" spans="3:84">
      <c r="C4533" s="2"/>
      <c r="AD4533" s="502"/>
      <c r="AE4533" s="911"/>
      <c r="AF4533" s="502"/>
      <c r="AH4533" s="898"/>
      <c r="AI4533" s="502"/>
      <c r="AJ4533" s="502"/>
      <c r="AL4533" s="434"/>
      <c r="AM4533" s="436"/>
      <c r="AN4533" s="434"/>
      <c r="AO4533" s="434"/>
      <c r="AP4533" s="556"/>
      <c r="AQ4533" s="556"/>
      <c r="AR4533" s="556"/>
      <c r="CF4533" s="2"/>
    </row>
    <row r="4534" spans="3:84">
      <c r="C4534" s="2"/>
      <c r="AD4534" s="502"/>
      <c r="AE4534" s="911"/>
      <c r="AF4534" s="502"/>
      <c r="AH4534" s="898"/>
      <c r="AI4534" s="502"/>
      <c r="AJ4534" s="502"/>
      <c r="AL4534" s="434"/>
      <c r="AM4534" s="436"/>
      <c r="AN4534" s="434"/>
      <c r="AO4534" s="434"/>
      <c r="AP4534" s="556"/>
      <c r="AQ4534" s="556"/>
      <c r="AR4534" s="556"/>
      <c r="CF4534" s="2"/>
    </row>
    <row r="4535" spans="3:84">
      <c r="C4535" s="2"/>
      <c r="AD4535" s="502"/>
      <c r="AE4535" s="911"/>
      <c r="AF4535" s="502"/>
      <c r="AH4535" s="898"/>
      <c r="AI4535" s="502"/>
      <c r="AJ4535" s="502"/>
      <c r="AL4535" s="434"/>
      <c r="AM4535" s="436"/>
      <c r="AN4535" s="434"/>
      <c r="AO4535" s="434"/>
      <c r="AP4535" s="556"/>
      <c r="AQ4535" s="556"/>
      <c r="AR4535" s="556"/>
      <c r="CF4535" s="2"/>
    </row>
    <row r="4536" spans="3:84">
      <c r="C4536" s="2"/>
      <c r="AD4536" s="502"/>
      <c r="AE4536" s="911"/>
      <c r="AF4536" s="502"/>
      <c r="AH4536" s="898"/>
      <c r="AI4536" s="502"/>
      <c r="AJ4536" s="502"/>
      <c r="AL4536" s="434"/>
      <c r="AM4536" s="436"/>
      <c r="AN4536" s="434"/>
      <c r="AO4536" s="434"/>
      <c r="AP4536" s="556"/>
      <c r="AQ4536" s="556"/>
      <c r="AR4536" s="556"/>
      <c r="CF4536" s="2"/>
    </row>
    <row r="4537" spans="3:84">
      <c r="C4537" s="2"/>
      <c r="AD4537" s="502"/>
      <c r="AE4537" s="911"/>
      <c r="AF4537" s="502"/>
      <c r="AH4537" s="898"/>
      <c r="AI4537" s="502"/>
      <c r="AJ4537" s="502"/>
      <c r="AL4537" s="434"/>
      <c r="AM4537" s="436"/>
      <c r="AN4537" s="434"/>
      <c r="AO4537" s="434"/>
      <c r="AP4537" s="556"/>
      <c r="AQ4537" s="556"/>
      <c r="AR4537" s="556"/>
      <c r="CF4537" s="2"/>
    </row>
    <row r="4538" spans="3:84">
      <c r="C4538" s="2"/>
      <c r="AD4538" s="502"/>
      <c r="AE4538" s="911"/>
      <c r="AF4538" s="502"/>
      <c r="AH4538" s="898"/>
      <c r="AI4538" s="502"/>
      <c r="AJ4538" s="502"/>
      <c r="AL4538" s="434"/>
      <c r="AM4538" s="436"/>
      <c r="AN4538" s="434"/>
      <c r="AO4538" s="434"/>
      <c r="AP4538" s="556"/>
      <c r="AQ4538" s="556"/>
      <c r="AR4538" s="556"/>
      <c r="CF4538" s="2"/>
    </row>
    <row r="4539" spans="3:84">
      <c r="C4539" s="2"/>
      <c r="AD4539" s="502"/>
      <c r="AE4539" s="911"/>
      <c r="AF4539" s="502"/>
      <c r="AH4539" s="898"/>
      <c r="AI4539" s="502"/>
      <c r="AJ4539" s="502"/>
      <c r="AL4539" s="434"/>
      <c r="AM4539" s="436"/>
      <c r="AN4539" s="434"/>
      <c r="AO4539" s="434"/>
      <c r="AP4539" s="556"/>
      <c r="AQ4539" s="556"/>
      <c r="AR4539" s="556"/>
      <c r="CF4539" s="2"/>
    </row>
    <row r="4540" spans="3:84">
      <c r="C4540" s="2"/>
      <c r="AD4540" s="502"/>
      <c r="AE4540" s="911"/>
      <c r="AF4540" s="502"/>
      <c r="AH4540" s="898"/>
      <c r="AI4540" s="502"/>
      <c r="AJ4540" s="502"/>
      <c r="AL4540" s="434"/>
      <c r="AM4540" s="436"/>
      <c r="AN4540" s="434"/>
      <c r="AO4540" s="434"/>
      <c r="AP4540" s="556"/>
      <c r="AQ4540" s="556"/>
      <c r="AR4540" s="556"/>
      <c r="CF4540" s="2"/>
    </row>
    <row r="4541" spans="3:84">
      <c r="C4541" s="2"/>
      <c r="AD4541" s="502"/>
      <c r="AE4541" s="911"/>
      <c r="AF4541" s="502"/>
      <c r="AH4541" s="898"/>
      <c r="AI4541" s="502"/>
      <c r="AJ4541" s="502"/>
      <c r="AL4541" s="434"/>
      <c r="AM4541" s="436"/>
      <c r="AN4541" s="434"/>
      <c r="AO4541" s="434"/>
      <c r="AP4541" s="556"/>
      <c r="AQ4541" s="556"/>
      <c r="AR4541" s="556"/>
      <c r="CF4541" s="2"/>
    </row>
    <row r="4542" spans="3:84">
      <c r="C4542" s="2"/>
      <c r="AD4542" s="502"/>
      <c r="AE4542" s="911"/>
      <c r="AF4542" s="502"/>
      <c r="AH4542" s="898"/>
      <c r="AI4542" s="502"/>
      <c r="AJ4542" s="502"/>
      <c r="AL4542" s="434"/>
      <c r="AM4542" s="436"/>
      <c r="AN4542" s="434"/>
      <c r="AO4542" s="434"/>
      <c r="AP4542" s="556"/>
      <c r="AQ4542" s="556"/>
      <c r="AR4542" s="556"/>
      <c r="CF4542" s="2"/>
    </row>
    <row r="4543" spans="3:84">
      <c r="C4543" s="2"/>
      <c r="AD4543" s="502"/>
      <c r="AE4543" s="911"/>
      <c r="AF4543" s="502"/>
      <c r="AH4543" s="898"/>
      <c r="AI4543" s="502"/>
      <c r="AJ4543" s="502"/>
      <c r="AL4543" s="434"/>
      <c r="AM4543" s="436"/>
      <c r="AN4543" s="434"/>
      <c r="AO4543" s="434"/>
      <c r="AP4543" s="556"/>
      <c r="AQ4543" s="556"/>
      <c r="AR4543" s="556"/>
      <c r="CF4543" s="2"/>
    </row>
    <row r="4544" spans="3:84">
      <c r="C4544" s="2"/>
      <c r="AD4544" s="502"/>
      <c r="AE4544" s="911"/>
      <c r="AF4544" s="502"/>
      <c r="AH4544" s="898"/>
      <c r="AI4544" s="502"/>
      <c r="AJ4544" s="502"/>
      <c r="AL4544" s="434"/>
      <c r="AM4544" s="436"/>
      <c r="AN4544" s="434"/>
      <c r="AO4544" s="434"/>
      <c r="AP4544" s="556"/>
      <c r="AQ4544" s="556"/>
      <c r="AR4544" s="556"/>
      <c r="CF4544" s="2"/>
    </row>
    <row r="4545" spans="3:84">
      <c r="C4545" s="2"/>
      <c r="AD4545" s="502"/>
      <c r="AE4545" s="911"/>
      <c r="AF4545" s="502"/>
      <c r="AH4545" s="898"/>
      <c r="AI4545" s="502"/>
      <c r="AJ4545" s="502"/>
      <c r="AL4545" s="434"/>
      <c r="AM4545" s="436"/>
      <c r="AN4545" s="434"/>
      <c r="AO4545" s="434"/>
      <c r="AP4545" s="556"/>
      <c r="AQ4545" s="556"/>
      <c r="AR4545" s="556"/>
      <c r="CF4545" s="2"/>
    </row>
    <row r="4546" spans="3:84">
      <c r="C4546" s="2"/>
      <c r="AD4546" s="502"/>
      <c r="AE4546" s="911"/>
      <c r="AF4546" s="502"/>
      <c r="AH4546" s="898"/>
      <c r="AI4546" s="502"/>
      <c r="AJ4546" s="502"/>
      <c r="AL4546" s="434"/>
      <c r="AM4546" s="436"/>
      <c r="AN4546" s="434"/>
      <c r="AO4546" s="434"/>
      <c r="AP4546" s="556"/>
      <c r="AQ4546" s="556"/>
      <c r="AR4546" s="556"/>
      <c r="CF4546" s="2"/>
    </row>
    <row r="4547" spans="3:84">
      <c r="C4547" s="2"/>
      <c r="AD4547" s="502"/>
      <c r="AE4547" s="911"/>
      <c r="AF4547" s="502"/>
      <c r="AH4547" s="898"/>
      <c r="AI4547" s="502"/>
      <c r="AJ4547" s="502"/>
      <c r="AL4547" s="434"/>
      <c r="AM4547" s="436"/>
      <c r="AN4547" s="434"/>
      <c r="AO4547" s="434"/>
      <c r="AP4547" s="556"/>
      <c r="AQ4547" s="556"/>
      <c r="AR4547" s="556"/>
      <c r="CF4547" s="2"/>
    </row>
    <row r="4548" spans="3:84">
      <c r="C4548" s="2"/>
      <c r="AD4548" s="502"/>
      <c r="AE4548" s="911"/>
      <c r="AF4548" s="502"/>
      <c r="AH4548" s="898"/>
      <c r="AI4548" s="502"/>
      <c r="AJ4548" s="502"/>
      <c r="AL4548" s="434"/>
      <c r="AM4548" s="436"/>
      <c r="AN4548" s="434"/>
      <c r="AO4548" s="434"/>
      <c r="AP4548" s="556"/>
      <c r="AQ4548" s="556"/>
      <c r="AR4548" s="556"/>
      <c r="CF4548" s="2"/>
    </row>
    <row r="4549" spans="3:84">
      <c r="C4549" s="2"/>
      <c r="AD4549" s="502"/>
      <c r="AE4549" s="911"/>
      <c r="AF4549" s="502"/>
      <c r="AH4549" s="898"/>
      <c r="AI4549" s="502"/>
      <c r="AJ4549" s="502"/>
      <c r="AL4549" s="434"/>
      <c r="AM4549" s="436"/>
      <c r="AN4549" s="434"/>
      <c r="AO4549" s="434"/>
      <c r="AP4549" s="556"/>
      <c r="AQ4549" s="556"/>
      <c r="AR4549" s="556"/>
      <c r="CF4549" s="2"/>
    </row>
    <row r="4550" spans="3:84">
      <c r="C4550" s="2"/>
      <c r="AD4550" s="502"/>
      <c r="AE4550" s="911"/>
      <c r="AF4550" s="502"/>
      <c r="AH4550" s="898"/>
      <c r="AI4550" s="502"/>
      <c r="AJ4550" s="502"/>
      <c r="AL4550" s="434"/>
      <c r="AM4550" s="436"/>
      <c r="AN4550" s="434"/>
      <c r="AO4550" s="434"/>
      <c r="AP4550" s="556"/>
      <c r="AQ4550" s="556"/>
      <c r="AR4550" s="556"/>
      <c r="CF4550" s="2"/>
    </row>
    <row r="4551" spans="3:84">
      <c r="C4551" s="2"/>
      <c r="AD4551" s="502"/>
      <c r="AE4551" s="911"/>
      <c r="AF4551" s="502"/>
      <c r="AH4551" s="898"/>
      <c r="AI4551" s="502"/>
      <c r="AJ4551" s="502"/>
      <c r="AL4551" s="434"/>
      <c r="AM4551" s="436"/>
      <c r="AN4551" s="434"/>
      <c r="AO4551" s="434"/>
      <c r="AP4551" s="556"/>
      <c r="AQ4551" s="556"/>
      <c r="AR4551" s="556"/>
      <c r="CF4551" s="2"/>
    </row>
    <row r="4552" spans="3:84">
      <c r="C4552" s="2"/>
      <c r="AD4552" s="502"/>
      <c r="AE4552" s="911"/>
      <c r="AF4552" s="502"/>
      <c r="AH4552" s="898"/>
      <c r="AI4552" s="502"/>
      <c r="AJ4552" s="502"/>
      <c r="AL4552" s="434"/>
      <c r="AM4552" s="436"/>
      <c r="AN4552" s="434"/>
      <c r="AO4552" s="434"/>
      <c r="AP4552" s="556"/>
      <c r="AQ4552" s="556"/>
      <c r="AR4552" s="556"/>
      <c r="CF4552" s="2"/>
    </row>
    <row r="4553" spans="3:84">
      <c r="C4553" s="2"/>
      <c r="AD4553" s="502"/>
      <c r="AE4553" s="911"/>
      <c r="AF4553" s="502"/>
      <c r="AH4553" s="898"/>
      <c r="AI4553" s="502"/>
      <c r="AJ4553" s="502"/>
      <c r="AL4553" s="434"/>
      <c r="AM4553" s="436"/>
      <c r="AN4553" s="434"/>
      <c r="AO4553" s="434"/>
      <c r="AP4553" s="556"/>
      <c r="AQ4553" s="556"/>
      <c r="AR4553" s="556"/>
      <c r="CF4553" s="2"/>
    </row>
    <row r="4554" spans="3:84">
      <c r="C4554" s="2"/>
      <c r="AD4554" s="502"/>
      <c r="AE4554" s="911"/>
      <c r="AF4554" s="502"/>
      <c r="AH4554" s="898"/>
      <c r="AI4554" s="502"/>
      <c r="AJ4554" s="502"/>
      <c r="AL4554" s="434"/>
      <c r="AM4554" s="436"/>
      <c r="AN4554" s="434"/>
      <c r="AO4554" s="434"/>
      <c r="AP4554" s="556"/>
      <c r="AQ4554" s="556"/>
      <c r="AR4554" s="556"/>
      <c r="CF4554" s="2"/>
    </row>
    <row r="4555" spans="3:84">
      <c r="C4555" s="2"/>
      <c r="AD4555" s="502"/>
      <c r="AE4555" s="911"/>
      <c r="AF4555" s="502"/>
      <c r="AH4555" s="898"/>
      <c r="AI4555" s="502"/>
      <c r="AJ4555" s="502"/>
      <c r="AL4555" s="434"/>
      <c r="AM4555" s="436"/>
      <c r="AN4555" s="434"/>
      <c r="AO4555" s="434"/>
      <c r="AP4555" s="556"/>
      <c r="AQ4555" s="556"/>
      <c r="AR4555" s="556"/>
      <c r="CF4555" s="2"/>
    </row>
    <row r="4556" spans="3:84">
      <c r="C4556" s="2"/>
      <c r="AD4556" s="502"/>
      <c r="AE4556" s="911"/>
      <c r="AF4556" s="502"/>
      <c r="AH4556" s="898"/>
      <c r="AI4556" s="502"/>
      <c r="AJ4556" s="502"/>
      <c r="AL4556" s="434"/>
      <c r="AM4556" s="436"/>
      <c r="AN4556" s="434"/>
      <c r="AO4556" s="434"/>
      <c r="AP4556" s="556"/>
      <c r="AQ4556" s="556"/>
      <c r="AR4556" s="556"/>
      <c r="CF4556" s="2"/>
    </row>
    <row r="4557" spans="3:84">
      <c r="C4557" s="2"/>
      <c r="AD4557" s="502"/>
      <c r="AE4557" s="911"/>
      <c r="AF4557" s="502"/>
      <c r="AH4557" s="898"/>
      <c r="AI4557" s="502"/>
      <c r="AJ4557" s="502"/>
      <c r="AL4557" s="434"/>
      <c r="AM4557" s="436"/>
      <c r="AN4557" s="434"/>
      <c r="AO4557" s="434"/>
      <c r="AP4557" s="556"/>
      <c r="AQ4557" s="556"/>
      <c r="AR4557" s="556"/>
      <c r="CF4557" s="2"/>
    </row>
    <row r="4558" spans="3:84">
      <c r="C4558" s="2"/>
      <c r="AD4558" s="502"/>
      <c r="AE4558" s="911"/>
      <c r="AF4558" s="502"/>
      <c r="AH4558" s="898"/>
      <c r="AI4558" s="502"/>
      <c r="AJ4558" s="502"/>
      <c r="AL4558" s="434"/>
      <c r="AM4558" s="436"/>
      <c r="AN4558" s="434"/>
      <c r="AO4558" s="434"/>
      <c r="AP4558" s="556"/>
      <c r="AQ4558" s="556"/>
      <c r="AR4558" s="556"/>
      <c r="CF4558" s="2"/>
    </row>
    <row r="4559" spans="3:84">
      <c r="C4559" s="2"/>
      <c r="AD4559" s="502"/>
      <c r="AE4559" s="911"/>
      <c r="AF4559" s="502"/>
      <c r="AH4559" s="898"/>
      <c r="AI4559" s="502"/>
      <c r="AJ4559" s="502"/>
      <c r="AL4559" s="434"/>
      <c r="AM4559" s="436"/>
      <c r="AN4559" s="434"/>
      <c r="AO4559" s="434"/>
      <c r="AP4559" s="556"/>
      <c r="AQ4559" s="556"/>
      <c r="AR4559" s="556"/>
      <c r="CF4559" s="2"/>
    </row>
    <row r="4560" spans="3:84">
      <c r="C4560" s="2"/>
      <c r="AD4560" s="502"/>
      <c r="AE4560" s="911"/>
      <c r="AF4560" s="502"/>
      <c r="AH4560" s="898"/>
      <c r="AI4560" s="502"/>
      <c r="AJ4560" s="502"/>
      <c r="AL4560" s="434"/>
      <c r="AM4560" s="436"/>
      <c r="AN4560" s="434"/>
      <c r="AO4560" s="434"/>
      <c r="AP4560" s="556"/>
      <c r="AQ4560" s="556"/>
      <c r="AR4560" s="556"/>
      <c r="CF4560" s="2"/>
    </row>
    <row r="4561" spans="3:84">
      <c r="C4561" s="2"/>
      <c r="AD4561" s="502"/>
      <c r="AE4561" s="911"/>
      <c r="AF4561" s="502"/>
      <c r="AH4561" s="898"/>
      <c r="AI4561" s="502"/>
      <c r="AJ4561" s="502"/>
      <c r="AL4561" s="434"/>
      <c r="AM4561" s="436"/>
      <c r="AN4561" s="434"/>
      <c r="AO4561" s="434"/>
      <c r="AP4561" s="556"/>
      <c r="AQ4561" s="556"/>
      <c r="AR4561" s="556"/>
      <c r="CF4561" s="2"/>
    </row>
    <row r="4562" spans="3:84">
      <c r="C4562" s="2"/>
      <c r="AD4562" s="502"/>
      <c r="AE4562" s="911"/>
      <c r="AF4562" s="502"/>
      <c r="AH4562" s="898"/>
      <c r="AI4562" s="502"/>
      <c r="AJ4562" s="502"/>
      <c r="AL4562" s="434"/>
      <c r="AM4562" s="436"/>
      <c r="AN4562" s="434"/>
      <c r="AO4562" s="434"/>
      <c r="AP4562" s="556"/>
      <c r="AQ4562" s="556"/>
      <c r="AR4562" s="556"/>
      <c r="CF4562" s="2"/>
    </row>
    <row r="4563" spans="3:84">
      <c r="C4563" s="2"/>
      <c r="AD4563" s="502"/>
      <c r="AE4563" s="911"/>
      <c r="AF4563" s="502"/>
      <c r="AH4563" s="898"/>
      <c r="AI4563" s="502"/>
      <c r="AJ4563" s="502"/>
      <c r="AL4563" s="434"/>
      <c r="AM4563" s="436"/>
      <c r="AN4563" s="434"/>
      <c r="AO4563" s="434"/>
      <c r="AP4563" s="556"/>
      <c r="AQ4563" s="556"/>
      <c r="AR4563" s="556"/>
      <c r="CF4563" s="2"/>
    </row>
    <row r="4564" spans="3:84">
      <c r="C4564" s="2"/>
      <c r="AD4564" s="502"/>
      <c r="AE4564" s="911"/>
      <c r="AF4564" s="502"/>
      <c r="AH4564" s="898"/>
      <c r="AI4564" s="502"/>
      <c r="AJ4564" s="502"/>
      <c r="AL4564" s="434"/>
      <c r="AM4564" s="436"/>
      <c r="AN4564" s="434"/>
      <c r="AO4564" s="434"/>
      <c r="AP4564" s="556"/>
      <c r="AQ4564" s="556"/>
      <c r="AR4564" s="556"/>
      <c r="CF4564" s="2"/>
    </row>
    <row r="4565" spans="3:84">
      <c r="C4565" s="2"/>
      <c r="AD4565" s="502"/>
      <c r="AE4565" s="911"/>
      <c r="AF4565" s="502"/>
      <c r="AH4565" s="898"/>
      <c r="AI4565" s="502"/>
      <c r="AJ4565" s="502"/>
      <c r="AL4565" s="434"/>
      <c r="AM4565" s="436"/>
      <c r="AN4565" s="434"/>
      <c r="AO4565" s="434"/>
      <c r="AP4565" s="556"/>
      <c r="AQ4565" s="556"/>
      <c r="AR4565" s="556"/>
      <c r="CF4565" s="2"/>
    </row>
    <row r="4566" spans="3:84">
      <c r="C4566" s="2"/>
      <c r="AD4566" s="502"/>
      <c r="AE4566" s="911"/>
      <c r="AF4566" s="502"/>
      <c r="AH4566" s="898"/>
      <c r="AI4566" s="502"/>
      <c r="AJ4566" s="502"/>
      <c r="AL4566" s="434"/>
      <c r="AM4566" s="436"/>
      <c r="AN4566" s="434"/>
      <c r="AO4566" s="434"/>
      <c r="AP4566" s="556"/>
      <c r="AQ4566" s="556"/>
      <c r="AR4566" s="556"/>
      <c r="CF4566" s="2"/>
    </row>
    <row r="4567" spans="3:84">
      <c r="C4567" s="2"/>
      <c r="AD4567" s="502"/>
      <c r="AE4567" s="911"/>
      <c r="AF4567" s="502"/>
      <c r="AH4567" s="898"/>
      <c r="AI4567" s="502"/>
      <c r="AJ4567" s="502"/>
      <c r="AL4567" s="434"/>
      <c r="AM4567" s="436"/>
      <c r="AN4567" s="434"/>
      <c r="AO4567" s="434"/>
      <c r="AP4567" s="556"/>
      <c r="AQ4567" s="556"/>
      <c r="AR4567" s="556"/>
      <c r="CF4567" s="2"/>
    </row>
    <row r="4568" spans="3:84">
      <c r="C4568" s="2"/>
      <c r="AD4568" s="502"/>
      <c r="AE4568" s="911"/>
      <c r="AF4568" s="502"/>
      <c r="AH4568" s="898"/>
      <c r="AI4568" s="502"/>
      <c r="AJ4568" s="502"/>
      <c r="AL4568" s="434"/>
      <c r="AM4568" s="436"/>
      <c r="AN4568" s="434"/>
      <c r="AO4568" s="434"/>
      <c r="AP4568" s="556"/>
      <c r="AQ4568" s="556"/>
      <c r="AR4568" s="556"/>
      <c r="CF4568" s="2"/>
    </row>
    <row r="4569" spans="3:84">
      <c r="C4569" s="2"/>
      <c r="AD4569" s="502"/>
      <c r="AE4569" s="911"/>
      <c r="AF4569" s="502"/>
      <c r="AH4569" s="898"/>
      <c r="AI4569" s="502"/>
      <c r="AJ4569" s="502"/>
      <c r="AL4569" s="434"/>
      <c r="AM4569" s="436"/>
      <c r="AN4569" s="434"/>
      <c r="AO4569" s="434"/>
      <c r="AP4569" s="556"/>
      <c r="AQ4569" s="556"/>
      <c r="AR4569" s="556"/>
      <c r="CF4569" s="2"/>
    </row>
    <row r="4570" spans="3:84">
      <c r="C4570" s="2"/>
      <c r="AD4570" s="502"/>
      <c r="AE4570" s="911"/>
      <c r="AF4570" s="502"/>
      <c r="AH4570" s="898"/>
      <c r="AI4570" s="502"/>
      <c r="AJ4570" s="502"/>
      <c r="AL4570" s="434"/>
      <c r="AM4570" s="436"/>
      <c r="AN4570" s="434"/>
      <c r="AO4570" s="434"/>
      <c r="AP4570" s="556"/>
      <c r="AQ4570" s="556"/>
      <c r="AR4570" s="556"/>
      <c r="CF4570" s="2"/>
    </row>
    <row r="4571" spans="3:84">
      <c r="C4571" s="2"/>
      <c r="AD4571" s="502"/>
      <c r="AE4571" s="911"/>
      <c r="AF4571" s="502"/>
      <c r="AH4571" s="898"/>
      <c r="AI4571" s="502"/>
      <c r="AJ4571" s="502"/>
      <c r="AL4571" s="434"/>
      <c r="AM4571" s="436"/>
      <c r="AN4571" s="434"/>
      <c r="AO4571" s="434"/>
      <c r="AP4571" s="556"/>
      <c r="AQ4571" s="556"/>
      <c r="AR4571" s="556"/>
      <c r="CF4571" s="2"/>
    </row>
    <row r="4572" spans="3:84">
      <c r="C4572" s="2"/>
      <c r="AD4572" s="502"/>
      <c r="AE4572" s="911"/>
      <c r="AF4572" s="502"/>
      <c r="AH4572" s="898"/>
      <c r="AI4572" s="502"/>
      <c r="AJ4572" s="502"/>
      <c r="AL4572" s="434"/>
      <c r="AM4572" s="436"/>
      <c r="AN4572" s="434"/>
      <c r="AO4572" s="434"/>
      <c r="AP4572" s="556"/>
      <c r="AQ4572" s="556"/>
      <c r="AR4572" s="556"/>
      <c r="CF4572" s="2"/>
    </row>
    <row r="4573" spans="3:84">
      <c r="C4573" s="2"/>
      <c r="AD4573" s="502"/>
      <c r="AE4573" s="911"/>
      <c r="AF4573" s="502"/>
      <c r="AH4573" s="898"/>
      <c r="AI4573" s="502"/>
      <c r="AJ4573" s="502"/>
      <c r="AL4573" s="434"/>
      <c r="AM4573" s="436"/>
      <c r="AN4573" s="434"/>
      <c r="AO4573" s="434"/>
      <c r="AP4573" s="556"/>
      <c r="AQ4573" s="556"/>
      <c r="AR4573" s="556"/>
      <c r="CF4573" s="2"/>
    </row>
    <row r="4574" spans="3:84">
      <c r="C4574" s="2"/>
      <c r="AD4574" s="502"/>
      <c r="AE4574" s="911"/>
      <c r="AF4574" s="502"/>
      <c r="AH4574" s="898"/>
      <c r="AI4574" s="502"/>
      <c r="AJ4574" s="502"/>
      <c r="AL4574" s="434"/>
      <c r="AM4574" s="436"/>
      <c r="AN4574" s="434"/>
      <c r="AO4574" s="434"/>
      <c r="AP4574" s="556"/>
      <c r="AQ4574" s="556"/>
      <c r="AR4574" s="556"/>
      <c r="CF4574" s="2"/>
    </row>
    <row r="4575" spans="3:84">
      <c r="C4575" s="2"/>
      <c r="AD4575" s="502"/>
      <c r="AE4575" s="911"/>
      <c r="AF4575" s="502"/>
      <c r="AH4575" s="898"/>
      <c r="AI4575" s="502"/>
      <c r="AJ4575" s="502"/>
      <c r="AL4575" s="434"/>
      <c r="AM4575" s="436"/>
      <c r="AN4575" s="434"/>
      <c r="AO4575" s="434"/>
      <c r="AP4575" s="556"/>
      <c r="AQ4575" s="556"/>
      <c r="AR4575" s="556"/>
      <c r="CF4575" s="2"/>
    </row>
    <row r="4576" spans="3:84">
      <c r="C4576" s="2"/>
      <c r="AD4576" s="502"/>
      <c r="AE4576" s="911"/>
      <c r="AF4576" s="502"/>
      <c r="AH4576" s="898"/>
      <c r="AI4576" s="502"/>
      <c r="AJ4576" s="502"/>
      <c r="AL4576" s="434"/>
      <c r="AM4576" s="436"/>
      <c r="AN4576" s="434"/>
      <c r="AO4576" s="434"/>
      <c r="AP4576" s="556"/>
      <c r="AQ4576" s="556"/>
      <c r="AR4576" s="556"/>
      <c r="CF4576" s="2"/>
    </row>
    <row r="4577" spans="3:84">
      <c r="C4577" s="2"/>
      <c r="AD4577" s="502"/>
      <c r="AE4577" s="911"/>
      <c r="AF4577" s="502"/>
      <c r="AH4577" s="898"/>
      <c r="AI4577" s="502"/>
      <c r="AJ4577" s="502"/>
      <c r="AL4577" s="434"/>
      <c r="AM4577" s="436"/>
      <c r="AN4577" s="434"/>
      <c r="AO4577" s="434"/>
      <c r="AP4577" s="556"/>
      <c r="AQ4577" s="556"/>
      <c r="AR4577" s="556"/>
      <c r="CF4577" s="2"/>
    </row>
    <row r="4578" spans="3:84">
      <c r="C4578" s="2"/>
      <c r="AD4578" s="502"/>
      <c r="AE4578" s="911"/>
      <c r="AF4578" s="502"/>
      <c r="AH4578" s="898"/>
      <c r="AI4578" s="502"/>
      <c r="AJ4578" s="502"/>
      <c r="AL4578" s="434"/>
      <c r="AM4578" s="436"/>
      <c r="AN4578" s="434"/>
      <c r="AO4578" s="434"/>
      <c r="AP4578" s="556"/>
      <c r="AQ4578" s="556"/>
      <c r="AR4578" s="556"/>
      <c r="CF4578" s="2"/>
    </row>
    <row r="4579" spans="3:84">
      <c r="C4579" s="2"/>
      <c r="AD4579" s="502"/>
      <c r="AE4579" s="911"/>
      <c r="AF4579" s="502"/>
      <c r="AH4579" s="898"/>
      <c r="AI4579" s="502"/>
      <c r="AJ4579" s="502"/>
      <c r="AL4579" s="434"/>
      <c r="AM4579" s="436"/>
      <c r="AN4579" s="434"/>
      <c r="AO4579" s="434"/>
      <c r="AP4579" s="556"/>
      <c r="AQ4579" s="556"/>
      <c r="AR4579" s="556"/>
      <c r="CF4579" s="2"/>
    </row>
    <row r="4580" spans="3:84">
      <c r="C4580" s="2"/>
      <c r="AD4580" s="502"/>
      <c r="AE4580" s="911"/>
      <c r="AF4580" s="502"/>
      <c r="AH4580" s="898"/>
      <c r="AI4580" s="502"/>
      <c r="AJ4580" s="502"/>
      <c r="AL4580" s="434"/>
      <c r="AM4580" s="436"/>
      <c r="AN4580" s="434"/>
      <c r="AO4580" s="434"/>
      <c r="AP4580" s="556"/>
      <c r="AQ4580" s="556"/>
      <c r="AR4580" s="556"/>
      <c r="CF4580" s="2"/>
    </row>
    <row r="4581" spans="3:84">
      <c r="C4581" s="2"/>
      <c r="AD4581" s="502"/>
      <c r="AE4581" s="911"/>
      <c r="AF4581" s="502"/>
      <c r="AH4581" s="898"/>
      <c r="AI4581" s="502"/>
      <c r="AJ4581" s="502"/>
      <c r="AL4581" s="434"/>
      <c r="AM4581" s="436"/>
      <c r="AN4581" s="434"/>
      <c r="AO4581" s="434"/>
      <c r="AP4581" s="556"/>
      <c r="AQ4581" s="556"/>
      <c r="AR4581" s="556"/>
      <c r="CF4581" s="2"/>
    </row>
    <row r="4582" spans="3:84">
      <c r="C4582" s="2"/>
      <c r="AD4582" s="502"/>
      <c r="AE4582" s="911"/>
      <c r="AF4582" s="502"/>
      <c r="AH4582" s="898"/>
      <c r="AI4582" s="502"/>
      <c r="AJ4582" s="502"/>
      <c r="AL4582" s="434"/>
      <c r="AM4582" s="436"/>
      <c r="AN4582" s="434"/>
      <c r="AO4582" s="434"/>
      <c r="AP4582" s="556"/>
      <c r="AQ4582" s="556"/>
      <c r="AR4582" s="556"/>
      <c r="CF4582" s="2"/>
    </row>
    <row r="4583" spans="3:84">
      <c r="C4583" s="2"/>
      <c r="AD4583" s="502"/>
      <c r="AE4583" s="911"/>
      <c r="AF4583" s="502"/>
      <c r="AH4583" s="898"/>
      <c r="AI4583" s="502"/>
      <c r="AJ4583" s="502"/>
      <c r="AL4583" s="434"/>
      <c r="AM4583" s="436"/>
      <c r="AN4583" s="434"/>
      <c r="AO4583" s="434"/>
      <c r="AP4583" s="556"/>
      <c r="AQ4583" s="556"/>
      <c r="AR4583" s="556"/>
      <c r="CF4583" s="2"/>
    </row>
    <row r="4584" spans="3:84">
      <c r="C4584" s="2"/>
      <c r="AD4584" s="502"/>
      <c r="AE4584" s="911"/>
      <c r="AF4584" s="502"/>
      <c r="AH4584" s="898"/>
      <c r="AI4584" s="502"/>
      <c r="AJ4584" s="502"/>
      <c r="AL4584" s="434"/>
      <c r="AM4584" s="436"/>
      <c r="AN4584" s="434"/>
      <c r="AO4584" s="434"/>
      <c r="AP4584" s="556"/>
      <c r="AQ4584" s="556"/>
      <c r="AR4584" s="556"/>
      <c r="CF4584" s="2"/>
    </row>
    <row r="4585" spans="3:84">
      <c r="C4585" s="2"/>
      <c r="AD4585" s="502"/>
      <c r="AE4585" s="911"/>
      <c r="AF4585" s="502"/>
      <c r="AH4585" s="898"/>
      <c r="AI4585" s="502"/>
      <c r="AJ4585" s="502"/>
      <c r="AL4585" s="434"/>
      <c r="AM4585" s="436"/>
      <c r="AN4585" s="434"/>
      <c r="AO4585" s="434"/>
      <c r="AP4585" s="556"/>
      <c r="AQ4585" s="556"/>
      <c r="AR4585" s="556"/>
      <c r="CF4585" s="2"/>
    </row>
    <row r="4586" spans="3:84">
      <c r="C4586" s="2"/>
      <c r="AD4586" s="502"/>
      <c r="AE4586" s="911"/>
      <c r="AF4586" s="502"/>
      <c r="AH4586" s="898"/>
      <c r="AI4586" s="502"/>
      <c r="AJ4586" s="502"/>
      <c r="AL4586" s="434"/>
      <c r="AM4586" s="436"/>
      <c r="AN4586" s="434"/>
      <c r="AO4586" s="434"/>
      <c r="AP4586" s="556"/>
      <c r="AQ4586" s="556"/>
      <c r="AR4586" s="556"/>
      <c r="CF4586" s="2"/>
    </row>
    <row r="4587" spans="3:84">
      <c r="C4587" s="2"/>
      <c r="AD4587" s="502"/>
      <c r="AE4587" s="911"/>
      <c r="AF4587" s="502"/>
      <c r="AH4587" s="898"/>
      <c r="AI4587" s="502"/>
      <c r="AJ4587" s="502"/>
      <c r="AL4587" s="434"/>
      <c r="AM4587" s="436"/>
      <c r="AN4587" s="434"/>
      <c r="AO4587" s="434"/>
      <c r="AP4587" s="556"/>
      <c r="AQ4587" s="556"/>
      <c r="AR4587" s="556"/>
      <c r="CF4587" s="2"/>
    </row>
    <row r="4588" spans="3:84">
      <c r="C4588" s="2"/>
      <c r="AD4588" s="502"/>
      <c r="AE4588" s="911"/>
      <c r="AF4588" s="502"/>
      <c r="AH4588" s="898"/>
      <c r="AI4588" s="502"/>
      <c r="AJ4588" s="502"/>
      <c r="AL4588" s="434"/>
      <c r="AM4588" s="436"/>
      <c r="AN4588" s="434"/>
      <c r="AO4588" s="434"/>
      <c r="AP4588" s="556"/>
      <c r="AQ4588" s="556"/>
      <c r="AR4588" s="556"/>
      <c r="CF4588" s="2"/>
    </row>
    <row r="4589" spans="3:84">
      <c r="C4589" s="2"/>
      <c r="AD4589" s="502"/>
      <c r="AE4589" s="911"/>
      <c r="AF4589" s="502"/>
      <c r="AH4589" s="898"/>
      <c r="AI4589" s="502"/>
      <c r="AJ4589" s="502"/>
      <c r="AL4589" s="434"/>
      <c r="AM4589" s="436"/>
      <c r="AN4589" s="434"/>
      <c r="AO4589" s="434"/>
      <c r="AP4589" s="556"/>
      <c r="AQ4589" s="556"/>
      <c r="AR4589" s="556"/>
      <c r="CF4589" s="2"/>
    </row>
    <row r="4590" spans="3:84">
      <c r="C4590" s="2"/>
      <c r="AD4590" s="502"/>
      <c r="AE4590" s="911"/>
      <c r="AF4590" s="502"/>
      <c r="AH4590" s="898"/>
      <c r="AI4590" s="502"/>
      <c r="AJ4590" s="502"/>
      <c r="AL4590" s="434"/>
      <c r="AM4590" s="436"/>
      <c r="AN4590" s="434"/>
      <c r="AO4590" s="434"/>
      <c r="AP4590" s="556"/>
      <c r="AQ4590" s="556"/>
      <c r="AR4590" s="556"/>
      <c r="CF4590" s="2"/>
    </row>
    <row r="4591" spans="3:84">
      <c r="C4591" s="2"/>
      <c r="AD4591" s="502"/>
      <c r="AE4591" s="911"/>
      <c r="AF4591" s="502"/>
      <c r="AH4591" s="898"/>
      <c r="AI4591" s="502"/>
      <c r="AJ4591" s="502"/>
      <c r="AL4591" s="434"/>
      <c r="AM4591" s="436"/>
      <c r="AN4591" s="434"/>
      <c r="AO4591" s="434"/>
      <c r="AP4591" s="556"/>
      <c r="AQ4591" s="556"/>
      <c r="AR4591" s="556"/>
      <c r="CF4591" s="2"/>
    </row>
    <row r="4592" spans="3:84">
      <c r="C4592" s="2"/>
      <c r="AD4592" s="502"/>
      <c r="AE4592" s="911"/>
      <c r="AF4592" s="502"/>
      <c r="AH4592" s="898"/>
      <c r="AI4592" s="502"/>
      <c r="AJ4592" s="502"/>
      <c r="AL4592" s="434"/>
      <c r="AM4592" s="436"/>
      <c r="AN4592" s="434"/>
      <c r="AO4592" s="434"/>
      <c r="AP4592" s="556"/>
      <c r="AQ4592" s="556"/>
      <c r="AR4592" s="556"/>
      <c r="CF4592" s="2"/>
    </row>
    <row r="4593" spans="3:84">
      <c r="C4593" s="2"/>
      <c r="AD4593" s="502"/>
      <c r="AE4593" s="911"/>
      <c r="AF4593" s="502"/>
      <c r="AH4593" s="898"/>
      <c r="AI4593" s="502"/>
      <c r="AJ4593" s="502"/>
      <c r="AL4593" s="434"/>
      <c r="AM4593" s="436"/>
      <c r="AN4593" s="434"/>
      <c r="AO4593" s="434"/>
      <c r="AP4593" s="556"/>
      <c r="AQ4593" s="556"/>
      <c r="AR4593" s="556"/>
      <c r="CF4593" s="2"/>
    </row>
    <row r="4594" spans="3:84">
      <c r="C4594" s="2"/>
      <c r="AD4594" s="502"/>
      <c r="AE4594" s="911"/>
      <c r="AF4594" s="502"/>
      <c r="AH4594" s="898"/>
      <c r="AI4594" s="502"/>
      <c r="AJ4594" s="502"/>
      <c r="AL4594" s="434"/>
      <c r="AM4594" s="436"/>
      <c r="AN4594" s="434"/>
      <c r="AO4594" s="434"/>
      <c r="AP4594" s="556"/>
      <c r="AQ4594" s="556"/>
      <c r="AR4594" s="556"/>
      <c r="CF4594" s="2"/>
    </row>
    <row r="4595" spans="3:84">
      <c r="C4595" s="2"/>
      <c r="AD4595" s="502"/>
      <c r="AE4595" s="911"/>
      <c r="AF4595" s="502"/>
      <c r="AH4595" s="898"/>
      <c r="AI4595" s="502"/>
      <c r="AJ4595" s="502"/>
      <c r="AL4595" s="434"/>
      <c r="AM4595" s="436"/>
      <c r="AN4595" s="434"/>
      <c r="AO4595" s="434"/>
      <c r="AP4595" s="556"/>
      <c r="AQ4595" s="556"/>
      <c r="AR4595" s="556"/>
      <c r="CF4595" s="2"/>
    </row>
    <row r="4596" spans="3:84">
      <c r="C4596" s="2"/>
      <c r="AD4596" s="502"/>
      <c r="AE4596" s="911"/>
      <c r="AF4596" s="502"/>
      <c r="AH4596" s="898"/>
      <c r="AI4596" s="502"/>
      <c r="AJ4596" s="502"/>
      <c r="AL4596" s="434"/>
      <c r="AM4596" s="436"/>
      <c r="AN4596" s="434"/>
      <c r="AO4596" s="434"/>
      <c r="AP4596" s="556"/>
      <c r="AQ4596" s="556"/>
      <c r="AR4596" s="556"/>
      <c r="CF4596" s="2"/>
    </row>
    <row r="4597" spans="3:84">
      <c r="C4597" s="2"/>
      <c r="AD4597" s="502"/>
      <c r="AE4597" s="911"/>
      <c r="AF4597" s="502"/>
      <c r="AH4597" s="898"/>
      <c r="AI4597" s="502"/>
      <c r="AJ4597" s="502"/>
      <c r="AL4597" s="434"/>
      <c r="AM4597" s="436"/>
      <c r="AN4597" s="434"/>
      <c r="AO4597" s="434"/>
      <c r="AP4597" s="556"/>
      <c r="AQ4597" s="556"/>
      <c r="AR4597" s="556"/>
      <c r="CF4597" s="2"/>
    </row>
    <row r="4598" spans="3:84">
      <c r="C4598" s="2"/>
      <c r="AD4598" s="502"/>
      <c r="AE4598" s="911"/>
      <c r="AF4598" s="502"/>
      <c r="AH4598" s="898"/>
      <c r="AI4598" s="502"/>
      <c r="AJ4598" s="502"/>
      <c r="AL4598" s="434"/>
      <c r="AM4598" s="436"/>
      <c r="AN4598" s="434"/>
      <c r="AO4598" s="434"/>
      <c r="AP4598" s="556"/>
      <c r="AQ4598" s="556"/>
      <c r="AR4598" s="556"/>
      <c r="CF4598" s="2"/>
    </row>
    <row r="4599" spans="3:84">
      <c r="C4599" s="2"/>
      <c r="AD4599" s="502"/>
      <c r="AE4599" s="911"/>
      <c r="AF4599" s="502"/>
      <c r="AH4599" s="898"/>
      <c r="AI4599" s="502"/>
      <c r="AJ4599" s="502"/>
      <c r="AL4599" s="434"/>
      <c r="AM4599" s="436"/>
      <c r="AN4599" s="434"/>
      <c r="AO4599" s="434"/>
      <c r="AP4599" s="556"/>
      <c r="AQ4599" s="556"/>
      <c r="AR4599" s="556"/>
      <c r="CF4599" s="2"/>
    </row>
    <row r="4600" spans="3:84">
      <c r="C4600" s="2"/>
      <c r="AD4600" s="502"/>
      <c r="AE4600" s="911"/>
      <c r="AF4600" s="502"/>
      <c r="AH4600" s="898"/>
      <c r="AI4600" s="502"/>
      <c r="AJ4600" s="502"/>
      <c r="AL4600" s="434"/>
      <c r="AM4600" s="436"/>
      <c r="AN4600" s="434"/>
      <c r="AO4600" s="434"/>
      <c r="AP4600" s="556"/>
      <c r="AQ4600" s="556"/>
      <c r="AR4600" s="556"/>
      <c r="CF4600" s="2"/>
    </row>
    <row r="4601" spans="3:84">
      <c r="C4601" s="2"/>
      <c r="AD4601" s="502"/>
      <c r="AE4601" s="911"/>
      <c r="AF4601" s="502"/>
      <c r="AH4601" s="898"/>
      <c r="AI4601" s="502"/>
      <c r="AJ4601" s="502"/>
      <c r="AL4601" s="434"/>
      <c r="AM4601" s="436"/>
      <c r="AN4601" s="434"/>
      <c r="AO4601" s="434"/>
      <c r="AP4601" s="556"/>
      <c r="AQ4601" s="556"/>
      <c r="AR4601" s="556"/>
      <c r="CF4601" s="2"/>
    </row>
    <row r="4602" spans="3:84">
      <c r="C4602" s="2"/>
      <c r="AD4602" s="502"/>
      <c r="AE4602" s="911"/>
      <c r="AF4602" s="502"/>
      <c r="AH4602" s="898"/>
      <c r="AI4602" s="502"/>
      <c r="AJ4602" s="502"/>
      <c r="AL4602" s="434"/>
      <c r="AM4602" s="436"/>
      <c r="AN4602" s="434"/>
      <c r="AO4602" s="434"/>
      <c r="AP4602" s="556"/>
      <c r="AQ4602" s="556"/>
      <c r="AR4602" s="556"/>
      <c r="CF4602" s="2"/>
    </row>
    <row r="4603" spans="3:84">
      <c r="C4603" s="2"/>
      <c r="AD4603" s="502"/>
      <c r="AE4603" s="911"/>
      <c r="AF4603" s="502"/>
      <c r="AH4603" s="898"/>
      <c r="AI4603" s="502"/>
      <c r="AJ4603" s="502"/>
      <c r="AL4603" s="434"/>
      <c r="AM4603" s="436"/>
      <c r="AN4603" s="434"/>
      <c r="AO4603" s="434"/>
      <c r="AP4603" s="556"/>
      <c r="AQ4603" s="556"/>
      <c r="AR4603" s="556"/>
      <c r="CF4603" s="2"/>
    </row>
    <row r="4604" spans="3:84">
      <c r="C4604" s="2"/>
      <c r="AD4604" s="502"/>
      <c r="AE4604" s="911"/>
      <c r="AF4604" s="502"/>
      <c r="AH4604" s="898"/>
      <c r="AI4604" s="502"/>
      <c r="AJ4604" s="502"/>
      <c r="AL4604" s="434"/>
      <c r="AM4604" s="436"/>
      <c r="AN4604" s="434"/>
      <c r="AO4604" s="434"/>
      <c r="AP4604" s="556"/>
      <c r="AQ4604" s="556"/>
      <c r="AR4604" s="556"/>
      <c r="CF4604" s="2"/>
    </row>
    <row r="4605" spans="3:84">
      <c r="C4605" s="2"/>
      <c r="AD4605" s="502"/>
      <c r="AE4605" s="911"/>
      <c r="AF4605" s="502"/>
      <c r="AH4605" s="898"/>
      <c r="AI4605" s="502"/>
      <c r="AJ4605" s="502"/>
      <c r="AL4605" s="434"/>
      <c r="AM4605" s="436"/>
      <c r="AN4605" s="434"/>
      <c r="AO4605" s="434"/>
      <c r="AP4605" s="556"/>
      <c r="AQ4605" s="556"/>
      <c r="AR4605" s="556"/>
      <c r="CF4605" s="2"/>
    </row>
    <row r="4606" spans="3:84">
      <c r="C4606" s="2"/>
      <c r="AD4606" s="502"/>
      <c r="AE4606" s="911"/>
      <c r="AF4606" s="502"/>
      <c r="AH4606" s="898"/>
      <c r="AI4606" s="502"/>
      <c r="AJ4606" s="502"/>
      <c r="AL4606" s="434"/>
      <c r="AM4606" s="436"/>
      <c r="AN4606" s="434"/>
      <c r="AO4606" s="434"/>
      <c r="AP4606" s="556"/>
      <c r="AQ4606" s="556"/>
      <c r="AR4606" s="556"/>
      <c r="CF4606" s="2"/>
    </row>
    <row r="4607" spans="3:84">
      <c r="C4607" s="2"/>
      <c r="AD4607" s="502"/>
      <c r="AE4607" s="911"/>
      <c r="AF4607" s="502"/>
      <c r="AH4607" s="898"/>
      <c r="AI4607" s="502"/>
      <c r="AJ4607" s="502"/>
      <c r="AL4607" s="434"/>
      <c r="AM4607" s="436"/>
      <c r="AN4607" s="434"/>
      <c r="AO4607" s="434"/>
      <c r="AP4607" s="556"/>
      <c r="AQ4607" s="556"/>
      <c r="AR4607" s="556"/>
      <c r="CF4607" s="2"/>
    </row>
    <row r="4608" spans="3:84">
      <c r="C4608" s="2"/>
      <c r="AD4608" s="502"/>
      <c r="AE4608" s="911"/>
      <c r="AF4608" s="502"/>
      <c r="AH4608" s="898"/>
      <c r="AI4608" s="502"/>
      <c r="AJ4608" s="502"/>
      <c r="AL4608" s="434"/>
      <c r="AM4608" s="436"/>
      <c r="AN4608" s="434"/>
      <c r="AO4608" s="434"/>
      <c r="AP4608" s="556"/>
      <c r="AQ4608" s="556"/>
      <c r="AR4608" s="556"/>
      <c r="CF4608" s="2"/>
    </row>
    <row r="4609" spans="3:84">
      <c r="C4609" s="2"/>
      <c r="AD4609" s="502"/>
      <c r="AE4609" s="911"/>
      <c r="AF4609" s="502"/>
      <c r="AH4609" s="898"/>
      <c r="AI4609" s="502"/>
      <c r="AJ4609" s="502"/>
      <c r="AL4609" s="434"/>
      <c r="AM4609" s="436"/>
      <c r="AN4609" s="434"/>
      <c r="AO4609" s="434"/>
      <c r="AP4609" s="556"/>
      <c r="AQ4609" s="556"/>
      <c r="AR4609" s="556"/>
      <c r="CF4609" s="2"/>
    </row>
    <row r="4610" spans="3:84">
      <c r="C4610" s="2"/>
      <c r="AD4610" s="502"/>
      <c r="AE4610" s="911"/>
      <c r="AF4610" s="502"/>
      <c r="AH4610" s="898"/>
      <c r="AI4610" s="502"/>
      <c r="AJ4610" s="502"/>
      <c r="AL4610" s="434"/>
      <c r="AM4610" s="436"/>
      <c r="AN4610" s="434"/>
      <c r="AO4610" s="434"/>
      <c r="AP4610" s="556"/>
      <c r="AQ4610" s="556"/>
      <c r="AR4610" s="556"/>
      <c r="CF4610" s="2"/>
    </row>
    <row r="4611" spans="3:84">
      <c r="C4611" s="2"/>
      <c r="AD4611" s="502"/>
      <c r="AE4611" s="911"/>
      <c r="AF4611" s="502"/>
      <c r="AH4611" s="898"/>
      <c r="AI4611" s="502"/>
      <c r="AJ4611" s="502"/>
      <c r="AL4611" s="434"/>
      <c r="AM4611" s="436"/>
      <c r="AN4611" s="434"/>
      <c r="AO4611" s="434"/>
      <c r="AP4611" s="556"/>
      <c r="AQ4611" s="556"/>
      <c r="AR4611" s="556"/>
      <c r="CF4611" s="2"/>
    </row>
    <row r="4612" spans="3:84">
      <c r="C4612" s="2"/>
      <c r="AD4612" s="502"/>
      <c r="AE4612" s="911"/>
      <c r="AF4612" s="502"/>
      <c r="AH4612" s="898"/>
      <c r="AI4612" s="502"/>
      <c r="AJ4612" s="502"/>
      <c r="AL4612" s="434"/>
      <c r="AM4612" s="436"/>
      <c r="AN4612" s="434"/>
      <c r="AO4612" s="434"/>
      <c r="AP4612" s="556"/>
      <c r="AQ4612" s="556"/>
      <c r="AR4612" s="556"/>
      <c r="CF4612" s="2"/>
    </row>
    <row r="4613" spans="3:84">
      <c r="C4613" s="2"/>
      <c r="AD4613" s="502"/>
      <c r="AE4613" s="911"/>
      <c r="AF4613" s="502"/>
      <c r="AH4613" s="898"/>
      <c r="AI4613" s="502"/>
      <c r="AJ4613" s="502"/>
      <c r="AL4613" s="434"/>
      <c r="AM4613" s="436"/>
      <c r="AN4613" s="434"/>
      <c r="AO4613" s="434"/>
      <c r="AP4613" s="556"/>
      <c r="AQ4613" s="556"/>
      <c r="AR4613" s="556"/>
      <c r="CF4613" s="2"/>
    </row>
    <row r="4614" spans="3:84">
      <c r="C4614" s="2"/>
      <c r="AD4614" s="502"/>
      <c r="AE4614" s="911"/>
      <c r="AF4614" s="502"/>
      <c r="AH4614" s="898"/>
      <c r="AI4614" s="502"/>
      <c r="AJ4614" s="502"/>
      <c r="AL4614" s="434"/>
      <c r="AM4614" s="436"/>
      <c r="AN4614" s="434"/>
      <c r="AO4614" s="434"/>
      <c r="AP4614" s="556"/>
      <c r="AQ4614" s="556"/>
      <c r="AR4614" s="556"/>
      <c r="CF4614" s="2"/>
    </row>
    <row r="4615" spans="3:84">
      <c r="C4615" s="2"/>
      <c r="AD4615" s="502"/>
      <c r="AE4615" s="911"/>
      <c r="AF4615" s="502"/>
      <c r="AH4615" s="898"/>
      <c r="AI4615" s="502"/>
      <c r="AJ4615" s="502"/>
      <c r="AL4615" s="434"/>
      <c r="AM4615" s="436"/>
      <c r="AN4615" s="434"/>
      <c r="AO4615" s="434"/>
      <c r="AP4615" s="556"/>
      <c r="AQ4615" s="556"/>
      <c r="AR4615" s="556"/>
      <c r="CF4615" s="2"/>
    </row>
    <row r="4616" spans="3:84">
      <c r="C4616" s="2"/>
      <c r="AD4616" s="502"/>
      <c r="AE4616" s="911"/>
      <c r="AF4616" s="502"/>
      <c r="AH4616" s="898"/>
      <c r="AI4616" s="502"/>
      <c r="AJ4616" s="502"/>
      <c r="AL4616" s="434"/>
      <c r="AM4616" s="436"/>
      <c r="AN4616" s="434"/>
      <c r="AO4616" s="434"/>
      <c r="AP4616" s="556"/>
      <c r="AQ4616" s="556"/>
      <c r="AR4616" s="556"/>
      <c r="CF4616" s="2"/>
    </row>
    <row r="4617" spans="3:84">
      <c r="C4617" s="2"/>
      <c r="AD4617" s="502"/>
      <c r="AE4617" s="911"/>
      <c r="AF4617" s="502"/>
      <c r="AH4617" s="898"/>
      <c r="AI4617" s="502"/>
      <c r="AJ4617" s="502"/>
      <c r="AL4617" s="434"/>
      <c r="AM4617" s="436"/>
      <c r="AN4617" s="434"/>
      <c r="AO4617" s="434"/>
      <c r="AP4617" s="556"/>
      <c r="AQ4617" s="556"/>
      <c r="AR4617" s="556"/>
      <c r="CF4617" s="2"/>
    </row>
    <row r="4618" spans="3:84">
      <c r="C4618" s="2"/>
      <c r="AD4618" s="502"/>
      <c r="AE4618" s="911"/>
      <c r="AF4618" s="502"/>
      <c r="AH4618" s="898"/>
      <c r="AI4618" s="502"/>
      <c r="AJ4618" s="502"/>
      <c r="AL4618" s="434"/>
      <c r="AM4618" s="436"/>
      <c r="AN4618" s="434"/>
      <c r="AO4618" s="434"/>
      <c r="AP4618" s="556"/>
      <c r="AQ4618" s="556"/>
      <c r="AR4618" s="556"/>
      <c r="CF4618" s="2"/>
    </row>
    <row r="4619" spans="3:84">
      <c r="C4619" s="2"/>
      <c r="AD4619" s="502"/>
      <c r="AE4619" s="911"/>
      <c r="AF4619" s="502"/>
      <c r="AH4619" s="898"/>
      <c r="AI4619" s="502"/>
      <c r="AJ4619" s="502"/>
      <c r="AL4619" s="434"/>
      <c r="AM4619" s="436"/>
      <c r="AN4619" s="434"/>
      <c r="AO4619" s="434"/>
      <c r="AP4619" s="556"/>
      <c r="AQ4619" s="556"/>
      <c r="AR4619" s="556"/>
      <c r="CF4619" s="2"/>
    </row>
    <row r="4620" spans="3:84">
      <c r="C4620" s="2"/>
      <c r="AD4620" s="502"/>
      <c r="AE4620" s="911"/>
      <c r="AF4620" s="502"/>
      <c r="AH4620" s="898"/>
      <c r="AI4620" s="502"/>
      <c r="AJ4620" s="502"/>
      <c r="AL4620" s="434"/>
      <c r="AM4620" s="436"/>
      <c r="AN4620" s="434"/>
      <c r="AO4620" s="434"/>
      <c r="AP4620" s="556"/>
      <c r="AQ4620" s="556"/>
      <c r="AR4620" s="556"/>
      <c r="CF4620" s="2"/>
    </row>
    <row r="4621" spans="3:84">
      <c r="C4621" s="2"/>
      <c r="AD4621" s="502"/>
      <c r="AE4621" s="911"/>
      <c r="AF4621" s="502"/>
      <c r="AH4621" s="898"/>
      <c r="AI4621" s="502"/>
      <c r="AJ4621" s="502"/>
      <c r="AL4621" s="434"/>
      <c r="AM4621" s="436"/>
      <c r="AN4621" s="434"/>
      <c r="AO4621" s="434"/>
      <c r="AP4621" s="556"/>
      <c r="AQ4621" s="556"/>
      <c r="AR4621" s="556"/>
      <c r="CF4621" s="2"/>
    </row>
    <row r="4622" spans="3:84">
      <c r="C4622" s="2"/>
      <c r="AD4622" s="502"/>
      <c r="AE4622" s="911"/>
      <c r="AF4622" s="502"/>
      <c r="AH4622" s="898"/>
      <c r="AI4622" s="502"/>
      <c r="AJ4622" s="502"/>
      <c r="AL4622" s="434"/>
      <c r="AM4622" s="436"/>
      <c r="AN4622" s="434"/>
      <c r="AO4622" s="434"/>
      <c r="AP4622" s="556"/>
      <c r="AQ4622" s="556"/>
      <c r="AR4622" s="556"/>
      <c r="CF4622" s="2"/>
    </row>
    <row r="4623" spans="3:84">
      <c r="C4623" s="2"/>
      <c r="AD4623" s="502"/>
      <c r="AE4623" s="911"/>
      <c r="AF4623" s="502"/>
      <c r="AH4623" s="898"/>
      <c r="AI4623" s="502"/>
      <c r="AJ4623" s="502"/>
      <c r="AL4623" s="434"/>
      <c r="AM4623" s="436"/>
      <c r="AN4623" s="434"/>
      <c r="AO4623" s="434"/>
      <c r="AP4623" s="556"/>
      <c r="AQ4623" s="556"/>
      <c r="AR4623" s="556"/>
      <c r="CF4623" s="2"/>
    </row>
    <row r="4624" spans="3:84">
      <c r="C4624" s="2"/>
      <c r="AD4624" s="502"/>
      <c r="AE4624" s="911"/>
      <c r="AF4624" s="502"/>
      <c r="AH4624" s="898"/>
      <c r="AI4624" s="502"/>
      <c r="AJ4624" s="502"/>
      <c r="AL4624" s="434"/>
      <c r="AM4624" s="436"/>
      <c r="AN4624" s="434"/>
      <c r="AO4624" s="434"/>
      <c r="AP4624" s="556"/>
      <c r="AQ4624" s="556"/>
      <c r="AR4624" s="556"/>
      <c r="CF4624" s="2"/>
    </row>
    <row r="4625" spans="3:84">
      <c r="C4625" s="2"/>
      <c r="AD4625" s="502"/>
      <c r="AE4625" s="911"/>
      <c r="AF4625" s="502"/>
      <c r="AH4625" s="898"/>
      <c r="AI4625" s="502"/>
      <c r="AJ4625" s="502"/>
      <c r="AL4625" s="434"/>
      <c r="AM4625" s="436"/>
      <c r="AN4625" s="434"/>
      <c r="AO4625" s="434"/>
      <c r="AP4625" s="556"/>
      <c r="AQ4625" s="556"/>
      <c r="AR4625" s="556"/>
      <c r="CF4625" s="2"/>
    </row>
    <row r="4626" spans="3:84">
      <c r="C4626" s="2"/>
      <c r="AD4626" s="502"/>
      <c r="AE4626" s="911"/>
      <c r="AF4626" s="502"/>
      <c r="AH4626" s="898"/>
      <c r="AI4626" s="502"/>
      <c r="AJ4626" s="502"/>
      <c r="AL4626" s="434"/>
      <c r="AM4626" s="436"/>
      <c r="AN4626" s="434"/>
      <c r="AO4626" s="434"/>
      <c r="AP4626" s="556"/>
      <c r="AQ4626" s="556"/>
      <c r="AR4626" s="556"/>
      <c r="CF4626" s="2"/>
    </row>
    <row r="4627" spans="3:84">
      <c r="C4627" s="2"/>
      <c r="AD4627" s="502"/>
      <c r="AE4627" s="911"/>
      <c r="AF4627" s="502"/>
      <c r="AH4627" s="898"/>
      <c r="AI4627" s="502"/>
      <c r="AJ4627" s="502"/>
      <c r="AL4627" s="434"/>
      <c r="AM4627" s="436"/>
      <c r="AN4627" s="434"/>
      <c r="AO4627" s="434"/>
      <c r="AP4627" s="556"/>
      <c r="AQ4627" s="556"/>
      <c r="AR4627" s="556"/>
      <c r="CF4627" s="2"/>
    </row>
    <row r="4628" spans="3:84">
      <c r="C4628" s="2"/>
      <c r="AD4628" s="502"/>
      <c r="AE4628" s="911"/>
      <c r="AF4628" s="502"/>
      <c r="AH4628" s="898"/>
      <c r="AI4628" s="502"/>
      <c r="AJ4628" s="502"/>
      <c r="AL4628" s="434"/>
      <c r="AM4628" s="436"/>
      <c r="AN4628" s="434"/>
      <c r="AO4628" s="434"/>
      <c r="AP4628" s="556"/>
      <c r="AQ4628" s="556"/>
      <c r="AR4628" s="556"/>
      <c r="CF4628" s="2"/>
    </row>
    <row r="4629" spans="3:84">
      <c r="C4629" s="2"/>
      <c r="AD4629" s="502"/>
      <c r="AE4629" s="911"/>
      <c r="AF4629" s="502"/>
      <c r="AH4629" s="898"/>
      <c r="AI4629" s="502"/>
      <c r="AJ4629" s="502"/>
      <c r="AL4629" s="434"/>
      <c r="AM4629" s="436"/>
      <c r="AN4629" s="434"/>
      <c r="AO4629" s="434"/>
      <c r="AP4629" s="556"/>
      <c r="AQ4629" s="556"/>
      <c r="AR4629" s="556"/>
      <c r="CF4629" s="2"/>
    </row>
    <row r="4630" spans="3:84">
      <c r="C4630" s="2"/>
      <c r="AD4630" s="502"/>
      <c r="AE4630" s="911"/>
      <c r="AF4630" s="502"/>
      <c r="AH4630" s="898"/>
      <c r="AI4630" s="502"/>
      <c r="AJ4630" s="502"/>
      <c r="AL4630" s="434"/>
      <c r="AM4630" s="436"/>
      <c r="AN4630" s="434"/>
      <c r="AO4630" s="434"/>
      <c r="AP4630" s="556"/>
      <c r="AQ4630" s="556"/>
      <c r="AR4630" s="556"/>
      <c r="CF4630" s="2"/>
    </row>
    <row r="4631" spans="3:84">
      <c r="C4631" s="2"/>
      <c r="AD4631" s="502"/>
      <c r="AE4631" s="911"/>
      <c r="AF4631" s="502"/>
      <c r="AH4631" s="898"/>
      <c r="AI4631" s="502"/>
      <c r="AJ4631" s="502"/>
      <c r="AL4631" s="434"/>
      <c r="AM4631" s="436"/>
      <c r="AN4631" s="434"/>
      <c r="AO4631" s="434"/>
      <c r="AP4631" s="556"/>
      <c r="AQ4631" s="556"/>
      <c r="AR4631" s="556"/>
      <c r="CF4631" s="2"/>
    </row>
    <row r="4632" spans="3:84">
      <c r="C4632" s="2"/>
      <c r="AD4632" s="502"/>
      <c r="AE4632" s="911"/>
      <c r="AF4632" s="502"/>
      <c r="AH4632" s="898"/>
      <c r="AI4632" s="502"/>
      <c r="AJ4632" s="502"/>
      <c r="AL4632" s="434"/>
      <c r="AM4632" s="436"/>
      <c r="AN4632" s="434"/>
      <c r="AO4632" s="434"/>
      <c r="AP4632" s="556"/>
      <c r="AQ4632" s="556"/>
      <c r="AR4632" s="556"/>
      <c r="CF4632" s="2"/>
    </row>
    <row r="4633" spans="3:84">
      <c r="C4633" s="2"/>
      <c r="AD4633" s="502"/>
      <c r="AE4633" s="911"/>
      <c r="AF4633" s="502"/>
      <c r="AH4633" s="898"/>
      <c r="AI4633" s="502"/>
      <c r="AJ4633" s="502"/>
      <c r="AL4633" s="434"/>
      <c r="AM4633" s="436"/>
      <c r="AN4633" s="434"/>
      <c r="AO4633" s="434"/>
      <c r="AP4633" s="556"/>
      <c r="AQ4633" s="556"/>
      <c r="AR4633" s="556"/>
      <c r="CF4633" s="2"/>
    </row>
    <row r="4634" spans="3:84">
      <c r="C4634" s="2"/>
      <c r="AD4634" s="502"/>
      <c r="AE4634" s="911"/>
      <c r="AF4634" s="502"/>
      <c r="AH4634" s="898"/>
      <c r="AI4634" s="502"/>
      <c r="AJ4634" s="502"/>
      <c r="AL4634" s="434"/>
      <c r="AM4634" s="436"/>
      <c r="AN4634" s="434"/>
      <c r="AO4634" s="434"/>
      <c r="AP4634" s="556"/>
      <c r="AQ4634" s="556"/>
      <c r="AR4634" s="556"/>
      <c r="CF4634" s="2"/>
    </row>
    <row r="4635" spans="3:84">
      <c r="C4635" s="2"/>
      <c r="AD4635" s="502"/>
      <c r="AE4635" s="911"/>
      <c r="AF4635" s="502"/>
      <c r="AH4635" s="898"/>
      <c r="AI4635" s="502"/>
      <c r="AJ4635" s="502"/>
      <c r="AL4635" s="434"/>
      <c r="AM4635" s="436"/>
      <c r="AN4635" s="434"/>
      <c r="AO4635" s="434"/>
      <c r="AP4635" s="556"/>
      <c r="AQ4635" s="556"/>
      <c r="AR4635" s="556"/>
      <c r="CF4635" s="2"/>
    </row>
    <row r="4636" spans="3:84">
      <c r="C4636" s="2"/>
      <c r="AD4636" s="502"/>
      <c r="AE4636" s="911"/>
      <c r="AF4636" s="502"/>
      <c r="AH4636" s="898"/>
      <c r="AI4636" s="502"/>
      <c r="AJ4636" s="502"/>
      <c r="AL4636" s="434"/>
      <c r="AM4636" s="436"/>
      <c r="AN4636" s="434"/>
      <c r="AO4636" s="434"/>
      <c r="AP4636" s="556"/>
      <c r="AQ4636" s="556"/>
      <c r="AR4636" s="556"/>
      <c r="CF4636" s="2"/>
    </row>
    <row r="4637" spans="3:84">
      <c r="C4637" s="2"/>
      <c r="AD4637" s="502"/>
      <c r="AE4637" s="911"/>
      <c r="AF4637" s="502"/>
      <c r="AH4637" s="898"/>
      <c r="AI4637" s="502"/>
      <c r="AJ4637" s="502"/>
      <c r="AL4637" s="434"/>
      <c r="AM4637" s="436"/>
      <c r="AN4637" s="434"/>
      <c r="AO4637" s="434"/>
      <c r="AP4637" s="556"/>
      <c r="AQ4637" s="556"/>
      <c r="AR4637" s="556"/>
      <c r="CF4637" s="2"/>
    </row>
    <row r="4638" spans="3:84">
      <c r="C4638" s="2"/>
      <c r="AD4638" s="502"/>
      <c r="AE4638" s="911"/>
      <c r="AF4638" s="502"/>
      <c r="AH4638" s="898"/>
      <c r="AI4638" s="502"/>
      <c r="AJ4638" s="502"/>
      <c r="AL4638" s="434"/>
      <c r="AM4638" s="436"/>
      <c r="AN4638" s="434"/>
      <c r="AO4638" s="434"/>
      <c r="AP4638" s="556"/>
      <c r="AQ4638" s="556"/>
      <c r="AR4638" s="556"/>
      <c r="CF4638" s="2"/>
    </row>
    <row r="4639" spans="3:84">
      <c r="C4639" s="2"/>
      <c r="AD4639" s="502"/>
      <c r="AE4639" s="911"/>
      <c r="AF4639" s="502"/>
      <c r="AH4639" s="898"/>
      <c r="AI4639" s="502"/>
      <c r="AJ4639" s="502"/>
      <c r="AL4639" s="434"/>
      <c r="AM4639" s="436"/>
      <c r="AN4639" s="434"/>
      <c r="AO4639" s="434"/>
      <c r="AP4639" s="556"/>
      <c r="AQ4639" s="556"/>
      <c r="AR4639" s="556"/>
      <c r="CF4639" s="2"/>
    </row>
    <row r="4640" spans="3:84">
      <c r="C4640" s="2"/>
      <c r="AD4640" s="502"/>
      <c r="AE4640" s="911"/>
      <c r="AF4640" s="502"/>
      <c r="AH4640" s="898"/>
      <c r="AI4640" s="502"/>
      <c r="AJ4640" s="502"/>
      <c r="AL4640" s="434"/>
      <c r="AM4640" s="436"/>
      <c r="AN4640" s="434"/>
      <c r="AO4640" s="434"/>
      <c r="AP4640" s="556"/>
      <c r="AQ4640" s="556"/>
      <c r="AR4640" s="556"/>
      <c r="CF4640" s="2"/>
    </row>
    <row r="4641" spans="3:84">
      <c r="C4641" s="2"/>
      <c r="AD4641" s="502"/>
      <c r="AE4641" s="911"/>
      <c r="AF4641" s="502"/>
      <c r="AH4641" s="898"/>
      <c r="AI4641" s="502"/>
      <c r="AJ4641" s="502"/>
      <c r="AL4641" s="434"/>
      <c r="AM4641" s="436"/>
      <c r="AN4641" s="434"/>
      <c r="AO4641" s="434"/>
      <c r="AP4641" s="556"/>
      <c r="AQ4641" s="556"/>
      <c r="AR4641" s="556"/>
      <c r="CF4641" s="2"/>
    </row>
    <row r="4642" spans="3:84">
      <c r="C4642" s="2"/>
      <c r="AD4642" s="502"/>
      <c r="AE4642" s="911"/>
      <c r="AF4642" s="502"/>
      <c r="AH4642" s="898"/>
      <c r="AI4642" s="502"/>
      <c r="AJ4642" s="502"/>
      <c r="AL4642" s="434"/>
      <c r="AM4642" s="436"/>
      <c r="AN4642" s="434"/>
      <c r="AO4642" s="434"/>
      <c r="AP4642" s="556"/>
      <c r="AQ4642" s="556"/>
      <c r="AR4642" s="556"/>
      <c r="CF4642" s="2"/>
    </row>
    <row r="4643" spans="3:84">
      <c r="C4643" s="2"/>
      <c r="AD4643" s="502"/>
      <c r="AE4643" s="911"/>
      <c r="AF4643" s="502"/>
      <c r="AH4643" s="898"/>
      <c r="AI4643" s="502"/>
      <c r="AJ4643" s="502"/>
      <c r="AL4643" s="434"/>
      <c r="AM4643" s="436"/>
      <c r="AN4643" s="434"/>
      <c r="AO4643" s="434"/>
      <c r="AP4643" s="556"/>
      <c r="AQ4643" s="556"/>
      <c r="AR4643" s="556"/>
      <c r="CF4643" s="2"/>
    </row>
    <row r="4644" spans="3:84">
      <c r="C4644" s="2"/>
      <c r="AD4644" s="502"/>
      <c r="AE4644" s="911"/>
      <c r="AF4644" s="502"/>
      <c r="AH4644" s="898"/>
      <c r="AI4644" s="502"/>
      <c r="AJ4644" s="502"/>
      <c r="AL4644" s="434"/>
      <c r="AM4644" s="436"/>
      <c r="AN4644" s="434"/>
      <c r="AO4644" s="434"/>
      <c r="AP4644" s="556"/>
      <c r="AQ4644" s="556"/>
      <c r="AR4644" s="556"/>
      <c r="CF4644" s="2"/>
    </row>
    <row r="4645" spans="3:84">
      <c r="C4645" s="2"/>
      <c r="AD4645" s="502"/>
      <c r="AE4645" s="911"/>
      <c r="AF4645" s="502"/>
      <c r="AH4645" s="898"/>
      <c r="AI4645" s="502"/>
      <c r="AJ4645" s="502"/>
      <c r="AL4645" s="434"/>
      <c r="AM4645" s="436"/>
      <c r="AN4645" s="434"/>
      <c r="AO4645" s="434"/>
      <c r="AP4645" s="556"/>
      <c r="AQ4645" s="556"/>
      <c r="AR4645" s="556"/>
      <c r="CF4645" s="2"/>
    </row>
    <row r="4646" spans="3:84">
      <c r="C4646" s="2"/>
      <c r="AD4646" s="502"/>
      <c r="AE4646" s="911"/>
      <c r="AF4646" s="502"/>
      <c r="AH4646" s="898"/>
      <c r="AI4646" s="502"/>
      <c r="AJ4646" s="502"/>
      <c r="AL4646" s="434"/>
      <c r="AM4646" s="436"/>
      <c r="AN4646" s="434"/>
      <c r="AO4646" s="434"/>
      <c r="AP4646" s="556"/>
      <c r="AQ4646" s="556"/>
      <c r="AR4646" s="556"/>
      <c r="CF4646" s="2"/>
    </row>
    <row r="4647" spans="3:84">
      <c r="C4647" s="2"/>
      <c r="AD4647" s="502"/>
      <c r="AE4647" s="911"/>
      <c r="AF4647" s="502"/>
      <c r="AH4647" s="898"/>
      <c r="AI4647" s="502"/>
      <c r="AJ4647" s="502"/>
      <c r="AL4647" s="434"/>
      <c r="AM4647" s="436"/>
      <c r="AN4647" s="434"/>
      <c r="AO4647" s="434"/>
      <c r="AP4647" s="556"/>
      <c r="AQ4647" s="556"/>
      <c r="AR4647" s="556"/>
      <c r="CF4647" s="2"/>
    </row>
    <row r="4648" spans="3:84">
      <c r="C4648" s="2"/>
      <c r="AD4648" s="502"/>
      <c r="AE4648" s="911"/>
      <c r="AF4648" s="502"/>
      <c r="AH4648" s="898"/>
      <c r="AI4648" s="502"/>
      <c r="AJ4648" s="502"/>
      <c r="AL4648" s="434"/>
      <c r="AM4648" s="436"/>
      <c r="AN4648" s="434"/>
      <c r="AO4648" s="434"/>
      <c r="AP4648" s="556"/>
      <c r="AQ4648" s="556"/>
      <c r="AR4648" s="556"/>
      <c r="CF4648" s="2"/>
    </row>
    <row r="4649" spans="3:84">
      <c r="C4649" s="2"/>
      <c r="AD4649" s="502"/>
      <c r="AE4649" s="911"/>
      <c r="AF4649" s="502"/>
      <c r="AH4649" s="898"/>
      <c r="AI4649" s="502"/>
      <c r="AJ4649" s="502"/>
      <c r="AL4649" s="434"/>
      <c r="AM4649" s="436"/>
      <c r="AN4649" s="434"/>
      <c r="AO4649" s="434"/>
      <c r="AP4649" s="556"/>
      <c r="AQ4649" s="556"/>
      <c r="AR4649" s="556"/>
      <c r="CF4649" s="2"/>
    </row>
    <row r="4650" spans="3:84">
      <c r="C4650" s="2"/>
      <c r="AD4650" s="502"/>
      <c r="AE4650" s="911"/>
      <c r="AF4650" s="502"/>
      <c r="AH4650" s="898"/>
      <c r="AI4650" s="502"/>
      <c r="AJ4650" s="502"/>
      <c r="AL4650" s="434"/>
      <c r="AM4650" s="436"/>
      <c r="AN4650" s="434"/>
      <c r="AO4650" s="434"/>
      <c r="AP4650" s="556"/>
      <c r="AQ4650" s="556"/>
      <c r="AR4650" s="556"/>
      <c r="CF4650" s="2"/>
    </row>
    <row r="4651" spans="3:84">
      <c r="C4651" s="2"/>
      <c r="AD4651" s="502"/>
      <c r="AE4651" s="911"/>
      <c r="AF4651" s="502"/>
      <c r="AH4651" s="898"/>
      <c r="AI4651" s="502"/>
      <c r="AJ4651" s="502"/>
      <c r="AL4651" s="434"/>
      <c r="AM4651" s="436"/>
      <c r="AN4651" s="434"/>
      <c r="AO4651" s="434"/>
      <c r="AP4651" s="556"/>
      <c r="AQ4651" s="556"/>
      <c r="AR4651" s="556"/>
      <c r="CF4651" s="2"/>
    </row>
    <row r="4652" spans="3:84">
      <c r="C4652" s="2"/>
      <c r="AD4652" s="502"/>
      <c r="AE4652" s="911"/>
      <c r="AF4652" s="502"/>
      <c r="AH4652" s="898"/>
      <c r="AI4652" s="502"/>
      <c r="AJ4652" s="502"/>
      <c r="AL4652" s="434"/>
      <c r="AM4652" s="436"/>
      <c r="AN4652" s="434"/>
      <c r="AO4652" s="434"/>
      <c r="AP4652" s="556"/>
      <c r="AQ4652" s="556"/>
      <c r="AR4652" s="556"/>
      <c r="CF4652" s="2"/>
    </row>
    <row r="4653" spans="3:84">
      <c r="C4653" s="2"/>
      <c r="AD4653" s="502"/>
      <c r="AE4653" s="911"/>
      <c r="AF4653" s="502"/>
      <c r="AH4653" s="898"/>
      <c r="AI4653" s="502"/>
      <c r="AJ4653" s="502"/>
      <c r="AL4653" s="434"/>
      <c r="AM4653" s="436"/>
      <c r="AN4653" s="434"/>
      <c r="AO4653" s="434"/>
      <c r="AP4653" s="556"/>
      <c r="AQ4653" s="556"/>
      <c r="AR4653" s="556"/>
      <c r="CF4653" s="2"/>
    </row>
    <row r="4654" spans="3:84">
      <c r="C4654" s="2"/>
      <c r="AD4654" s="502"/>
      <c r="AE4654" s="911"/>
      <c r="AF4654" s="502"/>
      <c r="AH4654" s="898"/>
      <c r="AI4654" s="502"/>
      <c r="AJ4654" s="502"/>
      <c r="AL4654" s="434"/>
      <c r="AM4654" s="436"/>
      <c r="AN4654" s="434"/>
      <c r="AO4654" s="434"/>
      <c r="AP4654" s="556"/>
      <c r="AQ4654" s="556"/>
      <c r="AR4654" s="556"/>
      <c r="CF4654" s="2"/>
    </row>
    <row r="4655" spans="3:84">
      <c r="C4655" s="2"/>
      <c r="AD4655" s="502"/>
      <c r="AE4655" s="911"/>
      <c r="AF4655" s="502"/>
      <c r="AH4655" s="898"/>
      <c r="AI4655" s="502"/>
      <c r="AJ4655" s="502"/>
      <c r="AL4655" s="434"/>
      <c r="AM4655" s="436"/>
      <c r="AN4655" s="434"/>
      <c r="AO4655" s="434"/>
      <c r="AP4655" s="556"/>
      <c r="AQ4655" s="556"/>
      <c r="AR4655" s="556"/>
      <c r="CF4655" s="2"/>
    </row>
    <row r="4656" spans="3:84">
      <c r="C4656" s="2"/>
      <c r="AD4656" s="502"/>
      <c r="AE4656" s="911"/>
      <c r="AF4656" s="502"/>
      <c r="AH4656" s="898"/>
      <c r="AI4656" s="502"/>
      <c r="AJ4656" s="502"/>
      <c r="AL4656" s="434"/>
      <c r="AM4656" s="436"/>
      <c r="AN4656" s="434"/>
      <c r="AO4656" s="434"/>
      <c r="AP4656" s="556"/>
      <c r="AQ4656" s="556"/>
      <c r="AR4656" s="556"/>
      <c r="CF4656" s="2"/>
    </row>
    <row r="4657" spans="3:84">
      <c r="C4657" s="2"/>
      <c r="AD4657" s="502"/>
      <c r="AE4657" s="911"/>
      <c r="AF4657" s="502"/>
      <c r="AH4657" s="898"/>
      <c r="AI4657" s="502"/>
      <c r="AJ4657" s="502"/>
      <c r="AL4657" s="434"/>
      <c r="AM4657" s="436"/>
      <c r="AN4657" s="434"/>
      <c r="AO4657" s="434"/>
      <c r="AP4657" s="556"/>
      <c r="AQ4657" s="556"/>
      <c r="AR4657" s="556"/>
      <c r="CF4657" s="2"/>
    </row>
    <row r="4658" spans="3:84">
      <c r="C4658" s="2"/>
      <c r="AD4658" s="502"/>
      <c r="AE4658" s="911"/>
      <c r="AF4658" s="502"/>
      <c r="AH4658" s="898"/>
      <c r="AI4658" s="502"/>
      <c r="AJ4658" s="502"/>
      <c r="AL4658" s="434"/>
      <c r="AM4658" s="436"/>
      <c r="AN4658" s="434"/>
      <c r="AO4658" s="434"/>
      <c r="AP4658" s="556"/>
      <c r="AQ4658" s="556"/>
      <c r="AR4658" s="556"/>
      <c r="CF4658" s="2"/>
    </row>
    <row r="4659" spans="3:84">
      <c r="C4659" s="2"/>
      <c r="AD4659" s="502"/>
      <c r="AE4659" s="911"/>
      <c r="AF4659" s="502"/>
      <c r="AH4659" s="898"/>
      <c r="AI4659" s="502"/>
      <c r="AJ4659" s="502"/>
      <c r="AL4659" s="434"/>
      <c r="AM4659" s="436"/>
      <c r="AN4659" s="434"/>
      <c r="AO4659" s="434"/>
      <c r="AP4659" s="556"/>
      <c r="AQ4659" s="556"/>
      <c r="AR4659" s="556"/>
      <c r="CF4659" s="2"/>
    </row>
    <row r="4660" spans="3:84">
      <c r="C4660" s="2"/>
      <c r="AD4660" s="502"/>
      <c r="AE4660" s="911"/>
      <c r="AF4660" s="502"/>
      <c r="AH4660" s="898"/>
      <c r="AI4660" s="502"/>
      <c r="AJ4660" s="502"/>
      <c r="AL4660" s="434"/>
      <c r="AM4660" s="436"/>
      <c r="AN4660" s="434"/>
      <c r="AO4660" s="434"/>
      <c r="AP4660" s="556"/>
      <c r="AQ4660" s="556"/>
      <c r="AR4660" s="556"/>
      <c r="CF4660" s="2"/>
    </row>
    <row r="4661" spans="3:84">
      <c r="C4661" s="2"/>
      <c r="AD4661" s="502"/>
      <c r="AE4661" s="911"/>
      <c r="AF4661" s="502"/>
      <c r="AH4661" s="898"/>
      <c r="AI4661" s="502"/>
      <c r="AJ4661" s="502"/>
      <c r="AL4661" s="434"/>
      <c r="AM4661" s="436"/>
      <c r="AN4661" s="434"/>
      <c r="AO4661" s="434"/>
      <c r="AP4661" s="556"/>
      <c r="AQ4661" s="556"/>
      <c r="AR4661" s="556"/>
      <c r="CF4661" s="2"/>
    </row>
    <row r="4662" spans="3:84">
      <c r="C4662" s="2"/>
      <c r="AD4662" s="502"/>
      <c r="AE4662" s="911"/>
      <c r="AF4662" s="502"/>
      <c r="AH4662" s="898"/>
      <c r="AI4662" s="502"/>
      <c r="AJ4662" s="502"/>
      <c r="AL4662" s="434"/>
      <c r="AM4662" s="436"/>
      <c r="AN4662" s="434"/>
      <c r="AO4662" s="434"/>
      <c r="AP4662" s="556"/>
      <c r="AQ4662" s="556"/>
      <c r="AR4662" s="556"/>
      <c r="CF4662" s="2"/>
    </row>
    <row r="4663" spans="3:84">
      <c r="C4663" s="2"/>
      <c r="AD4663" s="502"/>
      <c r="AE4663" s="911"/>
      <c r="AF4663" s="502"/>
      <c r="AH4663" s="898"/>
      <c r="AI4663" s="502"/>
      <c r="AJ4663" s="502"/>
      <c r="AL4663" s="434"/>
      <c r="AM4663" s="436"/>
      <c r="AN4663" s="434"/>
      <c r="AO4663" s="434"/>
      <c r="AP4663" s="556"/>
      <c r="AQ4663" s="556"/>
      <c r="AR4663" s="556"/>
      <c r="CF4663" s="2"/>
    </row>
    <row r="4664" spans="3:84">
      <c r="C4664" s="2"/>
      <c r="AD4664" s="502"/>
      <c r="AE4664" s="911"/>
      <c r="AF4664" s="502"/>
      <c r="AH4664" s="898"/>
      <c r="AI4664" s="502"/>
      <c r="AJ4664" s="502"/>
      <c r="AL4664" s="434"/>
      <c r="AM4664" s="436"/>
      <c r="AN4664" s="434"/>
      <c r="AO4664" s="434"/>
      <c r="AP4664" s="556"/>
      <c r="AQ4664" s="556"/>
      <c r="AR4664" s="556"/>
      <c r="CF4664" s="2"/>
    </row>
    <row r="4665" spans="3:84">
      <c r="C4665" s="2"/>
      <c r="AD4665" s="502"/>
      <c r="AE4665" s="911"/>
      <c r="AF4665" s="502"/>
      <c r="AH4665" s="898"/>
      <c r="AI4665" s="502"/>
      <c r="AJ4665" s="502"/>
      <c r="AL4665" s="434"/>
      <c r="AM4665" s="436"/>
      <c r="AN4665" s="434"/>
      <c r="AO4665" s="434"/>
      <c r="AP4665" s="556"/>
      <c r="AQ4665" s="556"/>
      <c r="AR4665" s="556"/>
      <c r="CF4665" s="2"/>
    </row>
    <row r="4666" spans="3:84">
      <c r="C4666" s="2"/>
      <c r="AD4666" s="502"/>
      <c r="AE4666" s="911"/>
      <c r="AF4666" s="502"/>
      <c r="AH4666" s="898"/>
      <c r="AI4666" s="502"/>
      <c r="AJ4666" s="502"/>
      <c r="AL4666" s="434"/>
      <c r="AM4666" s="436"/>
      <c r="AN4666" s="434"/>
      <c r="AO4666" s="434"/>
      <c r="AP4666" s="556"/>
      <c r="AQ4666" s="556"/>
      <c r="AR4666" s="556"/>
      <c r="CF4666" s="2"/>
    </row>
    <row r="4667" spans="3:84">
      <c r="C4667" s="2"/>
      <c r="AD4667" s="502"/>
      <c r="AE4667" s="911"/>
      <c r="AF4667" s="502"/>
      <c r="AH4667" s="898"/>
      <c r="AI4667" s="502"/>
      <c r="AJ4667" s="502"/>
      <c r="AL4667" s="434"/>
      <c r="AM4667" s="436"/>
      <c r="AN4667" s="434"/>
      <c r="AO4667" s="434"/>
      <c r="AP4667" s="556"/>
      <c r="AQ4667" s="556"/>
      <c r="AR4667" s="556"/>
      <c r="CF4667" s="2"/>
    </row>
    <row r="4668" spans="3:84">
      <c r="C4668" s="2"/>
      <c r="AD4668" s="502"/>
      <c r="AE4668" s="911"/>
      <c r="AF4668" s="502"/>
      <c r="AH4668" s="898"/>
      <c r="AI4668" s="502"/>
      <c r="AJ4668" s="502"/>
      <c r="AL4668" s="434"/>
      <c r="AM4668" s="436"/>
      <c r="AN4668" s="434"/>
      <c r="AO4668" s="434"/>
      <c r="AP4668" s="556"/>
      <c r="AQ4668" s="556"/>
      <c r="AR4668" s="556"/>
      <c r="CF4668" s="2"/>
    </row>
    <row r="4669" spans="3:84">
      <c r="C4669" s="2"/>
      <c r="AD4669" s="502"/>
      <c r="AE4669" s="911"/>
      <c r="AF4669" s="502"/>
      <c r="AH4669" s="898"/>
      <c r="AI4669" s="502"/>
      <c r="AJ4669" s="502"/>
      <c r="AL4669" s="434"/>
      <c r="AM4669" s="436"/>
      <c r="AN4669" s="434"/>
      <c r="AO4669" s="434"/>
      <c r="AP4669" s="556"/>
      <c r="AQ4669" s="556"/>
      <c r="AR4669" s="556"/>
      <c r="CF4669" s="2"/>
    </row>
    <row r="4670" spans="3:84">
      <c r="C4670" s="2"/>
      <c r="AD4670" s="502"/>
      <c r="AE4670" s="911"/>
      <c r="AF4670" s="502"/>
      <c r="AH4670" s="898"/>
      <c r="AI4670" s="502"/>
      <c r="AJ4670" s="502"/>
      <c r="AL4670" s="434"/>
      <c r="AM4670" s="436"/>
      <c r="AN4670" s="434"/>
      <c r="AO4670" s="434"/>
      <c r="AP4670" s="556"/>
      <c r="AQ4670" s="556"/>
      <c r="AR4670" s="556"/>
      <c r="CF4670" s="2"/>
    </row>
    <row r="4671" spans="3:84">
      <c r="C4671" s="2"/>
      <c r="AD4671" s="502"/>
      <c r="AE4671" s="911"/>
      <c r="AF4671" s="502"/>
      <c r="AH4671" s="898"/>
      <c r="AI4671" s="502"/>
      <c r="AJ4671" s="502"/>
      <c r="AL4671" s="434"/>
      <c r="AM4671" s="436"/>
      <c r="AN4671" s="434"/>
      <c r="AO4671" s="434"/>
      <c r="AP4671" s="556"/>
      <c r="AQ4671" s="556"/>
      <c r="AR4671" s="556"/>
      <c r="CF4671" s="2"/>
    </row>
    <row r="4672" spans="3:84">
      <c r="C4672" s="2"/>
      <c r="AD4672" s="502"/>
      <c r="AE4672" s="911"/>
      <c r="AF4672" s="502"/>
      <c r="AH4672" s="898"/>
      <c r="AI4672" s="502"/>
      <c r="AJ4672" s="502"/>
      <c r="AL4672" s="434"/>
      <c r="AM4672" s="436"/>
      <c r="AN4672" s="434"/>
      <c r="AO4672" s="434"/>
      <c r="AP4672" s="556"/>
      <c r="AQ4672" s="556"/>
      <c r="AR4672" s="556"/>
      <c r="CF4672" s="2"/>
    </row>
    <row r="4673" spans="3:84">
      <c r="C4673" s="2"/>
      <c r="AD4673" s="502"/>
      <c r="AE4673" s="911"/>
      <c r="AF4673" s="502"/>
      <c r="AH4673" s="898"/>
      <c r="AI4673" s="502"/>
      <c r="AJ4673" s="502"/>
      <c r="AL4673" s="434"/>
      <c r="AM4673" s="436"/>
      <c r="AN4673" s="434"/>
      <c r="AO4673" s="434"/>
      <c r="AP4673" s="556"/>
      <c r="AQ4673" s="556"/>
      <c r="AR4673" s="556"/>
      <c r="CF4673" s="2"/>
    </row>
    <row r="4674" spans="3:84">
      <c r="C4674" s="2"/>
      <c r="AD4674" s="502"/>
      <c r="AE4674" s="911"/>
      <c r="AF4674" s="502"/>
      <c r="AH4674" s="898"/>
      <c r="AI4674" s="502"/>
      <c r="AJ4674" s="502"/>
      <c r="AL4674" s="434"/>
      <c r="AM4674" s="436"/>
      <c r="AN4674" s="434"/>
      <c r="AO4674" s="434"/>
      <c r="AP4674" s="556"/>
      <c r="AQ4674" s="556"/>
      <c r="AR4674" s="556"/>
      <c r="CF4674" s="2"/>
    </row>
    <row r="4675" spans="3:84">
      <c r="C4675" s="2"/>
      <c r="AD4675" s="502"/>
      <c r="AE4675" s="911"/>
      <c r="AF4675" s="502"/>
      <c r="AH4675" s="898"/>
      <c r="AI4675" s="502"/>
      <c r="AJ4675" s="502"/>
      <c r="AL4675" s="434"/>
      <c r="AM4675" s="436"/>
      <c r="AN4675" s="434"/>
      <c r="AO4675" s="434"/>
      <c r="AP4675" s="556"/>
      <c r="AQ4675" s="556"/>
      <c r="AR4675" s="556"/>
      <c r="CF4675" s="2"/>
    </row>
    <row r="4676" spans="3:84">
      <c r="C4676" s="2"/>
      <c r="AD4676" s="502"/>
      <c r="AE4676" s="911"/>
      <c r="AF4676" s="502"/>
      <c r="AH4676" s="898"/>
      <c r="AI4676" s="502"/>
      <c r="AJ4676" s="502"/>
      <c r="AL4676" s="434"/>
      <c r="AM4676" s="436"/>
      <c r="AN4676" s="434"/>
      <c r="AO4676" s="434"/>
      <c r="AP4676" s="556"/>
      <c r="AQ4676" s="556"/>
      <c r="AR4676" s="556"/>
      <c r="CF4676" s="2"/>
    </row>
    <row r="4677" spans="3:84">
      <c r="C4677" s="2"/>
      <c r="AD4677" s="502"/>
      <c r="AE4677" s="911"/>
      <c r="AF4677" s="502"/>
      <c r="AH4677" s="898"/>
      <c r="AI4677" s="502"/>
      <c r="AJ4677" s="502"/>
      <c r="AL4677" s="434"/>
      <c r="AM4677" s="436"/>
      <c r="AN4677" s="434"/>
      <c r="AO4677" s="434"/>
      <c r="AP4677" s="556"/>
      <c r="AQ4677" s="556"/>
      <c r="AR4677" s="556"/>
      <c r="CF4677" s="2"/>
    </row>
    <row r="4678" spans="3:84">
      <c r="C4678" s="2"/>
      <c r="AD4678" s="502"/>
      <c r="AE4678" s="911"/>
      <c r="AF4678" s="502"/>
      <c r="AH4678" s="898"/>
      <c r="AI4678" s="502"/>
      <c r="AJ4678" s="502"/>
      <c r="AL4678" s="434"/>
      <c r="AM4678" s="436"/>
      <c r="AN4678" s="434"/>
      <c r="AO4678" s="434"/>
      <c r="AP4678" s="556"/>
      <c r="AQ4678" s="556"/>
      <c r="AR4678" s="556"/>
      <c r="CF4678" s="2"/>
    </row>
    <row r="4679" spans="3:84">
      <c r="C4679" s="2"/>
      <c r="AD4679" s="502"/>
      <c r="AE4679" s="911"/>
      <c r="AF4679" s="502"/>
      <c r="AH4679" s="898"/>
      <c r="AI4679" s="502"/>
      <c r="AJ4679" s="502"/>
      <c r="AL4679" s="434"/>
      <c r="AM4679" s="436"/>
      <c r="AN4679" s="434"/>
      <c r="AO4679" s="434"/>
      <c r="AP4679" s="556"/>
      <c r="AQ4679" s="556"/>
      <c r="AR4679" s="556"/>
      <c r="CF4679" s="2"/>
    </row>
    <row r="4680" spans="3:84">
      <c r="C4680" s="2"/>
      <c r="AD4680" s="502"/>
      <c r="AE4680" s="911"/>
      <c r="AF4680" s="502"/>
      <c r="AH4680" s="898"/>
      <c r="AI4680" s="502"/>
      <c r="AJ4680" s="502"/>
      <c r="AL4680" s="434"/>
      <c r="AM4680" s="436"/>
      <c r="AN4680" s="434"/>
      <c r="AO4680" s="434"/>
      <c r="AP4680" s="556"/>
      <c r="AQ4680" s="556"/>
      <c r="AR4680" s="556"/>
      <c r="CF4680" s="2"/>
    </row>
    <row r="4681" spans="3:84">
      <c r="C4681" s="2"/>
      <c r="AD4681" s="502"/>
      <c r="AE4681" s="911"/>
      <c r="AF4681" s="502"/>
      <c r="AH4681" s="898"/>
      <c r="AI4681" s="502"/>
      <c r="AJ4681" s="502"/>
      <c r="AL4681" s="434"/>
      <c r="AM4681" s="436"/>
      <c r="AN4681" s="434"/>
      <c r="AO4681" s="434"/>
      <c r="AP4681" s="556"/>
      <c r="AQ4681" s="556"/>
      <c r="AR4681" s="556"/>
      <c r="CF4681" s="2"/>
    </row>
    <row r="4682" spans="3:84">
      <c r="C4682" s="2"/>
      <c r="AD4682" s="502"/>
      <c r="AE4682" s="911"/>
      <c r="AF4682" s="502"/>
      <c r="AH4682" s="898"/>
      <c r="AI4682" s="502"/>
      <c r="AJ4682" s="502"/>
      <c r="AL4682" s="434"/>
      <c r="AM4682" s="436"/>
      <c r="AN4682" s="434"/>
      <c r="AO4682" s="434"/>
      <c r="AP4682" s="556"/>
      <c r="AQ4682" s="556"/>
      <c r="AR4682" s="556"/>
      <c r="CF4682" s="2"/>
    </row>
    <row r="4683" spans="3:84">
      <c r="C4683" s="2"/>
      <c r="AD4683" s="502"/>
      <c r="AE4683" s="911"/>
      <c r="AF4683" s="502"/>
      <c r="AH4683" s="898"/>
      <c r="AI4683" s="502"/>
      <c r="AJ4683" s="502"/>
      <c r="AL4683" s="434"/>
      <c r="AM4683" s="436"/>
      <c r="AN4683" s="434"/>
      <c r="AO4683" s="434"/>
      <c r="AP4683" s="556"/>
      <c r="AQ4683" s="556"/>
      <c r="AR4683" s="556"/>
      <c r="CF4683" s="2"/>
    </row>
    <row r="4684" spans="3:84">
      <c r="C4684" s="2"/>
      <c r="AD4684" s="502"/>
      <c r="AE4684" s="911"/>
      <c r="AF4684" s="502"/>
      <c r="AH4684" s="898"/>
      <c r="AI4684" s="502"/>
      <c r="AJ4684" s="502"/>
      <c r="AL4684" s="434"/>
      <c r="AM4684" s="436"/>
      <c r="AN4684" s="434"/>
      <c r="AO4684" s="434"/>
      <c r="AP4684" s="556"/>
      <c r="AQ4684" s="556"/>
      <c r="AR4684" s="556"/>
      <c r="CF4684" s="2"/>
    </row>
    <row r="4685" spans="3:84">
      <c r="C4685" s="2"/>
      <c r="AD4685" s="502"/>
      <c r="AE4685" s="911"/>
      <c r="AF4685" s="502"/>
      <c r="AH4685" s="898"/>
      <c r="AI4685" s="502"/>
      <c r="AJ4685" s="502"/>
      <c r="AL4685" s="434"/>
      <c r="AM4685" s="436"/>
      <c r="AN4685" s="434"/>
      <c r="AO4685" s="434"/>
      <c r="AP4685" s="556"/>
      <c r="AQ4685" s="556"/>
      <c r="AR4685" s="556"/>
      <c r="CF4685" s="2"/>
    </row>
    <row r="4686" spans="3:84">
      <c r="C4686" s="2"/>
      <c r="AD4686" s="502"/>
      <c r="AE4686" s="911"/>
      <c r="AF4686" s="502"/>
      <c r="AH4686" s="898"/>
      <c r="AI4686" s="502"/>
      <c r="AJ4686" s="502"/>
      <c r="AL4686" s="434"/>
      <c r="AM4686" s="436"/>
      <c r="AN4686" s="434"/>
      <c r="AO4686" s="434"/>
      <c r="AP4686" s="556"/>
      <c r="AQ4686" s="556"/>
      <c r="AR4686" s="556"/>
      <c r="CF4686" s="2"/>
    </row>
    <row r="4687" spans="3:84">
      <c r="C4687" s="2"/>
      <c r="AD4687" s="502"/>
      <c r="AE4687" s="911"/>
      <c r="AF4687" s="502"/>
      <c r="AH4687" s="898"/>
      <c r="AI4687" s="502"/>
      <c r="AJ4687" s="502"/>
      <c r="AL4687" s="434"/>
      <c r="AM4687" s="436"/>
      <c r="AN4687" s="434"/>
      <c r="AO4687" s="434"/>
      <c r="AP4687" s="556"/>
      <c r="AQ4687" s="556"/>
      <c r="AR4687" s="556"/>
      <c r="CF4687" s="2"/>
    </row>
    <row r="4688" spans="3:84">
      <c r="C4688" s="2"/>
      <c r="AD4688" s="502"/>
      <c r="AE4688" s="911"/>
      <c r="AF4688" s="502"/>
      <c r="AH4688" s="898"/>
      <c r="AI4688" s="502"/>
      <c r="AJ4688" s="502"/>
      <c r="AL4688" s="434"/>
      <c r="AM4688" s="436"/>
      <c r="AN4688" s="434"/>
      <c r="AO4688" s="434"/>
      <c r="AP4688" s="556"/>
      <c r="AQ4688" s="556"/>
      <c r="AR4688" s="556"/>
      <c r="CF4688" s="2"/>
    </row>
    <row r="4689" spans="3:84">
      <c r="C4689" s="2"/>
      <c r="AD4689" s="502"/>
      <c r="AE4689" s="911"/>
      <c r="AF4689" s="502"/>
      <c r="AH4689" s="898"/>
      <c r="AI4689" s="502"/>
      <c r="AJ4689" s="502"/>
      <c r="AL4689" s="434"/>
      <c r="AM4689" s="436"/>
      <c r="AN4689" s="434"/>
      <c r="AO4689" s="434"/>
      <c r="AP4689" s="556"/>
      <c r="AQ4689" s="556"/>
      <c r="AR4689" s="556"/>
      <c r="CF4689" s="2"/>
    </row>
    <row r="4690" spans="3:84">
      <c r="C4690" s="2"/>
      <c r="AD4690" s="502"/>
      <c r="AE4690" s="911"/>
      <c r="AF4690" s="502"/>
      <c r="AH4690" s="898"/>
      <c r="AI4690" s="502"/>
      <c r="AJ4690" s="502"/>
      <c r="AL4690" s="434"/>
      <c r="AM4690" s="436"/>
      <c r="AN4690" s="434"/>
      <c r="AO4690" s="434"/>
      <c r="AP4690" s="556"/>
      <c r="AQ4690" s="556"/>
      <c r="AR4690" s="556"/>
      <c r="CF4690" s="2"/>
    </row>
    <row r="4691" spans="3:84">
      <c r="C4691" s="2"/>
      <c r="AD4691" s="502"/>
      <c r="AE4691" s="911"/>
      <c r="AF4691" s="502"/>
      <c r="AH4691" s="898"/>
      <c r="AI4691" s="502"/>
      <c r="AJ4691" s="502"/>
      <c r="AL4691" s="434"/>
      <c r="AM4691" s="436"/>
      <c r="AN4691" s="434"/>
      <c r="AO4691" s="434"/>
      <c r="AP4691" s="556"/>
      <c r="AQ4691" s="556"/>
      <c r="AR4691" s="556"/>
      <c r="CF4691" s="2"/>
    </row>
    <row r="4692" spans="3:84">
      <c r="C4692" s="2"/>
      <c r="AD4692" s="502"/>
      <c r="AE4692" s="911"/>
      <c r="AF4692" s="502"/>
      <c r="AH4692" s="898"/>
      <c r="AI4692" s="502"/>
      <c r="AJ4692" s="502"/>
      <c r="AL4692" s="434"/>
      <c r="AM4692" s="436"/>
      <c r="AN4692" s="434"/>
      <c r="AO4692" s="434"/>
      <c r="AP4692" s="556"/>
      <c r="AQ4692" s="556"/>
      <c r="AR4692" s="556"/>
      <c r="CF4692" s="2"/>
    </row>
    <row r="4693" spans="3:84">
      <c r="C4693" s="2"/>
      <c r="AD4693" s="502"/>
      <c r="AE4693" s="911"/>
      <c r="AF4693" s="502"/>
      <c r="AH4693" s="898"/>
      <c r="AI4693" s="502"/>
      <c r="AJ4693" s="502"/>
      <c r="AL4693" s="434"/>
      <c r="AM4693" s="436"/>
      <c r="AN4693" s="434"/>
      <c r="AO4693" s="434"/>
      <c r="AP4693" s="556"/>
      <c r="AQ4693" s="556"/>
      <c r="AR4693" s="556"/>
      <c r="CF4693" s="2"/>
    </row>
    <row r="4694" spans="3:84">
      <c r="C4694" s="2"/>
      <c r="AD4694" s="502"/>
      <c r="AE4694" s="911"/>
      <c r="AF4694" s="502"/>
      <c r="AH4694" s="898"/>
      <c r="AI4694" s="502"/>
      <c r="AJ4694" s="502"/>
      <c r="AL4694" s="434"/>
      <c r="AM4694" s="436"/>
      <c r="AN4694" s="434"/>
      <c r="AO4694" s="434"/>
      <c r="AP4694" s="556"/>
      <c r="AQ4694" s="556"/>
      <c r="AR4694" s="556"/>
      <c r="CF4694" s="2"/>
    </row>
    <row r="4695" spans="3:84">
      <c r="C4695" s="2"/>
      <c r="AD4695" s="502"/>
      <c r="AE4695" s="911"/>
      <c r="AF4695" s="502"/>
      <c r="AH4695" s="898"/>
      <c r="AI4695" s="502"/>
      <c r="AJ4695" s="502"/>
      <c r="AL4695" s="434"/>
      <c r="AM4695" s="436"/>
      <c r="AN4695" s="434"/>
      <c r="AO4695" s="434"/>
      <c r="AP4695" s="556"/>
      <c r="AQ4695" s="556"/>
      <c r="AR4695" s="556"/>
      <c r="CF4695" s="2"/>
    </row>
    <row r="4696" spans="3:84">
      <c r="C4696" s="2"/>
      <c r="AD4696" s="502"/>
      <c r="AE4696" s="911"/>
      <c r="AF4696" s="502"/>
      <c r="AH4696" s="898"/>
      <c r="AI4696" s="502"/>
      <c r="AJ4696" s="502"/>
      <c r="AL4696" s="434"/>
      <c r="AM4696" s="436"/>
      <c r="AN4696" s="434"/>
      <c r="AO4696" s="434"/>
      <c r="AP4696" s="556"/>
      <c r="AQ4696" s="556"/>
      <c r="AR4696" s="556"/>
      <c r="CF4696" s="2"/>
    </row>
    <row r="4697" spans="3:84">
      <c r="C4697" s="2"/>
      <c r="AD4697" s="502"/>
      <c r="AE4697" s="911"/>
      <c r="AF4697" s="502"/>
      <c r="AH4697" s="898"/>
      <c r="AI4697" s="502"/>
      <c r="AJ4697" s="502"/>
      <c r="AL4697" s="434"/>
      <c r="AM4697" s="436"/>
      <c r="AN4697" s="434"/>
      <c r="AO4697" s="434"/>
      <c r="AP4697" s="556"/>
      <c r="AQ4697" s="556"/>
      <c r="AR4697" s="556"/>
      <c r="CF4697" s="2"/>
    </row>
    <row r="4698" spans="3:84">
      <c r="C4698" s="2"/>
      <c r="AD4698" s="502"/>
      <c r="AE4698" s="911"/>
      <c r="AF4698" s="502"/>
      <c r="AH4698" s="898"/>
      <c r="AI4698" s="502"/>
      <c r="AJ4698" s="502"/>
      <c r="AL4698" s="434"/>
      <c r="AM4698" s="436"/>
      <c r="AN4698" s="434"/>
      <c r="AO4698" s="434"/>
      <c r="AP4698" s="556"/>
      <c r="AQ4698" s="556"/>
      <c r="AR4698" s="556"/>
      <c r="CF4698" s="2"/>
    </row>
    <row r="4699" spans="3:84">
      <c r="C4699" s="2"/>
      <c r="AD4699" s="502"/>
      <c r="AE4699" s="911"/>
      <c r="AF4699" s="502"/>
      <c r="AH4699" s="898"/>
      <c r="AI4699" s="502"/>
      <c r="AJ4699" s="502"/>
      <c r="AL4699" s="434"/>
      <c r="AM4699" s="436"/>
      <c r="AN4699" s="434"/>
      <c r="AO4699" s="434"/>
      <c r="AP4699" s="556"/>
      <c r="AQ4699" s="556"/>
      <c r="AR4699" s="556"/>
      <c r="CF4699" s="2"/>
    </row>
    <row r="4700" spans="3:84">
      <c r="C4700" s="2"/>
      <c r="AD4700" s="502"/>
      <c r="AE4700" s="911"/>
      <c r="AF4700" s="502"/>
      <c r="AH4700" s="898"/>
      <c r="AI4700" s="502"/>
      <c r="AJ4700" s="502"/>
      <c r="AL4700" s="434"/>
      <c r="AM4700" s="436"/>
      <c r="AN4700" s="434"/>
      <c r="AO4700" s="434"/>
      <c r="AP4700" s="556"/>
      <c r="AQ4700" s="556"/>
      <c r="AR4700" s="556"/>
      <c r="CF4700" s="2"/>
    </row>
    <row r="4701" spans="3:84">
      <c r="C4701" s="2"/>
      <c r="AD4701" s="502"/>
      <c r="AE4701" s="911"/>
      <c r="AF4701" s="502"/>
      <c r="AH4701" s="898"/>
      <c r="AI4701" s="502"/>
      <c r="AJ4701" s="502"/>
      <c r="AL4701" s="434"/>
      <c r="AM4701" s="436"/>
      <c r="AN4701" s="434"/>
      <c r="AO4701" s="434"/>
      <c r="AP4701" s="556"/>
      <c r="AQ4701" s="556"/>
      <c r="AR4701" s="556"/>
      <c r="CF4701" s="2"/>
    </row>
    <row r="4702" spans="3:84">
      <c r="C4702" s="2"/>
      <c r="AD4702" s="502"/>
      <c r="AE4702" s="911"/>
      <c r="AF4702" s="502"/>
      <c r="AH4702" s="898"/>
      <c r="AI4702" s="502"/>
      <c r="AJ4702" s="502"/>
      <c r="AL4702" s="434"/>
      <c r="AM4702" s="436"/>
      <c r="AN4702" s="434"/>
      <c r="AO4702" s="434"/>
      <c r="AP4702" s="556"/>
      <c r="AQ4702" s="556"/>
      <c r="AR4702" s="556"/>
      <c r="CF4702" s="2"/>
    </row>
    <row r="4703" spans="3:84">
      <c r="C4703" s="2"/>
      <c r="AD4703" s="502"/>
      <c r="AE4703" s="911"/>
      <c r="AF4703" s="502"/>
      <c r="AH4703" s="898"/>
      <c r="AI4703" s="502"/>
      <c r="AJ4703" s="502"/>
      <c r="AL4703" s="434"/>
      <c r="AM4703" s="436"/>
      <c r="AN4703" s="434"/>
      <c r="AO4703" s="434"/>
      <c r="AP4703" s="556"/>
      <c r="AQ4703" s="556"/>
      <c r="AR4703" s="556"/>
      <c r="CF4703" s="2"/>
    </row>
    <row r="4704" spans="3:84">
      <c r="C4704" s="2"/>
      <c r="AD4704" s="502"/>
      <c r="AE4704" s="911"/>
      <c r="AF4704" s="502"/>
      <c r="AH4704" s="898"/>
      <c r="AI4704" s="502"/>
      <c r="AJ4704" s="502"/>
      <c r="AL4704" s="434"/>
      <c r="AM4704" s="436"/>
      <c r="AN4704" s="434"/>
      <c r="AO4704" s="434"/>
      <c r="AP4704" s="556"/>
      <c r="AQ4704" s="556"/>
      <c r="AR4704" s="556"/>
      <c r="CF4704" s="2"/>
    </row>
    <row r="4705" spans="3:84">
      <c r="C4705" s="2"/>
      <c r="AD4705" s="502"/>
      <c r="AE4705" s="911"/>
      <c r="AF4705" s="502"/>
      <c r="AH4705" s="898"/>
      <c r="AI4705" s="502"/>
      <c r="AJ4705" s="502"/>
      <c r="AL4705" s="434"/>
      <c r="AM4705" s="436"/>
      <c r="AN4705" s="434"/>
      <c r="AO4705" s="434"/>
      <c r="AP4705" s="556"/>
      <c r="AQ4705" s="556"/>
      <c r="AR4705" s="556"/>
      <c r="CF4705" s="2"/>
    </row>
    <row r="4706" spans="3:84">
      <c r="C4706" s="2"/>
      <c r="AD4706" s="502"/>
      <c r="AE4706" s="911"/>
      <c r="AF4706" s="502"/>
      <c r="AH4706" s="898"/>
      <c r="AI4706" s="502"/>
      <c r="AJ4706" s="502"/>
      <c r="AL4706" s="434"/>
      <c r="AM4706" s="436"/>
      <c r="AN4706" s="434"/>
      <c r="AO4706" s="434"/>
      <c r="AP4706" s="556"/>
      <c r="AQ4706" s="556"/>
      <c r="AR4706" s="556"/>
      <c r="CF4706" s="2"/>
    </row>
    <row r="4707" spans="3:84">
      <c r="C4707" s="2"/>
      <c r="AD4707" s="502"/>
      <c r="AE4707" s="911"/>
      <c r="AF4707" s="502"/>
      <c r="AH4707" s="898"/>
      <c r="AI4707" s="502"/>
      <c r="AJ4707" s="502"/>
      <c r="AL4707" s="434"/>
      <c r="AM4707" s="436"/>
      <c r="AN4707" s="434"/>
      <c r="AO4707" s="434"/>
      <c r="AP4707" s="556"/>
      <c r="AQ4707" s="556"/>
      <c r="AR4707" s="556"/>
      <c r="CF4707" s="2"/>
    </row>
    <row r="4708" spans="3:84">
      <c r="C4708" s="2"/>
      <c r="AD4708" s="502"/>
      <c r="AE4708" s="911"/>
      <c r="AF4708" s="502"/>
      <c r="AH4708" s="898"/>
      <c r="AI4708" s="502"/>
      <c r="AJ4708" s="502"/>
      <c r="AL4708" s="434"/>
      <c r="AM4708" s="436"/>
      <c r="AN4708" s="434"/>
      <c r="AO4708" s="434"/>
      <c r="AP4708" s="556"/>
      <c r="AQ4708" s="556"/>
      <c r="AR4708" s="556"/>
      <c r="CF4708" s="2"/>
    </row>
    <row r="4709" spans="3:84">
      <c r="C4709" s="2"/>
      <c r="AD4709" s="502"/>
      <c r="AE4709" s="911"/>
      <c r="AF4709" s="502"/>
      <c r="AH4709" s="898"/>
      <c r="AI4709" s="502"/>
      <c r="AJ4709" s="502"/>
      <c r="AL4709" s="434"/>
      <c r="AM4709" s="436"/>
      <c r="AN4709" s="434"/>
      <c r="AO4709" s="434"/>
      <c r="AP4709" s="556"/>
      <c r="AQ4709" s="556"/>
      <c r="AR4709" s="556"/>
      <c r="CF4709" s="2"/>
    </row>
    <row r="4710" spans="3:84">
      <c r="C4710" s="2"/>
      <c r="AD4710" s="502"/>
      <c r="AE4710" s="911"/>
      <c r="AF4710" s="502"/>
      <c r="AH4710" s="898"/>
      <c r="AI4710" s="502"/>
      <c r="AJ4710" s="502"/>
      <c r="AL4710" s="434"/>
      <c r="AM4710" s="436"/>
      <c r="AN4710" s="434"/>
      <c r="AO4710" s="434"/>
      <c r="AP4710" s="556"/>
      <c r="AQ4710" s="556"/>
      <c r="AR4710" s="556"/>
      <c r="CF4710" s="2"/>
    </row>
    <row r="4711" spans="3:84">
      <c r="C4711" s="2"/>
      <c r="AD4711" s="502"/>
      <c r="AE4711" s="911"/>
      <c r="AF4711" s="502"/>
      <c r="AH4711" s="898"/>
      <c r="AI4711" s="502"/>
      <c r="AJ4711" s="502"/>
      <c r="AL4711" s="434"/>
      <c r="AM4711" s="436"/>
      <c r="AN4711" s="434"/>
      <c r="AO4711" s="434"/>
      <c r="AP4711" s="556"/>
      <c r="AQ4711" s="556"/>
      <c r="AR4711" s="556"/>
      <c r="CF4711" s="2"/>
    </row>
    <row r="4712" spans="3:84">
      <c r="C4712" s="2"/>
      <c r="AD4712" s="502"/>
      <c r="AE4712" s="911"/>
      <c r="AF4712" s="502"/>
      <c r="AH4712" s="898"/>
      <c r="AI4712" s="502"/>
      <c r="AJ4712" s="502"/>
      <c r="AL4712" s="434"/>
      <c r="AM4712" s="436"/>
      <c r="AN4712" s="434"/>
      <c r="AO4712" s="434"/>
      <c r="AP4712" s="556"/>
      <c r="AQ4712" s="556"/>
      <c r="AR4712" s="556"/>
      <c r="CF4712" s="2"/>
    </row>
    <row r="4713" spans="3:84">
      <c r="C4713" s="2"/>
      <c r="AD4713" s="502"/>
      <c r="AE4713" s="911"/>
      <c r="AF4713" s="502"/>
      <c r="AH4713" s="898"/>
      <c r="AI4713" s="502"/>
      <c r="AJ4713" s="502"/>
      <c r="AL4713" s="434"/>
      <c r="AM4713" s="436"/>
      <c r="AN4713" s="434"/>
      <c r="AO4713" s="434"/>
      <c r="AP4713" s="556"/>
      <c r="AQ4713" s="556"/>
      <c r="AR4713" s="556"/>
      <c r="CF4713" s="2"/>
    </row>
    <row r="4714" spans="3:84">
      <c r="C4714" s="2"/>
      <c r="AD4714" s="502"/>
      <c r="AE4714" s="911"/>
      <c r="AF4714" s="502"/>
      <c r="AH4714" s="898"/>
      <c r="AI4714" s="502"/>
      <c r="AJ4714" s="502"/>
      <c r="AL4714" s="434"/>
      <c r="AM4714" s="436"/>
      <c r="AN4714" s="434"/>
      <c r="AO4714" s="434"/>
      <c r="AP4714" s="556"/>
      <c r="AQ4714" s="556"/>
      <c r="AR4714" s="556"/>
      <c r="CF4714" s="2"/>
    </row>
    <row r="4715" spans="3:84">
      <c r="C4715" s="2"/>
      <c r="AD4715" s="502"/>
      <c r="AE4715" s="911"/>
      <c r="AF4715" s="502"/>
      <c r="AH4715" s="898"/>
      <c r="AI4715" s="502"/>
      <c r="AJ4715" s="502"/>
      <c r="AL4715" s="434"/>
      <c r="AM4715" s="436"/>
      <c r="AN4715" s="434"/>
      <c r="AO4715" s="434"/>
      <c r="AP4715" s="556"/>
      <c r="AQ4715" s="556"/>
      <c r="AR4715" s="556"/>
      <c r="CF4715" s="2"/>
    </row>
    <row r="4716" spans="3:84">
      <c r="C4716" s="2"/>
      <c r="AD4716" s="502"/>
      <c r="AE4716" s="911"/>
      <c r="AF4716" s="502"/>
      <c r="AH4716" s="898"/>
      <c r="AI4716" s="502"/>
      <c r="AJ4716" s="502"/>
      <c r="AL4716" s="434"/>
      <c r="AM4716" s="436"/>
      <c r="AN4716" s="434"/>
      <c r="AO4716" s="434"/>
      <c r="AP4716" s="556"/>
      <c r="AQ4716" s="556"/>
      <c r="AR4716" s="556"/>
      <c r="CF4716" s="2"/>
    </row>
    <row r="4717" spans="3:84">
      <c r="C4717" s="2"/>
      <c r="AD4717" s="502"/>
      <c r="AE4717" s="911"/>
      <c r="AF4717" s="502"/>
      <c r="AH4717" s="898"/>
      <c r="AI4717" s="502"/>
      <c r="AJ4717" s="502"/>
      <c r="AL4717" s="434"/>
      <c r="AM4717" s="436"/>
      <c r="AN4717" s="434"/>
      <c r="AO4717" s="434"/>
      <c r="AP4717" s="556"/>
      <c r="AQ4717" s="556"/>
      <c r="AR4717" s="556"/>
      <c r="CF4717" s="2"/>
    </row>
    <row r="4718" spans="3:84">
      <c r="C4718" s="2"/>
      <c r="AD4718" s="502"/>
      <c r="AE4718" s="911"/>
      <c r="AF4718" s="502"/>
      <c r="AH4718" s="898"/>
      <c r="AI4718" s="502"/>
      <c r="AJ4718" s="502"/>
      <c r="AL4718" s="434"/>
      <c r="AM4718" s="436"/>
      <c r="AN4718" s="434"/>
      <c r="AO4718" s="434"/>
      <c r="AP4718" s="556"/>
      <c r="AQ4718" s="556"/>
      <c r="AR4718" s="556"/>
      <c r="CF4718" s="2"/>
    </row>
    <row r="4719" spans="3:84">
      <c r="C4719" s="2"/>
      <c r="AD4719" s="502"/>
      <c r="AE4719" s="911"/>
      <c r="AF4719" s="502"/>
      <c r="AH4719" s="898"/>
      <c r="AI4719" s="502"/>
      <c r="AJ4719" s="502"/>
      <c r="AL4719" s="434"/>
      <c r="AM4719" s="436"/>
      <c r="AN4719" s="434"/>
      <c r="AO4719" s="434"/>
      <c r="AP4719" s="556"/>
      <c r="AQ4719" s="556"/>
      <c r="AR4719" s="556"/>
      <c r="CF4719" s="2"/>
    </row>
    <row r="4720" spans="3:84">
      <c r="C4720" s="2"/>
      <c r="AD4720" s="502"/>
      <c r="AE4720" s="911"/>
      <c r="AF4720" s="502"/>
      <c r="AH4720" s="898"/>
      <c r="AI4720" s="502"/>
      <c r="AJ4720" s="502"/>
      <c r="AL4720" s="434"/>
      <c r="AM4720" s="436"/>
      <c r="AN4720" s="434"/>
      <c r="AO4720" s="434"/>
      <c r="AP4720" s="556"/>
      <c r="AQ4720" s="556"/>
      <c r="AR4720" s="556"/>
      <c r="CF4720" s="2"/>
    </row>
    <row r="4721" spans="3:84">
      <c r="C4721" s="2"/>
      <c r="AD4721" s="502"/>
      <c r="AE4721" s="911"/>
      <c r="AF4721" s="502"/>
      <c r="AH4721" s="898"/>
      <c r="AI4721" s="502"/>
      <c r="AJ4721" s="502"/>
      <c r="AL4721" s="434"/>
      <c r="AM4721" s="436"/>
      <c r="AN4721" s="434"/>
      <c r="AO4721" s="434"/>
      <c r="AP4721" s="556"/>
      <c r="AQ4721" s="556"/>
      <c r="AR4721" s="556"/>
      <c r="CF4721" s="2"/>
    </row>
    <row r="4722" spans="3:84">
      <c r="C4722" s="2"/>
      <c r="AD4722" s="502"/>
      <c r="AE4722" s="911"/>
      <c r="AF4722" s="502"/>
      <c r="AH4722" s="898"/>
      <c r="AI4722" s="502"/>
      <c r="AJ4722" s="502"/>
      <c r="AL4722" s="434"/>
      <c r="AM4722" s="436"/>
      <c r="AN4722" s="434"/>
      <c r="AO4722" s="434"/>
      <c r="AP4722" s="556"/>
      <c r="AQ4722" s="556"/>
      <c r="AR4722" s="556"/>
      <c r="CF4722" s="2"/>
    </row>
    <row r="4723" spans="3:84">
      <c r="C4723" s="2"/>
      <c r="AD4723" s="502"/>
      <c r="AE4723" s="911"/>
      <c r="AF4723" s="502"/>
      <c r="AH4723" s="898"/>
      <c r="AI4723" s="502"/>
      <c r="AJ4723" s="502"/>
      <c r="AL4723" s="434"/>
      <c r="AM4723" s="436"/>
      <c r="AN4723" s="434"/>
      <c r="AO4723" s="434"/>
      <c r="AP4723" s="556"/>
      <c r="AQ4723" s="556"/>
      <c r="AR4723" s="556"/>
      <c r="CF4723" s="2"/>
    </row>
    <row r="4724" spans="3:84">
      <c r="C4724" s="2"/>
      <c r="AD4724" s="502"/>
      <c r="AE4724" s="911"/>
      <c r="AF4724" s="502"/>
      <c r="AH4724" s="898"/>
      <c r="AI4724" s="502"/>
      <c r="AJ4724" s="502"/>
      <c r="AL4724" s="434"/>
      <c r="AM4724" s="436"/>
      <c r="AN4724" s="434"/>
      <c r="AO4724" s="434"/>
      <c r="AP4724" s="556"/>
      <c r="AQ4724" s="556"/>
      <c r="AR4724" s="556"/>
      <c r="CF4724" s="2"/>
    </row>
    <row r="4725" spans="3:84">
      <c r="C4725" s="2"/>
      <c r="AD4725" s="502"/>
      <c r="AE4725" s="911"/>
      <c r="AF4725" s="502"/>
      <c r="AH4725" s="898"/>
      <c r="AI4725" s="502"/>
      <c r="AJ4725" s="502"/>
      <c r="AL4725" s="434"/>
      <c r="AM4725" s="436"/>
      <c r="AN4725" s="434"/>
      <c r="AO4725" s="434"/>
      <c r="AP4725" s="556"/>
      <c r="AQ4725" s="556"/>
      <c r="AR4725" s="556"/>
      <c r="CF4725" s="2"/>
    </row>
    <row r="4726" spans="3:84">
      <c r="C4726" s="2"/>
      <c r="AD4726" s="502"/>
      <c r="AE4726" s="911"/>
      <c r="AF4726" s="502"/>
      <c r="AH4726" s="898"/>
      <c r="AI4726" s="502"/>
      <c r="AJ4726" s="502"/>
      <c r="AL4726" s="434"/>
      <c r="AM4726" s="436"/>
      <c r="AN4726" s="434"/>
      <c r="AO4726" s="434"/>
      <c r="AP4726" s="556"/>
      <c r="AQ4726" s="556"/>
      <c r="AR4726" s="556"/>
      <c r="CF4726" s="2"/>
    </row>
    <row r="4727" spans="3:84">
      <c r="C4727" s="2"/>
      <c r="AD4727" s="502"/>
      <c r="AE4727" s="911"/>
      <c r="AF4727" s="502"/>
      <c r="AH4727" s="898"/>
      <c r="AI4727" s="502"/>
      <c r="AJ4727" s="502"/>
      <c r="AL4727" s="434"/>
      <c r="AM4727" s="436"/>
      <c r="AN4727" s="434"/>
      <c r="AO4727" s="434"/>
      <c r="AP4727" s="556"/>
      <c r="AQ4727" s="556"/>
      <c r="AR4727" s="556"/>
      <c r="CF4727" s="2"/>
    </row>
    <row r="4728" spans="3:84">
      <c r="C4728" s="2"/>
      <c r="AD4728" s="502"/>
      <c r="AE4728" s="911"/>
      <c r="AF4728" s="502"/>
      <c r="AH4728" s="898"/>
      <c r="AI4728" s="502"/>
      <c r="AJ4728" s="502"/>
      <c r="AL4728" s="434"/>
      <c r="AM4728" s="436"/>
      <c r="AN4728" s="434"/>
      <c r="AO4728" s="434"/>
      <c r="AP4728" s="556"/>
      <c r="AQ4728" s="556"/>
      <c r="AR4728" s="556"/>
      <c r="CF4728" s="2"/>
    </row>
    <row r="4729" spans="3:84">
      <c r="C4729" s="2"/>
      <c r="AD4729" s="502"/>
      <c r="AE4729" s="911"/>
      <c r="AF4729" s="502"/>
      <c r="AH4729" s="898"/>
      <c r="AI4729" s="502"/>
      <c r="AJ4729" s="502"/>
      <c r="AL4729" s="434"/>
      <c r="AM4729" s="436"/>
      <c r="AN4729" s="434"/>
      <c r="AO4729" s="434"/>
      <c r="AP4729" s="556"/>
      <c r="AQ4729" s="556"/>
      <c r="AR4729" s="556"/>
      <c r="CF4729" s="2"/>
    </row>
    <row r="4730" spans="3:84">
      <c r="C4730" s="2"/>
      <c r="AD4730" s="502"/>
      <c r="AE4730" s="911"/>
      <c r="AF4730" s="502"/>
      <c r="AH4730" s="898"/>
      <c r="AI4730" s="502"/>
      <c r="AJ4730" s="502"/>
      <c r="AL4730" s="434"/>
      <c r="AM4730" s="436"/>
      <c r="AN4730" s="434"/>
      <c r="AO4730" s="434"/>
      <c r="AP4730" s="556"/>
      <c r="AQ4730" s="556"/>
      <c r="AR4730" s="556"/>
      <c r="CF4730" s="2"/>
    </row>
    <row r="4731" spans="3:84">
      <c r="C4731" s="2"/>
      <c r="AD4731" s="502"/>
      <c r="AE4731" s="911"/>
      <c r="AF4731" s="502"/>
      <c r="AH4731" s="898"/>
      <c r="AI4731" s="502"/>
      <c r="AJ4731" s="502"/>
      <c r="AL4731" s="434"/>
      <c r="AM4731" s="436"/>
      <c r="AN4731" s="434"/>
      <c r="AO4731" s="434"/>
      <c r="AP4731" s="556"/>
      <c r="AQ4731" s="556"/>
      <c r="AR4731" s="556"/>
      <c r="CF4731" s="2"/>
    </row>
    <row r="4732" spans="3:84">
      <c r="C4732" s="2"/>
      <c r="AD4732" s="502"/>
      <c r="AE4732" s="911"/>
      <c r="AF4732" s="502"/>
      <c r="AH4732" s="898"/>
      <c r="AI4732" s="502"/>
      <c r="AJ4732" s="502"/>
      <c r="AL4732" s="434"/>
      <c r="AM4732" s="436"/>
      <c r="AN4732" s="434"/>
      <c r="AO4732" s="434"/>
      <c r="AP4732" s="556"/>
      <c r="AQ4732" s="556"/>
      <c r="AR4732" s="556"/>
      <c r="CF4732" s="2"/>
    </row>
    <row r="4733" spans="3:84">
      <c r="C4733" s="2"/>
      <c r="AD4733" s="502"/>
      <c r="AE4733" s="911"/>
      <c r="AF4733" s="502"/>
      <c r="AH4733" s="898"/>
      <c r="AI4733" s="502"/>
      <c r="AJ4733" s="502"/>
      <c r="AL4733" s="434"/>
      <c r="AM4733" s="436"/>
      <c r="AN4733" s="434"/>
      <c r="AO4733" s="434"/>
      <c r="AP4733" s="556"/>
      <c r="AQ4733" s="556"/>
      <c r="AR4733" s="556"/>
      <c r="CF4733" s="2"/>
    </row>
    <row r="4734" spans="3:84">
      <c r="C4734" s="2"/>
      <c r="AD4734" s="502"/>
      <c r="AE4734" s="911"/>
      <c r="AF4734" s="502"/>
      <c r="AH4734" s="898"/>
      <c r="AI4734" s="502"/>
      <c r="AJ4734" s="502"/>
      <c r="AL4734" s="434"/>
      <c r="AM4734" s="436"/>
      <c r="AN4734" s="434"/>
      <c r="AO4734" s="434"/>
      <c r="AP4734" s="556"/>
      <c r="AQ4734" s="556"/>
      <c r="AR4734" s="556"/>
      <c r="CF4734" s="2"/>
    </row>
    <row r="4735" spans="3:84">
      <c r="C4735" s="2"/>
      <c r="AD4735" s="502"/>
      <c r="AE4735" s="911"/>
      <c r="AF4735" s="502"/>
      <c r="AH4735" s="898"/>
      <c r="AI4735" s="502"/>
      <c r="AJ4735" s="502"/>
      <c r="AL4735" s="434"/>
      <c r="AM4735" s="436"/>
      <c r="AN4735" s="434"/>
      <c r="AO4735" s="434"/>
      <c r="AP4735" s="556"/>
      <c r="AQ4735" s="556"/>
      <c r="AR4735" s="556"/>
      <c r="CF4735" s="2"/>
    </row>
    <row r="4736" spans="3:84">
      <c r="C4736" s="2"/>
      <c r="AD4736" s="502"/>
      <c r="AE4736" s="911"/>
      <c r="AF4736" s="502"/>
      <c r="AH4736" s="898"/>
      <c r="AI4736" s="502"/>
      <c r="AJ4736" s="502"/>
      <c r="AL4736" s="434"/>
      <c r="AM4736" s="436"/>
      <c r="AN4736" s="434"/>
      <c r="AO4736" s="434"/>
      <c r="AP4736" s="556"/>
      <c r="AQ4736" s="556"/>
      <c r="AR4736" s="556"/>
      <c r="CF4736" s="2"/>
    </row>
    <row r="4737" spans="3:84">
      <c r="C4737" s="2"/>
      <c r="AD4737" s="502"/>
      <c r="AE4737" s="911"/>
      <c r="AF4737" s="502"/>
      <c r="AH4737" s="898"/>
      <c r="AI4737" s="502"/>
      <c r="AJ4737" s="502"/>
      <c r="AL4737" s="434"/>
      <c r="AM4737" s="436"/>
      <c r="AN4737" s="434"/>
      <c r="AO4737" s="434"/>
      <c r="AP4737" s="556"/>
      <c r="AQ4737" s="556"/>
      <c r="AR4737" s="556"/>
      <c r="CF4737" s="2"/>
    </row>
    <row r="4738" spans="3:84">
      <c r="C4738" s="2"/>
      <c r="AD4738" s="502"/>
      <c r="AE4738" s="911"/>
      <c r="AF4738" s="502"/>
      <c r="AH4738" s="898"/>
      <c r="AI4738" s="502"/>
      <c r="AJ4738" s="502"/>
      <c r="AL4738" s="434"/>
      <c r="AM4738" s="436"/>
      <c r="AN4738" s="434"/>
      <c r="AO4738" s="434"/>
      <c r="AP4738" s="556"/>
      <c r="AQ4738" s="556"/>
      <c r="AR4738" s="556"/>
      <c r="CF4738" s="2"/>
    </row>
    <row r="4739" spans="3:84">
      <c r="C4739" s="2"/>
      <c r="AD4739" s="502"/>
      <c r="AE4739" s="911"/>
      <c r="AF4739" s="502"/>
      <c r="AH4739" s="898"/>
      <c r="AI4739" s="502"/>
      <c r="AJ4739" s="502"/>
      <c r="AL4739" s="434"/>
      <c r="AM4739" s="436"/>
      <c r="AN4739" s="434"/>
      <c r="AO4739" s="434"/>
      <c r="AP4739" s="556"/>
      <c r="AQ4739" s="556"/>
      <c r="AR4739" s="556"/>
      <c r="CF4739" s="2"/>
    </row>
    <row r="4740" spans="3:84">
      <c r="C4740" s="2"/>
      <c r="AD4740" s="502"/>
      <c r="AE4740" s="911"/>
      <c r="AF4740" s="502"/>
      <c r="AH4740" s="898"/>
      <c r="AI4740" s="502"/>
      <c r="AJ4740" s="502"/>
      <c r="AL4740" s="434"/>
      <c r="AM4740" s="436"/>
      <c r="AN4740" s="434"/>
      <c r="AO4740" s="434"/>
      <c r="AP4740" s="556"/>
      <c r="AQ4740" s="556"/>
      <c r="AR4740" s="556"/>
      <c r="CF4740" s="2"/>
    </row>
    <row r="4741" spans="3:84">
      <c r="C4741" s="2"/>
      <c r="AD4741" s="502"/>
      <c r="AE4741" s="911"/>
      <c r="AF4741" s="502"/>
      <c r="AH4741" s="898"/>
      <c r="AI4741" s="502"/>
      <c r="AJ4741" s="502"/>
      <c r="AL4741" s="434"/>
      <c r="AM4741" s="436"/>
      <c r="AN4741" s="434"/>
      <c r="AO4741" s="434"/>
      <c r="AP4741" s="556"/>
      <c r="AQ4741" s="556"/>
      <c r="AR4741" s="556"/>
      <c r="CF4741" s="2"/>
    </row>
    <row r="4742" spans="3:84">
      <c r="C4742" s="2"/>
      <c r="AD4742" s="502"/>
      <c r="AE4742" s="911"/>
      <c r="AF4742" s="502"/>
      <c r="AH4742" s="898"/>
      <c r="AI4742" s="502"/>
      <c r="AJ4742" s="502"/>
      <c r="AL4742" s="434"/>
      <c r="AM4742" s="436"/>
      <c r="AN4742" s="434"/>
      <c r="AO4742" s="434"/>
      <c r="AP4742" s="556"/>
      <c r="AQ4742" s="556"/>
      <c r="AR4742" s="556"/>
      <c r="CF4742" s="2"/>
    </row>
    <row r="4743" spans="3:84">
      <c r="C4743" s="2"/>
      <c r="AD4743" s="502"/>
      <c r="AE4743" s="911"/>
      <c r="AF4743" s="502"/>
      <c r="AH4743" s="898"/>
      <c r="AI4743" s="502"/>
      <c r="AJ4743" s="502"/>
      <c r="AL4743" s="434"/>
      <c r="AM4743" s="436"/>
      <c r="AN4743" s="434"/>
      <c r="AO4743" s="434"/>
      <c r="AP4743" s="556"/>
      <c r="AQ4743" s="556"/>
      <c r="AR4743" s="556"/>
      <c r="CF4743" s="2"/>
    </row>
    <row r="4744" spans="3:84">
      <c r="C4744" s="2"/>
      <c r="AD4744" s="502"/>
      <c r="AE4744" s="911"/>
      <c r="AF4744" s="502"/>
      <c r="AH4744" s="898"/>
      <c r="AI4744" s="502"/>
      <c r="AJ4744" s="502"/>
      <c r="AL4744" s="434"/>
      <c r="AM4744" s="436"/>
      <c r="AN4744" s="434"/>
      <c r="AO4744" s="434"/>
      <c r="AP4744" s="556"/>
      <c r="AQ4744" s="556"/>
      <c r="AR4744" s="556"/>
      <c r="CF4744" s="2"/>
    </row>
    <row r="4745" spans="3:84">
      <c r="C4745" s="2"/>
      <c r="AD4745" s="502"/>
      <c r="AE4745" s="911"/>
      <c r="AF4745" s="502"/>
      <c r="AH4745" s="898"/>
      <c r="AI4745" s="502"/>
      <c r="AJ4745" s="502"/>
      <c r="AL4745" s="434"/>
      <c r="AM4745" s="436"/>
      <c r="AN4745" s="434"/>
      <c r="AO4745" s="434"/>
      <c r="AP4745" s="556"/>
      <c r="AQ4745" s="556"/>
      <c r="AR4745" s="556"/>
      <c r="CF4745" s="2"/>
    </row>
    <row r="4746" spans="3:84">
      <c r="C4746" s="2"/>
      <c r="AD4746" s="502"/>
      <c r="AE4746" s="911"/>
      <c r="AF4746" s="502"/>
      <c r="AH4746" s="898"/>
      <c r="AI4746" s="502"/>
      <c r="AJ4746" s="502"/>
      <c r="AL4746" s="434"/>
      <c r="AM4746" s="436"/>
      <c r="AN4746" s="434"/>
      <c r="AO4746" s="434"/>
      <c r="AP4746" s="556"/>
      <c r="AQ4746" s="556"/>
      <c r="AR4746" s="556"/>
      <c r="CF4746" s="2"/>
    </row>
    <row r="4747" spans="3:84">
      <c r="C4747" s="2"/>
      <c r="AD4747" s="502"/>
      <c r="AE4747" s="911"/>
      <c r="AF4747" s="502"/>
      <c r="AH4747" s="898"/>
      <c r="AI4747" s="502"/>
      <c r="AJ4747" s="502"/>
      <c r="AL4747" s="434"/>
      <c r="AM4747" s="436"/>
      <c r="AN4747" s="434"/>
      <c r="AO4747" s="434"/>
      <c r="AP4747" s="556"/>
      <c r="AQ4747" s="556"/>
      <c r="AR4747" s="556"/>
      <c r="CF4747" s="2"/>
    </row>
    <row r="4748" spans="3:84">
      <c r="C4748" s="2"/>
      <c r="AD4748" s="502"/>
      <c r="AE4748" s="911"/>
      <c r="AF4748" s="502"/>
      <c r="AH4748" s="898"/>
      <c r="AI4748" s="502"/>
      <c r="AJ4748" s="502"/>
      <c r="AL4748" s="434"/>
      <c r="AM4748" s="436"/>
      <c r="AN4748" s="434"/>
      <c r="AO4748" s="434"/>
      <c r="AP4748" s="556"/>
      <c r="AQ4748" s="556"/>
      <c r="AR4748" s="556"/>
      <c r="CF4748" s="2"/>
    </row>
    <row r="4749" spans="3:84">
      <c r="C4749" s="2"/>
      <c r="AD4749" s="502"/>
      <c r="AE4749" s="911"/>
      <c r="AF4749" s="502"/>
      <c r="AH4749" s="898"/>
      <c r="AI4749" s="502"/>
      <c r="AJ4749" s="502"/>
      <c r="AL4749" s="434"/>
      <c r="AM4749" s="436"/>
      <c r="AN4749" s="434"/>
      <c r="AO4749" s="434"/>
      <c r="AP4749" s="556"/>
      <c r="AQ4749" s="556"/>
      <c r="AR4749" s="556"/>
      <c r="CF4749" s="2"/>
    </row>
    <row r="4750" spans="3:84">
      <c r="C4750" s="2"/>
      <c r="AD4750" s="502"/>
      <c r="AE4750" s="911"/>
      <c r="AF4750" s="502"/>
      <c r="AH4750" s="898"/>
      <c r="AI4750" s="502"/>
      <c r="AJ4750" s="502"/>
      <c r="AL4750" s="434"/>
      <c r="AM4750" s="436"/>
      <c r="AN4750" s="434"/>
      <c r="AO4750" s="434"/>
      <c r="AP4750" s="556"/>
      <c r="AQ4750" s="556"/>
      <c r="AR4750" s="556"/>
      <c r="CF4750" s="2"/>
    </row>
    <row r="4751" spans="3:84">
      <c r="C4751" s="2"/>
      <c r="AD4751" s="502"/>
      <c r="AE4751" s="911"/>
      <c r="AF4751" s="502"/>
      <c r="AH4751" s="898"/>
      <c r="AI4751" s="502"/>
      <c r="AJ4751" s="502"/>
      <c r="AL4751" s="434"/>
      <c r="AM4751" s="436"/>
      <c r="AN4751" s="434"/>
      <c r="AO4751" s="434"/>
      <c r="AP4751" s="556"/>
      <c r="AQ4751" s="556"/>
      <c r="AR4751" s="556"/>
      <c r="CF4751" s="2"/>
    </row>
    <row r="4752" spans="3:84">
      <c r="C4752" s="2"/>
      <c r="AD4752" s="502"/>
      <c r="AE4752" s="911"/>
      <c r="AF4752" s="502"/>
      <c r="AH4752" s="898"/>
      <c r="AI4752" s="502"/>
      <c r="AJ4752" s="502"/>
      <c r="AL4752" s="434"/>
      <c r="AM4752" s="436"/>
      <c r="AN4752" s="434"/>
      <c r="AO4752" s="434"/>
      <c r="AP4752" s="556"/>
      <c r="AQ4752" s="556"/>
      <c r="AR4752" s="556"/>
      <c r="CF4752" s="2"/>
    </row>
    <row r="4753" spans="3:84">
      <c r="C4753" s="2"/>
      <c r="AD4753" s="502"/>
      <c r="AE4753" s="911"/>
      <c r="AF4753" s="502"/>
      <c r="AH4753" s="898"/>
      <c r="AI4753" s="502"/>
      <c r="AJ4753" s="502"/>
      <c r="AL4753" s="434"/>
      <c r="AM4753" s="436"/>
      <c r="AN4753" s="434"/>
      <c r="AO4753" s="434"/>
      <c r="AP4753" s="556"/>
      <c r="AQ4753" s="556"/>
      <c r="AR4753" s="556"/>
      <c r="CF4753" s="2"/>
    </row>
    <row r="4754" spans="3:84">
      <c r="C4754" s="2"/>
      <c r="AD4754" s="502"/>
      <c r="AE4754" s="911"/>
      <c r="AF4754" s="502"/>
      <c r="AH4754" s="898"/>
      <c r="AI4754" s="502"/>
      <c r="AJ4754" s="502"/>
      <c r="AL4754" s="434"/>
      <c r="AM4754" s="436"/>
      <c r="AN4754" s="434"/>
      <c r="AO4754" s="434"/>
      <c r="AP4754" s="556"/>
      <c r="AQ4754" s="556"/>
      <c r="AR4754" s="556"/>
      <c r="CF4754" s="2"/>
    </row>
    <row r="4755" spans="3:84">
      <c r="C4755" s="2"/>
      <c r="AD4755" s="502"/>
      <c r="AE4755" s="911"/>
      <c r="AF4755" s="502"/>
      <c r="AH4755" s="898"/>
      <c r="AI4755" s="502"/>
      <c r="AJ4755" s="502"/>
      <c r="AL4755" s="434"/>
      <c r="AM4755" s="436"/>
      <c r="AN4755" s="434"/>
      <c r="AO4755" s="434"/>
      <c r="AP4755" s="556"/>
      <c r="AQ4755" s="556"/>
      <c r="AR4755" s="556"/>
      <c r="CF4755" s="2"/>
    </row>
    <row r="4756" spans="3:84">
      <c r="C4756" s="2"/>
      <c r="AD4756" s="502"/>
      <c r="AE4756" s="911"/>
      <c r="AF4756" s="502"/>
      <c r="AH4756" s="898"/>
      <c r="AI4756" s="502"/>
      <c r="AJ4756" s="502"/>
      <c r="AL4756" s="434"/>
      <c r="AM4756" s="436"/>
      <c r="AN4756" s="434"/>
      <c r="AO4756" s="434"/>
      <c r="AP4756" s="556"/>
      <c r="AQ4756" s="556"/>
      <c r="AR4756" s="556"/>
      <c r="CF4756" s="2"/>
    </row>
    <row r="4757" spans="3:84">
      <c r="C4757" s="2"/>
      <c r="AD4757" s="502"/>
      <c r="AE4757" s="911"/>
      <c r="AF4757" s="502"/>
      <c r="AH4757" s="898"/>
      <c r="AI4757" s="502"/>
      <c r="AJ4757" s="502"/>
      <c r="AL4757" s="434"/>
      <c r="AM4757" s="436"/>
      <c r="AN4757" s="434"/>
      <c r="AO4757" s="434"/>
      <c r="AP4757" s="556"/>
      <c r="AQ4757" s="556"/>
      <c r="AR4757" s="556"/>
      <c r="CF4757" s="2"/>
    </row>
    <row r="4758" spans="3:84">
      <c r="C4758" s="2"/>
      <c r="AD4758" s="502"/>
      <c r="AE4758" s="911"/>
      <c r="AF4758" s="502"/>
      <c r="AH4758" s="898"/>
      <c r="AI4758" s="502"/>
      <c r="AJ4758" s="502"/>
      <c r="AL4758" s="434"/>
      <c r="AM4758" s="436"/>
      <c r="AN4758" s="434"/>
      <c r="AO4758" s="434"/>
      <c r="AP4758" s="556"/>
      <c r="AQ4758" s="556"/>
      <c r="AR4758" s="556"/>
      <c r="CF4758" s="2"/>
    </row>
    <row r="4759" spans="3:84">
      <c r="C4759" s="2"/>
      <c r="AD4759" s="502"/>
      <c r="AE4759" s="911"/>
      <c r="AF4759" s="502"/>
      <c r="AH4759" s="898"/>
      <c r="AI4759" s="502"/>
      <c r="AJ4759" s="502"/>
      <c r="AL4759" s="434"/>
      <c r="AM4759" s="436"/>
      <c r="AN4759" s="434"/>
      <c r="AO4759" s="434"/>
      <c r="AP4759" s="556"/>
      <c r="AQ4759" s="556"/>
      <c r="AR4759" s="556"/>
      <c r="CF4759" s="2"/>
    </row>
    <row r="4760" spans="3:84">
      <c r="C4760" s="2"/>
      <c r="AD4760" s="502"/>
      <c r="AE4760" s="911"/>
      <c r="AF4760" s="502"/>
      <c r="AH4760" s="898"/>
      <c r="AI4760" s="502"/>
      <c r="AJ4760" s="502"/>
      <c r="AL4760" s="434"/>
      <c r="AM4760" s="436"/>
      <c r="AN4760" s="434"/>
      <c r="AO4760" s="434"/>
      <c r="AP4760" s="556"/>
      <c r="AQ4760" s="556"/>
      <c r="AR4760" s="556"/>
      <c r="CF4760" s="2"/>
    </row>
    <row r="4761" spans="3:84">
      <c r="C4761" s="2"/>
      <c r="AD4761" s="502"/>
      <c r="AE4761" s="911"/>
      <c r="AF4761" s="502"/>
      <c r="AH4761" s="898"/>
      <c r="AI4761" s="502"/>
      <c r="AJ4761" s="502"/>
      <c r="AL4761" s="434"/>
      <c r="AM4761" s="436"/>
      <c r="AN4761" s="434"/>
      <c r="AO4761" s="434"/>
      <c r="AP4761" s="556"/>
      <c r="AQ4761" s="556"/>
      <c r="AR4761" s="556"/>
      <c r="CF4761" s="2"/>
    </row>
    <row r="4762" spans="3:84">
      <c r="C4762" s="2"/>
      <c r="AD4762" s="502"/>
      <c r="AE4762" s="911"/>
      <c r="AF4762" s="502"/>
      <c r="AH4762" s="898"/>
      <c r="AI4762" s="502"/>
      <c r="AJ4762" s="502"/>
      <c r="AL4762" s="434"/>
      <c r="AM4762" s="436"/>
      <c r="AN4762" s="434"/>
      <c r="AO4762" s="434"/>
      <c r="AP4762" s="556"/>
      <c r="AQ4762" s="556"/>
      <c r="AR4762" s="556"/>
      <c r="CF4762" s="2"/>
    </row>
    <row r="4763" spans="3:84">
      <c r="C4763" s="2"/>
      <c r="AD4763" s="502"/>
      <c r="AE4763" s="911"/>
      <c r="AF4763" s="502"/>
      <c r="AH4763" s="898"/>
      <c r="AI4763" s="502"/>
      <c r="AJ4763" s="502"/>
      <c r="AL4763" s="434"/>
      <c r="AM4763" s="436"/>
      <c r="AN4763" s="434"/>
      <c r="AO4763" s="434"/>
      <c r="AP4763" s="556"/>
      <c r="AQ4763" s="556"/>
      <c r="AR4763" s="556"/>
      <c r="CF4763" s="2"/>
    </row>
    <row r="4764" spans="3:84">
      <c r="C4764" s="2"/>
      <c r="AD4764" s="502"/>
      <c r="AE4764" s="911"/>
      <c r="AF4764" s="502"/>
      <c r="AH4764" s="898"/>
      <c r="AI4764" s="502"/>
      <c r="AJ4764" s="502"/>
      <c r="AL4764" s="434"/>
      <c r="AM4764" s="436"/>
      <c r="AN4764" s="434"/>
      <c r="AO4764" s="434"/>
      <c r="AP4764" s="556"/>
      <c r="AQ4764" s="556"/>
      <c r="AR4764" s="556"/>
      <c r="CF4764" s="2"/>
    </row>
    <row r="4765" spans="3:84">
      <c r="C4765" s="2"/>
      <c r="AD4765" s="502"/>
      <c r="AE4765" s="911"/>
      <c r="AF4765" s="502"/>
      <c r="AH4765" s="898"/>
      <c r="AI4765" s="502"/>
      <c r="AJ4765" s="502"/>
      <c r="AL4765" s="434"/>
      <c r="AM4765" s="436"/>
      <c r="AN4765" s="434"/>
      <c r="AO4765" s="434"/>
      <c r="AP4765" s="556"/>
      <c r="AQ4765" s="556"/>
      <c r="AR4765" s="556"/>
      <c r="CF4765" s="2"/>
    </row>
    <row r="4766" spans="3:84">
      <c r="C4766" s="2"/>
      <c r="AD4766" s="502"/>
      <c r="AE4766" s="911"/>
      <c r="AF4766" s="502"/>
      <c r="AH4766" s="898"/>
      <c r="AI4766" s="502"/>
      <c r="AJ4766" s="502"/>
      <c r="AL4766" s="434"/>
      <c r="AM4766" s="436"/>
      <c r="AN4766" s="434"/>
      <c r="AO4766" s="434"/>
      <c r="AP4766" s="556"/>
      <c r="AQ4766" s="556"/>
      <c r="AR4766" s="556"/>
      <c r="CF4766" s="2"/>
    </row>
    <row r="4767" spans="3:84">
      <c r="C4767" s="2"/>
      <c r="AD4767" s="502"/>
      <c r="AE4767" s="911"/>
      <c r="AF4767" s="502"/>
      <c r="AH4767" s="898"/>
      <c r="AI4767" s="502"/>
      <c r="AJ4767" s="502"/>
      <c r="AL4767" s="434"/>
      <c r="AM4767" s="436"/>
      <c r="AN4767" s="434"/>
      <c r="AO4767" s="434"/>
      <c r="AP4767" s="556"/>
      <c r="AQ4767" s="556"/>
      <c r="AR4767" s="556"/>
      <c r="CF4767" s="2"/>
    </row>
    <row r="4768" spans="3:84">
      <c r="C4768" s="2"/>
      <c r="AD4768" s="502"/>
      <c r="AE4768" s="911"/>
      <c r="AF4768" s="502"/>
      <c r="AH4768" s="898"/>
      <c r="AI4768" s="502"/>
      <c r="AJ4768" s="502"/>
      <c r="AL4768" s="434"/>
      <c r="AM4768" s="436"/>
      <c r="AN4768" s="434"/>
      <c r="AO4768" s="434"/>
      <c r="AP4768" s="556"/>
      <c r="AQ4768" s="556"/>
      <c r="AR4768" s="556"/>
      <c r="CF4768" s="2"/>
    </row>
    <row r="4769" spans="3:84">
      <c r="C4769" s="2"/>
      <c r="AD4769" s="502"/>
      <c r="AE4769" s="911"/>
      <c r="AF4769" s="502"/>
      <c r="AH4769" s="898"/>
      <c r="AI4769" s="502"/>
      <c r="AJ4769" s="502"/>
      <c r="AL4769" s="434"/>
      <c r="AM4769" s="436"/>
      <c r="AN4769" s="434"/>
      <c r="AO4769" s="434"/>
      <c r="AP4769" s="556"/>
      <c r="AQ4769" s="556"/>
      <c r="AR4769" s="556"/>
      <c r="CF4769" s="2"/>
    </row>
    <row r="4770" spans="3:84">
      <c r="C4770" s="2"/>
      <c r="AD4770" s="502"/>
      <c r="AE4770" s="911"/>
      <c r="AF4770" s="502"/>
      <c r="AH4770" s="898"/>
      <c r="AI4770" s="502"/>
      <c r="AJ4770" s="502"/>
      <c r="AL4770" s="434"/>
      <c r="AM4770" s="436"/>
      <c r="AN4770" s="434"/>
      <c r="AO4770" s="434"/>
      <c r="AP4770" s="556"/>
      <c r="AQ4770" s="556"/>
      <c r="AR4770" s="556"/>
      <c r="CF4770" s="2"/>
    </row>
    <row r="4771" spans="3:84">
      <c r="C4771" s="2"/>
      <c r="AD4771" s="502"/>
      <c r="AE4771" s="911"/>
      <c r="AF4771" s="502"/>
      <c r="AH4771" s="898"/>
      <c r="AI4771" s="502"/>
      <c r="AJ4771" s="502"/>
      <c r="AL4771" s="434"/>
      <c r="AM4771" s="436"/>
      <c r="AN4771" s="434"/>
      <c r="AO4771" s="434"/>
      <c r="AP4771" s="556"/>
      <c r="AQ4771" s="556"/>
      <c r="AR4771" s="556"/>
      <c r="CF4771" s="2"/>
    </row>
    <row r="4772" spans="3:84">
      <c r="C4772" s="2"/>
      <c r="AD4772" s="502"/>
      <c r="AE4772" s="911"/>
      <c r="AF4772" s="502"/>
      <c r="AH4772" s="898"/>
      <c r="AI4772" s="502"/>
      <c r="AJ4772" s="502"/>
      <c r="AL4772" s="434"/>
      <c r="AM4772" s="436"/>
      <c r="AN4772" s="434"/>
      <c r="AO4772" s="434"/>
      <c r="AP4772" s="556"/>
      <c r="AQ4772" s="556"/>
      <c r="AR4772" s="556"/>
      <c r="CF4772" s="2"/>
    </row>
    <row r="4773" spans="3:84">
      <c r="C4773" s="2"/>
      <c r="AD4773" s="502"/>
      <c r="AE4773" s="911"/>
      <c r="AF4773" s="502"/>
      <c r="AH4773" s="898"/>
      <c r="AI4773" s="502"/>
      <c r="AJ4773" s="502"/>
      <c r="AL4773" s="434"/>
      <c r="AM4773" s="436"/>
      <c r="AN4773" s="434"/>
      <c r="AO4773" s="434"/>
      <c r="AP4773" s="556"/>
      <c r="AQ4773" s="556"/>
      <c r="AR4773" s="556"/>
      <c r="CF4773" s="2"/>
    </row>
    <row r="4774" spans="3:84">
      <c r="C4774" s="2"/>
      <c r="AD4774" s="502"/>
      <c r="AE4774" s="911"/>
      <c r="AF4774" s="502"/>
      <c r="AH4774" s="898"/>
      <c r="AI4774" s="502"/>
      <c r="AJ4774" s="502"/>
      <c r="AL4774" s="434"/>
      <c r="AM4774" s="436"/>
      <c r="AN4774" s="434"/>
      <c r="AO4774" s="434"/>
      <c r="AP4774" s="556"/>
      <c r="AQ4774" s="556"/>
      <c r="AR4774" s="556"/>
      <c r="CF4774" s="2"/>
    </row>
    <row r="4775" spans="3:84">
      <c r="C4775" s="2"/>
      <c r="AD4775" s="502"/>
      <c r="AE4775" s="911"/>
      <c r="AF4775" s="502"/>
      <c r="AH4775" s="898"/>
      <c r="AI4775" s="502"/>
      <c r="AJ4775" s="502"/>
      <c r="AL4775" s="434"/>
      <c r="AM4775" s="436"/>
      <c r="AN4775" s="434"/>
      <c r="AO4775" s="434"/>
      <c r="AP4775" s="556"/>
      <c r="AQ4775" s="556"/>
      <c r="AR4775" s="556"/>
      <c r="CF4775" s="2"/>
    </row>
    <row r="4776" spans="3:84">
      <c r="C4776" s="2"/>
      <c r="AD4776" s="502"/>
      <c r="AE4776" s="911"/>
      <c r="AF4776" s="502"/>
      <c r="AH4776" s="898"/>
      <c r="AI4776" s="502"/>
      <c r="AJ4776" s="502"/>
      <c r="AL4776" s="434"/>
      <c r="AM4776" s="436"/>
      <c r="AN4776" s="434"/>
      <c r="AO4776" s="434"/>
      <c r="AP4776" s="556"/>
      <c r="AQ4776" s="556"/>
      <c r="AR4776" s="556"/>
      <c r="CF4776" s="2"/>
    </row>
    <row r="4777" spans="3:84">
      <c r="C4777" s="2"/>
      <c r="AD4777" s="502"/>
      <c r="AE4777" s="911"/>
      <c r="AF4777" s="502"/>
      <c r="AH4777" s="898"/>
      <c r="AI4777" s="502"/>
      <c r="AJ4777" s="502"/>
      <c r="AL4777" s="434"/>
      <c r="AM4777" s="436"/>
      <c r="AN4777" s="434"/>
      <c r="AO4777" s="434"/>
      <c r="AP4777" s="556"/>
      <c r="AQ4777" s="556"/>
      <c r="AR4777" s="556"/>
      <c r="CF4777" s="2"/>
    </row>
    <row r="4778" spans="3:84">
      <c r="C4778" s="2"/>
      <c r="AD4778" s="502"/>
      <c r="AE4778" s="911"/>
      <c r="AF4778" s="502"/>
      <c r="AH4778" s="898"/>
      <c r="AI4778" s="502"/>
      <c r="AJ4778" s="502"/>
      <c r="AL4778" s="434"/>
      <c r="AM4778" s="436"/>
      <c r="AN4778" s="434"/>
      <c r="AO4778" s="434"/>
      <c r="AP4778" s="556"/>
      <c r="AQ4778" s="556"/>
      <c r="AR4778" s="556"/>
      <c r="CF4778" s="2"/>
    </row>
    <row r="4779" spans="3:84">
      <c r="C4779" s="2"/>
      <c r="AD4779" s="502"/>
      <c r="AE4779" s="911"/>
      <c r="AF4779" s="502"/>
      <c r="AH4779" s="898"/>
      <c r="AI4779" s="502"/>
      <c r="AJ4779" s="502"/>
      <c r="AL4779" s="434"/>
      <c r="AM4779" s="436"/>
      <c r="AN4779" s="434"/>
      <c r="AO4779" s="434"/>
      <c r="AP4779" s="556"/>
      <c r="AQ4779" s="556"/>
      <c r="AR4779" s="556"/>
      <c r="CF4779" s="2"/>
    </row>
    <row r="4780" spans="3:84">
      <c r="C4780" s="2"/>
      <c r="AD4780" s="502"/>
      <c r="AE4780" s="911"/>
      <c r="AF4780" s="502"/>
      <c r="AH4780" s="898"/>
      <c r="AI4780" s="502"/>
      <c r="AJ4780" s="502"/>
      <c r="AL4780" s="434"/>
      <c r="AM4780" s="436"/>
      <c r="AN4780" s="434"/>
      <c r="AO4780" s="434"/>
      <c r="AP4780" s="556"/>
      <c r="AQ4780" s="556"/>
      <c r="AR4780" s="556"/>
      <c r="CF4780" s="2"/>
    </row>
    <row r="4781" spans="3:84">
      <c r="C4781" s="2"/>
      <c r="AD4781" s="502"/>
      <c r="AE4781" s="911"/>
      <c r="AF4781" s="502"/>
      <c r="AH4781" s="898"/>
      <c r="AI4781" s="502"/>
      <c r="AJ4781" s="502"/>
      <c r="AL4781" s="434"/>
      <c r="AM4781" s="436"/>
      <c r="AN4781" s="434"/>
      <c r="AO4781" s="434"/>
      <c r="AP4781" s="556"/>
      <c r="AQ4781" s="556"/>
      <c r="AR4781" s="556"/>
      <c r="CF4781" s="2"/>
    </row>
    <row r="4782" spans="3:84">
      <c r="C4782" s="2"/>
      <c r="AD4782" s="502"/>
      <c r="AE4782" s="911"/>
      <c r="AF4782" s="502"/>
      <c r="AH4782" s="898"/>
      <c r="AI4782" s="502"/>
      <c r="AJ4782" s="502"/>
      <c r="AL4782" s="434"/>
      <c r="AM4782" s="436"/>
      <c r="AN4782" s="434"/>
      <c r="AO4782" s="434"/>
      <c r="AP4782" s="556"/>
      <c r="AQ4782" s="556"/>
      <c r="AR4782" s="556"/>
      <c r="CF4782" s="2"/>
    </row>
    <row r="4783" spans="3:84">
      <c r="C4783" s="2"/>
      <c r="AD4783" s="502"/>
      <c r="AE4783" s="911"/>
      <c r="AF4783" s="502"/>
      <c r="AH4783" s="898"/>
      <c r="AI4783" s="502"/>
      <c r="AJ4783" s="502"/>
      <c r="AL4783" s="434"/>
      <c r="AM4783" s="436"/>
      <c r="AN4783" s="434"/>
      <c r="AO4783" s="434"/>
      <c r="AP4783" s="556"/>
      <c r="AQ4783" s="556"/>
      <c r="AR4783" s="556"/>
      <c r="CF4783" s="2"/>
    </row>
    <row r="4784" spans="3:84">
      <c r="C4784" s="2"/>
      <c r="AD4784" s="502"/>
      <c r="AE4784" s="911"/>
      <c r="AF4784" s="502"/>
      <c r="AH4784" s="898"/>
      <c r="AI4784" s="502"/>
      <c r="AJ4784" s="502"/>
      <c r="AL4784" s="434"/>
      <c r="AM4784" s="436"/>
      <c r="AN4784" s="434"/>
      <c r="AO4784" s="434"/>
      <c r="AP4784" s="556"/>
      <c r="AQ4784" s="556"/>
      <c r="AR4784" s="556"/>
      <c r="CF4784" s="2"/>
    </row>
    <row r="4785" spans="3:84">
      <c r="C4785" s="2"/>
      <c r="AD4785" s="502"/>
      <c r="AE4785" s="911"/>
      <c r="AF4785" s="502"/>
      <c r="AH4785" s="898"/>
      <c r="AI4785" s="502"/>
      <c r="AJ4785" s="502"/>
      <c r="AL4785" s="434"/>
      <c r="AM4785" s="436"/>
      <c r="AN4785" s="434"/>
      <c r="AO4785" s="434"/>
      <c r="AP4785" s="556"/>
      <c r="AQ4785" s="556"/>
      <c r="AR4785" s="556"/>
      <c r="CF4785" s="2"/>
    </row>
    <row r="4786" spans="3:84">
      <c r="C4786" s="2"/>
      <c r="AD4786" s="502"/>
      <c r="AE4786" s="911"/>
      <c r="AF4786" s="502"/>
      <c r="AH4786" s="898"/>
      <c r="AI4786" s="502"/>
      <c r="AJ4786" s="502"/>
      <c r="AL4786" s="434"/>
      <c r="AM4786" s="436"/>
      <c r="AN4786" s="434"/>
      <c r="AO4786" s="434"/>
      <c r="AP4786" s="556"/>
      <c r="AQ4786" s="556"/>
      <c r="AR4786" s="556"/>
      <c r="CF4786" s="2"/>
    </row>
    <row r="4787" spans="3:84">
      <c r="C4787" s="2"/>
      <c r="AD4787" s="502"/>
      <c r="AE4787" s="911"/>
      <c r="AF4787" s="502"/>
      <c r="AH4787" s="898"/>
      <c r="AI4787" s="502"/>
      <c r="AJ4787" s="502"/>
      <c r="AL4787" s="434"/>
      <c r="AM4787" s="436"/>
      <c r="AN4787" s="434"/>
      <c r="AO4787" s="434"/>
      <c r="AP4787" s="556"/>
      <c r="AQ4787" s="556"/>
      <c r="AR4787" s="556"/>
      <c r="CF4787" s="2"/>
    </row>
    <row r="4788" spans="3:84">
      <c r="C4788" s="2"/>
      <c r="AD4788" s="502"/>
      <c r="AE4788" s="911"/>
      <c r="AF4788" s="502"/>
      <c r="AH4788" s="898"/>
      <c r="AI4788" s="502"/>
      <c r="AJ4788" s="502"/>
      <c r="AL4788" s="434"/>
      <c r="AM4788" s="436"/>
      <c r="AN4788" s="434"/>
      <c r="AO4788" s="434"/>
      <c r="AP4788" s="556"/>
      <c r="AQ4788" s="556"/>
      <c r="AR4788" s="556"/>
      <c r="CF4788" s="2"/>
    </row>
    <row r="4789" spans="3:84">
      <c r="C4789" s="2"/>
      <c r="AD4789" s="502"/>
      <c r="AE4789" s="911"/>
      <c r="AF4789" s="502"/>
      <c r="AH4789" s="898"/>
      <c r="AI4789" s="502"/>
      <c r="AJ4789" s="502"/>
      <c r="AL4789" s="434"/>
      <c r="AM4789" s="436"/>
      <c r="AN4789" s="434"/>
      <c r="AO4789" s="434"/>
      <c r="AP4789" s="556"/>
      <c r="AQ4789" s="556"/>
      <c r="AR4789" s="556"/>
      <c r="CF4789" s="2"/>
    </row>
    <row r="4790" spans="3:84">
      <c r="C4790" s="2"/>
      <c r="AD4790" s="502"/>
      <c r="AE4790" s="911"/>
      <c r="AF4790" s="502"/>
      <c r="AH4790" s="898"/>
      <c r="AI4790" s="502"/>
      <c r="AJ4790" s="502"/>
      <c r="AL4790" s="434"/>
      <c r="AM4790" s="436"/>
      <c r="AN4790" s="434"/>
      <c r="AO4790" s="434"/>
      <c r="AP4790" s="556"/>
      <c r="AQ4790" s="556"/>
      <c r="AR4790" s="556"/>
      <c r="CF4790" s="2"/>
    </row>
    <row r="4791" spans="3:84">
      <c r="C4791" s="2"/>
      <c r="AD4791" s="502"/>
      <c r="AE4791" s="911"/>
      <c r="AF4791" s="502"/>
      <c r="AH4791" s="898"/>
      <c r="AI4791" s="502"/>
      <c r="AJ4791" s="502"/>
      <c r="AL4791" s="434"/>
      <c r="AM4791" s="436"/>
      <c r="AN4791" s="434"/>
      <c r="AO4791" s="434"/>
      <c r="AP4791" s="556"/>
      <c r="AQ4791" s="556"/>
      <c r="AR4791" s="556"/>
      <c r="CF4791" s="2"/>
    </row>
    <row r="4792" spans="3:84">
      <c r="C4792" s="2"/>
      <c r="AD4792" s="502"/>
      <c r="AE4792" s="911"/>
      <c r="AF4792" s="502"/>
      <c r="AH4792" s="898"/>
      <c r="AI4792" s="502"/>
      <c r="AJ4792" s="502"/>
      <c r="AL4792" s="434"/>
      <c r="AM4792" s="436"/>
      <c r="AN4792" s="434"/>
      <c r="AO4792" s="434"/>
      <c r="AP4792" s="556"/>
      <c r="AQ4792" s="556"/>
      <c r="AR4792" s="556"/>
      <c r="CF4792" s="2"/>
    </row>
    <row r="4793" spans="3:84">
      <c r="C4793" s="2"/>
      <c r="AD4793" s="502"/>
      <c r="AE4793" s="911"/>
      <c r="AF4793" s="502"/>
      <c r="AH4793" s="898"/>
      <c r="AI4793" s="502"/>
      <c r="AJ4793" s="502"/>
      <c r="AL4793" s="434"/>
      <c r="AM4793" s="436"/>
      <c r="AN4793" s="434"/>
      <c r="AO4793" s="434"/>
      <c r="AP4793" s="556"/>
      <c r="AQ4793" s="556"/>
      <c r="AR4793" s="556"/>
      <c r="CF4793" s="2"/>
    </row>
    <row r="4794" spans="3:84">
      <c r="C4794" s="2"/>
      <c r="AD4794" s="502"/>
      <c r="AE4794" s="911"/>
      <c r="AF4794" s="502"/>
      <c r="AH4794" s="898"/>
      <c r="AI4794" s="502"/>
      <c r="AJ4794" s="502"/>
      <c r="AL4794" s="434"/>
      <c r="AM4794" s="436"/>
      <c r="AN4794" s="434"/>
      <c r="AO4794" s="434"/>
      <c r="AP4794" s="556"/>
      <c r="AQ4794" s="556"/>
      <c r="AR4794" s="556"/>
      <c r="CF4794" s="2"/>
    </row>
    <row r="4795" spans="3:84">
      <c r="C4795" s="2"/>
      <c r="AD4795" s="502"/>
      <c r="AE4795" s="911"/>
      <c r="AF4795" s="502"/>
      <c r="AH4795" s="898"/>
      <c r="AI4795" s="502"/>
      <c r="AJ4795" s="502"/>
      <c r="AL4795" s="434"/>
      <c r="AM4795" s="436"/>
      <c r="AN4795" s="434"/>
      <c r="AO4795" s="434"/>
      <c r="AP4795" s="556"/>
      <c r="AQ4795" s="556"/>
      <c r="AR4795" s="556"/>
      <c r="CF4795" s="2"/>
    </row>
    <row r="4796" spans="3:84">
      <c r="C4796" s="2"/>
      <c r="AD4796" s="502"/>
      <c r="AE4796" s="911"/>
      <c r="AF4796" s="502"/>
      <c r="AH4796" s="898"/>
      <c r="AI4796" s="502"/>
      <c r="AJ4796" s="502"/>
      <c r="AL4796" s="434"/>
      <c r="AM4796" s="436"/>
      <c r="AN4796" s="434"/>
      <c r="AO4796" s="434"/>
      <c r="AP4796" s="556"/>
      <c r="AQ4796" s="556"/>
      <c r="AR4796" s="556"/>
      <c r="CF4796" s="2"/>
    </row>
    <row r="4797" spans="3:84">
      <c r="C4797" s="2"/>
      <c r="AD4797" s="502"/>
      <c r="AE4797" s="911"/>
      <c r="AF4797" s="502"/>
      <c r="AH4797" s="898"/>
      <c r="AI4797" s="502"/>
      <c r="AJ4797" s="502"/>
      <c r="AL4797" s="434"/>
      <c r="AM4797" s="436"/>
      <c r="AN4797" s="434"/>
      <c r="AO4797" s="434"/>
      <c r="AP4797" s="556"/>
      <c r="AQ4797" s="556"/>
      <c r="AR4797" s="556"/>
      <c r="CF4797" s="2"/>
    </row>
    <row r="4798" spans="3:84">
      <c r="C4798" s="2"/>
      <c r="AD4798" s="502"/>
      <c r="AE4798" s="911"/>
      <c r="AF4798" s="502"/>
      <c r="AH4798" s="898"/>
      <c r="AI4798" s="502"/>
      <c r="AJ4798" s="502"/>
      <c r="AL4798" s="434"/>
      <c r="AM4798" s="436"/>
      <c r="AN4798" s="434"/>
      <c r="AO4798" s="434"/>
      <c r="AP4798" s="556"/>
      <c r="AQ4798" s="556"/>
      <c r="AR4798" s="556"/>
      <c r="CF4798" s="2"/>
    </row>
    <row r="4799" spans="3:84">
      <c r="C4799" s="2"/>
      <c r="AD4799" s="502"/>
      <c r="AE4799" s="911"/>
      <c r="AF4799" s="502"/>
      <c r="AH4799" s="898"/>
      <c r="AI4799" s="502"/>
      <c r="AJ4799" s="502"/>
      <c r="AL4799" s="434"/>
      <c r="AM4799" s="436"/>
      <c r="AN4799" s="434"/>
      <c r="AO4799" s="434"/>
      <c r="AP4799" s="556"/>
      <c r="AQ4799" s="556"/>
      <c r="AR4799" s="556"/>
      <c r="CF4799" s="2"/>
    </row>
    <row r="4800" spans="3:84">
      <c r="C4800" s="2"/>
      <c r="AD4800" s="502"/>
      <c r="AE4800" s="911"/>
      <c r="AF4800" s="502"/>
      <c r="AH4800" s="898"/>
      <c r="AI4800" s="502"/>
      <c r="AJ4800" s="502"/>
      <c r="AL4800" s="434"/>
      <c r="AM4800" s="436"/>
      <c r="AN4800" s="434"/>
      <c r="AO4800" s="434"/>
      <c r="AP4800" s="556"/>
      <c r="AQ4800" s="556"/>
      <c r="AR4800" s="556"/>
      <c r="CF4800" s="2"/>
    </row>
    <row r="4801" spans="3:84">
      <c r="C4801" s="2"/>
      <c r="AD4801" s="502"/>
      <c r="AE4801" s="911"/>
      <c r="AF4801" s="502"/>
      <c r="AH4801" s="898"/>
      <c r="AI4801" s="502"/>
      <c r="AJ4801" s="502"/>
      <c r="AL4801" s="434"/>
      <c r="AM4801" s="436"/>
      <c r="AN4801" s="434"/>
      <c r="AO4801" s="434"/>
      <c r="AP4801" s="556"/>
      <c r="AQ4801" s="556"/>
      <c r="AR4801" s="556"/>
      <c r="CF4801" s="2"/>
    </row>
    <row r="4802" spans="3:84">
      <c r="C4802" s="2"/>
      <c r="AD4802" s="502"/>
      <c r="AE4802" s="911"/>
      <c r="AF4802" s="502"/>
      <c r="AH4802" s="898"/>
      <c r="AI4802" s="502"/>
      <c r="AJ4802" s="502"/>
      <c r="AL4802" s="434"/>
      <c r="AM4802" s="436"/>
      <c r="AN4802" s="434"/>
      <c r="AO4802" s="434"/>
      <c r="AP4802" s="556"/>
      <c r="AQ4802" s="556"/>
      <c r="AR4802" s="556"/>
      <c r="CF4802" s="2"/>
    </row>
    <row r="4803" spans="3:84">
      <c r="C4803" s="2"/>
      <c r="AD4803" s="502"/>
      <c r="AE4803" s="911"/>
      <c r="AF4803" s="502"/>
      <c r="AH4803" s="898"/>
      <c r="AI4803" s="502"/>
      <c r="AJ4803" s="502"/>
      <c r="AL4803" s="434"/>
      <c r="AM4803" s="436"/>
      <c r="AN4803" s="434"/>
      <c r="AO4803" s="434"/>
      <c r="AP4803" s="556"/>
      <c r="AQ4803" s="556"/>
      <c r="AR4803" s="556"/>
      <c r="CF4803" s="2"/>
    </row>
    <row r="4804" spans="3:84">
      <c r="C4804" s="2"/>
      <c r="AD4804" s="502"/>
      <c r="AE4804" s="911"/>
      <c r="AF4804" s="502"/>
      <c r="AH4804" s="898"/>
      <c r="AI4804" s="502"/>
      <c r="AJ4804" s="502"/>
      <c r="AL4804" s="434"/>
      <c r="AM4804" s="436"/>
      <c r="AN4804" s="434"/>
      <c r="AO4804" s="434"/>
      <c r="AP4804" s="556"/>
      <c r="AQ4804" s="556"/>
      <c r="AR4804" s="556"/>
      <c r="CF4804" s="2"/>
    </row>
    <row r="4805" spans="3:84">
      <c r="C4805" s="2"/>
      <c r="AD4805" s="502"/>
      <c r="AE4805" s="911"/>
      <c r="AF4805" s="502"/>
      <c r="AH4805" s="898"/>
      <c r="AI4805" s="502"/>
      <c r="AJ4805" s="502"/>
      <c r="AL4805" s="434"/>
      <c r="AM4805" s="436"/>
      <c r="AN4805" s="434"/>
      <c r="AO4805" s="434"/>
      <c r="AP4805" s="556"/>
      <c r="AQ4805" s="556"/>
      <c r="AR4805" s="556"/>
      <c r="CF4805" s="2"/>
    </row>
    <row r="4806" spans="3:84">
      <c r="C4806" s="2"/>
      <c r="AD4806" s="502"/>
      <c r="AE4806" s="911"/>
      <c r="AF4806" s="502"/>
      <c r="AH4806" s="898"/>
      <c r="AI4806" s="502"/>
      <c r="AJ4806" s="502"/>
      <c r="AL4806" s="434"/>
      <c r="AM4806" s="436"/>
      <c r="AN4806" s="434"/>
      <c r="AO4806" s="434"/>
      <c r="AP4806" s="556"/>
      <c r="AQ4806" s="556"/>
      <c r="AR4806" s="556"/>
      <c r="CF4806" s="2"/>
    </row>
    <row r="4807" spans="3:84">
      <c r="C4807" s="2"/>
      <c r="AD4807" s="502"/>
      <c r="AE4807" s="911"/>
      <c r="AF4807" s="502"/>
      <c r="AH4807" s="898"/>
      <c r="AI4807" s="502"/>
      <c r="AJ4807" s="502"/>
      <c r="AL4807" s="434"/>
      <c r="AM4807" s="436"/>
      <c r="AN4807" s="434"/>
      <c r="AO4807" s="434"/>
      <c r="AP4807" s="556"/>
      <c r="AQ4807" s="556"/>
      <c r="AR4807" s="556"/>
      <c r="CF4807" s="2"/>
    </row>
    <row r="4808" spans="3:84">
      <c r="C4808" s="2"/>
      <c r="AD4808" s="502"/>
      <c r="AE4808" s="911"/>
      <c r="AF4808" s="502"/>
      <c r="AH4808" s="898"/>
      <c r="AI4808" s="502"/>
      <c r="AJ4808" s="502"/>
      <c r="AL4808" s="434"/>
      <c r="AM4808" s="436"/>
      <c r="AN4808" s="434"/>
      <c r="AO4808" s="434"/>
      <c r="AP4808" s="556"/>
      <c r="AQ4808" s="556"/>
      <c r="AR4808" s="556"/>
      <c r="CF4808" s="2"/>
    </row>
    <row r="4809" spans="3:84">
      <c r="C4809" s="2"/>
      <c r="AD4809" s="502"/>
      <c r="AE4809" s="911"/>
      <c r="AF4809" s="502"/>
      <c r="AH4809" s="898"/>
      <c r="AI4809" s="502"/>
      <c r="AJ4809" s="502"/>
      <c r="AL4809" s="434"/>
      <c r="AM4809" s="436"/>
      <c r="AN4809" s="434"/>
      <c r="AO4809" s="434"/>
      <c r="AP4809" s="556"/>
      <c r="AQ4809" s="556"/>
      <c r="AR4809" s="556"/>
      <c r="CF4809" s="2"/>
    </row>
    <row r="4810" spans="3:84">
      <c r="C4810" s="2"/>
      <c r="AD4810" s="502"/>
      <c r="AE4810" s="911"/>
      <c r="AF4810" s="502"/>
      <c r="AH4810" s="898"/>
      <c r="AI4810" s="502"/>
      <c r="AJ4810" s="502"/>
      <c r="AL4810" s="434"/>
      <c r="AM4810" s="436"/>
      <c r="AN4810" s="434"/>
      <c r="AO4810" s="434"/>
      <c r="AP4810" s="556"/>
      <c r="AQ4810" s="556"/>
      <c r="AR4810" s="556"/>
      <c r="CF4810" s="2"/>
    </row>
    <row r="4811" spans="3:84">
      <c r="C4811" s="2"/>
      <c r="AD4811" s="502"/>
      <c r="AE4811" s="911"/>
      <c r="AF4811" s="502"/>
      <c r="AH4811" s="898"/>
      <c r="AI4811" s="502"/>
      <c r="AJ4811" s="502"/>
      <c r="AL4811" s="434"/>
      <c r="AM4811" s="436"/>
      <c r="AN4811" s="434"/>
      <c r="AO4811" s="434"/>
      <c r="AP4811" s="556"/>
      <c r="AQ4811" s="556"/>
      <c r="AR4811" s="556"/>
      <c r="CF4811" s="2"/>
    </row>
    <row r="4812" spans="3:84">
      <c r="C4812" s="2"/>
      <c r="AD4812" s="502"/>
      <c r="AE4812" s="911"/>
      <c r="AF4812" s="502"/>
      <c r="AH4812" s="898"/>
      <c r="AI4812" s="502"/>
      <c r="AJ4812" s="502"/>
      <c r="AL4812" s="434"/>
      <c r="AM4812" s="436"/>
      <c r="AN4812" s="434"/>
      <c r="AO4812" s="434"/>
      <c r="AP4812" s="556"/>
      <c r="AQ4812" s="556"/>
      <c r="AR4812" s="556"/>
      <c r="CF4812" s="2"/>
    </row>
    <row r="4813" spans="3:84">
      <c r="C4813" s="2"/>
      <c r="AD4813" s="502"/>
      <c r="AE4813" s="911"/>
      <c r="AF4813" s="502"/>
      <c r="AH4813" s="898"/>
      <c r="AI4813" s="502"/>
      <c r="AJ4813" s="502"/>
      <c r="AL4813" s="434"/>
      <c r="AM4813" s="436"/>
      <c r="AN4813" s="434"/>
      <c r="AO4813" s="434"/>
      <c r="AP4813" s="556"/>
      <c r="AQ4813" s="556"/>
      <c r="AR4813" s="556"/>
      <c r="CF4813" s="2"/>
    </row>
    <row r="4814" spans="3:84">
      <c r="C4814" s="2"/>
      <c r="AD4814" s="502"/>
      <c r="AE4814" s="911"/>
      <c r="AF4814" s="502"/>
      <c r="AH4814" s="898"/>
      <c r="AI4814" s="502"/>
      <c r="AJ4814" s="502"/>
      <c r="AL4814" s="434"/>
      <c r="AM4814" s="436"/>
      <c r="AN4814" s="434"/>
      <c r="AO4814" s="434"/>
      <c r="AP4814" s="556"/>
      <c r="AQ4814" s="556"/>
      <c r="AR4814" s="556"/>
      <c r="CF4814" s="2"/>
    </row>
    <row r="4815" spans="3:84">
      <c r="C4815" s="2"/>
      <c r="AD4815" s="502"/>
      <c r="AE4815" s="911"/>
      <c r="AF4815" s="502"/>
      <c r="AH4815" s="898"/>
      <c r="AI4815" s="502"/>
      <c r="AJ4815" s="502"/>
      <c r="AL4815" s="434"/>
      <c r="AM4815" s="436"/>
      <c r="AN4815" s="434"/>
      <c r="AO4815" s="434"/>
      <c r="AP4815" s="556"/>
      <c r="AQ4815" s="556"/>
      <c r="AR4815" s="556"/>
      <c r="CF4815" s="2"/>
    </row>
    <row r="4816" spans="3:84">
      <c r="C4816" s="2"/>
      <c r="AD4816" s="502"/>
      <c r="AE4816" s="911"/>
      <c r="AF4816" s="502"/>
      <c r="AH4816" s="898"/>
      <c r="AI4816" s="502"/>
      <c r="AJ4816" s="502"/>
      <c r="AL4816" s="434"/>
      <c r="AM4816" s="436"/>
      <c r="AN4816" s="434"/>
      <c r="AO4816" s="434"/>
      <c r="AP4816" s="556"/>
      <c r="AQ4816" s="556"/>
      <c r="AR4816" s="556"/>
      <c r="CF4816" s="2"/>
    </row>
    <row r="4817" spans="3:84">
      <c r="C4817" s="2"/>
      <c r="AD4817" s="502"/>
      <c r="AE4817" s="911"/>
      <c r="AF4817" s="502"/>
      <c r="AH4817" s="898"/>
      <c r="AI4817" s="502"/>
      <c r="AJ4817" s="502"/>
      <c r="AL4817" s="434"/>
      <c r="AM4817" s="436"/>
      <c r="AN4817" s="434"/>
      <c r="AO4817" s="434"/>
      <c r="AP4817" s="556"/>
      <c r="AQ4817" s="556"/>
      <c r="AR4817" s="556"/>
      <c r="CF4817" s="2"/>
    </row>
    <row r="4818" spans="3:84">
      <c r="C4818" s="2"/>
      <c r="AD4818" s="502"/>
      <c r="AE4818" s="911"/>
      <c r="AF4818" s="502"/>
      <c r="AH4818" s="898"/>
      <c r="AI4818" s="502"/>
      <c r="AJ4818" s="502"/>
      <c r="AL4818" s="434"/>
      <c r="AM4818" s="436"/>
      <c r="AN4818" s="434"/>
      <c r="AO4818" s="434"/>
      <c r="AP4818" s="556"/>
      <c r="AQ4818" s="556"/>
      <c r="AR4818" s="556"/>
      <c r="CF4818" s="2"/>
    </row>
    <row r="4819" spans="3:84">
      <c r="C4819" s="2"/>
      <c r="AD4819" s="502"/>
      <c r="AE4819" s="911"/>
      <c r="AF4819" s="502"/>
      <c r="AH4819" s="898"/>
      <c r="AI4819" s="502"/>
      <c r="AJ4819" s="502"/>
      <c r="AL4819" s="434"/>
      <c r="AM4819" s="436"/>
      <c r="AN4819" s="434"/>
      <c r="AO4819" s="434"/>
      <c r="AP4819" s="556"/>
      <c r="AQ4819" s="556"/>
      <c r="AR4819" s="556"/>
      <c r="CF4819" s="2"/>
    </row>
    <row r="4820" spans="3:84">
      <c r="C4820" s="2"/>
      <c r="AD4820" s="502"/>
      <c r="AE4820" s="911"/>
      <c r="AF4820" s="502"/>
      <c r="AH4820" s="898"/>
      <c r="AI4820" s="502"/>
      <c r="AJ4820" s="502"/>
      <c r="AL4820" s="434"/>
      <c r="AM4820" s="436"/>
      <c r="AN4820" s="434"/>
      <c r="AO4820" s="434"/>
      <c r="AP4820" s="556"/>
      <c r="AQ4820" s="556"/>
      <c r="AR4820" s="556"/>
      <c r="CF4820" s="2"/>
    </row>
    <row r="4821" spans="3:84">
      <c r="C4821" s="2"/>
      <c r="AD4821" s="502"/>
      <c r="AE4821" s="911"/>
      <c r="AF4821" s="502"/>
      <c r="AH4821" s="898"/>
      <c r="AI4821" s="502"/>
      <c r="AJ4821" s="502"/>
      <c r="AL4821" s="434"/>
      <c r="AM4821" s="436"/>
      <c r="AN4821" s="434"/>
      <c r="AO4821" s="434"/>
      <c r="AP4821" s="556"/>
      <c r="AQ4821" s="556"/>
      <c r="AR4821" s="556"/>
      <c r="CF4821" s="2"/>
    </row>
    <row r="4822" spans="3:84">
      <c r="C4822" s="2"/>
      <c r="AD4822" s="502"/>
      <c r="AE4822" s="911"/>
      <c r="AF4822" s="502"/>
      <c r="AH4822" s="898"/>
      <c r="AI4822" s="502"/>
      <c r="AJ4822" s="502"/>
      <c r="AL4822" s="434"/>
      <c r="AM4822" s="436"/>
      <c r="AN4822" s="434"/>
      <c r="AO4822" s="434"/>
      <c r="AP4822" s="556"/>
      <c r="AQ4822" s="556"/>
      <c r="AR4822" s="556"/>
      <c r="CF4822" s="2"/>
    </row>
    <row r="4823" spans="3:84">
      <c r="C4823" s="2"/>
      <c r="AD4823" s="502"/>
      <c r="AE4823" s="911"/>
      <c r="AF4823" s="502"/>
      <c r="AH4823" s="898"/>
      <c r="AI4823" s="502"/>
      <c r="AJ4823" s="502"/>
      <c r="AL4823" s="434"/>
      <c r="AM4823" s="436"/>
      <c r="AN4823" s="434"/>
      <c r="AO4823" s="434"/>
      <c r="AP4823" s="556"/>
      <c r="AQ4823" s="556"/>
      <c r="AR4823" s="556"/>
      <c r="CF4823" s="2"/>
    </row>
    <row r="4824" spans="3:84">
      <c r="C4824" s="2"/>
      <c r="AD4824" s="502"/>
      <c r="AE4824" s="911"/>
      <c r="AF4824" s="502"/>
      <c r="AH4824" s="898"/>
      <c r="AI4824" s="502"/>
      <c r="AJ4824" s="502"/>
      <c r="AL4824" s="434"/>
      <c r="AM4824" s="436"/>
      <c r="AN4824" s="434"/>
      <c r="AO4824" s="434"/>
      <c r="AP4824" s="556"/>
      <c r="AQ4824" s="556"/>
      <c r="AR4824" s="556"/>
      <c r="CF4824" s="2"/>
    </row>
    <row r="4825" spans="3:84">
      <c r="C4825" s="2"/>
      <c r="AD4825" s="502"/>
      <c r="AE4825" s="911"/>
      <c r="AF4825" s="502"/>
      <c r="AH4825" s="898"/>
      <c r="AI4825" s="502"/>
      <c r="AJ4825" s="502"/>
      <c r="AL4825" s="434"/>
      <c r="AM4825" s="436"/>
      <c r="AN4825" s="434"/>
      <c r="AO4825" s="434"/>
      <c r="AP4825" s="556"/>
      <c r="AQ4825" s="556"/>
      <c r="AR4825" s="556"/>
      <c r="CF4825" s="2"/>
    </row>
    <row r="4826" spans="3:84">
      <c r="C4826" s="2"/>
      <c r="AD4826" s="502"/>
      <c r="AE4826" s="911"/>
      <c r="AF4826" s="502"/>
      <c r="AH4826" s="898"/>
      <c r="AI4826" s="502"/>
      <c r="AJ4826" s="502"/>
      <c r="AL4826" s="434"/>
      <c r="AM4826" s="436"/>
      <c r="AN4826" s="434"/>
      <c r="AO4826" s="434"/>
      <c r="AP4826" s="556"/>
      <c r="AQ4826" s="556"/>
      <c r="AR4826" s="556"/>
      <c r="CF4826" s="2"/>
    </row>
    <row r="4827" spans="3:84">
      <c r="C4827" s="2"/>
      <c r="AD4827" s="502"/>
      <c r="AE4827" s="911"/>
      <c r="AF4827" s="502"/>
      <c r="AH4827" s="898"/>
      <c r="AI4827" s="502"/>
      <c r="AJ4827" s="502"/>
      <c r="AL4827" s="434"/>
      <c r="AM4827" s="436"/>
      <c r="AN4827" s="434"/>
      <c r="AO4827" s="434"/>
      <c r="AP4827" s="556"/>
      <c r="AQ4827" s="556"/>
      <c r="AR4827" s="556"/>
      <c r="CF4827" s="2"/>
    </row>
    <row r="4828" spans="3:84">
      <c r="C4828" s="2"/>
      <c r="AD4828" s="502"/>
      <c r="AE4828" s="911"/>
      <c r="AF4828" s="502"/>
      <c r="AH4828" s="898"/>
      <c r="AI4828" s="502"/>
      <c r="AJ4828" s="502"/>
      <c r="AL4828" s="434"/>
      <c r="AM4828" s="436"/>
      <c r="AN4828" s="434"/>
      <c r="AO4828" s="434"/>
      <c r="AP4828" s="556"/>
      <c r="AQ4828" s="556"/>
      <c r="AR4828" s="556"/>
      <c r="CF4828" s="2"/>
    </row>
    <row r="4829" spans="3:84">
      <c r="C4829" s="2"/>
      <c r="AD4829" s="502"/>
      <c r="AE4829" s="911"/>
      <c r="AF4829" s="502"/>
      <c r="AH4829" s="898"/>
      <c r="AI4829" s="502"/>
      <c r="AJ4829" s="502"/>
      <c r="AL4829" s="434"/>
      <c r="AM4829" s="436"/>
      <c r="AN4829" s="434"/>
      <c r="AO4829" s="434"/>
      <c r="AP4829" s="556"/>
      <c r="AQ4829" s="556"/>
      <c r="AR4829" s="556"/>
      <c r="CF4829" s="2"/>
    </row>
    <row r="4830" spans="3:84">
      <c r="C4830" s="2"/>
      <c r="AD4830" s="502"/>
      <c r="AE4830" s="911"/>
      <c r="AF4830" s="502"/>
      <c r="AH4830" s="898"/>
      <c r="AI4830" s="502"/>
      <c r="AJ4830" s="502"/>
      <c r="AL4830" s="434"/>
      <c r="AM4830" s="436"/>
      <c r="AN4830" s="434"/>
      <c r="AO4830" s="434"/>
      <c r="AP4830" s="556"/>
      <c r="AQ4830" s="556"/>
      <c r="AR4830" s="556"/>
      <c r="CF4830" s="2"/>
    </row>
    <row r="4831" spans="3:84">
      <c r="C4831" s="2"/>
      <c r="AD4831" s="502"/>
      <c r="AE4831" s="911"/>
      <c r="AF4831" s="502"/>
      <c r="AH4831" s="898"/>
      <c r="AI4831" s="502"/>
      <c r="AJ4831" s="502"/>
      <c r="AL4831" s="434"/>
      <c r="AM4831" s="436"/>
      <c r="AN4831" s="434"/>
      <c r="AO4831" s="434"/>
      <c r="AP4831" s="556"/>
      <c r="AQ4831" s="556"/>
      <c r="AR4831" s="556"/>
      <c r="CF4831" s="2"/>
    </row>
    <row r="4832" spans="3:84">
      <c r="C4832" s="2"/>
      <c r="AD4832" s="502"/>
      <c r="AE4832" s="911"/>
      <c r="AF4832" s="502"/>
      <c r="AH4832" s="898"/>
      <c r="AI4832" s="502"/>
      <c r="AJ4832" s="502"/>
      <c r="AL4832" s="434"/>
      <c r="AM4832" s="436"/>
      <c r="AN4832" s="434"/>
      <c r="AO4832" s="434"/>
      <c r="AP4832" s="556"/>
      <c r="AQ4832" s="556"/>
      <c r="AR4832" s="556"/>
      <c r="CF4832" s="2"/>
    </row>
    <row r="4833" spans="3:84">
      <c r="C4833" s="2"/>
      <c r="AD4833" s="502"/>
      <c r="AE4833" s="911"/>
      <c r="AF4833" s="502"/>
      <c r="AH4833" s="898"/>
      <c r="AI4833" s="502"/>
      <c r="AJ4833" s="502"/>
      <c r="AL4833" s="434"/>
      <c r="AM4833" s="436"/>
      <c r="AN4833" s="434"/>
      <c r="AO4833" s="434"/>
      <c r="AP4833" s="556"/>
      <c r="AQ4833" s="556"/>
      <c r="AR4833" s="556"/>
      <c r="CF4833" s="2"/>
    </row>
    <row r="4834" spans="3:84">
      <c r="C4834" s="2"/>
      <c r="AD4834" s="502"/>
      <c r="AE4834" s="911"/>
      <c r="AF4834" s="502"/>
      <c r="AH4834" s="898"/>
      <c r="AI4834" s="502"/>
      <c r="AJ4834" s="502"/>
      <c r="AL4834" s="434"/>
      <c r="AM4834" s="436"/>
      <c r="AN4834" s="434"/>
      <c r="AO4834" s="434"/>
      <c r="AP4834" s="556"/>
      <c r="AQ4834" s="556"/>
      <c r="AR4834" s="556"/>
      <c r="CF4834" s="2"/>
    </row>
    <row r="4835" spans="3:84">
      <c r="C4835" s="2"/>
      <c r="AD4835" s="502"/>
      <c r="AE4835" s="911"/>
      <c r="AF4835" s="502"/>
      <c r="AH4835" s="898"/>
      <c r="AI4835" s="502"/>
      <c r="AJ4835" s="502"/>
      <c r="AL4835" s="434"/>
      <c r="AM4835" s="436"/>
      <c r="AN4835" s="434"/>
      <c r="AO4835" s="434"/>
      <c r="AP4835" s="556"/>
      <c r="AQ4835" s="556"/>
      <c r="AR4835" s="556"/>
      <c r="CF4835" s="2"/>
    </row>
    <row r="4836" spans="3:84">
      <c r="C4836" s="2"/>
      <c r="AD4836" s="502"/>
      <c r="AE4836" s="911"/>
      <c r="AF4836" s="502"/>
      <c r="AH4836" s="898"/>
      <c r="AI4836" s="502"/>
      <c r="AJ4836" s="502"/>
      <c r="AL4836" s="434"/>
      <c r="AM4836" s="436"/>
      <c r="AN4836" s="434"/>
      <c r="AO4836" s="434"/>
      <c r="AP4836" s="556"/>
      <c r="AQ4836" s="556"/>
      <c r="AR4836" s="556"/>
      <c r="CF4836" s="2"/>
    </row>
    <row r="4837" spans="3:84">
      <c r="C4837" s="2"/>
      <c r="AD4837" s="502"/>
      <c r="AE4837" s="911"/>
      <c r="AF4837" s="502"/>
      <c r="AH4837" s="898"/>
      <c r="AI4837" s="502"/>
      <c r="AJ4837" s="502"/>
      <c r="AL4837" s="434"/>
      <c r="AM4837" s="436"/>
      <c r="AN4837" s="434"/>
      <c r="AO4837" s="434"/>
      <c r="AP4837" s="556"/>
      <c r="AQ4837" s="556"/>
      <c r="AR4837" s="556"/>
      <c r="CF4837" s="2"/>
    </row>
    <row r="4838" spans="3:84">
      <c r="C4838" s="2"/>
      <c r="AD4838" s="502"/>
      <c r="AE4838" s="911"/>
      <c r="AF4838" s="502"/>
      <c r="AH4838" s="898"/>
      <c r="AI4838" s="502"/>
      <c r="AJ4838" s="502"/>
      <c r="AL4838" s="434"/>
      <c r="AM4838" s="436"/>
      <c r="AN4838" s="434"/>
      <c r="AO4838" s="434"/>
      <c r="AP4838" s="556"/>
      <c r="AQ4838" s="556"/>
      <c r="AR4838" s="556"/>
      <c r="CF4838" s="2"/>
    </row>
    <row r="4839" spans="3:84">
      <c r="C4839" s="2"/>
      <c r="AD4839" s="502"/>
      <c r="AE4839" s="911"/>
      <c r="AF4839" s="502"/>
      <c r="AH4839" s="898"/>
      <c r="AI4839" s="502"/>
      <c r="AJ4839" s="502"/>
      <c r="AL4839" s="434"/>
      <c r="AM4839" s="436"/>
      <c r="AN4839" s="434"/>
      <c r="AO4839" s="434"/>
      <c r="AP4839" s="556"/>
      <c r="AQ4839" s="556"/>
      <c r="AR4839" s="556"/>
      <c r="CF4839" s="2"/>
    </row>
    <row r="4840" spans="3:84">
      <c r="C4840" s="2"/>
      <c r="AD4840" s="502"/>
      <c r="AE4840" s="911"/>
      <c r="AF4840" s="502"/>
      <c r="AH4840" s="898"/>
      <c r="AI4840" s="502"/>
      <c r="AJ4840" s="502"/>
      <c r="AL4840" s="434"/>
      <c r="AM4840" s="436"/>
      <c r="AN4840" s="434"/>
      <c r="AO4840" s="434"/>
      <c r="AP4840" s="556"/>
      <c r="AQ4840" s="556"/>
      <c r="AR4840" s="556"/>
      <c r="CF4840" s="2"/>
    </row>
    <row r="4841" spans="3:84">
      <c r="C4841" s="2"/>
      <c r="AD4841" s="502"/>
      <c r="AE4841" s="911"/>
      <c r="AF4841" s="502"/>
      <c r="AH4841" s="898"/>
      <c r="AI4841" s="502"/>
      <c r="AJ4841" s="502"/>
      <c r="AL4841" s="434"/>
      <c r="AM4841" s="436"/>
      <c r="AN4841" s="434"/>
      <c r="AO4841" s="434"/>
      <c r="AP4841" s="556"/>
      <c r="AQ4841" s="556"/>
      <c r="AR4841" s="556"/>
      <c r="CF4841" s="2"/>
    </row>
    <row r="4842" spans="3:84">
      <c r="C4842" s="2"/>
      <c r="AD4842" s="502"/>
      <c r="AE4842" s="911"/>
      <c r="AF4842" s="502"/>
      <c r="AH4842" s="898"/>
      <c r="AI4842" s="502"/>
      <c r="AJ4842" s="502"/>
      <c r="AL4842" s="434"/>
      <c r="AM4842" s="436"/>
      <c r="AN4842" s="434"/>
      <c r="AO4842" s="434"/>
      <c r="AP4842" s="556"/>
      <c r="AQ4842" s="556"/>
      <c r="AR4842" s="556"/>
      <c r="CF4842" s="2"/>
    </row>
    <row r="4843" spans="3:84">
      <c r="C4843" s="2"/>
      <c r="AD4843" s="502"/>
      <c r="AE4843" s="911"/>
      <c r="AF4843" s="502"/>
      <c r="AH4843" s="898"/>
      <c r="AI4843" s="502"/>
      <c r="AJ4843" s="502"/>
      <c r="AL4843" s="434"/>
      <c r="AM4843" s="436"/>
      <c r="AN4843" s="434"/>
      <c r="AO4843" s="434"/>
      <c r="AP4843" s="556"/>
      <c r="AQ4843" s="556"/>
      <c r="AR4843" s="556"/>
      <c r="CF4843" s="2"/>
    </row>
    <row r="4844" spans="3:84">
      <c r="C4844" s="2"/>
      <c r="AD4844" s="502"/>
      <c r="AE4844" s="911"/>
      <c r="AF4844" s="502"/>
      <c r="AH4844" s="898"/>
      <c r="AI4844" s="502"/>
      <c r="AJ4844" s="502"/>
      <c r="AL4844" s="434"/>
      <c r="AM4844" s="436"/>
      <c r="AN4844" s="434"/>
      <c r="AO4844" s="434"/>
      <c r="AP4844" s="556"/>
      <c r="AQ4844" s="556"/>
      <c r="AR4844" s="556"/>
      <c r="CF4844" s="2"/>
    </row>
    <row r="4845" spans="3:84">
      <c r="C4845" s="2"/>
      <c r="AD4845" s="502"/>
      <c r="AE4845" s="911"/>
      <c r="AF4845" s="502"/>
      <c r="AH4845" s="898"/>
      <c r="AI4845" s="502"/>
      <c r="AJ4845" s="502"/>
      <c r="AL4845" s="434"/>
      <c r="AM4845" s="436"/>
      <c r="AN4845" s="434"/>
      <c r="AO4845" s="434"/>
      <c r="AP4845" s="556"/>
      <c r="AQ4845" s="556"/>
      <c r="AR4845" s="556"/>
      <c r="CF4845" s="2"/>
    </row>
    <row r="4846" spans="3:84">
      <c r="C4846" s="2"/>
      <c r="AD4846" s="502"/>
      <c r="AE4846" s="911"/>
      <c r="AF4846" s="502"/>
      <c r="AH4846" s="898"/>
      <c r="AI4846" s="502"/>
      <c r="AJ4846" s="502"/>
      <c r="AL4846" s="434"/>
      <c r="AM4846" s="436"/>
      <c r="AN4846" s="434"/>
      <c r="AO4846" s="434"/>
      <c r="AP4846" s="556"/>
      <c r="AQ4846" s="556"/>
      <c r="AR4846" s="556"/>
      <c r="CF4846" s="2"/>
    </row>
    <row r="4847" spans="3:84">
      <c r="C4847" s="2"/>
      <c r="AD4847" s="502"/>
      <c r="AE4847" s="911"/>
      <c r="AF4847" s="502"/>
      <c r="AH4847" s="898"/>
      <c r="AI4847" s="502"/>
      <c r="AJ4847" s="502"/>
      <c r="AL4847" s="434"/>
      <c r="AM4847" s="436"/>
      <c r="AN4847" s="434"/>
      <c r="AO4847" s="434"/>
      <c r="AP4847" s="556"/>
      <c r="AQ4847" s="556"/>
      <c r="AR4847" s="556"/>
      <c r="CF4847" s="2"/>
    </row>
    <row r="4848" spans="3:84">
      <c r="C4848" s="2"/>
      <c r="AD4848" s="502"/>
      <c r="AE4848" s="911"/>
      <c r="AF4848" s="502"/>
      <c r="AH4848" s="898"/>
      <c r="AI4848" s="502"/>
      <c r="AJ4848" s="502"/>
      <c r="AL4848" s="434"/>
      <c r="AM4848" s="436"/>
      <c r="AN4848" s="434"/>
      <c r="AO4848" s="434"/>
      <c r="AP4848" s="556"/>
      <c r="AQ4848" s="556"/>
      <c r="AR4848" s="556"/>
      <c r="CF4848" s="2"/>
    </row>
    <row r="4849" spans="3:84">
      <c r="C4849" s="2"/>
      <c r="AL4849" s="434"/>
      <c r="AM4849" s="436"/>
      <c r="AN4849" s="434"/>
      <c r="AO4849" s="434"/>
      <c r="AP4849" s="556"/>
      <c r="AQ4849" s="556"/>
      <c r="AR4849" s="556"/>
      <c r="CF4849" s="2"/>
    </row>
  </sheetData>
  <sortState ref="AD3:AL290">
    <sortCondition ref="AF3"/>
  </sortState>
  <mergeCells count="6">
    <mergeCell ref="P9:Q9"/>
    <mergeCell ref="P11:Q11"/>
    <mergeCell ref="P7:Q7"/>
    <mergeCell ref="P8:Q8"/>
    <mergeCell ref="U7:X7"/>
    <mergeCell ref="U8:X8"/>
  </mergeCells>
  <phoneticPr fontId="0" type="noConversion"/>
  <printOptions horizontalCentered="1"/>
  <pageMargins left="0.75" right="0.75" top="1" bottom="1" header="0.5" footer="0.5"/>
  <pageSetup scale="76" orientation="portrait" r:id="rId1"/>
  <headerFooter alignWithMargins="0"/>
  <colBreaks count="2" manualBreakCount="2">
    <brk id="13" max="28" man="1"/>
    <brk id="18" max="28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FX425"/>
  <sheetViews>
    <sheetView zoomScale="85" zoomScaleNormal="85" zoomScaleSheetLayoutView="70" workbookViewId="0">
      <selection activeCell="N31" sqref="N31"/>
    </sheetView>
  </sheetViews>
  <sheetFormatPr defaultColWidth="9.140625" defaultRowHeight="12.75"/>
  <cols>
    <col min="1" max="1" width="4.140625" style="445" customWidth="1"/>
    <col min="2" max="2" width="14.7109375" style="445" bestFit="1" customWidth="1"/>
    <col min="3" max="3" width="39.140625" style="445" bestFit="1" customWidth="1"/>
    <col min="4" max="4" width="20.5703125" style="445" customWidth="1"/>
    <col min="5" max="5" width="2.85546875" style="445" hidden="1" customWidth="1"/>
    <col min="6" max="6" width="14.5703125" style="445" hidden="1" customWidth="1"/>
    <col min="7" max="8" width="3.7109375" style="445" hidden="1" customWidth="1"/>
    <col min="9" max="9" width="3.7109375" style="445" customWidth="1"/>
    <col min="10" max="10" width="3" style="445" bestFit="1" customWidth="1"/>
    <col min="11" max="11" width="10" style="93" customWidth="1"/>
    <col min="12" max="12" width="2.85546875" style="93" customWidth="1"/>
    <col min="13" max="13" width="32.7109375" style="93" customWidth="1"/>
    <col min="14" max="14" width="13.42578125" style="93" bestFit="1" customWidth="1"/>
    <col min="15" max="15" width="15.28515625" style="93" customWidth="1"/>
    <col min="16" max="16" width="15.42578125" style="93" customWidth="1"/>
    <col min="17" max="17" width="11.7109375" style="93" customWidth="1"/>
    <col min="18" max="18" width="15.28515625" style="93" customWidth="1"/>
    <col min="19" max="19" width="3.42578125" style="93" customWidth="1"/>
    <col min="20" max="20" width="5.7109375" style="93" customWidth="1"/>
    <col min="21" max="21" width="31" style="93" customWidth="1"/>
    <col min="22" max="22" width="27.28515625" style="93" customWidth="1"/>
    <col min="23" max="23" width="14.7109375" style="93" customWidth="1"/>
    <col min="24" max="24" width="12.85546875" style="2" customWidth="1"/>
    <col min="25" max="25" width="9.140625" style="2"/>
    <col min="26" max="26" width="5.7109375" style="93" customWidth="1"/>
    <col min="27" max="27" width="37" style="93" customWidth="1"/>
    <col min="28" max="28" width="27.28515625" style="93" customWidth="1"/>
    <col min="29" max="29" width="14.7109375" style="93" customWidth="1"/>
    <col min="30" max="30" width="13.28515625" style="93" customWidth="1"/>
    <col min="31" max="31" width="11.140625" style="93" customWidth="1"/>
    <col min="32" max="32" width="7.28515625" style="93" customWidth="1"/>
    <col min="33" max="33" width="27.42578125" style="93" customWidth="1"/>
    <col min="34" max="37" width="11.7109375" style="93" customWidth="1"/>
    <col min="38" max="39" width="9.140625" style="2"/>
    <col min="40" max="40" width="40.5703125" style="2" customWidth="1"/>
    <col min="41" max="41" width="17.28515625" style="2" customWidth="1"/>
    <col min="42" max="42" width="17.85546875" style="88" customWidth="1"/>
    <col min="43" max="43" width="39.7109375" style="2" customWidth="1"/>
    <col min="44" max="44" width="11.5703125" style="2" bestFit="1" customWidth="1"/>
    <col min="45" max="45" width="5.140625" style="2" bestFit="1" customWidth="1"/>
    <col min="46" max="46" width="4.28515625" style="2" customWidth="1"/>
    <col min="47" max="47" width="36.5703125" style="2" bestFit="1" customWidth="1"/>
    <col min="48" max="48" width="15.140625" style="2" bestFit="1" customWidth="1"/>
    <col min="49" max="49" width="23" style="2" customWidth="1"/>
    <col min="50" max="50" width="29.7109375" style="2" bestFit="1" customWidth="1"/>
    <col min="51" max="51" width="10.85546875" style="2" bestFit="1" customWidth="1"/>
    <col min="52" max="52" width="39.7109375" style="2" bestFit="1" customWidth="1"/>
    <col min="53" max="53" width="4.5703125" style="2" customWidth="1"/>
    <col min="54" max="177" width="9.140625" style="2"/>
    <col min="178" max="16384" width="9.140625" style="445"/>
  </cols>
  <sheetData>
    <row r="1" spans="1:180">
      <c r="B1" s="236" t="s">
        <v>6</v>
      </c>
      <c r="K1" s="1041" t="s">
        <v>6</v>
      </c>
      <c r="T1" s="1046" t="str">
        <f>Z1</f>
        <v>Advertising</v>
      </c>
      <c r="W1" s="69"/>
      <c r="Z1" s="1046" t="str">
        <f>K1</f>
        <v>Advertising</v>
      </c>
      <c r="AC1" s="69"/>
      <c r="AF1" s="1041" t="str">
        <f>'Control Panel'!$B$2</f>
        <v>Utah - Dec 2017 Adjusted Avg Results</v>
      </c>
      <c r="AI1" s="69"/>
      <c r="AJ1" s="69"/>
      <c r="AK1" s="69"/>
      <c r="AN1" s="68" t="s">
        <v>1579</v>
      </c>
      <c r="AU1" s="68" t="s">
        <v>1489</v>
      </c>
    </row>
    <row r="2" spans="1:180" ht="13.5" thickBot="1">
      <c r="B2" s="236" t="str">
        <f>'Control Panel'!$B$1</f>
        <v>Dominion Energy</v>
      </c>
      <c r="K2" s="236" t="str">
        <f>'Control Panel'!$B$1</f>
        <v>Dominion Energy</v>
      </c>
      <c r="T2" s="1046" t="str">
        <f>Z2</f>
        <v>Dominion Energy</v>
      </c>
      <c r="W2" s="133"/>
      <c r="Z2" s="1046" t="str">
        <f>K2</f>
        <v>Dominion Energy</v>
      </c>
      <c r="AC2" s="133"/>
      <c r="AF2" s="1041">
        <f>Z4</f>
        <v>0</v>
      </c>
      <c r="AI2" s="133"/>
      <c r="AJ2" s="133"/>
      <c r="AK2" s="133"/>
      <c r="AN2" s="845" t="s">
        <v>7</v>
      </c>
      <c r="AO2" s="845"/>
      <c r="AP2" s="980" t="s">
        <v>655</v>
      </c>
      <c r="AU2" s="845" t="s">
        <v>7</v>
      </c>
      <c r="AV2" s="845" t="s">
        <v>631</v>
      </c>
      <c r="AW2" s="845" t="s">
        <v>655</v>
      </c>
      <c r="FV2" s="2"/>
      <c r="FW2" s="2"/>
      <c r="FX2" s="2"/>
    </row>
    <row r="3" spans="1:180" ht="15">
      <c r="B3" s="236" t="str">
        <f>'Control Panel'!$B$2</f>
        <v>Utah - Dec 2017 Adjusted Avg Results</v>
      </c>
      <c r="K3" s="236" t="str">
        <f>'Control Panel'!$B$2</f>
        <v>Utah - Dec 2017 Adjusted Avg Results</v>
      </c>
      <c r="T3" s="1046" t="str">
        <f>Z3</f>
        <v>Utah - Dec 2017 Adjusted Avg Results</v>
      </c>
      <c r="W3" s="94"/>
      <c r="Z3" s="1046" t="str">
        <f>K3</f>
        <v>Utah - Dec 2017 Adjusted Avg Results</v>
      </c>
      <c r="AC3" s="94"/>
      <c r="AF3" s="1041"/>
      <c r="AI3" s="94"/>
      <c r="AJ3" s="94"/>
      <c r="AK3" s="94"/>
      <c r="AN3" s="525" t="s">
        <v>1080</v>
      </c>
      <c r="AO3" s="847"/>
      <c r="AP3" s="981">
        <v>0</v>
      </c>
      <c r="AU3" s="525" t="s">
        <v>850</v>
      </c>
      <c r="AV3" s="847"/>
      <c r="AW3" s="871">
        <f>AV23</f>
        <v>1922.5</v>
      </c>
      <c r="FV3" s="2"/>
      <c r="FW3" s="2"/>
      <c r="FX3" s="2"/>
    </row>
    <row r="4" spans="1:180" ht="15">
      <c r="B4" s="236" t="str">
        <f>'Control Panel'!$B$3</f>
        <v>12 Months Ended : Dec-2017</v>
      </c>
      <c r="K4" s="236" t="str">
        <f>'Control Panel'!$B$3</f>
        <v>12 Months Ended : Dec-2017</v>
      </c>
      <c r="T4" s="1046"/>
      <c r="Z4" s="1046"/>
      <c r="AN4" s="525" t="s">
        <v>844</v>
      </c>
      <c r="AO4" s="847"/>
      <c r="AP4" s="981">
        <f>AP16</f>
        <v>1148</v>
      </c>
      <c r="AU4" s="525" t="s">
        <v>849</v>
      </c>
      <c r="AV4" s="847"/>
      <c r="AW4" s="871">
        <f>AV22</f>
        <v>2950</v>
      </c>
      <c r="FV4" s="2"/>
      <c r="FW4" s="2"/>
      <c r="FX4" s="2"/>
    </row>
    <row r="5" spans="1:180" ht="15">
      <c r="K5" s="47"/>
      <c r="T5" s="1046" t="s">
        <v>447</v>
      </c>
      <c r="Z5" s="1046" t="s">
        <v>124</v>
      </c>
      <c r="AN5" s="525" t="s">
        <v>845</v>
      </c>
      <c r="AO5" s="847"/>
      <c r="AP5" s="981">
        <f>AP18</f>
        <v>3504</v>
      </c>
      <c r="AU5" s="525" t="s">
        <v>848</v>
      </c>
      <c r="AV5" s="847"/>
      <c r="AW5" s="871">
        <v>0</v>
      </c>
      <c r="FV5" s="2"/>
      <c r="FW5" s="2"/>
      <c r="FX5" s="2"/>
    </row>
    <row r="6" spans="1:180" ht="15">
      <c r="AD6" s="96"/>
      <c r="AE6" s="96"/>
      <c r="AF6" s="96" t="s">
        <v>177</v>
      </c>
      <c r="AG6" s="96"/>
      <c r="AH6" s="96"/>
      <c r="AI6" s="96"/>
      <c r="AJ6" s="96"/>
      <c r="AK6" s="96"/>
      <c r="AN6" s="525" t="s">
        <v>846</v>
      </c>
      <c r="AO6" s="847"/>
      <c r="AP6" s="981">
        <f>AP72</f>
        <v>15860.440000000002</v>
      </c>
      <c r="AU6" s="525" t="s">
        <v>824</v>
      </c>
      <c r="AV6" s="847"/>
      <c r="AW6" s="848">
        <f>SUM(AW3:AW5)</f>
        <v>4872.5</v>
      </c>
      <c r="FV6" s="2"/>
      <c r="FW6" s="2"/>
      <c r="FX6" s="2"/>
    </row>
    <row r="7" spans="1:180" ht="15">
      <c r="U7" s="1434" t="s">
        <v>202</v>
      </c>
      <c r="V7" s="1434"/>
      <c r="W7" s="1434"/>
      <c r="X7" s="1434"/>
      <c r="Z7" s="1434" t="s">
        <v>108</v>
      </c>
      <c r="AA7" s="1434"/>
      <c r="AB7" s="1434"/>
      <c r="AC7" s="1434"/>
      <c r="AD7" s="96"/>
      <c r="AE7" s="96"/>
      <c r="AF7" s="96"/>
      <c r="AH7" s="96"/>
      <c r="AI7" s="96"/>
      <c r="AJ7" s="96"/>
      <c r="AK7" s="96"/>
      <c r="AN7" s="525" t="s">
        <v>847</v>
      </c>
      <c r="AO7" s="847"/>
      <c r="AP7" s="981">
        <f>AP105</f>
        <v>23531.65</v>
      </c>
      <c r="FV7" s="2"/>
      <c r="FW7" s="2"/>
      <c r="FX7" s="2"/>
    </row>
    <row r="8" spans="1:180" ht="13.5" thickBot="1">
      <c r="L8" s="1044"/>
      <c r="M8" s="146" t="s">
        <v>73</v>
      </c>
      <c r="T8" s="96"/>
      <c r="U8" s="96"/>
      <c r="V8" s="96"/>
      <c r="W8" s="161"/>
      <c r="Z8" s="96"/>
      <c r="AA8" s="96"/>
      <c r="AB8" s="96"/>
      <c r="AC8" s="161"/>
      <c r="AD8" s="96"/>
      <c r="AE8" s="96"/>
      <c r="AF8" s="96"/>
      <c r="AH8" s="96"/>
      <c r="AI8" s="161"/>
      <c r="AJ8" s="161"/>
      <c r="AK8" s="161"/>
      <c r="AN8" s="525" t="s">
        <v>850</v>
      </c>
      <c r="AP8" s="1049">
        <f>+AP207</f>
        <v>0</v>
      </c>
      <c r="FV8" s="2"/>
      <c r="FW8" s="2"/>
      <c r="FX8" s="2"/>
    </row>
    <row r="9" spans="1:180" ht="15">
      <c r="F9" s="445" t="s">
        <v>756</v>
      </c>
      <c r="L9" s="1044"/>
      <c r="M9" s="861"/>
      <c r="P9" s="98"/>
      <c r="Q9" s="501"/>
      <c r="T9" s="96"/>
      <c r="U9" s="96"/>
      <c r="V9" s="96"/>
      <c r="W9" s="161"/>
      <c r="Z9" s="1039" t="s">
        <v>510</v>
      </c>
      <c r="AA9" s="34"/>
      <c r="AB9" s="846">
        <f>O41</f>
        <v>0</v>
      </c>
      <c r="AC9" s="34"/>
      <c r="AD9" s="34"/>
      <c r="AE9" s="34"/>
      <c r="AF9" s="146" t="s">
        <v>1614</v>
      </c>
      <c r="AG9" s="34"/>
      <c r="AH9" s="846">
        <v>0</v>
      </c>
      <c r="AI9" s="34"/>
      <c r="AJ9" s="34"/>
      <c r="AK9" s="34"/>
      <c r="AN9" s="525" t="s">
        <v>824</v>
      </c>
      <c r="AO9" s="847"/>
      <c r="AP9" s="982">
        <f>SUM(AP3:AP8)</f>
        <v>44044.090000000004</v>
      </c>
      <c r="FV9" s="2"/>
      <c r="FW9" s="2"/>
      <c r="FX9" s="2"/>
    </row>
    <row r="10" spans="1:180">
      <c r="C10" s="363"/>
      <c r="D10" s="803" t="s">
        <v>1565</v>
      </c>
      <c r="E10" s="804"/>
      <c r="F10" s="803" t="str">
        <f>+'Control Panel'!F36</f>
        <v xml:space="preserve"> Advertising </v>
      </c>
      <c r="L10" s="96"/>
      <c r="M10" s="1042" t="s">
        <v>784</v>
      </c>
      <c r="N10" s="1045" t="s">
        <v>785</v>
      </c>
      <c r="O10" s="1042" t="s">
        <v>786</v>
      </c>
      <c r="P10" s="1042" t="s">
        <v>787</v>
      </c>
      <c r="Q10" s="1045" t="s">
        <v>766</v>
      </c>
      <c r="R10" s="1045" t="s">
        <v>767</v>
      </c>
      <c r="S10" s="1045"/>
      <c r="T10" s="96"/>
      <c r="U10" s="1338" t="s">
        <v>784</v>
      </c>
      <c r="V10" s="1340" t="s">
        <v>785</v>
      </c>
      <c r="W10" s="1338" t="s">
        <v>786</v>
      </c>
      <c r="X10" s="1338" t="s">
        <v>787</v>
      </c>
      <c r="Z10" s="96"/>
      <c r="AA10" s="96"/>
      <c r="AB10" s="96"/>
      <c r="AC10" s="161"/>
      <c r="AD10" s="96"/>
      <c r="AE10" s="96"/>
      <c r="AF10" s="96"/>
      <c r="AG10" s="96"/>
      <c r="AH10" s="96"/>
      <c r="AI10" s="161"/>
      <c r="AJ10" s="161"/>
      <c r="AK10" s="161"/>
      <c r="FV10" s="2"/>
      <c r="FW10" s="2"/>
      <c r="FX10" s="2"/>
    </row>
    <row r="11" spans="1:180">
      <c r="D11" s="1045"/>
      <c r="E11" s="1045"/>
      <c r="F11" s="1045"/>
      <c r="N11" s="1042" t="s">
        <v>104</v>
      </c>
      <c r="O11" s="1042" t="s">
        <v>104</v>
      </c>
      <c r="P11" s="1042" t="s">
        <v>749</v>
      </c>
      <c r="Q11" s="1042" t="s">
        <v>160</v>
      </c>
      <c r="R11" s="1045" t="s">
        <v>481</v>
      </c>
      <c r="S11" s="1045"/>
      <c r="T11" s="1105">
        <v>1</v>
      </c>
      <c r="U11" s="1402" t="s">
        <v>1615</v>
      </c>
      <c r="W11" s="846">
        <f>AW4</f>
        <v>2950</v>
      </c>
      <c r="Z11" s="96"/>
      <c r="AA11" s="96"/>
      <c r="AB11" s="96"/>
      <c r="AC11" s="161"/>
      <c r="AD11" s="432"/>
      <c r="AE11" s="432"/>
      <c r="AF11" s="96"/>
      <c r="AG11" s="96"/>
      <c r="AH11" s="96"/>
      <c r="AI11" s="161"/>
      <c r="AJ11" s="161"/>
      <c r="AK11" s="161"/>
      <c r="AN11" s="525" t="s">
        <v>1580</v>
      </c>
      <c r="AU11" s="525" t="s">
        <v>914</v>
      </c>
      <c r="FV11" s="2"/>
      <c r="FW11" s="2"/>
      <c r="FX11" s="2"/>
    </row>
    <row r="12" spans="1:180">
      <c r="L12" s="1044"/>
      <c r="M12" s="1042"/>
      <c r="N12" s="1042" t="s">
        <v>105</v>
      </c>
      <c r="O12" s="1042" t="s">
        <v>105</v>
      </c>
      <c r="P12" s="1040" t="s">
        <v>482</v>
      </c>
      <c r="Q12" s="1042" t="s">
        <v>178</v>
      </c>
      <c r="R12" s="1042" t="s">
        <v>655</v>
      </c>
      <c r="S12" s="1042"/>
      <c r="T12" s="1105">
        <f>T11+1</f>
        <v>2</v>
      </c>
      <c r="U12" s="96"/>
      <c r="V12" s="862"/>
      <c r="W12" s="862"/>
      <c r="X12" s="862"/>
      <c r="Y12" s="862"/>
      <c r="Z12" s="96" t="s">
        <v>1575</v>
      </c>
      <c r="AA12" s="96"/>
      <c r="AB12" s="1042" t="s">
        <v>186</v>
      </c>
      <c r="AC12" s="96" t="s">
        <v>749</v>
      </c>
      <c r="AD12" s="96" t="s">
        <v>41</v>
      </c>
      <c r="AE12" s="432"/>
      <c r="AF12" s="96" t="s">
        <v>1575</v>
      </c>
      <c r="AG12" s="96"/>
      <c r="AH12" s="1042" t="s">
        <v>186</v>
      </c>
      <c r="AI12" s="96" t="s">
        <v>749</v>
      </c>
      <c r="AJ12" s="96" t="s">
        <v>41</v>
      </c>
      <c r="AK12" s="32"/>
      <c r="AV12" s="770"/>
      <c r="AW12" s="770"/>
      <c r="AX12" s="770"/>
      <c r="FV12" s="2"/>
      <c r="FW12" s="2"/>
      <c r="FX12" s="2"/>
    </row>
    <row r="13" spans="1:180" ht="13.5" thickBot="1">
      <c r="B13" s="160" t="s">
        <v>7</v>
      </c>
      <c r="C13" s="111" t="s">
        <v>106</v>
      </c>
      <c r="D13" s="771"/>
      <c r="E13" s="111"/>
      <c r="F13" s="111"/>
      <c r="G13" s="445">
        <v>5</v>
      </c>
      <c r="K13" s="160" t="s">
        <v>7</v>
      </c>
      <c r="L13" s="805"/>
      <c r="M13" s="771" t="s">
        <v>106</v>
      </c>
      <c r="N13" s="771" t="s">
        <v>1581</v>
      </c>
      <c r="O13" s="806" t="s">
        <v>1616</v>
      </c>
      <c r="P13" s="806" t="s">
        <v>1581</v>
      </c>
      <c r="Q13" s="807"/>
      <c r="R13" s="771"/>
      <c r="S13" s="307"/>
      <c r="T13" s="1105">
        <f t="shared" ref="T13:T32" si="0">T12+1</f>
        <v>3</v>
      </c>
      <c r="U13" s="96"/>
      <c r="V13" s="96"/>
      <c r="W13" s="161"/>
      <c r="Z13" s="34"/>
      <c r="AA13" s="34" t="s">
        <v>150</v>
      </c>
      <c r="AB13" s="1043" t="s">
        <v>151</v>
      </c>
      <c r="AC13" s="491" t="s">
        <v>655</v>
      </c>
      <c r="AD13" s="491" t="s">
        <v>655</v>
      </c>
      <c r="AE13" s="432"/>
      <c r="AF13" s="34"/>
      <c r="AG13" s="34" t="s">
        <v>150</v>
      </c>
      <c r="AH13" s="1043" t="s">
        <v>151</v>
      </c>
      <c r="AI13" s="491" t="s">
        <v>655</v>
      </c>
      <c r="AJ13" s="491" t="s">
        <v>655</v>
      </c>
      <c r="AK13" s="32"/>
      <c r="AN13" s="1107" t="s">
        <v>7</v>
      </c>
      <c r="AO13" s="1107" t="s">
        <v>631</v>
      </c>
      <c r="AP13" s="1107" t="s">
        <v>781</v>
      </c>
      <c r="AQ13" s="1107" t="s">
        <v>90</v>
      </c>
      <c r="AR13" s="1107" t="s">
        <v>91</v>
      </c>
      <c r="AS13" s="1107" t="s">
        <v>92</v>
      </c>
      <c r="AU13" s="1107" t="s">
        <v>7</v>
      </c>
      <c r="AV13" s="1107" t="s">
        <v>781</v>
      </c>
      <c r="AW13" s="1107" t="s">
        <v>923</v>
      </c>
      <c r="AX13" s="1107" t="s">
        <v>680</v>
      </c>
      <c r="AY13" s="1107" t="s">
        <v>91</v>
      </c>
      <c r="AZ13" s="1107" t="s">
        <v>90</v>
      </c>
      <c r="FV13" s="2"/>
      <c r="FW13" s="2"/>
      <c r="FX13" s="2"/>
    </row>
    <row r="14" spans="1:180">
      <c r="A14" s="1105">
        <v>1</v>
      </c>
      <c r="B14" s="93">
        <v>909003</v>
      </c>
      <c r="C14" s="93" t="s">
        <v>518</v>
      </c>
      <c r="D14" s="81">
        <f>R14</f>
        <v>0</v>
      </c>
      <c r="F14" s="812">
        <f>HLOOKUP($F$10,Advertisingscenario,G13,FALSE)</f>
        <v>0</v>
      </c>
      <c r="G14" s="445">
        <v>6</v>
      </c>
      <c r="J14" s="1044">
        <v>1</v>
      </c>
      <c r="K14" s="93">
        <v>909003</v>
      </c>
      <c r="M14" s="93" t="s">
        <v>518</v>
      </c>
      <c r="N14" s="98">
        <f>AP3</f>
        <v>0</v>
      </c>
      <c r="O14" s="495">
        <v>0</v>
      </c>
      <c r="P14" s="98">
        <v>0</v>
      </c>
      <c r="Q14" s="98">
        <f>+P14+N14</f>
        <v>0</v>
      </c>
      <c r="R14" s="495">
        <f>N14</f>
        <v>0</v>
      </c>
      <c r="S14" s="432"/>
      <c r="T14" s="1105">
        <f t="shared" si="0"/>
        <v>4</v>
      </c>
      <c r="U14" s="96"/>
      <c r="V14" s="1042" t="s">
        <v>186</v>
      </c>
      <c r="W14" s="96" t="s">
        <v>749</v>
      </c>
      <c r="X14" s="96" t="s">
        <v>41</v>
      </c>
      <c r="Y14" s="32"/>
      <c r="Z14" s="34"/>
      <c r="AA14" s="2"/>
      <c r="AB14" s="2"/>
      <c r="AC14" s="2"/>
      <c r="AD14" s="2"/>
      <c r="AE14" s="2"/>
      <c r="AF14" s="34"/>
      <c r="AG14" s="2"/>
      <c r="AH14" s="2"/>
      <c r="AI14" s="2"/>
      <c r="AJ14" s="2"/>
      <c r="AK14" s="295"/>
      <c r="AN14" s="1108"/>
      <c r="AO14" s="1108"/>
      <c r="AP14" s="1109"/>
      <c r="AQ14" s="1108"/>
      <c r="AR14" s="1110"/>
      <c r="AS14" s="1108"/>
      <c r="AU14" s="758" t="s">
        <v>1047</v>
      </c>
      <c r="AV14" s="759">
        <v>2950</v>
      </c>
      <c r="AW14" s="758"/>
      <c r="AX14" s="758" t="s">
        <v>986</v>
      </c>
      <c r="AY14" s="1375">
        <v>42794</v>
      </c>
      <c r="AZ14" s="758" t="s">
        <v>1118</v>
      </c>
      <c r="FV14" s="2"/>
      <c r="FW14" s="2"/>
      <c r="FX14" s="2"/>
    </row>
    <row r="15" spans="1:180" ht="14.25" customHeight="1" thickBot="1">
      <c r="A15" s="1105">
        <v>2</v>
      </c>
      <c r="B15" s="93">
        <v>909005</v>
      </c>
      <c r="C15" s="93" t="s">
        <v>1070</v>
      </c>
      <c r="D15" s="81">
        <f>R15</f>
        <v>3504</v>
      </c>
      <c r="F15" s="812">
        <f>HLOOKUP($F$10,Advertisingscenario,G14,FALSE)</f>
        <v>3504</v>
      </c>
      <c r="G15" s="445">
        <v>7</v>
      </c>
      <c r="J15" s="1087">
        <v>2</v>
      </c>
      <c r="K15" s="93">
        <v>909005</v>
      </c>
      <c r="M15" s="93" t="s">
        <v>1070</v>
      </c>
      <c r="N15" s="98">
        <f>AP5</f>
        <v>3504</v>
      </c>
      <c r="O15" s="495">
        <v>0</v>
      </c>
      <c r="P15" s="98">
        <v>0</v>
      </c>
      <c r="Q15" s="98">
        <f>+P15+N15</f>
        <v>3504</v>
      </c>
      <c r="R15" s="495">
        <f>N15</f>
        <v>3504</v>
      </c>
      <c r="S15" s="98"/>
      <c r="T15" s="1105">
        <f t="shared" si="0"/>
        <v>5</v>
      </c>
      <c r="U15" s="34" t="s">
        <v>150</v>
      </c>
      <c r="V15" s="1043" t="s">
        <v>151</v>
      </c>
      <c r="W15" s="491" t="s">
        <v>655</v>
      </c>
      <c r="X15" s="491" t="s">
        <v>655</v>
      </c>
      <c r="Y15" s="32"/>
      <c r="Z15" s="96"/>
      <c r="AA15" s="34" t="s">
        <v>1575</v>
      </c>
      <c r="AB15" s="34"/>
      <c r="AC15" s="32"/>
      <c r="AD15" s="32"/>
      <c r="AE15" s="32"/>
      <c r="AF15" s="96"/>
      <c r="AG15" s="34" t="s">
        <v>1575</v>
      </c>
      <c r="AH15" s="34"/>
      <c r="AI15" s="32"/>
      <c r="AJ15" s="32"/>
      <c r="AK15" s="161"/>
      <c r="AN15" s="1111" t="s">
        <v>1483</v>
      </c>
      <c r="AO15" s="1108" t="s">
        <v>1212</v>
      </c>
      <c r="AP15" s="1378">
        <v>1148</v>
      </c>
      <c r="AQ15" s="1108" t="s">
        <v>1392</v>
      </c>
      <c r="AR15" s="1379">
        <v>43039</v>
      </c>
      <c r="AS15" s="1108" t="s">
        <v>780</v>
      </c>
      <c r="AU15" s="758" t="s">
        <v>1282</v>
      </c>
      <c r="AV15" s="1377">
        <v>1182.5</v>
      </c>
      <c r="AW15" s="758"/>
      <c r="AX15" s="758" t="s">
        <v>986</v>
      </c>
      <c r="AY15" s="1375">
        <v>43039</v>
      </c>
      <c r="AZ15" s="758" t="s">
        <v>1486</v>
      </c>
      <c r="FV15" s="2"/>
      <c r="FW15" s="2"/>
      <c r="FX15" s="2"/>
    </row>
    <row r="16" spans="1:180" ht="16.5" customHeight="1" thickTop="1" thickBot="1">
      <c r="A16" s="1105">
        <v>3</v>
      </c>
      <c r="B16" s="110">
        <v>930100</v>
      </c>
      <c r="C16" s="93" t="s">
        <v>417</v>
      </c>
      <c r="D16" s="98">
        <f>R16</f>
        <v>943.94749999999999</v>
      </c>
      <c r="E16" s="812"/>
      <c r="F16" s="812">
        <f>HLOOKUP($F$10,Advertisingscenario,G15,FALSE)</f>
        <v>943.94749999999999</v>
      </c>
      <c r="G16" s="445">
        <v>8</v>
      </c>
      <c r="J16" s="1044">
        <v>3</v>
      </c>
      <c r="K16" s="110">
        <v>930100</v>
      </c>
      <c r="M16" s="93" t="s">
        <v>417</v>
      </c>
      <c r="N16" s="98">
        <f>AP8</f>
        <v>0</v>
      </c>
      <c r="O16" s="98">
        <f>+AW3</f>
        <v>1922.5</v>
      </c>
      <c r="P16" s="98">
        <f>X32</f>
        <v>943.94749999999999</v>
      </c>
      <c r="Q16" s="98">
        <f>+P16+N16</f>
        <v>943.94749999999999</v>
      </c>
      <c r="R16" s="98">
        <f>Q16</f>
        <v>943.94749999999999</v>
      </c>
      <c r="S16" s="93" t="s">
        <v>439</v>
      </c>
      <c r="T16" s="1105">
        <f t="shared" si="0"/>
        <v>6</v>
      </c>
      <c r="U16" s="2"/>
      <c r="V16" s="2"/>
      <c r="W16" s="2"/>
      <c r="Z16" s="96"/>
      <c r="AA16" s="41" t="s">
        <v>1576</v>
      </c>
      <c r="AB16" s="492">
        <f>+'ALLOCATIONS&amp;PRETAX'!$G$8</f>
        <v>0.49099999999999999</v>
      </c>
      <c r="AC16" s="493"/>
      <c r="AD16" s="493"/>
      <c r="AE16" s="432"/>
      <c r="AF16" s="96"/>
      <c r="AG16" s="41" t="s">
        <v>1576</v>
      </c>
      <c r="AH16" s="492">
        <f>+'ALLOCATIONS&amp;PRETAX'!$G$8</f>
        <v>0.49099999999999999</v>
      </c>
      <c r="AI16" s="493"/>
      <c r="AJ16" s="493"/>
      <c r="AK16" s="161"/>
      <c r="AN16" s="1111" t="s">
        <v>844</v>
      </c>
      <c r="AO16" s="1108"/>
      <c r="AP16" s="1109">
        <f>AP15</f>
        <v>1148</v>
      </c>
      <c r="AQ16" s="1108"/>
      <c r="AR16" s="1110"/>
      <c r="AS16" s="1108"/>
      <c r="AU16" s="758" t="s">
        <v>1282</v>
      </c>
      <c r="AV16" s="1380">
        <v>140</v>
      </c>
      <c r="AW16" s="1248"/>
      <c r="AX16" s="1248"/>
      <c r="AY16" s="1250">
        <v>42916</v>
      </c>
      <c r="AZ16" s="1248" t="s">
        <v>1487</v>
      </c>
      <c r="FV16" s="2"/>
      <c r="FW16" s="2"/>
      <c r="FX16" s="2"/>
    </row>
    <row r="17" spans="1:180" ht="14.25" customHeight="1">
      <c r="A17" s="1105">
        <v>4</v>
      </c>
      <c r="B17" s="110">
        <v>930101</v>
      </c>
      <c r="C17" s="93" t="s">
        <v>202</v>
      </c>
      <c r="D17" s="98">
        <f>R17</f>
        <v>1448.45</v>
      </c>
      <c r="E17" s="812"/>
      <c r="F17" s="812">
        <f>HLOOKUP($F$10,Advertisingscenario,G16,FALSE)</f>
        <v>1448.45</v>
      </c>
      <c r="G17" s="445">
        <v>9</v>
      </c>
      <c r="J17" s="1105">
        <v>4</v>
      </c>
      <c r="K17" s="110">
        <v>930101</v>
      </c>
      <c r="M17" s="93" t="s">
        <v>202</v>
      </c>
      <c r="N17" s="98">
        <v>0</v>
      </c>
      <c r="O17" s="98">
        <f>+AW4</f>
        <v>2950</v>
      </c>
      <c r="P17" s="98">
        <f>X19</f>
        <v>1448.45</v>
      </c>
      <c r="Q17" s="98">
        <f>+P17+N17</f>
        <v>1448.45</v>
      </c>
      <c r="R17" s="98">
        <f>+Q17</f>
        <v>1448.45</v>
      </c>
      <c r="S17" s="144" t="s">
        <v>439</v>
      </c>
      <c r="T17" s="1105">
        <f t="shared" si="0"/>
        <v>7</v>
      </c>
      <c r="U17" s="34" t="s">
        <v>1575</v>
      </c>
      <c r="V17" s="34"/>
      <c r="W17" s="32"/>
      <c r="X17" s="32"/>
      <c r="Y17" s="32"/>
      <c r="Z17" s="2"/>
      <c r="AA17" s="494" t="s">
        <v>1577</v>
      </c>
      <c r="AB17" s="849">
        <f>+AB9*AB16</f>
        <v>0</v>
      </c>
      <c r="AC17" s="98">
        <f>+AB17</f>
        <v>0</v>
      </c>
      <c r="AD17" s="98">
        <f>+AC17</f>
        <v>0</v>
      </c>
      <c r="AE17" s="98"/>
      <c r="AF17" s="2"/>
      <c r="AG17" s="494" t="s">
        <v>1577</v>
      </c>
      <c r="AH17" s="849">
        <f>+AH9*AH16</f>
        <v>0</v>
      </c>
      <c r="AI17" s="98">
        <f>+AH17</f>
        <v>0</v>
      </c>
      <c r="AJ17" s="98">
        <f>+AI17</f>
        <v>0</v>
      </c>
      <c r="AK17" s="2"/>
      <c r="AN17" s="1111" t="s">
        <v>1484</v>
      </c>
      <c r="AO17" s="1108" t="s">
        <v>1038</v>
      </c>
      <c r="AP17" s="1378">
        <v>3504</v>
      </c>
      <c r="AQ17" s="1108" t="s">
        <v>1485</v>
      </c>
      <c r="AR17" s="1379">
        <v>42916</v>
      </c>
      <c r="AS17" s="1108" t="s">
        <v>780</v>
      </c>
      <c r="AU17" s="758" t="s">
        <v>1282</v>
      </c>
      <c r="AV17" s="1380">
        <v>600</v>
      </c>
      <c r="AW17" s="1248"/>
      <c r="AX17" s="1248"/>
      <c r="AY17" s="1250">
        <v>42825</v>
      </c>
      <c r="AZ17" s="1248" t="s">
        <v>1488</v>
      </c>
      <c r="FV17" s="2"/>
      <c r="FW17" s="2"/>
      <c r="FX17" s="2"/>
    </row>
    <row r="18" spans="1:180" ht="16.5" customHeight="1" thickBot="1">
      <c r="A18" s="1105">
        <v>5</v>
      </c>
      <c r="B18" s="110">
        <v>930102</v>
      </c>
      <c r="C18" s="93" t="s">
        <v>108</v>
      </c>
      <c r="D18" s="98">
        <f>R41</f>
        <v>0</v>
      </c>
      <c r="E18" s="812"/>
      <c r="F18" s="812">
        <f>HLOOKUP($F$10,Advertisingscenario,G17,FALSE)</f>
        <v>0</v>
      </c>
      <c r="G18" s="445">
        <v>10</v>
      </c>
      <c r="J18" s="1105">
        <v>5</v>
      </c>
      <c r="K18" s="110">
        <v>930102</v>
      </c>
      <c r="M18" s="93" t="s">
        <v>108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/>
      <c r="T18" s="1105">
        <f t="shared" si="0"/>
        <v>8</v>
      </c>
      <c r="U18" s="41" t="s">
        <v>1576</v>
      </c>
      <c r="V18" s="492">
        <f>+'ALLOCATIONS&amp;PRETAX'!$G$8</f>
        <v>0.49099999999999999</v>
      </c>
      <c r="W18" s="493"/>
      <c r="X18" s="493"/>
      <c r="Y18" s="432"/>
      <c r="Z18" s="2"/>
      <c r="AA18" s="161"/>
      <c r="AB18" s="161"/>
      <c r="AC18" s="34"/>
      <c r="AD18" s="34"/>
      <c r="AE18" s="34"/>
      <c r="AF18" s="2"/>
      <c r="AG18" s="161"/>
      <c r="AH18" s="161"/>
      <c r="AI18" s="34"/>
      <c r="AJ18" s="34"/>
      <c r="AK18" s="2"/>
      <c r="AN18" s="1111" t="s">
        <v>845</v>
      </c>
      <c r="AO18" s="1108"/>
      <c r="AP18" s="1109">
        <f>AP17</f>
        <v>3504</v>
      </c>
      <c r="AQ18" s="1108"/>
      <c r="AR18" s="1110"/>
      <c r="AS18" s="1108"/>
      <c r="AU18" s="1248"/>
      <c r="AV18" s="1249"/>
      <c r="AW18" s="1248"/>
      <c r="AX18" s="1248"/>
      <c r="AY18" s="1250"/>
      <c r="AZ18" s="1248"/>
      <c r="FV18" s="2"/>
      <c r="FW18" s="2"/>
      <c r="FX18" s="2"/>
    </row>
    <row r="19" spans="1:180" ht="16.5" thickTop="1" thickBot="1">
      <c r="A19" s="1105">
        <v>7</v>
      </c>
      <c r="C19" s="95"/>
      <c r="D19" s="811"/>
      <c r="E19" s="812"/>
      <c r="F19" s="812"/>
      <c r="G19" s="445">
        <v>11</v>
      </c>
      <c r="J19" s="1105">
        <v>7</v>
      </c>
      <c r="K19" s="110"/>
      <c r="M19" s="772"/>
      <c r="N19" s="864"/>
      <c r="O19" s="772"/>
      <c r="P19" s="772"/>
      <c r="Q19" s="772"/>
      <c r="R19" s="772"/>
      <c r="S19" s="98"/>
      <c r="T19" s="1105">
        <f t="shared" si="0"/>
        <v>9</v>
      </c>
      <c r="U19" s="494" t="s">
        <v>1577</v>
      </c>
      <c r="V19" s="849">
        <f>+W11*V18</f>
        <v>1448.45</v>
      </c>
      <c r="W19" s="98">
        <f>+V19</f>
        <v>1448.45</v>
      </c>
      <c r="X19" s="98">
        <f>+W19</f>
        <v>1448.45</v>
      </c>
      <c r="Y19" s="98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N19" s="758" t="s">
        <v>758</v>
      </c>
      <c r="AO19" s="758" t="s">
        <v>1210</v>
      </c>
      <c r="AP19" s="1377">
        <v>4910</v>
      </c>
      <c r="AQ19" s="758" t="s">
        <v>1230</v>
      </c>
      <c r="AR19" s="1375">
        <v>43039</v>
      </c>
      <c r="AS19" s="758" t="s">
        <v>780</v>
      </c>
      <c r="AU19" s="1248"/>
      <c r="AV19" s="1249"/>
      <c r="AW19" s="1248"/>
      <c r="AX19" s="1248"/>
      <c r="AY19" s="1250"/>
      <c r="AZ19" s="1248"/>
      <c r="FV19" s="2"/>
      <c r="FW19" s="2"/>
      <c r="FX19" s="2"/>
    </row>
    <row r="20" spans="1:180" ht="13.5" customHeight="1" thickTop="1">
      <c r="A20" s="1105">
        <v>8</v>
      </c>
      <c r="C20" s="148"/>
      <c r="D20" s="813"/>
      <c r="E20" s="814"/>
      <c r="F20" s="814"/>
      <c r="G20" s="445">
        <v>12</v>
      </c>
      <c r="J20" s="1105">
        <v>8</v>
      </c>
      <c r="M20" s="34" t="s">
        <v>160</v>
      </c>
      <c r="N20" s="98">
        <f>SUM(N14:N18)</f>
        <v>3504</v>
      </c>
      <c r="O20" s="98">
        <f>SUM(O14:O18)</f>
        <v>4872.5</v>
      </c>
      <c r="P20" s="98">
        <f>SUM(P14:P18)</f>
        <v>2392.3975</v>
      </c>
      <c r="Q20" s="98">
        <f>SUM(Q14:Q18)</f>
        <v>5896.3975</v>
      </c>
      <c r="R20" s="98">
        <f>SUM(R14:R18)</f>
        <v>5896.3975</v>
      </c>
      <c r="S20" s="98"/>
      <c r="T20" s="1105">
        <f t="shared" si="0"/>
        <v>10</v>
      </c>
      <c r="U20"/>
      <c r="V20"/>
      <c r="W20"/>
      <c r="X20"/>
      <c r="Y20" s="34"/>
      <c r="Z20" s="2"/>
      <c r="AA20"/>
      <c r="AB20"/>
      <c r="AC20"/>
      <c r="AD20"/>
      <c r="AE20" s="32"/>
      <c r="AF20" s="2"/>
      <c r="AG20"/>
      <c r="AH20"/>
      <c r="AI20"/>
      <c r="AJ20"/>
      <c r="AK20" s="2"/>
      <c r="AN20" s="758" t="s">
        <v>758</v>
      </c>
      <c r="AO20" s="758" t="s">
        <v>1212</v>
      </c>
      <c r="AP20" s="1377">
        <v>468.8</v>
      </c>
      <c r="AQ20" s="758" t="s">
        <v>1230</v>
      </c>
      <c r="AR20" s="1375">
        <v>42766</v>
      </c>
      <c r="AS20" s="758" t="s">
        <v>780</v>
      </c>
      <c r="AU20" s="1248"/>
      <c r="AV20" s="1249"/>
      <c r="AW20" s="1248"/>
      <c r="AX20" s="1248"/>
      <c r="AY20" s="1250"/>
      <c r="AZ20" s="1248"/>
      <c r="FV20" s="2"/>
      <c r="FW20" s="2"/>
      <c r="FX20" s="2"/>
    </row>
    <row r="21" spans="1:180" ht="13.5" thickBot="1">
      <c r="A21" s="1105">
        <v>9</v>
      </c>
      <c r="C21" s="95" t="s">
        <v>160</v>
      </c>
      <c r="D21" s="815">
        <f>SUM(D14:D19)</f>
        <v>5896.3975</v>
      </c>
      <c r="E21" s="816"/>
      <c r="F21" s="812">
        <f>HLOOKUP($F$10,Advertisingscenario,G20,FALSE)</f>
        <v>5896.3975</v>
      </c>
      <c r="G21" s="445">
        <v>13</v>
      </c>
      <c r="J21" s="1105">
        <v>9</v>
      </c>
      <c r="M21" s="809"/>
      <c r="N21" s="865"/>
      <c r="O21" s="865"/>
      <c r="P21" s="865"/>
      <c r="Q21" s="865"/>
      <c r="R21" s="866"/>
      <c r="T21" s="1105">
        <f t="shared" si="0"/>
        <v>11</v>
      </c>
      <c r="U21"/>
      <c r="V21"/>
      <c r="W21"/>
      <c r="X21"/>
      <c r="Z21" s="2"/>
      <c r="AA21"/>
      <c r="AB21"/>
      <c r="AC21"/>
      <c r="AD21"/>
      <c r="AE21" s="432"/>
      <c r="AF21" s="2"/>
      <c r="AG21"/>
      <c r="AH21"/>
      <c r="AI21"/>
      <c r="AJ21"/>
      <c r="AK21" s="2"/>
      <c r="AN21" s="758" t="s">
        <v>758</v>
      </c>
      <c r="AO21" s="758" t="s">
        <v>1212</v>
      </c>
      <c r="AP21" s="1377">
        <v>1675.96</v>
      </c>
      <c r="AQ21" s="758" t="s">
        <v>1230</v>
      </c>
      <c r="AR21" s="1375">
        <v>42794</v>
      </c>
      <c r="AS21" s="758" t="s">
        <v>780</v>
      </c>
      <c r="FV21" s="2"/>
      <c r="FW21" s="2"/>
      <c r="FX21" s="2"/>
    </row>
    <row r="22" spans="1:180" ht="14.25" thickTop="1" thickBot="1">
      <c r="A22" s="1105">
        <v>10</v>
      </c>
      <c r="C22" s="97"/>
      <c r="D22" s="817"/>
      <c r="E22" s="818"/>
      <c r="F22" s="818"/>
      <c r="G22" s="445">
        <v>14</v>
      </c>
      <c r="J22" s="1105">
        <v>10</v>
      </c>
      <c r="M22" s="146"/>
      <c r="R22" s="868"/>
      <c r="S22" s="808"/>
      <c r="T22" s="1105">
        <f t="shared" si="0"/>
        <v>12</v>
      </c>
      <c r="U22"/>
      <c r="V22"/>
      <c r="W22"/>
      <c r="X22"/>
      <c r="Y22" s="32"/>
      <c r="Z22" s="2"/>
      <c r="AA22"/>
      <c r="AB22"/>
      <c r="AC22"/>
      <c r="AD22"/>
      <c r="AE22" s="98"/>
      <c r="AF22" s="2"/>
      <c r="AG22"/>
      <c r="AH22"/>
      <c r="AI22"/>
      <c r="AJ22"/>
      <c r="AK22" s="2"/>
      <c r="AN22" s="758" t="s">
        <v>758</v>
      </c>
      <c r="AO22" s="758" t="s">
        <v>1212</v>
      </c>
      <c r="AP22" s="1377">
        <v>392.8</v>
      </c>
      <c r="AQ22" s="758" t="s">
        <v>1230</v>
      </c>
      <c r="AR22" s="1375">
        <v>42825</v>
      </c>
      <c r="AS22" s="758" t="s">
        <v>780</v>
      </c>
      <c r="AU22" s="77" t="s">
        <v>849</v>
      </c>
      <c r="AV22" s="178">
        <f>AV14</f>
        <v>2950</v>
      </c>
      <c r="FV22" s="2"/>
      <c r="FW22" s="2"/>
      <c r="FX22" s="2"/>
    </row>
    <row r="23" spans="1:180" ht="13.5" thickTop="1">
      <c r="A23" s="1105">
        <v>11</v>
      </c>
      <c r="C23" s="347"/>
      <c r="D23" s="309"/>
      <c r="E23" s="58"/>
      <c r="F23" s="58"/>
      <c r="G23" s="445">
        <v>15</v>
      </c>
      <c r="J23" s="1105">
        <v>11</v>
      </c>
      <c r="M23" s="33" t="s">
        <v>41</v>
      </c>
      <c r="N23" s="98"/>
      <c r="O23" s="98"/>
      <c r="P23" s="98"/>
      <c r="Q23" s="98"/>
      <c r="R23" s="131">
        <f>-R20</f>
        <v>-5896.3975</v>
      </c>
      <c r="S23" s="808"/>
      <c r="T23" s="1105">
        <f t="shared" si="0"/>
        <v>13</v>
      </c>
      <c r="U23" s="1434" t="s">
        <v>417</v>
      </c>
      <c r="V23" s="1434"/>
      <c r="W23" s="1434"/>
      <c r="X23" s="1434"/>
      <c r="Z23" s="2"/>
      <c r="AA23"/>
      <c r="AB23"/>
      <c r="AC23"/>
      <c r="AD23"/>
      <c r="AE23" s="34"/>
      <c r="AF23" s="2"/>
      <c r="AG23"/>
      <c r="AH23"/>
      <c r="AI23"/>
      <c r="AJ23"/>
      <c r="AK23" s="2"/>
      <c r="AM23" s="770"/>
      <c r="AN23" s="758" t="s">
        <v>758</v>
      </c>
      <c r="AO23" s="758" t="s">
        <v>1212</v>
      </c>
      <c r="AP23" s="1377">
        <v>353.03</v>
      </c>
      <c r="AQ23" s="758" t="s">
        <v>1230</v>
      </c>
      <c r="AR23" s="1375">
        <v>42886</v>
      </c>
      <c r="AS23" s="758" t="s">
        <v>780</v>
      </c>
      <c r="AU23" s="77" t="s">
        <v>850</v>
      </c>
      <c r="AV23" s="1382">
        <f>SUM(AV15:AV17)</f>
        <v>1922.5</v>
      </c>
      <c r="FV23" s="2"/>
      <c r="FW23" s="2"/>
      <c r="FX23" s="2"/>
    </row>
    <row r="24" spans="1:180" ht="15">
      <c r="A24" s="1105">
        <v>12</v>
      </c>
      <c r="C24" s="33" t="s">
        <v>41</v>
      </c>
      <c r="D24" s="58">
        <f>-D21</f>
        <v>-5896.3975</v>
      </c>
      <c r="E24" s="58"/>
      <c r="F24" s="812">
        <f>HLOOKUP($F$10,Advertisingscenario,G23,FALSE)</f>
        <v>-5896.3975</v>
      </c>
      <c r="G24" s="445">
        <v>16</v>
      </c>
      <c r="J24" s="1105">
        <v>12</v>
      </c>
      <c r="S24" s="808"/>
      <c r="T24" s="1105">
        <f t="shared" si="0"/>
        <v>14</v>
      </c>
      <c r="V24" s="96"/>
      <c r="W24" s="846"/>
      <c r="Y24" s="98"/>
      <c r="Z24" s="2"/>
      <c r="AA24"/>
      <c r="AB24"/>
      <c r="AC24"/>
      <c r="AD24"/>
      <c r="AE24" s="2"/>
      <c r="AF24" s="2"/>
      <c r="AG24"/>
      <c r="AH24"/>
      <c r="AI24"/>
      <c r="AJ24"/>
      <c r="AK24" s="2"/>
      <c r="AM24" s="844"/>
      <c r="AN24" s="758" t="s">
        <v>758</v>
      </c>
      <c r="AO24" s="758" t="s">
        <v>1212</v>
      </c>
      <c r="AP24" s="1377">
        <v>68.739999999999995</v>
      </c>
      <c r="AQ24" s="758" t="s">
        <v>1230</v>
      </c>
      <c r="AR24" s="1375">
        <v>42916</v>
      </c>
      <c r="AS24" s="758" t="s">
        <v>780</v>
      </c>
      <c r="AU24" s="1248"/>
      <c r="AV24" s="1381">
        <f>SUM(AV22:AV23)</f>
        <v>4872.5</v>
      </c>
      <c r="AW24" s="1248"/>
      <c r="AX24" s="1248"/>
      <c r="AY24" s="1250"/>
      <c r="AZ24" s="1248"/>
      <c r="FV24" s="2"/>
      <c r="FW24" s="2"/>
      <c r="FX24" s="2"/>
    </row>
    <row r="25" spans="1:180" ht="15">
      <c r="A25" s="1105">
        <v>13</v>
      </c>
      <c r="C25" s="93"/>
      <c r="D25" s="309"/>
      <c r="E25" s="309"/>
      <c r="F25" s="309"/>
      <c r="G25" s="445">
        <v>17</v>
      </c>
      <c r="J25" s="1105">
        <v>13</v>
      </c>
      <c r="M25" s="1039" t="s">
        <v>629</v>
      </c>
      <c r="N25" s="98"/>
      <c r="O25" s="98"/>
      <c r="Q25" s="98"/>
      <c r="R25" s="819">
        <f>'ROR-Model'!$M$2*R23</f>
        <v>-5704.0649908124824</v>
      </c>
      <c r="S25" s="808"/>
      <c r="T25" s="1105">
        <f t="shared" si="0"/>
        <v>15</v>
      </c>
      <c r="U25" s="274" t="s">
        <v>1613</v>
      </c>
      <c r="W25" s="846">
        <f>O16</f>
        <v>1922.5</v>
      </c>
      <c r="Y25" s="34"/>
      <c r="Z25" s="2"/>
      <c r="AA25"/>
      <c r="AB25"/>
      <c r="AC25"/>
      <c r="AD25"/>
      <c r="AE25" s="32"/>
      <c r="AF25" s="2"/>
      <c r="AG25"/>
      <c r="AH25"/>
      <c r="AI25"/>
      <c r="AJ25"/>
      <c r="AK25" s="2"/>
      <c r="AM25" s="844"/>
      <c r="AN25" s="758" t="s">
        <v>758</v>
      </c>
      <c r="AO25" s="758" t="s">
        <v>1212</v>
      </c>
      <c r="AP25" s="1377">
        <v>491</v>
      </c>
      <c r="AQ25" s="758" t="s">
        <v>1230</v>
      </c>
      <c r="AR25" s="1375">
        <v>42947</v>
      </c>
      <c r="AS25" s="758" t="s">
        <v>780</v>
      </c>
      <c r="AU25" s="1248"/>
      <c r="AV25" s="1249"/>
      <c r="AW25" s="1248"/>
      <c r="AX25" s="1248"/>
      <c r="AY25" s="1250"/>
      <c r="AZ25" s="1248"/>
      <c r="FV25" s="2"/>
      <c r="FW25" s="2"/>
      <c r="FX25" s="2"/>
    </row>
    <row r="26" spans="1:180" ht="15.75" thickBot="1">
      <c r="A26" s="1105">
        <v>14</v>
      </c>
      <c r="B26" s="445">
        <v>909</v>
      </c>
      <c r="C26" s="1039" t="s">
        <v>629</v>
      </c>
      <c r="D26" s="819">
        <f>'ROR-Model'!$M$2*D24</f>
        <v>-5704.0649908124824</v>
      </c>
      <c r="E26" s="820"/>
      <c r="F26" s="812">
        <f>HLOOKUP($F$10,Advertisingscenario,G25,FALSE)</f>
        <v>-5704.0649908124824</v>
      </c>
      <c r="G26" s="445">
        <v>18</v>
      </c>
      <c r="J26" s="1105">
        <v>14</v>
      </c>
      <c r="M26" s="1039" t="s">
        <v>630</v>
      </c>
      <c r="N26" s="98"/>
      <c r="O26" s="98"/>
      <c r="Q26" s="98"/>
      <c r="R26" s="928">
        <f>'ROR-Model'!$N$2*R23</f>
        <v>-192.33250918751688</v>
      </c>
      <c r="S26" s="98"/>
      <c r="T26" s="1105">
        <f t="shared" si="0"/>
        <v>16</v>
      </c>
      <c r="U26" s="96"/>
      <c r="V26" s="96"/>
      <c r="W26" s="161"/>
      <c r="Z26" s="2"/>
      <c r="AA26"/>
      <c r="AB26"/>
      <c r="AC26"/>
      <c r="AD26"/>
      <c r="AE26" s="432"/>
      <c r="AF26" s="2"/>
      <c r="AG26"/>
      <c r="AH26"/>
      <c r="AI26"/>
      <c r="AJ26"/>
      <c r="AK26" s="2"/>
      <c r="AM26" s="844"/>
      <c r="AN26" s="758" t="s">
        <v>758</v>
      </c>
      <c r="AO26" s="758" t="s">
        <v>1212</v>
      </c>
      <c r="AP26" s="1377">
        <v>245.5</v>
      </c>
      <c r="AQ26" s="758" t="s">
        <v>1230</v>
      </c>
      <c r="AR26" s="1375">
        <v>42978</v>
      </c>
      <c r="AS26" s="758" t="s">
        <v>780</v>
      </c>
      <c r="AU26" s="1248"/>
      <c r="AV26" s="1249"/>
      <c r="AW26" s="1248"/>
      <c r="AX26" s="1248"/>
      <c r="AY26" s="1250"/>
      <c r="AZ26" s="1248"/>
      <c r="FV26" s="2"/>
      <c r="FW26" s="2"/>
      <c r="FX26" s="2"/>
    </row>
    <row r="27" spans="1:180" ht="15">
      <c r="A27" s="1105">
        <v>15</v>
      </c>
      <c r="B27" s="445">
        <v>909</v>
      </c>
      <c r="C27" s="1039" t="s">
        <v>630</v>
      </c>
      <c r="D27" s="821">
        <f>'ROR-Model'!$N$2*D24</f>
        <v>-192.33250918751688</v>
      </c>
      <c r="E27" s="822"/>
      <c r="F27" s="812">
        <f>HLOOKUP($F$10,Advertisingscenario,G26,FALSE)</f>
        <v>-192.33250918751688</v>
      </c>
      <c r="G27" s="445">
        <v>19</v>
      </c>
      <c r="J27" s="1105">
        <v>15</v>
      </c>
      <c r="M27" s="33" t="s">
        <v>765</v>
      </c>
      <c r="N27" s="98"/>
      <c r="O27" s="98"/>
      <c r="Q27" s="98"/>
      <c r="R27" s="929">
        <f>SUM(R25:R26)</f>
        <v>-5896.3974999999991</v>
      </c>
      <c r="S27" s="432"/>
      <c r="T27" s="1105">
        <f t="shared" si="0"/>
        <v>17</v>
      </c>
      <c r="U27" s="96"/>
      <c r="V27" s="1042" t="s">
        <v>186</v>
      </c>
      <c r="W27" s="96" t="s">
        <v>749</v>
      </c>
      <c r="X27" s="96" t="s">
        <v>41</v>
      </c>
      <c r="Y27" s="32"/>
      <c r="Z27" s="2"/>
      <c r="AA27"/>
      <c r="AB27"/>
      <c r="AC27"/>
      <c r="AD27"/>
      <c r="AE27" s="98"/>
      <c r="AF27" s="2"/>
      <c r="AG27"/>
      <c r="AH27"/>
      <c r="AI27"/>
      <c r="AJ27"/>
      <c r="AK27" s="2"/>
      <c r="AM27" s="844"/>
      <c r="AN27" s="758" t="s">
        <v>758</v>
      </c>
      <c r="AO27" s="758" t="s">
        <v>1212</v>
      </c>
      <c r="AP27" s="1377">
        <v>580.61</v>
      </c>
      <c r="AQ27" s="758" t="s">
        <v>1230</v>
      </c>
      <c r="AR27" s="1375">
        <v>43039</v>
      </c>
      <c r="AS27" s="758" t="s">
        <v>780</v>
      </c>
      <c r="AU27" s="1248"/>
      <c r="AV27" s="1249"/>
      <c r="AW27" s="1248"/>
      <c r="AX27" s="1248"/>
      <c r="AY27" s="1250"/>
      <c r="AZ27" s="1248"/>
      <c r="FV27" s="2"/>
      <c r="FW27" s="2"/>
      <c r="FX27" s="2"/>
    </row>
    <row r="28" spans="1:180" ht="15.75" thickBot="1">
      <c r="C28" s="1039"/>
      <c r="D28" s="2"/>
      <c r="E28" s="2"/>
      <c r="F28" s="2"/>
      <c r="G28" s="445">
        <v>20</v>
      </c>
      <c r="L28" s="1044"/>
      <c r="M28" s="33"/>
      <c r="R28" s="773"/>
      <c r="S28" s="295"/>
      <c r="T28" s="1105">
        <f t="shared" si="0"/>
        <v>18</v>
      </c>
      <c r="U28" s="34" t="s">
        <v>150</v>
      </c>
      <c r="V28" s="1043" t="s">
        <v>151</v>
      </c>
      <c r="W28" s="491" t="s">
        <v>655</v>
      </c>
      <c r="X28" s="491" t="s">
        <v>655</v>
      </c>
      <c r="Y28" s="432"/>
      <c r="Z28" s="2"/>
      <c r="AA28"/>
      <c r="AB28"/>
      <c r="AC28"/>
      <c r="AD28"/>
      <c r="AE28" s="2"/>
      <c r="AF28" s="2"/>
      <c r="AG28"/>
      <c r="AH28"/>
      <c r="AI28"/>
      <c r="AJ28"/>
      <c r="AK28" s="2"/>
      <c r="AM28" s="844"/>
      <c r="AN28" s="758" t="s">
        <v>758</v>
      </c>
      <c r="AO28" s="758" t="s">
        <v>1212</v>
      </c>
      <c r="AP28" s="1377">
        <v>1448.45</v>
      </c>
      <c r="AQ28" s="758" t="s">
        <v>1230</v>
      </c>
      <c r="AR28" s="1375">
        <v>43069</v>
      </c>
      <c r="AS28" s="758" t="s">
        <v>780</v>
      </c>
      <c r="AU28" s="1248"/>
      <c r="AV28" s="1249"/>
      <c r="AW28" s="1248"/>
      <c r="AX28" s="1248"/>
      <c r="AY28" s="1250"/>
      <c r="AZ28" s="1248"/>
      <c r="FV28" s="2"/>
      <c r="FW28" s="2"/>
      <c r="FX28" s="2"/>
    </row>
    <row r="29" spans="1:180" ht="15.75" thickTop="1">
      <c r="C29" s="70"/>
      <c r="D29" s="2"/>
      <c r="E29" s="2"/>
      <c r="F29" s="2"/>
      <c r="G29" s="445">
        <v>21</v>
      </c>
      <c r="L29" s="808" t="s">
        <v>439</v>
      </c>
      <c r="M29" s="1046" t="s">
        <v>447</v>
      </c>
      <c r="N29" s="98"/>
      <c r="P29" s="92"/>
      <c r="Q29" s="149"/>
      <c r="R29" s="98"/>
      <c r="S29" s="867"/>
      <c r="T29" s="1105">
        <f t="shared" si="0"/>
        <v>19</v>
      </c>
      <c r="U29" s="2"/>
      <c r="V29" s="2"/>
      <c r="W29" s="2"/>
      <c r="Y29" s="98"/>
      <c r="Z29" s="2"/>
      <c r="AA29"/>
      <c r="AB29"/>
      <c r="AC29"/>
      <c r="AD29"/>
      <c r="AE29" s="295"/>
      <c r="AF29" s="2"/>
      <c r="AG29"/>
      <c r="AH29"/>
      <c r="AI29"/>
      <c r="AJ29"/>
      <c r="AK29" s="2"/>
      <c r="AM29" s="844"/>
      <c r="AN29" s="758" t="s">
        <v>758</v>
      </c>
      <c r="AO29" s="758" t="s">
        <v>1212</v>
      </c>
      <c r="AP29" s="1377">
        <v>101.57</v>
      </c>
      <c r="AQ29" s="758" t="s">
        <v>1231</v>
      </c>
      <c r="AR29" s="1375">
        <v>42825</v>
      </c>
      <c r="AS29" s="758" t="s">
        <v>780</v>
      </c>
      <c r="AU29" s="1248"/>
      <c r="AV29" s="1249"/>
      <c r="AW29" s="1248"/>
      <c r="AX29" s="1248"/>
      <c r="AY29" s="1250"/>
      <c r="AZ29" s="1248"/>
      <c r="FV29" s="2"/>
      <c r="FW29" s="2"/>
      <c r="FX29" s="2"/>
    </row>
    <row r="30" spans="1:180" ht="15">
      <c r="C30" s="146"/>
      <c r="D30" s="2"/>
      <c r="E30" s="2"/>
      <c r="F30" s="2"/>
      <c r="G30" s="445">
        <v>22</v>
      </c>
      <c r="L30" s="808"/>
      <c r="M30" s="1046"/>
      <c r="T30" s="1105">
        <f t="shared" si="0"/>
        <v>20</v>
      </c>
      <c r="U30" s="34" t="s">
        <v>1575</v>
      </c>
      <c r="V30" s="34"/>
      <c r="W30" s="32"/>
      <c r="X30" s="32"/>
      <c r="Z30" s="2"/>
      <c r="AA30"/>
      <c r="AB30"/>
      <c r="AC30"/>
      <c r="AD30"/>
      <c r="AE30" s="34"/>
      <c r="AF30" s="2"/>
      <c r="AG30" s="2"/>
      <c r="AH30" s="2"/>
      <c r="AI30" s="2"/>
      <c r="AJ30" s="34"/>
      <c r="AK30" s="2"/>
      <c r="AM30" s="844"/>
      <c r="AN30" s="758" t="s">
        <v>758</v>
      </c>
      <c r="AO30" s="758" t="s">
        <v>969</v>
      </c>
      <c r="AP30" s="1377">
        <v>55.16</v>
      </c>
      <c r="AQ30" s="758" t="s">
        <v>1405</v>
      </c>
      <c r="AR30" s="1375">
        <v>42825</v>
      </c>
      <c r="AS30" s="758" t="s">
        <v>780</v>
      </c>
      <c r="AU30" s="1248"/>
      <c r="AV30" s="1249"/>
      <c r="AW30" s="1248"/>
      <c r="AX30" s="1248"/>
      <c r="AY30" s="1250"/>
      <c r="AZ30" s="1248"/>
      <c r="FV30" s="2"/>
      <c r="FW30" s="2"/>
      <c r="FX30" s="2"/>
    </row>
    <row r="31" spans="1:180" ht="13.5" thickBot="1">
      <c r="C31" s="146"/>
      <c r="D31" s="2"/>
      <c r="E31" s="2"/>
      <c r="F31" s="2"/>
      <c r="G31" s="445">
        <v>23</v>
      </c>
      <c r="S31" s="131"/>
      <c r="T31" s="1105">
        <f t="shared" si="0"/>
        <v>21</v>
      </c>
      <c r="U31" s="41" t="s">
        <v>1576</v>
      </c>
      <c r="V31" s="492">
        <f>+'ALLOCATIONS&amp;PRETAX'!$G$8</f>
        <v>0.49099999999999999</v>
      </c>
      <c r="W31" s="493"/>
      <c r="X31" s="493"/>
      <c r="Y31" s="295"/>
      <c r="Z31" s="2"/>
      <c r="AA31"/>
      <c r="AB31"/>
      <c r="AC31"/>
      <c r="AD31"/>
      <c r="AE31" s="34"/>
      <c r="AF31" s="2"/>
      <c r="AG31" s="2"/>
      <c r="AH31" s="2"/>
      <c r="AI31" s="2"/>
      <c r="AJ31" s="34"/>
      <c r="AK31" s="2"/>
      <c r="AM31" s="844"/>
      <c r="AN31" s="758" t="s">
        <v>758</v>
      </c>
      <c r="AO31" s="758" t="s">
        <v>969</v>
      </c>
      <c r="AP31" s="1377">
        <v>-55.16</v>
      </c>
      <c r="AQ31" s="758" t="s">
        <v>1405</v>
      </c>
      <c r="AR31" s="1375">
        <v>42886</v>
      </c>
      <c r="AS31" s="758" t="s">
        <v>780</v>
      </c>
      <c r="FV31" s="2"/>
      <c r="FW31" s="2"/>
      <c r="FX31" s="2"/>
    </row>
    <row r="32" spans="1:180">
      <c r="C32" s="146"/>
      <c r="D32" s="2"/>
      <c r="E32" s="2"/>
      <c r="F32" s="2"/>
      <c r="G32" s="445">
        <v>24</v>
      </c>
      <c r="T32" s="1105">
        <f t="shared" si="0"/>
        <v>22</v>
      </c>
      <c r="U32" s="494" t="s">
        <v>1577</v>
      </c>
      <c r="V32" s="849">
        <f>+W25*V31</f>
        <v>943.94749999999999</v>
      </c>
      <c r="W32" s="98">
        <f>+V32</f>
        <v>943.94749999999999</v>
      </c>
      <c r="X32" s="98">
        <f>+W32</f>
        <v>943.94749999999999</v>
      </c>
      <c r="Z32" s="2"/>
      <c r="AA32" s="2"/>
      <c r="AB32" s="2"/>
      <c r="AC32" s="2"/>
      <c r="AD32" s="34"/>
      <c r="AE32" s="34"/>
      <c r="AF32" s="2"/>
      <c r="AG32" s="2"/>
      <c r="AH32" s="2"/>
      <c r="AI32" s="2"/>
      <c r="AJ32" s="34"/>
      <c r="AK32" s="2"/>
      <c r="AM32" s="844"/>
      <c r="AN32" s="758" t="s">
        <v>758</v>
      </c>
      <c r="AO32" s="758" t="s">
        <v>969</v>
      </c>
      <c r="AP32" s="1377">
        <v>180</v>
      </c>
      <c r="AQ32" s="758" t="s">
        <v>1040</v>
      </c>
      <c r="AR32" s="1375">
        <v>42766</v>
      </c>
      <c r="AS32" s="758" t="s">
        <v>780</v>
      </c>
      <c r="FV32" s="2"/>
      <c r="FW32" s="2"/>
      <c r="FX32" s="2"/>
    </row>
    <row r="33" spans="3:180">
      <c r="C33" s="699"/>
      <c r="F33" s="810"/>
      <c r="G33" s="445">
        <v>25</v>
      </c>
      <c r="S33" s="295"/>
      <c r="T33" s="34"/>
      <c r="U33" s="2"/>
      <c r="V33" s="2"/>
      <c r="W33" s="2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M33" s="844"/>
      <c r="AN33" s="758" t="s">
        <v>758</v>
      </c>
      <c r="AO33" s="758" t="s">
        <v>969</v>
      </c>
      <c r="AP33" s="1377">
        <v>306</v>
      </c>
      <c r="AQ33" s="758" t="s">
        <v>1040</v>
      </c>
      <c r="AR33" s="1375">
        <v>42825</v>
      </c>
      <c r="AS33" s="758" t="s">
        <v>780</v>
      </c>
      <c r="FV33" s="2"/>
      <c r="FW33" s="2"/>
      <c r="FX33" s="2"/>
    </row>
    <row r="34" spans="3:180">
      <c r="G34" s="445">
        <v>26</v>
      </c>
      <c r="S34" s="867"/>
      <c r="T34" s="34"/>
      <c r="U34" s="2"/>
      <c r="V34" s="2"/>
      <c r="W34" s="2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M34" s="844"/>
      <c r="AN34" s="758" t="s">
        <v>758</v>
      </c>
      <c r="AO34" s="758" t="s">
        <v>969</v>
      </c>
      <c r="AP34" s="1377">
        <v>183.92</v>
      </c>
      <c r="AQ34" s="758" t="s">
        <v>1040</v>
      </c>
      <c r="AR34" s="1375">
        <v>42947</v>
      </c>
      <c r="AS34" s="758" t="s">
        <v>780</v>
      </c>
      <c r="FV34" s="2"/>
      <c r="FW34" s="2"/>
      <c r="FX34" s="2"/>
    </row>
    <row r="35" spans="3:180">
      <c r="G35" s="445">
        <v>27</v>
      </c>
      <c r="S35" s="867"/>
      <c r="T35" s="34"/>
      <c r="U35" s="2"/>
      <c r="V35" s="2"/>
      <c r="W35" s="2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M35" s="844"/>
      <c r="AN35" s="758" t="s">
        <v>758</v>
      </c>
      <c r="AO35" s="758" t="s">
        <v>969</v>
      </c>
      <c r="AP35" s="1377">
        <v>550.26</v>
      </c>
      <c r="AQ35" s="758" t="s">
        <v>1045</v>
      </c>
      <c r="AR35" s="1375">
        <v>42825</v>
      </c>
      <c r="AS35" s="758" t="s">
        <v>780</v>
      </c>
      <c r="FV35" s="2"/>
      <c r="FW35" s="2"/>
      <c r="FX35" s="2"/>
    </row>
    <row r="36" spans="3:180">
      <c r="G36" s="445">
        <v>28</v>
      </c>
      <c r="S36" s="773"/>
      <c r="T36" s="34"/>
      <c r="U36" s="2"/>
      <c r="V36" s="2"/>
      <c r="W36" s="2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M36" s="844"/>
      <c r="AN36" s="758" t="s">
        <v>758</v>
      </c>
      <c r="AO36" s="758" t="s">
        <v>969</v>
      </c>
      <c r="AP36" s="1377">
        <v>829.28</v>
      </c>
      <c r="AQ36" s="758" t="s">
        <v>1043</v>
      </c>
      <c r="AR36" s="1375">
        <v>42886</v>
      </c>
      <c r="AS36" s="758" t="s">
        <v>780</v>
      </c>
      <c r="FV36" s="2"/>
      <c r="FW36" s="2"/>
      <c r="FX36" s="2"/>
    </row>
    <row r="37" spans="3:180">
      <c r="G37" s="445">
        <v>29</v>
      </c>
      <c r="S37" s="98"/>
      <c r="T37" s="34"/>
      <c r="U37" s="2"/>
      <c r="V37" s="2"/>
      <c r="W37" s="2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M37" s="844"/>
      <c r="AN37" s="758" t="s">
        <v>758</v>
      </c>
      <c r="AO37" s="758" t="s">
        <v>969</v>
      </c>
      <c r="AP37" s="1377">
        <v>361</v>
      </c>
      <c r="AQ37" s="758" t="s">
        <v>1043</v>
      </c>
      <c r="AR37" s="1375">
        <v>42947</v>
      </c>
      <c r="AS37" s="758" t="s">
        <v>780</v>
      </c>
      <c r="FV37" s="2"/>
      <c r="FW37" s="2"/>
      <c r="FX37" s="2"/>
    </row>
    <row r="38" spans="3:180">
      <c r="G38" s="445">
        <v>30</v>
      </c>
      <c r="T38" s="34"/>
      <c r="U38" s="2"/>
      <c r="V38" s="2"/>
      <c r="W38" s="2"/>
      <c r="AN38" s="758" t="s">
        <v>758</v>
      </c>
      <c r="AO38" s="758" t="s">
        <v>969</v>
      </c>
      <c r="AP38" s="1377">
        <v>169.69</v>
      </c>
      <c r="AQ38" s="758" t="s">
        <v>1042</v>
      </c>
      <c r="AR38" s="1375">
        <v>42766</v>
      </c>
      <c r="AS38" s="758" t="s">
        <v>780</v>
      </c>
      <c r="FV38" s="2"/>
      <c r="FW38" s="2"/>
      <c r="FX38" s="2"/>
    </row>
    <row r="39" spans="3:180">
      <c r="G39" s="445">
        <v>31</v>
      </c>
      <c r="T39" s="34"/>
      <c r="U39" s="2"/>
      <c r="V39" s="2"/>
      <c r="W39" s="2"/>
      <c r="AN39" s="758" t="s">
        <v>758</v>
      </c>
      <c r="AO39" s="758" t="s">
        <v>969</v>
      </c>
      <c r="AP39" s="1377">
        <v>661.94</v>
      </c>
      <c r="AQ39" s="758" t="s">
        <v>979</v>
      </c>
      <c r="AR39" s="1375">
        <v>42766</v>
      </c>
      <c r="AS39" s="758" t="s">
        <v>780</v>
      </c>
      <c r="FV39" s="2"/>
      <c r="FW39" s="2"/>
      <c r="FX39" s="2"/>
    </row>
    <row r="40" spans="3:180">
      <c r="G40" s="445">
        <v>32</v>
      </c>
      <c r="AN40" s="758" t="s">
        <v>758</v>
      </c>
      <c r="AO40" s="758" t="s">
        <v>969</v>
      </c>
      <c r="AP40" s="1377">
        <v>-330.97</v>
      </c>
      <c r="AQ40" s="758" t="s">
        <v>979</v>
      </c>
      <c r="AR40" s="1375">
        <v>42794</v>
      </c>
      <c r="AS40" s="758" t="s">
        <v>780</v>
      </c>
      <c r="FV40" s="2"/>
      <c r="FW40" s="2"/>
      <c r="FX40" s="2"/>
    </row>
    <row r="41" spans="3:180">
      <c r="G41" s="445">
        <v>33</v>
      </c>
      <c r="K41" s="110"/>
      <c r="L41" s="1044"/>
      <c r="N41" s="98"/>
      <c r="O41" s="98"/>
      <c r="P41" s="98"/>
      <c r="Q41" s="98"/>
      <c r="R41" s="98"/>
      <c r="AN41" s="758" t="s">
        <v>758</v>
      </c>
      <c r="AO41" s="758" t="s">
        <v>969</v>
      </c>
      <c r="AP41" s="1377">
        <v>-330.83</v>
      </c>
      <c r="AQ41" s="758" t="s">
        <v>979</v>
      </c>
      <c r="AR41" s="1375">
        <v>42825</v>
      </c>
      <c r="AS41" s="758" t="s">
        <v>780</v>
      </c>
      <c r="FV41" s="2"/>
      <c r="FW41" s="2"/>
      <c r="FX41" s="2"/>
    </row>
    <row r="42" spans="3:180">
      <c r="G42" s="445">
        <v>34</v>
      </c>
      <c r="AN42" s="758" t="s">
        <v>758</v>
      </c>
      <c r="AO42" s="758" t="s">
        <v>969</v>
      </c>
      <c r="AP42" s="1377">
        <v>-19.36</v>
      </c>
      <c r="AQ42" s="758" t="s">
        <v>979</v>
      </c>
      <c r="AR42" s="1375">
        <v>43039</v>
      </c>
      <c r="AS42" s="758" t="s">
        <v>780</v>
      </c>
      <c r="FV42" s="2"/>
      <c r="FW42" s="2"/>
      <c r="FX42" s="2"/>
    </row>
    <row r="43" spans="3:180">
      <c r="G43" s="445">
        <v>35</v>
      </c>
      <c r="AN43" s="758" t="s">
        <v>758</v>
      </c>
      <c r="AO43" s="758" t="s">
        <v>969</v>
      </c>
      <c r="AP43" s="1377">
        <v>-34.26</v>
      </c>
      <c r="AQ43" s="758" t="s">
        <v>1230</v>
      </c>
      <c r="AR43" s="1375">
        <v>42794</v>
      </c>
      <c r="AS43" s="758" t="s">
        <v>780</v>
      </c>
      <c r="FV43" s="2"/>
      <c r="FW43" s="2"/>
      <c r="FX43" s="2"/>
    </row>
    <row r="44" spans="3:180">
      <c r="G44" s="445">
        <v>43</v>
      </c>
      <c r="AN44" s="758" t="s">
        <v>758</v>
      </c>
      <c r="AO44" s="758" t="s">
        <v>969</v>
      </c>
      <c r="AP44" s="1377">
        <v>-1.97</v>
      </c>
      <c r="AQ44" s="758" t="s">
        <v>1230</v>
      </c>
      <c r="AR44" s="1375">
        <v>43008</v>
      </c>
      <c r="AS44" s="758" t="s">
        <v>780</v>
      </c>
      <c r="FV44" s="2"/>
      <c r="FW44" s="2"/>
      <c r="FX44" s="2"/>
    </row>
    <row r="45" spans="3:180">
      <c r="G45" s="445">
        <v>44</v>
      </c>
      <c r="AN45" s="758" t="s">
        <v>758</v>
      </c>
      <c r="AO45" s="758" t="s">
        <v>969</v>
      </c>
      <c r="AP45" s="1377">
        <v>-1.62</v>
      </c>
      <c r="AQ45" s="758" t="s">
        <v>1231</v>
      </c>
      <c r="AR45" s="1375">
        <v>42825</v>
      </c>
      <c r="AS45" s="758" t="s">
        <v>780</v>
      </c>
      <c r="FV45" s="2"/>
      <c r="FW45" s="2"/>
      <c r="FX45" s="2"/>
    </row>
    <row r="46" spans="3:180">
      <c r="G46" s="445">
        <v>45</v>
      </c>
      <c r="AN46" s="758" t="s">
        <v>758</v>
      </c>
      <c r="AO46" s="758" t="s">
        <v>1117</v>
      </c>
      <c r="AP46" s="1377">
        <v>42.65</v>
      </c>
      <c r="AQ46" s="758" t="s">
        <v>1405</v>
      </c>
      <c r="AR46" s="1375">
        <v>42825</v>
      </c>
      <c r="AS46" s="758" t="s">
        <v>780</v>
      </c>
      <c r="FV46" s="2"/>
      <c r="FW46" s="2"/>
      <c r="FX46" s="2"/>
    </row>
    <row r="47" spans="3:180">
      <c r="G47" s="445">
        <v>46</v>
      </c>
      <c r="AN47" s="758" t="s">
        <v>758</v>
      </c>
      <c r="AO47" s="758" t="s">
        <v>1117</v>
      </c>
      <c r="AP47" s="1377">
        <v>-42.65</v>
      </c>
      <c r="AQ47" s="758" t="s">
        <v>1405</v>
      </c>
      <c r="AR47" s="1375">
        <v>42886</v>
      </c>
      <c r="AS47" s="758" t="s">
        <v>780</v>
      </c>
      <c r="FV47" s="2"/>
      <c r="FW47" s="2"/>
      <c r="FX47" s="2"/>
    </row>
    <row r="48" spans="3:180">
      <c r="G48" s="445">
        <v>47</v>
      </c>
      <c r="AN48" s="758" t="s">
        <v>758</v>
      </c>
      <c r="AO48" s="758" t="s">
        <v>1117</v>
      </c>
      <c r="AP48" s="1377">
        <v>59.85</v>
      </c>
      <c r="AQ48" s="758" t="s">
        <v>1191</v>
      </c>
      <c r="AR48" s="1375">
        <v>42855</v>
      </c>
      <c r="AS48" s="758" t="s">
        <v>780</v>
      </c>
      <c r="FV48" s="2"/>
      <c r="FW48" s="2"/>
      <c r="FX48" s="2"/>
    </row>
    <row r="49" spans="7:180">
      <c r="G49" s="445">
        <v>48</v>
      </c>
      <c r="AN49" s="758" t="s">
        <v>758</v>
      </c>
      <c r="AO49" s="758" t="s">
        <v>1117</v>
      </c>
      <c r="AP49" s="1377">
        <v>96.99</v>
      </c>
      <c r="AQ49" s="758" t="s">
        <v>1191</v>
      </c>
      <c r="AR49" s="1375">
        <v>42886</v>
      </c>
      <c r="AS49" s="758" t="s">
        <v>780</v>
      </c>
      <c r="FV49" s="2"/>
      <c r="FW49" s="2"/>
      <c r="FX49" s="2"/>
    </row>
    <row r="50" spans="7:180">
      <c r="AN50" s="758" t="s">
        <v>758</v>
      </c>
      <c r="AO50" s="758" t="s">
        <v>1117</v>
      </c>
      <c r="AP50" s="1377">
        <v>27.88</v>
      </c>
      <c r="AQ50" s="758" t="s">
        <v>1191</v>
      </c>
      <c r="AR50" s="1375">
        <v>42916</v>
      </c>
      <c r="AS50" s="758" t="s">
        <v>780</v>
      </c>
      <c r="FV50" s="2"/>
      <c r="FW50" s="2"/>
      <c r="FX50" s="2"/>
    </row>
    <row r="51" spans="7:180">
      <c r="AN51" s="758" t="s">
        <v>758</v>
      </c>
      <c r="AO51" s="758" t="s">
        <v>1117</v>
      </c>
      <c r="AP51" s="1377">
        <v>179.08</v>
      </c>
      <c r="AQ51" s="758" t="s">
        <v>1191</v>
      </c>
      <c r="AR51" s="1375">
        <v>42947</v>
      </c>
      <c r="AS51" s="758" t="s">
        <v>780</v>
      </c>
      <c r="FV51" s="2"/>
      <c r="FW51" s="2"/>
      <c r="FX51" s="2"/>
    </row>
    <row r="52" spans="7:180">
      <c r="AN52" s="758" t="s">
        <v>758</v>
      </c>
      <c r="AO52" s="758" t="s">
        <v>1117</v>
      </c>
      <c r="AP52" s="1377">
        <v>54.93</v>
      </c>
      <c r="AQ52" s="758" t="s">
        <v>1191</v>
      </c>
      <c r="AR52" s="1375">
        <v>43008</v>
      </c>
      <c r="AS52" s="758" t="s">
        <v>780</v>
      </c>
      <c r="FV52" s="2"/>
      <c r="FW52" s="2"/>
      <c r="FX52" s="2"/>
    </row>
    <row r="53" spans="7:180">
      <c r="AN53" s="758" t="s">
        <v>758</v>
      </c>
      <c r="AO53" s="758" t="s">
        <v>1117</v>
      </c>
      <c r="AP53" s="1377">
        <v>84.76</v>
      </c>
      <c r="AQ53" s="758" t="s">
        <v>1191</v>
      </c>
      <c r="AR53" s="1375">
        <v>43039</v>
      </c>
      <c r="AS53" s="758" t="s">
        <v>780</v>
      </c>
      <c r="FV53" s="2"/>
      <c r="FW53" s="2"/>
      <c r="FX53" s="2"/>
    </row>
    <row r="54" spans="7:180">
      <c r="AN54" s="758" t="s">
        <v>758</v>
      </c>
      <c r="AO54" s="758" t="s">
        <v>1117</v>
      </c>
      <c r="AP54" s="1377">
        <v>11.55</v>
      </c>
      <c r="AQ54" s="758" t="s">
        <v>1191</v>
      </c>
      <c r="AR54" s="1375">
        <v>43069</v>
      </c>
      <c r="AS54" s="758" t="s">
        <v>780</v>
      </c>
      <c r="FV54" s="2"/>
      <c r="FW54" s="2"/>
      <c r="FX54" s="2"/>
    </row>
    <row r="55" spans="7:180">
      <c r="AN55" s="758" t="s">
        <v>758</v>
      </c>
      <c r="AO55" s="758" t="s">
        <v>1117</v>
      </c>
      <c r="AP55" s="1377">
        <v>16.23</v>
      </c>
      <c r="AQ55" s="758" t="s">
        <v>1191</v>
      </c>
      <c r="AR55" s="1375">
        <v>43100</v>
      </c>
      <c r="AS55" s="758" t="s">
        <v>780</v>
      </c>
      <c r="FV55" s="2"/>
      <c r="FW55" s="2"/>
      <c r="FX55" s="2"/>
    </row>
    <row r="56" spans="7:180">
      <c r="AN56" s="758" t="s">
        <v>758</v>
      </c>
      <c r="AO56" s="758" t="s">
        <v>1117</v>
      </c>
      <c r="AP56" s="1377">
        <v>315.07</v>
      </c>
      <c r="AQ56" s="758" t="s">
        <v>979</v>
      </c>
      <c r="AR56" s="1375">
        <v>42766</v>
      </c>
      <c r="AS56" s="758" t="s">
        <v>780</v>
      </c>
      <c r="FV56" s="2"/>
      <c r="FW56" s="2"/>
      <c r="FX56" s="2"/>
    </row>
    <row r="57" spans="7:180">
      <c r="AN57" s="758" t="s">
        <v>758</v>
      </c>
      <c r="AO57" s="758" t="s">
        <v>1117</v>
      </c>
      <c r="AP57" s="1377">
        <v>-190.33</v>
      </c>
      <c r="AQ57" s="758" t="s">
        <v>979</v>
      </c>
      <c r="AR57" s="1375">
        <v>42794</v>
      </c>
      <c r="AS57" s="758" t="s">
        <v>780</v>
      </c>
      <c r="FV57" s="2"/>
      <c r="FW57" s="2"/>
      <c r="FX57" s="2"/>
    </row>
    <row r="58" spans="7:180">
      <c r="AN58" s="758" t="s">
        <v>758</v>
      </c>
      <c r="AO58" s="758" t="s">
        <v>1117</v>
      </c>
      <c r="AP58" s="1377">
        <v>211.45</v>
      </c>
      <c r="AQ58" s="758" t="s">
        <v>979</v>
      </c>
      <c r="AR58" s="1375">
        <v>42886</v>
      </c>
      <c r="AS58" s="758" t="s">
        <v>780</v>
      </c>
      <c r="FV58" s="2"/>
      <c r="FW58" s="2"/>
      <c r="FX58" s="2"/>
    </row>
    <row r="59" spans="7:180">
      <c r="AN59" s="758" t="s">
        <v>758</v>
      </c>
      <c r="AO59" s="758" t="s">
        <v>1117</v>
      </c>
      <c r="AP59" s="1377">
        <v>342.67</v>
      </c>
      <c r="AQ59" s="758" t="s">
        <v>979</v>
      </c>
      <c r="AR59" s="1375">
        <v>42916</v>
      </c>
      <c r="AS59" s="758" t="s">
        <v>780</v>
      </c>
      <c r="FV59" s="2"/>
      <c r="FW59" s="2"/>
      <c r="FX59" s="2"/>
    </row>
    <row r="60" spans="7:180">
      <c r="AN60" s="758" t="s">
        <v>758</v>
      </c>
      <c r="AO60" s="758" t="s">
        <v>1117</v>
      </c>
      <c r="AP60" s="1377">
        <v>98.51</v>
      </c>
      <c r="AQ60" s="758" t="s">
        <v>979</v>
      </c>
      <c r="AR60" s="1375">
        <v>42947</v>
      </c>
      <c r="AS60" s="758" t="s">
        <v>780</v>
      </c>
      <c r="FV60" s="2"/>
      <c r="FW60" s="2"/>
      <c r="FX60" s="2"/>
    </row>
    <row r="61" spans="7:180">
      <c r="AN61" s="758" t="s">
        <v>758</v>
      </c>
      <c r="AO61" s="758" t="s">
        <v>1117</v>
      </c>
      <c r="AP61" s="1377">
        <v>632.70000000000005</v>
      </c>
      <c r="AQ61" s="758" t="s">
        <v>979</v>
      </c>
      <c r="AR61" s="1375">
        <v>42978</v>
      </c>
      <c r="AS61" s="758" t="s">
        <v>780</v>
      </c>
      <c r="FV61" s="2"/>
      <c r="FW61" s="2"/>
      <c r="FX61" s="2"/>
    </row>
    <row r="62" spans="7:180">
      <c r="AN62" s="758" t="s">
        <v>758</v>
      </c>
      <c r="AO62" s="758" t="s">
        <v>1117</v>
      </c>
      <c r="AP62" s="1377">
        <v>194.09</v>
      </c>
      <c r="AQ62" s="758" t="s">
        <v>979</v>
      </c>
      <c r="AR62" s="1375">
        <v>43039</v>
      </c>
      <c r="AS62" s="758" t="s">
        <v>780</v>
      </c>
      <c r="FV62" s="2"/>
      <c r="FW62" s="2"/>
      <c r="FX62" s="2"/>
    </row>
    <row r="63" spans="7:180">
      <c r="AN63" s="758" t="s">
        <v>758</v>
      </c>
      <c r="AO63" s="758" t="s">
        <v>1117</v>
      </c>
      <c r="AP63" s="1377">
        <v>299.45</v>
      </c>
      <c r="AQ63" s="758" t="s">
        <v>979</v>
      </c>
      <c r="AR63" s="1375">
        <v>43069</v>
      </c>
      <c r="AS63" s="758" t="s">
        <v>780</v>
      </c>
      <c r="FV63" s="2"/>
      <c r="FW63" s="2"/>
      <c r="FX63" s="2"/>
    </row>
    <row r="64" spans="7:180">
      <c r="AN64" s="758" t="s">
        <v>758</v>
      </c>
      <c r="AO64" s="758" t="s">
        <v>1117</v>
      </c>
      <c r="AP64" s="1377">
        <v>95.83</v>
      </c>
      <c r="AQ64" s="758" t="s">
        <v>979</v>
      </c>
      <c r="AR64" s="1375">
        <v>43100</v>
      </c>
      <c r="AS64" s="758" t="s">
        <v>780</v>
      </c>
      <c r="FV64" s="2"/>
      <c r="FW64" s="2"/>
      <c r="FX64" s="2"/>
    </row>
    <row r="65" spans="40:180">
      <c r="AN65" s="758" t="s">
        <v>758</v>
      </c>
      <c r="AO65" s="758" t="s">
        <v>1039</v>
      </c>
      <c r="AP65" s="1377">
        <v>11.7</v>
      </c>
      <c r="AQ65" s="758" t="s">
        <v>1405</v>
      </c>
      <c r="AR65" s="1375">
        <v>42825</v>
      </c>
      <c r="AS65" s="758" t="s">
        <v>780</v>
      </c>
      <c r="FV65" s="2"/>
      <c r="FW65" s="2"/>
      <c r="FX65" s="2"/>
    </row>
    <row r="66" spans="40:180">
      <c r="AN66" s="758" t="s">
        <v>758</v>
      </c>
      <c r="AO66" s="758" t="s">
        <v>1039</v>
      </c>
      <c r="AP66" s="1377">
        <v>-11.7</v>
      </c>
      <c r="AQ66" s="758" t="s">
        <v>1405</v>
      </c>
      <c r="AR66" s="1375">
        <v>42886</v>
      </c>
      <c r="AS66" s="758" t="s">
        <v>780</v>
      </c>
      <c r="FV66" s="2"/>
      <c r="FW66" s="2"/>
      <c r="FX66" s="2"/>
    </row>
    <row r="67" spans="40:180">
      <c r="AN67" s="758" t="s">
        <v>758</v>
      </c>
      <c r="AO67" s="758" t="s">
        <v>1039</v>
      </c>
      <c r="AP67" s="1377">
        <v>140.38</v>
      </c>
      <c r="AQ67" s="758" t="s">
        <v>1477</v>
      </c>
      <c r="AR67" s="1375">
        <v>42766</v>
      </c>
      <c r="AS67" s="758" t="s">
        <v>780</v>
      </c>
      <c r="FV67" s="2"/>
      <c r="FW67" s="2"/>
      <c r="FX67" s="2"/>
    </row>
    <row r="68" spans="40:180">
      <c r="AN68" s="758" t="s">
        <v>758</v>
      </c>
      <c r="AO68" s="758" t="s">
        <v>1039</v>
      </c>
      <c r="AP68" s="1377">
        <v>-70.19</v>
      </c>
      <c r="AQ68" s="758" t="s">
        <v>1477</v>
      </c>
      <c r="AR68" s="1375">
        <v>42794</v>
      </c>
      <c r="AS68" s="758" t="s">
        <v>780</v>
      </c>
      <c r="FV68" s="2"/>
      <c r="FW68" s="2"/>
      <c r="FX68" s="2"/>
    </row>
    <row r="69" spans="40:180">
      <c r="AN69" s="758" t="s">
        <v>758</v>
      </c>
      <c r="AO69" s="758" t="s">
        <v>1172</v>
      </c>
      <c r="AP69" s="1377">
        <v>280</v>
      </c>
      <c r="AQ69" s="758" t="s">
        <v>1392</v>
      </c>
      <c r="AR69" s="1375">
        <v>43008</v>
      </c>
      <c r="AS69" s="758" t="s">
        <v>780</v>
      </c>
      <c r="FV69" s="2"/>
      <c r="FW69" s="2"/>
      <c r="FX69" s="2"/>
    </row>
    <row r="70" spans="40:180">
      <c r="AN70" s="758" t="s">
        <v>758</v>
      </c>
      <c r="AO70" s="758" t="s">
        <v>1172</v>
      </c>
      <c r="AP70" s="1377">
        <v>-280</v>
      </c>
      <c r="AQ70" s="758" t="s">
        <v>1392</v>
      </c>
      <c r="AR70" s="1375">
        <v>43039</v>
      </c>
      <c r="AS70" s="758" t="s">
        <v>780</v>
      </c>
      <c r="FV70" s="2"/>
      <c r="FW70" s="2"/>
      <c r="FX70" s="2"/>
    </row>
    <row r="71" spans="40:180">
      <c r="AN71" s="758"/>
      <c r="AO71" s="758"/>
      <c r="AP71" s="759"/>
      <c r="AQ71" s="758"/>
      <c r="AR71" s="1106"/>
      <c r="AS71" s="758"/>
      <c r="FV71" s="2"/>
      <c r="FW71" s="2"/>
      <c r="FX71" s="2"/>
    </row>
    <row r="72" spans="40:180">
      <c r="AN72" s="1111" t="s">
        <v>846</v>
      </c>
      <c r="AO72" s="1108"/>
      <c r="AP72" s="1109">
        <f>SUM(AP19:AP71)</f>
        <v>15860.440000000002</v>
      </c>
      <c r="AQ72" s="758"/>
      <c r="AR72" s="1106"/>
      <c r="AS72" s="758"/>
      <c r="FV72" s="2"/>
      <c r="FW72" s="2"/>
      <c r="FX72" s="2"/>
    </row>
    <row r="73" spans="40:180">
      <c r="AN73" s="758"/>
      <c r="AO73" s="758"/>
      <c r="AP73" s="759"/>
      <c r="AQ73" s="758"/>
      <c r="AR73" s="1106"/>
      <c r="AS73" s="758"/>
      <c r="FV73" s="2"/>
      <c r="FW73" s="2"/>
      <c r="FX73" s="2"/>
    </row>
    <row r="74" spans="40:180">
      <c r="AN74" s="758"/>
      <c r="AO74" s="758"/>
      <c r="AP74" s="759"/>
      <c r="AQ74" s="758"/>
      <c r="AR74" s="1106"/>
      <c r="AS74" s="758"/>
      <c r="FV74" s="2"/>
      <c r="FW74" s="2"/>
      <c r="FX74" s="2"/>
    </row>
    <row r="75" spans="40:180">
      <c r="AN75" s="758" t="s">
        <v>759</v>
      </c>
      <c r="AO75" s="758" t="s">
        <v>969</v>
      </c>
      <c r="AP75" s="1377">
        <v>458.8</v>
      </c>
      <c r="AQ75" s="758" t="s">
        <v>1040</v>
      </c>
      <c r="AR75" s="1375">
        <v>43008</v>
      </c>
      <c r="AS75" s="758" t="s">
        <v>780</v>
      </c>
      <c r="FV75" s="2"/>
      <c r="FW75" s="2"/>
      <c r="FX75" s="2"/>
    </row>
    <row r="76" spans="40:180">
      <c r="AN76" s="758" t="s">
        <v>759</v>
      </c>
      <c r="AO76" s="758" t="s">
        <v>969</v>
      </c>
      <c r="AP76" s="1377">
        <v>550.26</v>
      </c>
      <c r="AQ76" s="758" t="s">
        <v>1045</v>
      </c>
      <c r="AR76" s="1375">
        <v>42825</v>
      </c>
      <c r="AS76" s="758" t="s">
        <v>780</v>
      </c>
      <c r="FV76" s="2"/>
      <c r="FW76" s="2"/>
      <c r="FX76" s="2"/>
    </row>
    <row r="77" spans="40:180">
      <c r="AN77" s="758" t="s">
        <v>759</v>
      </c>
      <c r="AO77" s="758" t="s">
        <v>969</v>
      </c>
      <c r="AP77" s="1377">
        <v>155.31</v>
      </c>
      <c r="AQ77" s="758" t="s">
        <v>1045</v>
      </c>
      <c r="AR77" s="1375">
        <v>42978</v>
      </c>
      <c r="AS77" s="758" t="s">
        <v>780</v>
      </c>
      <c r="FV77" s="2"/>
      <c r="FW77" s="2"/>
      <c r="FX77" s="2"/>
    </row>
    <row r="78" spans="40:180">
      <c r="AN78" s="758" t="s">
        <v>759</v>
      </c>
      <c r="AO78" s="758" t="s">
        <v>969</v>
      </c>
      <c r="AP78" s="1377">
        <v>133.13</v>
      </c>
      <c r="AQ78" s="758" t="s">
        <v>1283</v>
      </c>
      <c r="AR78" s="1375">
        <v>42766</v>
      </c>
      <c r="AS78" s="758" t="s">
        <v>780</v>
      </c>
      <c r="FV78" s="2"/>
      <c r="FW78" s="2"/>
      <c r="FX78" s="2"/>
    </row>
    <row r="79" spans="40:180">
      <c r="AN79" s="758" t="s">
        <v>759</v>
      </c>
      <c r="AO79" s="758" t="s">
        <v>969</v>
      </c>
      <c r="AP79" s="1377">
        <v>283.58999999999997</v>
      </c>
      <c r="AQ79" s="758" t="s">
        <v>1044</v>
      </c>
      <c r="AR79" s="1375">
        <v>42886</v>
      </c>
      <c r="AS79" s="758" t="s">
        <v>780</v>
      </c>
      <c r="FV79" s="2"/>
      <c r="FW79" s="2"/>
      <c r="FX79" s="2"/>
    </row>
    <row r="80" spans="40:180">
      <c r="AN80" s="758" t="s">
        <v>759</v>
      </c>
      <c r="AO80" s="758" t="s">
        <v>969</v>
      </c>
      <c r="AP80" s="1377">
        <v>176.46</v>
      </c>
      <c r="AQ80" s="758" t="s">
        <v>1044</v>
      </c>
      <c r="AR80" s="1375">
        <v>43039</v>
      </c>
      <c r="AS80" s="758" t="s">
        <v>780</v>
      </c>
      <c r="FV80" s="2"/>
      <c r="FW80" s="2"/>
      <c r="FX80" s="2"/>
    </row>
    <row r="81" spans="40:180">
      <c r="AN81" s="758" t="s">
        <v>759</v>
      </c>
      <c r="AO81" s="758" t="s">
        <v>969</v>
      </c>
      <c r="AP81" s="1377">
        <v>201.92</v>
      </c>
      <c r="AQ81" s="758" t="s">
        <v>1043</v>
      </c>
      <c r="AR81" s="1375">
        <v>42766</v>
      </c>
      <c r="AS81" s="758" t="s">
        <v>780</v>
      </c>
      <c r="FV81" s="2"/>
      <c r="FW81" s="2"/>
      <c r="FX81" s="2"/>
    </row>
    <row r="82" spans="40:180">
      <c r="AN82" s="758" t="s">
        <v>759</v>
      </c>
      <c r="AO82" s="758" t="s">
        <v>969</v>
      </c>
      <c r="AP82" s="1377">
        <v>342</v>
      </c>
      <c r="AQ82" s="758" t="s">
        <v>1043</v>
      </c>
      <c r="AR82" s="1375">
        <v>43039</v>
      </c>
      <c r="AS82" s="758" t="s">
        <v>780</v>
      </c>
      <c r="FV82" s="2"/>
      <c r="FW82" s="2"/>
      <c r="FX82" s="2"/>
    </row>
    <row r="83" spans="40:180">
      <c r="AN83" s="758" t="s">
        <v>759</v>
      </c>
      <c r="AO83" s="758" t="s">
        <v>1117</v>
      </c>
      <c r="AP83" s="1377">
        <v>60.6</v>
      </c>
      <c r="AQ83" s="758" t="s">
        <v>1040</v>
      </c>
      <c r="AR83" s="1375">
        <v>43039</v>
      </c>
      <c r="AS83" s="758" t="s">
        <v>780</v>
      </c>
      <c r="FV83" s="2"/>
      <c r="FW83" s="2"/>
      <c r="FX83" s="2"/>
    </row>
    <row r="84" spans="40:180">
      <c r="AN84" s="758" t="s">
        <v>759</v>
      </c>
      <c r="AO84" s="758" t="s">
        <v>1117</v>
      </c>
      <c r="AP84" s="1377">
        <v>499</v>
      </c>
      <c r="AQ84" s="758" t="s">
        <v>1200</v>
      </c>
      <c r="AR84" s="1375">
        <v>43008</v>
      </c>
      <c r="AS84" s="758" t="s">
        <v>780</v>
      </c>
      <c r="FV84" s="2"/>
      <c r="FW84" s="2"/>
      <c r="FX84" s="2"/>
    </row>
    <row r="85" spans="40:180">
      <c r="AN85" s="758" t="s">
        <v>759</v>
      </c>
      <c r="AO85" s="758" t="s">
        <v>1117</v>
      </c>
      <c r="AP85" s="1377">
        <v>150</v>
      </c>
      <c r="AQ85" s="758" t="s">
        <v>1283</v>
      </c>
      <c r="AR85" s="1375">
        <v>42916</v>
      </c>
      <c r="AS85" s="758" t="s">
        <v>780</v>
      </c>
      <c r="FV85" s="2"/>
      <c r="FW85" s="2"/>
      <c r="FX85" s="2"/>
    </row>
    <row r="86" spans="40:180">
      <c r="AN86" s="758" t="s">
        <v>759</v>
      </c>
      <c r="AO86" s="758" t="s">
        <v>1117</v>
      </c>
      <c r="AP86" s="1377">
        <v>820</v>
      </c>
      <c r="AQ86" s="758" t="s">
        <v>1043</v>
      </c>
      <c r="AR86" s="1375">
        <v>42947</v>
      </c>
      <c r="AS86" s="758" t="s">
        <v>780</v>
      </c>
      <c r="FV86" s="2"/>
      <c r="FW86" s="2"/>
      <c r="FX86" s="2"/>
    </row>
    <row r="87" spans="40:180">
      <c r="AN87" s="758" t="s">
        <v>759</v>
      </c>
      <c r="AO87" s="758" t="s">
        <v>1117</v>
      </c>
      <c r="AP87" s="1377">
        <v>500</v>
      </c>
      <c r="AQ87" s="758" t="s">
        <v>1043</v>
      </c>
      <c r="AR87" s="1375">
        <v>43069</v>
      </c>
      <c r="AS87" s="758" t="s">
        <v>780</v>
      </c>
      <c r="FV87" s="2"/>
      <c r="FW87" s="2"/>
      <c r="FX87" s="2"/>
    </row>
    <row r="88" spans="40:180">
      <c r="AN88" s="758" t="s">
        <v>759</v>
      </c>
      <c r="AO88" s="758" t="s">
        <v>1117</v>
      </c>
      <c r="AP88" s="1377">
        <v>421.85</v>
      </c>
      <c r="AQ88" s="758" t="s">
        <v>1042</v>
      </c>
      <c r="AR88" s="1375">
        <v>42825</v>
      </c>
      <c r="AS88" s="758" t="s">
        <v>780</v>
      </c>
      <c r="FV88" s="2"/>
      <c r="FW88" s="2"/>
      <c r="FX88" s="2"/>
    </row>
    <row r="89" spans="40:180">
      <c r="AN89" s="758" t="s">
        <v>759</v>
      </c>
      <c r="AO89" s="758" t="s">
        <v>1117</v>
      </c>
      <c r="AP89" s="1377">
        <v>408</v>
      </c>
      <c r="AQ89" s="758" t="s">
        <v>1042</v>
      </c>
      <c r="AR89" s="1375">
        <v>42886</v>
      </c>
      <c r="AS89" s="758" t="s">
        <v>780</v>
      </c>
      <c r="FV89" s="2"/>
      <c r="FW89" s="2"/>
      <c r="FX89" s="2"/>
    </row>
    <row r="90" spans="40:180">
      <c r="AN90" s="758" t="s">
        <v>759</v>
      </c>
      <c r="AO90" s="758" t="s">
        <v>1117</v>
      </c>
      <c r="AP90" s="1377">
        <v>1103.33</v>
      </c>
      <c r="AQ90" s="758" t="s">
        <v>1042</v>
      </c>
      <c r="AR90" s="1375">
        <v>42916</v>
      </c>
      <c r="AS90" s="758" t="s">
        <v>780</v>
      </c>
      <c r="FV90" s="2"/>
      <c r="FW90" s="2"/>
      <c r="FX90" s="2"/>
    </row>
    <row r="91" spans="40:180">
      <c r="AN91" s="758" t="s">
        <v>759</v>
      </c>
      <c r="AO91" s="758" t="s">
        <v>1117</v>
      </c>
      <c r="AP91" s="1377">
        <v>3796.31</v>
      </c>
      <c r="AQ91" s="758" t="s">
        <v>1042</v>
      </c>
      <c r="AR91" s="1375">
        <v>43039</v>
      </c>
      <c r="AS91" s="758" t="s">
        <v>780</v>
      </c>
      <c r="FV91" s="2"/>
      <c r="FW91" s="2"/>
      <c r="FX91" s="2"/>
    </row>
    <row r="92" spans="40:180">
      <c r="AN92" s="758" t="s">
        <v>759</v>
      </c>
      <c r="AO92" s="758" t="s">
        <v>1117</v>
      </c>
      <c r="AP92" s="1377">
        <v>1303.73</v>
      </c>
      <c r="AQ92" s="758" t="s">
        <v>1042</v>
      </c>
      <c r="AR92" s="1375">
        <v>43100</v>
      </c>
      <c r="AS92" s="758" t="s">
        <v>780</v>
      </c>
      <c r="FV92" s="2"/>
      <c r="FW92" s="2"/>
      <c r="FX92" s="2"/>
    </row>
    <row r="93" spans="40:180">
      <c r="AN93" s="758" t="s">
        <v>759</v>
      </c>
      <c r="AO93" s="758" t="s">
        <v>1117</v>
      </c>
      <c r="AP93" s="1377">
        <v>34.86</v>
      </c>
      <c r="AQ93" s="758" t="s">
        <v>1478</v>
      </c>
      <c r="AR93" s="1375">
        <v>42947</v>
      </c>
      <c r="AS93" s="758" t="s">
        <v>780</v>
      </c>
      <c r="FV93" s="2"/>
      <c r="FW93" s="2"/>
      <c r="FX93" s="2"/>
    </row>
    <row r="94" spans="40:180">
      <c r="AN94" s="758" t="s">
        <v>759</v>
      </c>
      <c r="AO94" s="758" t="s">
        <v>1199</v>
      </c>
      <c r="AP94" s="1377">
        <v>0</v>
      </c>
      <c r="AQ94" s="758" t="s">
        <v>1197</v>
      </c>
      <c r="AR94" s="1375">
        <v>42825</v>
      </c>
      <c r="AS94" s="758" t="s">
        <v>780</v>
      </c>
      <c r="FV94" s="2"/>
      <c r="FW94" s="2"/>
      <c r="FX94" s="2"/>
    </row>
    <row r="95" spans="40:180">
      <c r="AN95" s="758" t="s">
        <v>759</v>
      </c>
      <c r="AO95" s="758" t="s">
        <v>1038</v>
      </c>
      <c r="AP95" s="1377">
        <v>5725</v>
      </c>
      <c r="AQ95" s="758" t="s">
        <v>1479</v>
      </c>
      <c r="AR95" s="1375">
        <v>43039</v>
      </c>
      <c r="AS95" s="758" t="s">
        <v>780</v>
      </c>
      <c r="FV95" s="2"/>
      <c r="FW95" s="2"/>
      <c r="FX95" s="2"/>
    </row>
    <row r="96" spans="40:180">
      <c r="AN96" s="758" t="s">
        <v>759</v>
      </c>
      <c r="AO96" s="758" t="s">
        <v>1038</v>
      </c>
      <c r="AP96" s="1377">
        <v>1595</v>
      </c>
      <c r="AQ96" s="758" t="s">
        <v>1480</v>
      </c>
      <c r="AR96" s="1375">
        <v>43039</v>
      </c>
      <c r="AS96" s="758" t="s">
        <v>780</v>
      </c>
      <c r="FV96" s="2"/>
      <c r="FW96" s="2"/>
      <c r="FX96" s="2"/>
    </row>
    <row r="97" spans="20:180">
      <c r="AN97" s="758" t="s">
        <v>759</v>
      </c>
      <c r="AO97" s="758" t="s">
        <v>1039</v>
      </c>
      <c r="AP97" s="1377">
        <v>0</v>
      </c>
      <c r="AQ97" s="758" t="s">
        <v>1481</v>
      </c>
      <c r="AR97" s="1375">
        <v>43069</v>
      </c>
      <c r="AS97" s="758" t="s">
        <v>780</v>
      </c>
      <c r="FV97" s="2"/>
      <c r="FW97" s="2"/>
      <c r="FX97" s="2"/>
    </row>
    <row r="98" spans="20:180">
      <c r="AN98" s="758" t="s">
        <v>759</v>
      </c>
      <c r="AO98" s="758" t="s">
        <v>1039</v>
      </c>
      <c r="AP98" s="1377">
        <v>3950</v>
      </c>
      <c r="AQ98" s="758" t="s">
        <v>1284</v>
      </c>
      <c r="AR98" s="1375">
        <v>42794</v>
      </c>
      <c r="AS98" s="758" t="s">
        <v>780</v>
      </c>
      <c r="FV98" s="2"/>
      <c r="FW98" s="2"/>
      <c r="FX98" s="2"/>
    </row>
    <row r="99" spans="20:180">
      <c r="AN99" s="758" t="s">
        <v>759</v>
      </c>
      <c r="AO99" s="758" t="s">
        <v>1039</v>
      </c>
      <c r="AP99" s="1377">
        <v>862.5</v>
      </c>
      <c r="AQ99" s="758" t="s">
        <v>1482</v>
      </c>
      <c r="AR99" s="1375">
        <v>42916</v>
      </c>
      <c r="AS99" s="758" t="s">
        <v>780</v>
      </c>
      <c r="FV99" s="2"/>
      <c r="FW99" s="2"/>
      <c r="FX99" s="2"/>
    </row>
    <row r="100" spans="20:180">
      <c r="AN100" s="758"/>
      <c r="AO100" s="758"/>
      <c r="AP100" s="759"/>
      <c r="AQ100" s="758"/>
      <c r="AR100" s="1106"/>
      <c r="AS100" s="758"/>
      <c r="FV100" s="2"/>
      <c r="FW100" s="2"/>
      <c r="FX100" s="2"/>
    </row>
    <row r="101" spans="20:180">
      <c r="AN101"/>
      <c r="AO101"/>
      <c r="AP101" s="1251"/>
      <c r="AQ101"/>
      <c r="AR101" s="1159"/>
      <c r="AS101"/>
      <c r="FV101" s="2"/>
      <c r="FW101" s="2"/>
      <c r="FX101" s="2"/>
    </row>
    <row r="102" spans="20:180">
      <c r="AN102"/>
      <c r="AO102"/>
      <c r="AP102" s="1251"/>
      <c r="AQ102"/>
      <c r="AR102" s="1159"/>
      <c r="AS102"/>
      <c r="FV102" s="2"/>
      <c r="FW102" s="2"/>
      <c r="FX102" s="2"/>
    </row>
    <row r="103" spans="20:180">
      <c r="AN103"/>
      <c r="AO103"/>
      <c r="AP103" s="1251"/>
      <c r="AQ103"/>
      <c r="AR103" s="1159"/>
      <c r="AS103"/>
      <c r="FV103" s="2"/>
      <c r="FW103" s="2"/>
      <c r="FX103" s="2"/>
    </row>
    <row r="104" spans="20:180">
      <c r="AN104"/>
      <c r="AO104"/>
      <c r="AP104" s="1251"/>
      <c r="AQ104"/>
      <c r="AR104" s="1159"/>
      <c r="AS104"/>
      <c r="FV104" s="2"/>
      <c r="FW104" s="2"/>
      <c r="FX104" s="2"/>
    </row>
    <row r="105" spans="20:180">
      <c r="AN105" s="1111" t="s">
        <v>847</v>
      </c>
      <c r="AO105" s="1108"/>
      <c r="AP105" s="1109">
        <f>SUM(AP75:AP99)</f>
        <v>23531.65</v>
      </c>
      <c r="AQ105" s="758"/>
      <c r="AR105" s="1106"/>
      <c r="AS105" s="758"/>
      <c r="FV105" s="2"/>
      <c r="FW105" s="2"/>
      <c r="FX105" s="2"/>
    </row>
    <row r="106" spans="20:180">
      <c r="T106" s="466" t="s">
        <v>1575</v>
      </c>
      <c r="U106" s="96"/>
      <c r="V106" s="96"/>
      <c r="W106" s="161"/>
      <c r="AN106" s="758"/>
      <c r="AO106" s="758"/>
      <c r="AP106" s="759"/>
      <c r="AQ106" s="758"/>
      <c r="AR106" s="1106"/>
      <c r="AS106" s="758"/>
      <c r="FV106" s="2"/>
      <c r="FW106" s="2"/>
      <c r="FX106" s="2"/>
    </row>
    <row r="107" spans="20:180" ht="13.5" thickBot="1">
      <c r="T107" s="34"/>
      <c r="U107" s="163" t="s">
        <v>654</v>
      </c>
      <c r="V107" s="869" t="e">
        <f>+'ALLOCATIONS&amp;PRETAX'!#REF!</f>
        <v>#REF!</v>
      </c>
      <c r="W107" s="43"/>
      <c r="AN107" s="758"/>
      <c r="AO107" s="758"/>
      <c r="AP107" s="759"/>
      <c r="AQ107" s="758"/>
      <c r="AR107" s="1106"/>
      <c r="AS107" s="758"/>
      <c r="FV107" s="2"/>
      <c r="FW107" s="2"/>
      <c r="FX107" s="2"/>
    </row>
    <row r="108" spans="20:180" ht="13.5" thickTop="1">
      <c r="T108" s="34"/>
      <c r="U108" s="34" t="s">
        <v>1612</v>
      </c>
      <c r="V108" s="34"/>
      <c r="X108" s="77"/>
      <c r="Y108" s="77"/>
      <c r="AN108" s="758"/>
      <c r="AO108" s="758"/>
      <c r="AP108" s="759"/>
      <c r="AQ108" s="758"/>
      <c r="AR108" s="1106"/>
      <c r="AS108" s="758"/>
      <c r="FV108" s="2"/>
      <c r="FW108" s="2"/>
      <c r="FX108" s="2"/>
    </row>
    <row r="109" spans="20:180">
      <c r="T109" s="96"/>
      <c r="U109" s="96"/>
      <c r="V109" s="96"/>
      <c r="W109" s="161"/>
      <c r="X109" s="77"/>
      <c r="Y109" s="77"/>
      <c r="AN109" s="758"/>
      <c r="AO109" s="758"/>
      <c r="AP109" s="759"/>
      <c r="AQ109" s="758"/>
      <c r="AR109" s="1106"/>
      <c r="AS109" s="758"/>
      <c r="FV109" s="2"/>
      <c r="FW109" s="2"/>
      <c r="FX109" s="2"/>
    </row>
    <row r="110" spans="20:180">
      <c r="AN110" s="758"/>
      <c r="AO110" s="758"/>
      <c r="AP110" s="759"/>
      <c r="AQ110" s="758"/>
      <c r="AR110" s="1106"/>
      <c r="AS110" s="758"/>
      <c r="FV110" s="2"/>
      <c r="FW110" s="2"/>
      <c r="FX110" s="2"/>
    </row>
    <row r="111" spans="20:180">
      <c r="AN111" s="758"/>
      <c r="AO111" s="758"/>
      <c r="AP111" s="759"/>
      <c r="AQ111" s="758"/>
      <c r="AR111" s="1106"/>
      <c r="AS111" s="758"/>
      <c r="FV111" s="2"/>
      <c r="FW111" s="2"/>
      <c r="FX111" s="2"/>
    </row>
    <row r="112" spans="20:180">
      <c r="AN112" s="758"/>
      <c r="AO112" s="758"/>
      <c r="AP112" s="759"/>
      <c r="AQ112" s="758"/>
      <c r="AR112" s="1106"/>
      <c r="AS112" s="758"/>
      <c r="FV112" s="2"/>
      <c r="FW112" s="2"/>
      <c r="FX112" s="2"/>
    </row>
    <row r="113" spans="40:180">
      <c r="AN113" s="758"/>
      <c r="AO113" s="758"/>
      <c r="AP113" s="759"/>
      <c r="AQ113" s="758"/>
      <c r="AR113" s="1106"/>
      <c r="AS113" s="758"/>
      <c r="FV113" s="2"/>
      <c r="FW113" s="2"/>
      <c r="FX113" s="2"/>
    </row>
    <row r="114" spans="40:180">
      <c r="AN114" s="758"/>
      <c r="AO114" s="758"/>
      <c r="AP114" s="759"/>
      <c r="AQ114" s="758"/>
      <c r="AR114" s="1106"/>
      <c r="AS114" s="758"/>
      <c r="FV114" s="2"/>
      <c r="FW114" s="2"/>
      <c r="FX114" s="2"/>
    </row>
    <row r="115" spans="40:180">
      <c r="AN115" s="758"/>
      <c r="AO115" s="758"/>
      <c r="AP115" s="759"/>
      <c r="AQ115" s="758"/>
      <c r="AR115" s="1106"/>
      <c r="AS115" s="758"/>
      <c r="FV115" s="2"/>
      <c r="FW115" s="2"/>
      <c r="FX115" s="2"/>
    </row>
    <row r="116" spans="40:180">
      <c r="AN116" s="758"/>
      <c r="AO116" s="758"/>
      <c r="AP116" s="759"/>
      <c r="AQ116" s="758"/>
      <c r="AR116" s="1106"/>
      <c r="AS116" s="758"/>
      <c r="FV116" s="2"/>
      <c r="FW116" s="2"/>
      <c r="FX116" s="2"/>
    </row>
    <row r="117" spans="40:180">
      <c r="AN117" s="758"/>
      <c r="AO117" s="758"/>
      <c r="AP117" s="759"/>
      <c r="AQ117" s="758"/>
      <c r="AR117" s="1106"/>
      <c r="AS117" s="758"/>
      <c r="FV117" s="2"/>
      <c r="FW117" s="2"/>
      <c r="FX117" s="2"/>
    </row>
    <row r="118" spans="40:180">
      <c r="AQ118" s="1108"/>
      <c r="AR118" s="1110"/>
      <c r="FV118" s="2"/>
      <c r="FW118" s="2"/>
      <c r="FX118" s="2"/>
    </row>
    <row r="119" spans="40:180">
      <c r="AQ119" s="1108"/>
      <c r="AR119" s="1110"/>
      <c r="FV119" s="2"/>
      <c r="FW119" s="2"/>
      <c r="FX119" s="2"/>
    </row>
    <row r="120" spans="40:180">
      <c r="FV120" s="2"/>
      <c r="FW120" s="2"/>
      <c r="FX120" s="2"/>
    </row>
    <row r="121" spans="40:180">
      <c r="FV121" s="2"/>
      <c r="FW121" s="2"/>
      <c r="FX121" s="2"/>
    </row>
    <row r="122" spans="40:180">
      <c r="FV122" s="2"/>
      <c r="FW122" s="2"/>
      <c r="FX122" s="2"/>
    </row>
    <row r="123" spans="40:180">
      <c r="FV123" s="2"/>
      <c r="FW123" s="2"/>
      <c r="FX123" s="2"/>
    </row>
    <row r="124" spans="40:180">
      <c r="FV124" s="2"/>
      <c r="FW124" s="2"/>
      <c r="FX124" s="2"/>
    </row>
    <row r="125" spans="40:180">
      <c r="FV125" s="2"/>
      <c r="FW125" s="2"/>
      <c r="FX125" s="2"/>
    </row>
    <row r="126" spans="40:180">
      <c r="FV126" s="2"/>
      <c r="FW126" s="2"/>
      <c r="FX126" s="2"/>
    </row>
    <row r="127" spans="40:180">
      <c r="FV127" s="2"/>
      <c r="FW127" s="2"/>
      <c r="FX127" s="2"/>
    </row>
    <row r="128" spans="40:180">
      <c r="FV128" s="2"/>
      <c r="FW128" s="2"/>
      <c r="FX128" s="2"/>
    </row>
    <row r="129" spans="178:180">
      <c r="FV129" s="2"/>
      <c r="FW129" s="2"/>
      <c r="FX129" s="2"/>
    </row>
    <row r="130" spans="178:180">
      <c r="FV130" s="2"/>
      <c r="FW130" s="2"/>
      <c r="FX130" s="2"/>
    </row>
    <row r="131" spans="178:180">
      <c r="FV131" s="2"/>
      <c r="FW131" s="2"/>
      <c r="FX131" s="2"/>
    </row>
    <row r="132" spans="178:180">
      <c r="FV132" s="2"/>
      <c r="FW132" s="2"/>
      <c r="FX132" s="2"/>
    </row>
    <row r="133" spans="178:180">
      <c r="FV133" s="2"/>
      <c r="FW133" s="2"/>
      <c r="FX133" s="2"/>
    </row>
    <row r="134" spans="178:180">
      <c r="FV134" s="2"/>
      <c r="FW134" s="2"/>
      <c r="FX134" s="2"/>
    </row>
    <row r="135" spans="178:180">
      <c r="FV135" s="2"/>
      <c r="FW135" s="2"/>
      <c r="FX135" s="2"/>
    </row>
    <row r="136" spans="178:180">
      <c r="FV136" s="2"/>
      <c r="FW136" s="2"/>
      <c r="FX136" s="2"/>
    </row>
    <row r="137" spans="178:180">
      <c r="FV137" s="2"/>
      <c r="FW137" s="2"/>
      <c r="FX137" s="2"/>
    </row>
    <row r="138" spans="178:180">
      <c r="FV138" s="2"/>
      <c r="FW138" s="2"/>
      <c r="FX138" s="2"/>
    </row>
    <row r="139" spans="178:180">
      <c r="FV139" s="2"/>
      <c r="FW139" s="2"/>
      <c r="FX139" s="2"/>
    </row>
    <row r="140" spans="178:180">
      <c r="FV140" s="2"/>
      <c r="FW140" s="2"/>
      <c r="FX140" s="2"/>
    </row>
    <row r="141" spans="178:180">
      <c r="FV141" s="2"/>
      <c r="FW141" s="2"/>
      <c r="FX141" s="2"/>
    </row>
    <row r="142" spans="178:180">
      <c r="FV142" s="2"/>
      <c r="FW142" s="2"/>
      <c r="FX142" s="2"/>
    </row>
    <row r="143" spans="178:180">
      <c r="FV143" s="2"/>
      <c r="FW143" s="2"/>
      <c r="FX143" s="2"/>
    </row>
    <row r="144" spans="178:180">
      <c r="FV144" s="2"/>
      <c r="FW144" s="2"/>
      <c r="FX144" s="2"/>
    </row>
    <row r="145" spans="178:180">
      <c r="FV145" s="2"/>
      <c r="FW145" s="2"/>
      <c r="FX145" s="2"/>
    </row>
    <row r="146" spans="178:180">
      <c r="FV146" s="2"/>
      <c r="FW146" s="2"/>
      <c r="FX146" s="2"/>
    </row>
    <row r="147" spans="178:180">
      <c r="FV147" s="2"/>
      <c r="FW147" s="2"/>
      <c r="FX147" s="2"/>
    </row>
    <row r="148" spans="178:180">
      <c r="FV148" s="2"/>
      <c r="FW148" s="2"/>
      <c r="FX148" s="2"/>
    </row>
    <row r="149" spans="178:180">
      <c r="FV149" s="2"/>
      <c r="FW149" s="2"/>
      <c r="FX149" s="2"/>
    </row>
    <row r="150" spans="178:180">
      <c r="FV150" s="2"/>
      <c r="FW150" s="2"/>
      <c r="FX150" s="2"/>
    </row>
    <row r="151" spans="178:180">
      <c r="FV151" s="2"/>
      <c r="FW151" s="2"/>
      <c r="FX151" s="2"/>
    </row>
    <row r="152" spans="178:180">
      <c r="FV152" s="2"/>
      <c r="FW152" s="2"/>
      <c r="FX152" s="2"/>
    </row>
    <row r="153" spans="178:180">
      <c r="FV153" s="2"/>
      <c r="FW153" s="2"/>
      <c r="FX153" s="2"/>
    </row>
    <row r="154" spans="178:180">
      <c r="FV154" s="2"/>
      <c r="FW154" s="2"/>
      <c r="FX154" s="2"/>
    </row>
    <row r="155" spans="178:180">
      <c r="FV155" s="2"/>
      <c r="FW155" s="2"/>
      <c r="FX155" s="2"/>
    </row>
    <row r="156" spans="178:180">
      <c r="FV156" s="2"/>
      <c r="FW156" s="2"/>
      <c r="FX156" s="2"/>
    </row>
    <row r="157" spans="178:180">
      <c r="FV157" s="2"/>
      <c r="FW157" s="2"/>
      <c r="FX157" s="2"/>
    </row>
    <row r="158" spans="178:180">
      <c r="FV158" s="2"/>
      <c r="FW158" s="2"/>
      <c r="FX158" s="2"/>
    </row>
    <row r="159" spans="178:180">
      <c r="FV159" s="2"/>
      <c r="FW159" s="2"/>
      <c r="FX159" s="2"/>
    </row>
    <row r="160" spans="178:180">
      <c r="FV160" s="2"/>
      <c r="FW160" s="2"/>
      <c r="FX160" s="2"/>
    </row>
    <row r="161" spans="54:180">
      <c r="FV161" s="2"/>
      <c r="FW161" s="2"/>
      <c r="FX161" s="2"/>
    </row>
    <row r="162" spans="54:180">
      <c r="FV162" s="2"/>
      <c r="FW162" s="2"/>
      <c r="FX162" s="2"/>
    </row>
    <row r="163" spans="54:180">
      <c r="FV163" s="2"/>
      <c r="FW163" s="2"/>
      <c r="FX163" s="2"/>
    </row>
    <row r="164" spans="54:180">
      <c r="FV164" s="2"/>
      <c r="FW164" s="2"/>
      <c r="FX164" s="2"/>
    </row>
    <row r="165" spans="54:180">
      <c r="FV165" s="2"/>
      <c r="FW165" s="2"/>
      <c r="FX165" s="2"/>
    </row>
    <row r="166" spans="54:180">
      <c r="FV166" s="2"/>
      <c r="FW166" s="2"/>
      <c r="FX166" s="2"/>
    </row>
    <row r="167" spans="54:180">
      <c r="FV167" s="2"/>
      <c r="FW167" s="2"/>
      <c r="FX167" s="2"/>
    </row>
    <row r="168" spans="54:180">
      <c r="BB168" s="758"/>
      <c r="BC168" s="758"/>
      <c r="BD168" s="759"/>
      <c r="BE168" s="758"/>
      <c r="BF168" s="1106"/>
      <c r="BG168" s="758"/>
      <c r="FV168" s="2"/>
      <c r="FW168" s="2"/>
      <c r="FX168" s="2"/>
    </row>
    <row r="169" spans="54:180">
      <c r="BB169" s="758"/>
      <c r="BC169" s="758"/>
      <c r="BD169" s="759"/>
      <c r="BE169" s="758"/>
      <c r="BF169" s="1106"/>
      <c r="BG169" s="758"/>
      <c r="FV169" s="2"/>
      <c r="FW169" s="2"/>
      <c r="FX169" s="2"/>
    </row>
    <row r="170" spans="54:180">
      <c r="BB170" s="758"/>
      <c r="BC170" s="758"/>
      <c r="BD170" s="759"/>
      <c r="BE170" s="758"/>
      <c r="BF170" s="1106"/>
      <c r="BG170" s="758"/>
      <c r="FV170" s="2"/>
      <c r="FW170" s="2"/>
      <c r="FX170" s="2"/>
    </row>
    <row r="171" spans="54:180">
      <c r="BB171" s="758"/>
      <c r="BC171" s="758"/>
      <c r="BD171" s="759"/>
      <c r="BE171" s="758"/>
      <c r="BF171" s="1106"/>
      <c r="BG171" s="758"/>
      <c r="FV171" s="2"/>
      <c r="FW171" s="2"/>
      <c r="FX171" s="2"/>
    </row>
    <row r="172" spans="54:180">
      <c r="BB172" s="758"/>
      <c r="BC172" s="758"/>
      <c r="BD172" s="759"/>
      <c r="BE172" s="758"/>
      <c r="BF172" s="1106"/>
      <c r="BG172" s="758"/>
      <c r="FV172" s="2"/>
      <c r="FW172" s="2"/>
      <c r="FX172" s="2"/>
    </row>
    <row r="173" spans="54:180">
      <c r="BB173" s="758"/>
      <c r="BC173" s="758"/>
      <c r="BD173" s="759"/>
      <c r="BE173" s="758"/>
      <c r="BF173" s="1106"/>
      <c r="BG173" s="758"/>
      <c r="FV173" s="2"/>
      <c r="FW173" s="2"/>
      <c r="FX173" s="2"/>
    </row>
    <row r="174" spans="54:180">
      <c r="BB174" s="758"/>
      <c r="BC174" s="758"/>
      <c r="BD174" s="759"/>
      <c r="BE174" s="758"/>
      <c r="BF174" s="1106"/>
      <c r="BG174" s="758"/>
      <c r="FV174" s="2"/>
      <c r="FW174" s="2"/>
      <c r="FX174" s="2"/>
    </row>
    <row r="175" spans="54:180">
      <c r="BB175" s="758"/>
      <c r="BC175" s="758"/>
      <c r="BD175" s="759"/>
      <c r="BE175" s="758"/>
      <c r="BF175" s="1106"/>
      <c r="BG175" s="758"/>
      <c r="FV175" s="2"/>
      <c r="FW175" s="2"/>
      <c r="FX175" s="2"/>
    </row>
    <row r="176" spans="54:180">
      <c r="BB176" s="758"/>
      <c r="BC176" s="758"/>
      <c r="BD176" s="759"/>
      <c r="BE176" s="758"/>
      <c r="BF176" s="1106"/>
      <c r="BG176" s="758"/>
      <c r="FV176" s="2"/>
      <c r="FW176" s="2"/>
      <c r="FX176" s="2"/>
    </row>
    <row r="177" spans="54:180">
      <c r="BB177" s="758"/>
      <c r="BC177" s="758"/>
      <c r="BD177" s="759"/>
      <c r="BE177" s="758"/>
      <c r="BF177" s="1106"/>
      <c r="BG177" s="758"/>
      <c r="FV177" s="2"/>
      <c r="FW177" s="2"/>
      <c r="FX177" s="2"/>
    </row>
    <row r="178" spans="54:180">
      <c r="BB178" s="758"/>
      <c r="BC178" s="758"/>
      <c r="BD178" s="759"/>
      <c r="BE178" s="758"/>
      <c r="BF178" s="1106"/>
      <c r="BG178" s="758"/>
      <c r="FV178" s="2"/>
      <c r="FW178" s="2"/>
      <c r="FX178" s="2"/>
    </row>
    <row r="179" spans="54:180">
      <c r="BB179" s="758"/>
      <c r="BC179" s="758"/>
      <c r="BD179" s="759"/>
      <c r="BE179" s="758"/>
      <c r="BF179" s="1106"/>
      <c r="BG179" s="758"/>
      <c r="FV179" s="2"/>
      <c r="FW179" s="2"/>
      <c r="FX179" s="2"/>
    </row>
    <row r="180" spans="54:180">
      <c r="BB180" s="758"/>
      <c r="BC180" s="758"/>
      <c r="BD180" s="759"/>
      <c r="BE180" s="758"/>
      <c r="BF180" s="1106"/>
      <c r="BG180" s="758"/>
      <c r="FV180" s="2"/>
      <c r="FW180" s="2"/>
      <c r="FX180" s="2"/>
    </row>
    <row r="181" spans="54:180">
      <c r="FV181" s="2"/>
      <c r="FW181" s="2"/>
      <c r="FX181" s="2"/>
    </row>
    <row r="182" spans="54:180">
      <c r="FV182" s="2"/>
      <c r="FW182" s="2"/>
      <c r="FX182" s="2"/>
    </row>
    <row r="183" spans="54:180">
      <c r="FV183" s="2"/>
      <c r="FW183" s="2"/>
      <c r="FX183" s="2"/>
    </row>
    <row r="184" spans="54:180">
      <c r="FV184" s="2"/>
      <c r="FW184" s="2"/>
      <c r="FX184" s="2"/>
    </row>
    <row r="185" spans="54:180">
      <c r="FV185" s="2"/>
      <c r="FW185" s="2"/>
      <c r="FX185" s="2"/>
    </row>
    <row r="186" spans="54:180">
      <c r="FV186" s="2"/>
      <c r="FW186" s="2"/>
      <c r="FX186" s="2"/>
    </row>
    <row r="187" spans="54:180">
      <c r="FV187" s="2"/>
      <c r="FW187" s="2"/>
      <c r="FX187" s="2"/>
    </row>
    <row r="188" spans="54:180">
      <c r="FV188" s="2"/>
      <c r="FW188" s="2"/>
      <c r="FX188" s="2"/>
    </row>
    <row r="189" spans="54:180">
      <c r="FV189" s="2"/>
      <c r="FW189" s="2"/>
      <c r="FX189" s="2"/>
    </row>
    <row r="190" spans="54:180">
      <c r="FV190" s="2"/>
      <c r="FW190" s="2"/>
      <c r="FX190" s="2"/>
    </row>
    <row r="191" spans="54:180">
      <c r="FV191" s="2"/>
      <c r="FW191" s="2"/>
      <c r="FX191" s="2"/>
    </row>
    <row r="192" spans="54:180">
      <c r="FV192" s="2"/>
      <c r="FW192" s="2"/>
      <c r="FX192" s="2"/>
    </row>
    <row r="193" spans="178:180">
      <c r="FV193" s="2"/>
      <c r="FW193" s="2"/>
      <c r="FX193" s="2"/>
    </row>
    <row r="194" spans="178:180">
      <c r="FV194" s="2"/>
      <c r="FW194" s="2"/>
      <c r="FX194" s="2"/>
    </row>
    <row r="195" spans="178:180">
      <c r="FV195" s="2"/>
      <c r="FW195" s="2"/>
      <c r="FX195" s="2"/>
    </row>
    <row r="196" spans="178:180">
      <c r="FV196" s="2"/>
      <c r="FW196" s="2"/>
      <c r="FX196" s="2"/>
    </row>
    <row r="197" spans="178:180">
      <c r="FV197" s="2"/>
      <c r="FW197" s="2"/>
      <c r="FX197" s="2"/>
    </row>
    <row r="198" spans="178:180">
      <c r="FV198" s="2"/>
      <c r="FW198" s="2"/>
      <c r="FX198" s="2"/>
    </row>
    <row r="199" spans="178:180">
      <c r="FV199" s="2"/>
      <c r="FW199" s="2"/>
      <c r="FX199" s="2"/>
    </row>
    <row r="200" spans="178:180">
      <c r="FV200" s="2"/>
      <c r="FW200" s="2"/>
      <c r="FX200" s="2"/>
    </row>
    <row r="201" spans="178:180">
      <c r="FV201" s="2"/>
      <c r="FW201" s="2"/>
      <c r="FX201" s="2"/>
    </row>
    <row r="202" spans="178:180">
      <c r="FV202" s="2"/>
      <c r="FW202" s="2"/>
      <c r="FX202" s="2"/>
    </row>
    <row r="203" spans="178:180">
      <c r="FV203" s="2"/>
      <c r="FW203" s="2"/>
      <c r="FX203" s="2"/>
    </row>
    <row r="204" spans="178:180">
      <c r="FV204" s="2"/>
      <c r="FW204" s="2"/>
      <c r="FX204" s="2"/>
    </row>
    <row r="205" spans="178:180">
      <c r="FV205" s="2"/>
      <c r="FW205" s="2"/>
      <c r="FX205" s="2"/>
    </row>
    <row r="206" spans="178:180">
      <c r="FV206" s="2"/>
      <c r="FW206" s="2"/>
      <c r="FX206" s="2"/>
    </row>
    <row r="207" spans="178:180">
      <c r="FV207" s="2"/>
      <c r="FW207" s="2"/>
      <c r="FX207" s="2"/>
    </row>
    <row r="208" spans="178:180">
      <c r="FV208" s="2"/>
      <c r="FW208" s="2"/>
      <c r="FX208" s="2"/>
    </row>
    <row r="209" spans="178:180">
      <c r="FV209" s="2"/>
      <c r="FW209" s="2"/>
      <c r="FX209" s="2"/>
    </row>
    <row r="210" spans="178:180">
      <c r="FV210" s="2"/>
      <c r="FW210" s="2"/>
      <c r="FX210" s="2"/>
    </row>
    <row r="211" spans="178:180">
      <c r="FV211" s="2"/>
      <c r="FW211" s="2"/>
      <c r="FX211" s="2"/>
    </row>
    <row r="212" spans="178:180">
      <c r="FV212" s="2"/>
      <c r="FW212" s="2"/>
      <c r="FX212" s="2"/>
    </row>
    <row r="213" spans="178:180">
      <c r="FV213" s="2"/>
      <c r="FW213" s="2"/>
      <c r="FX213" s="2"/>
    </row>
    <row r="214" spans="178:180">
      <c r="FV214" s="2"/>
      <c r="FW214" s="2"/>
      <c r="FX214" s="2"/>
    </row>
    <row r="215" spans="178:180">
      <c r="FV215" s="2"/>
      <c r="FW215" s="2"/>
      <c r="FX215" s="2"/>
    </row>
    <row r="216" spans="178:180">
      <c r="FV216" s="2"/>
      <c r="FW216" s="2"/>
      <c r="FX216" s="2"/>
    </row>
    <row r="217" spans="178:180">
      <c r="FV217" s="2"/>
      <c r="FW217" s="2"/>
      <c r="FX217" s="2"/>
    </row>
    <row r="218" spans="178:180">
      <c r="FV218" s="2"/>
      <c r="FW218" s="2"/>
      <c r="FX218" s="2"/>
    </row>
    <row r="219" spans="178:180">
      <c r="FV219" s="2"/>
      <c r="FW219" s="2"/>
      <c r="FX219" s="2"/>
    </row>
    <row r="220" spans="178:180">
      <c r="FV220" s="2"/>
      <c r="FW220" s="2"/>
      <c r="FX220" s="2"/>
    </row>
    <row r="221" spans="178:180">
      <c r="FV221" s="2"/>
      <c r="FW221" s="2"/>
      <c r="FX221" s="2"/>
    </row>
    <row r="222" spans="178:180">
      <c r="FV222" s="2"/>
      <c r="FW222" s="2"/>
      <c r="FX222" s="2"/>
    </row>
    <row r="223" spans="178:180">
      <c r="FV223" s="2"/>
      <c r="FW223" s="2"/>
      <c r="FX223" s="2"/>
    </row>
    <row r="224" spans="178:180">
      <c r="FV224" s="2"/>
      <c r="FW224" s="2"/>
      <c r="FX224" s="2"/>
    </row>
    <row r="225" spans="178:180">
      <c r="FV225" s="2"/>
      <c r="FW225" s="2"/>
      <c r="FX225" s="2"/>
    </row>
    <row r="226" spans="178:180">
      <c r="FV226" s="2"/>
      <c r="FW226" s="2"/>
      <c r="FX226" s="2"/>
    </row>
    <row r="227" spans="178:180">
      <c r="FV227" s="2"/>
      <c r="FW227" s="2"/>
      <c r="FX227" s="2"/>
    </row>
    <row r="228" spans="178:180">
      <c r="FV228" s="2"/>
      <c r="FW228" s="2"/>
      <c r="FX228" s="2"/>
    </row>
    <row r="229" spans="178:180">
      <c r="FV229" s="2"/>
      <c r="FW229" s="2"/>
      <c r="FX229" s="2"/>
    </row>
    <row r="230" spans="178:180">
      <c r="FV230" s="2"/>
      <c r="FW230" s="2"/>
      <c r="FX230" s="2"/>
    </row>
    <row r="231" spans="178:180">
      <c r="FV231" s="2"/>
      <c r="FW231" s="2"/>
      <c r="FX231" s="2"/>
    </row>
    <row r="232" spans="178:180">
      <c r="FV232" s="2"/>
      <c r="FW232" s="2"/>
      <c r="FX232" s="2"/>
    </row>
    <row r="233" spans="178:180">
      <c r="FV233" s="2"/>
      <c r="FW233" s="2"/>
      <c r="FX233" s="2"/>
    </row>
    <row r="234" spans="178:180">
      <c r="FV234" s="2"/>
      <c r="FW234" s="2"/>
      <c r="FX234" s="2"/>
    </row>
    <row r="235" spans="178:180">
      <c r="FV235" s="2"/>
      <c r="FW235" s="2"/>
      <c r="FX235" s="2"/>
    </row>
    <row r="236" spans="178:180">
      <c r="FV236" s="2"/>
      <c r="FW236" s="2"/>
      <c r="FX236" s="2"/>
    </row>
    <row r="237" spans="178:180">
      <c r="FV237" s="2"/>
      <c r="FW237" s="2"/>
      <c r="FX237" s="2"/>
    </row>
    <row r="238" spans="178:180">
      <c r="FV238" s="2"/>
      <c r="FW238" s="2"/>
      <c r="FX238" s="2"/>
    </row>
    <row r="239" spans="178:180">
      <c r="FV239" s="2"/>
      <c r="FW239" s="2"/>
      <c r="FX239" s="2"/>
    </row>
    <row r="240" spans="178:180">
      <c r="FV240" s="2"/>
      <c r="FW240" s="2"/>
      <c r="FX240" s="2"/>
    </row>
    <row r="241" spans="178:180">
      <c r="FV241" s="2"/>
      <c r="FW241" s="2"/>
      <c r="FX241" s="2"/>
    </row>
    <row r="242" spans="178:180">
      <c r="FV242" s="2"/>
      <c r="FW242" s="2"/>
      <c r="FX242" s="2"/>
    </row>
    <row r="243" spans="178:180">
      <c r="FV243" s="2"/>
      <c r="FW243" s="2"/>
      <c r="FX243" s="2"/>
    </row>
    <row r="244" spans="178:180">
      <c r="FV244" s="2"/>
      <c r="FW244" s="2"/>
      <c r="FX244" s="2"/>
    </row>
    <row r="245" spans="178:180">
      <c r="FV245" s="2"/>
      <c r="FW245" s="2"/>
      <c r="FX245" s="2"/>
    </row>
    <row r="246" spans="178:180">
      <c r="FV246" s="2"/>
      <c r="FW246" s="2"/>
      <c r="FX246" s="2"/>
    </row>
    <row r="247" spans="178:180">
      <c r="FV247" s="2"/>
      <c r="FW247" s="2"/>
      <c r="FX247" s="2"/>
    </row>
    <row r="248" spans="178:180">
      <c r="FV248" s="2"/>
      <c r="FW248" s="2"/>
      <c r="FX248" s="2"/>
    </row>
    <row r="249" spans="178:180">
      <c r="FV249" s="2"/>
      <c r="FW249" s="2"/>
      <c r="FX249" s="2"/>
    </row>
    <row r="250" spans="178:180">
      <c r="FV250" s="2"/>
      <c r="FW250" s="2"/>
      <c r="FX250" s="2"/>
    </row>
    <row r="251" spans="178:180">
      <c r="FV251" s="2"/>
      <c r="FW251" s="2"/>
      <c r="FX251" s="2"/>
    </row>
    <row r="252" spans="178:180">
      <c r="FV252" s="2"/>
      <c r="FW252" s="2"/>
      <c r="FX252" s="2"/>
    </row>
    <row r="253" spans="178:180">
      <c r="FV253" s="2"/>
      <c r="FW253" s="2"/>
      <c r="FX253" s="2"/>
    </row>
    <row r="254" spans="178:180">
      <c r="FV254" s="2"/>
      <c r="FW254" s="2"/>
      <c r="FX254" s="2"/>
    </row>
    <row r="255" spans="178:180">
      <c r="FV255" s="2"/>
      <c r="FW255" s="2"/>
      <c r="FX255" s="2"/>
    </row>
    <row r="256" spans="178:180">
      <c r="FV256" s="2"/>
      <c r="FW256" s="2"/>
      <c r="FX256" s="2"/>
    </row>
    <row r="257" spans="178:180">
      <c r="FV257" s="2"/>
      <c r="FW257" s="2"/>
      <c r="FX257" s="2"/>
    </row>
    <row r="258" spans="178:180">
      <c r="FV258" s="2"/>
      <c r="FW258" s="2"/>
      <c r="FX258" s="2"/>
    </row>
    <row r="259" spans="178:180">
      <c r="FV259" s="2"/>
      <c r="FW259" s="2"/>
      <c r="FX259" s="2"/>
    </row>
    <row r="260" spans="178:180">
      <c r="FV260" s="2"/>
      <c r="FW260" s="2"/>
      <c r="FX260" s="2"/>
    </row>
    <row r="261" spans="178:180">
      <c r="FV261" s="2"/>
      <c r="FW261" s="2"/>
      <c r="FX261" s="2"/>
    </row>
    <row r="262" spans="178:180">
      <c r="FV262" s="2"/>
      <c r="FW262" s="2"/>
      <c r="FX262" s="2"/>
    </row>
    <row r="263" spans="178:180">
      <c r="FV263" s="2"/>
      <c r="FW263" s="2"/>
      <c r="FX263" s="2"/>
    </row>
    <row r="264" spans="178:180">
      <c r="FV264" s="2"/>
      <c r="FW264" s="2"/>
      <c r="FX264" s="2"/>
    </row>
    <row r="265" spans="178:180">
      <c r="FV265" s="2"/>
      <c r="FW265" s="2"/>
      <c r="FX265" s="2"/>
    </row>
    <row r="266" spans="178:180">
      <c r="FV266" s="2"/>
      <c r="FW266" s="2"/>
      <c r="FX266" s="2"/>
    </row>
    <row r="267" spans="178:180">
      <c r="FV267" s="2"/>
      <c r="FW267" s="2"/>
      <c r="FX267" s="2"/>
    </row>
    <row r="268" spans="178:180">
      <c r="FV268" s="2"/>
      <c r="FW268" s="2"/>
      <c r="FX268" s="2"/>
    </row>
    <row r="269" spans="178:180">
      <c r="FV269" s="2"/>
      <c r="FW269" s="2"/>
      <c r="FX269" s="2"/>
    </row>
    <row r="270" spans="178:180">
      <c r="FV270" s="2"/>
      <c r="FW270" s="2"/>
      <c r="FX270" s="2"/>
    </row>
    <row r="271" spans="178:180">
      <c r="FV271" s="2"/>
      <c r="FW271" s="2"/>
      <c r="FX271" s="2"/>
    </row>
    <row r="272" spans="178:180">
      <c r="FV272" s="2"/>
      <c r="FW272" s="2"/>
      <c r="FX272" s="2"/>
    </row>
    <row r="273" spans="178:180">
      <c r="FV273" s="2"/>
      <c r="FW273" s="2"/>
      <c r="FX273" s="2"/>
    </row>
    <row r="274" spans="178:180">
      <c r="FV274" s="2"/>
      <c r="FW274" s="2"/>
      <c r="FX274" s="2"/>
    </row>
    <row r="275" spans="178:180">
      <c r="FV275" s="2"/>
      <c r="FW275" s="2"/>
      <c r="FX275" s="2"/>
    </row>
    <row r="276" spans="178:180">
      <c r="FV276" s="2"/>
      <c r="FW276" s="2"/>
      <c r="FX276" s="2"/>
    </row>
    <row r="277" spans="178:180">
      <c r="FV277" s="2"/>
      <c r="FW277" s="2"/>
      <c r="FX277" s="2"/>
    </row>
    <row r="278" spans="178:180">
      <c r="FV278" s="2"/>
      <c r="FW278" s="2"/>
      <c r="FX278" s="2"/>
    </row>
    <row r="279" spans="178:180">
      <c r="FV279" s="2"/>
      <c r="FW279" s="2"/>
      <c r="FX279" s="2"/>
    </row>
    <row r="280" spans="178:180">
      <c r="FV280" s="2"/>
      <c r="FW280" s="2"/>
      <c r="FX280" s="2"/>
    </row>
    <row r="281" spans="178:180">
      <c r="FV281" s="2"/>
      <c r="FW281" s="2"/>
      <c r="FX281" s="2"/>
    </row>
    <row r="282" spans="178:180">
      <c r="FV282" s="2"/>
      <c r="FW282" s="2"/>
      <c r="FX282" s="2"/>
    </row>
    <row r="283" spans="178:180">
      <c r="FV283" s="2"/>
      <c r="FW283" s="2"/>
      <c r="FX283" s="2"/>
    </row>
    <row r="284" spans="178:180">
      <c r="FV284" s="2"/>
      <c r="FW284" s="2"/>
      <c r="FX284" s="2"/>
    </row>
    <row r="285" spans="178:180">
      <c r="FV285" s="2"/>
      <c r="FW285" s="2"/>
      <c r="FX285" s="2"/>
    </row>
    <row r="286" spans="178:180">
      <c r="FV286" s="2"/>
      <c r="FW286" s="2"/>
      <c r="FX286" s="2"/>
    </row>
    <row r="287" spans="178:180">
      <c r="FV287" s="2"/>
      <c r="FW287" s="2"/>
      <c r="FX287" s="2"/>
    </row>
    <row r="288" spans="178:180">
      <c r="FV288" s="2"/>
      <c r="FW288" s="2"/>
      <c r="FX288" s="2"/>
    </row>
    <row r="289" spans="178:180">
      <c r="FV289" s="2"/>
      <c r="FW289" s="2"/>
      <c r="FX289" s="2"/>
    </row>
    <row r="290" spans="178:180">
      <c r="FV290" s="2"/>
      <c r="FW290" s="2"/>
      <c r="FX290" s="2"/>
    </row>
    <row r="291" spans="178:180">
      <c r="FV291" s="2"/>
      <c r="FW291" s="2"/>
      <c r="FX291" s="2"/>
    </row>
    <row r="292" spans="178:180">
      <c r="FV292" s="2"/>
      <c r="FW292" s="2"/>
      <c r="FX292" s="2"/>
    </row>
    <row r="293" spans="178:180">
      <c r="FV293" s="2"/>
      <c r="FW293" s="2"/>
      <c r="FX293" s="2"/>
    </row>
    <row r="294" spans="178:180">
      <c r="FV294" s="2"/>
      <c r="FW294" s="2"/>
      <c r="FX294" s="2"/>
    </row>
    <row r="295" spans="178:180">
      <c r="FV295" s="2"/>
      <c r="FW295" s="2"/>
      <c r="FX295" s="2"/>
    </row>
    <row r="296" spans="178:180">
      <c r="FV296" s="2"/>
      <c r="FW296" s="2"/>
      <c r="FX296" s="2"/>
    </row>
    <row r="297" spans="178:180">
      <c r="FV297" s="2"/>
      <c r="FW297" s="2"/>
      <c r="FX297" s="2"/>
    </row>
    <row r="298" spans="178:180">
      <c r="FV298" s="2"/>
      <c r="FW298" s="2"/>
      <c r="FX298" s="2"/>
    </row>
    <row r="299" spans="178:180">
      <c r="FV299" s="2"/>
      <c r="FW299" s="2"/>
      <c r="FX299" s="2"/>
    </row>
    <row r="300" spans="178:180">
      <c r="FV300" s="2"/>
      <c r="FW300" s="2"/>
      <c r="FX300" s="2"/>
    </row>
    <row r="418" spans="42:42">
      <c r="AP418" s="2"/>
    </row>
    <row r="419" spans="42:42">
      <c r="AP419" s="2"/>
    </row>
    <row r="420" spans="42:42">
      <c r="AP420" s="2"/>
    </row>
    <row r="421" spans="42:42">
      <c r="AP421" s="2"/>
    </row>
    <row r="422" spans="42:42">
      <c r="AP422" s="2"/>
    </row>
    <row r="423" spans="42:42">
      <c r="AP423" s="2"/>
    </row>
    <row r="424" spans="42:42">
      <c r="AP424" s="2"/>
    </row>
    <row r="425" spans="42:42">
      <c r="AP425" s="2"/>
    </row>
  </sheetData>
  <sortState ref="AN234:AT574">
    <sortCondition ref="AQ234:AQ574"/>
  </sortState>
  <mergeCells count="3">
    <mergeCell ref="Z7:AC7"/>
    <mergeCell ref="U23:X23"/>
    <mergeCell ref="U7:X7"/>
  </mergeCells>
  <dataValidations disablePrompts="1" count="1">
    <dataValidation type="list" showInputMessage="1" showErrorMessage="1" sqref="E10">
      <formula1>"Advertising Position 1,Advertising Position 2,Advertising Position 3,Advertising Position 4,QGC  Advertising Dec 07,QGC Advertising Dec 08,QGC Advertising June 08,QGC Advertising Dec 09"</formula1>
    </dataValidation>
  </dataValidations>
  <pageMargins left="0.7" right="0.7" top="0.75" bottom="0.75" header="0.3" footer="0.3"/>
  <pageSetup scale="72" orientation="portrait" r:id="rId1"/>
  <colBreaks count="2" manualBreakCount="2">
    <brk id="4" max="32" man="1"/>
    <brk id="19" max="3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CD150"/>
  <sheetViews>
    <sheetView topLeftCell="I13" zoomScale="85" zoomScaleNormal="85" workbookViewId="0">
      <selection activeCell="L34" sqref="L34"/>
    </sheetView>
  </sheetViews>
  <sheetFormatPr defaultColWidth="9.140625" defaultRowHeight="12.75"/>
  <cols>
    <col min="1" max="1" width="4.7109375" style="1022" customWidth="1"/>
    <col min="2" max="2" width="18.28515625" style="2" customWidth="1"/>
    <col min="3" max="3" width="21.7109375" style="2" customWidth="1"/>
    <col min="4" max="4" width="17.140625" style="2" customWidth="1"/>
    <col min="5" max="5" width="3.7109375" style="2" hidden="1" customWidth="1"/>
    <col min="6" max="6" width="17.140625" style="2" hidden="1" customWidth="1"/>
    <col min="7" max="7" width="4" style="2" hidden="1" customWidth="1"/>
    <col min="8" max="8" width="4.140625" style="2" hidden="1" customWidth="1"/>
    <col min="9" max="9" width="38.7109375" style="2" customWidth="1"/>
    <col min="10" max="10" width="4.7109375" style="102" customWidth="1"/>
    <col min="11" max="11" width="4.28515625" style="112" customWidth="1"/>
    <col min="12" max="12" width="36.28515625" style="112" customWidth="1"/>
    <col min="13" max="13" width="17" style="112" customWidth="1"/>
    <col min="14" max="14" width="14" style="112" bestFit="1" customWidth="1"/>
    <col min="15" max="15" width="16.140625" style="112" customWidth="1"/>
    <col min="16" max="16" width="18.85546875" style="112" customWidth="1"/>
    <col min="17" max="17" width="5.140625" style="112" customWidth="1"/>
    <col min="18" max="18" width="5" style="2" customWidth="1"/>
    <col min="19" max="20" width="2.7109375" style="2" customWidth="1"/>
    <col min="21" max="21" width="29.5703125" style="2" customWidth="1"/>
    <col min="22" max="22" width="17.28515625" style="2" customWidth="1"/>
    <col min="23" max="23" width="7.85546875" style="2" customWidth="1"/>
    <col min="24" max="24" width="19.85546875" style="2" bestFit="1" customWidth="1"/>
    <col min="25" max="25" width="16.5703125" style="2" customWidth="1"/>
    <col min="26" max="26" width="12.28515625" style="2" bestFit="1" customWidth="1"/>
    <col min="27" max="27" width="5" style="2" customWidth="1"/>
    <col min="28" max="28" width="42.85546875" style="2" bestFit="1" customWidth="1"/>
    <col min="29" max="29" width="14.42578125" style="2" customWidth="1"/>
    <col min="30" max="34" width="16.85546875" style="2" customWidth="1"/>
    <col min="35" max="35" width="14.42578125" style="2" customWidth="1"/>
    <col min="36" max="36" width="16.28515625" style="2" bestFit="1" customWidth="1"/>
    <col min="37" max="37" width="4.140625" style="2" bestFit="1" customWidth="1"/>
    <col min="38" max="38" width="5" style="2" customWidth="1"/>
    <col min="39" max="39" width="5.5703125" style="2" customWidth="1"/>
    <col min="40" max="40" width="42.28515625" style="2" customWidth="1"/>
    <col min="41" max="41" width="28.85546875" style="2" customWidth="1"/>
    <col min="42" max="42" width="16" style="2" bestFit="1" customWidth="1"/>
    <col min="43" max="43" width="25.85546875" style="2" customWidth="1"/>
    <col min="44" max="44" width="16.140625" style="2" bestFit="1" customWidth="1"/>
    <col min="45" max="45" width="6.28515625" style="2" customWidth="1"/>
    <col min="46" max="46" width="10.140625" style="2" bestFit="1" customWidth="1"/>
    <col min="47" max="47" width="12.140625" style="2" bestFit="1" customWidth="1"/>
    <col min="48" max="48" width="17.7109375" style="2" customWidth="1"/>
    <col min="49" max="49" width="19.42578125" style="2" bestFit="1" customWidth="1"/>
    <col min="50" max="50" width="10.7109375" style="2" bestFit="1" customWidth="1"/>
    <col min="51" max="51" width="13.5703125" style="49" bestFit="1" customWidth="1"/>
    <col min="52" max="52" width="19" style="2" bestFit="1" customWidth="1"/>
    <col min="53" max="53" width="10.7109375" style="2" bestFit="1" customWidth="1"/>
    <col min="54" max="54" width="7.42578125" style="2" bestFit="1" customWidth="1"/>
    <col min="55" max="55" width="9.140625" style="2"/>
    <col min="56" max="56" width="10.140625" style="2" bestFit="1" customWidth="1"/>
    <col min="57" max="57" width="6.7109375" style="2" bestFit="1" customWidth="1"/>
    <col min="58" max="58" width="14.140625" style="2" bestFit="1" customWidth="1"/>
    <col min="59" max="59" width="23.42578125" style="2" bestFit="1" customWidth="1"/>
    <col min="60" max="60" width="10.7109375" style="2" bestFit="1" customWidth="1"/>
    <col min="61" max="61" width="7.42578125" style="2" bestFit="1" customWidth="1"/>
    <col min="62" max="62" width="12.140625" style="2" bestFit="1" customWidth="1"/>
    <col min="63" max="63" width="8.140625" style="2" bestFit="1" customWidth="1"/>
    <col min="64" max="64" width="9.140625" style="2"/>
    <col min="65" max="65" width="12.28515625" style="1157" bestFit="1" customWidth="1"/>
    <col min="66" max="66" width="7.7109375" bestFit="1" customWidth="1"/>
    <col min="67" max="67" width="13.42578125" style="465" bestFit="1" customWidth="1"/>
    <col min="68" max="68" width="22.28515625" bestFit="1" customWidth="1"/>
    <col min="69" max="69" width="11.140625" bestFit="1" customWidth="1"/>
    <col min="70" max="70" width="9" style="1157" bestFit="1" customWidth="1"/>
    <col min="71" max="71" width="14.42578125" style="1157" bestFit="1" customWidth="1"/>
    <col min="72" max="72" width="7" style="1157" bestFit="1" customWidth="1"/>
    <col min="73" max="73" width="6.85546875" bestFit="1" customWidth="1"/>
    <col min="74" max="74" width="9.140625" style="2"/>
    <col min="75" max="75" width="10.85546875" style="2" bestFit="1" customWidth="1"/>
    <col min="76" max="76" width="7.28515625" style="2" bestFit="1" customWidth="1"/>
    <col min="77" max="77" width="15.140625" style="2" bestFit="1" customWidth="1"/>
    <col min="78" max="78" width="29.42578125" style="2" bestFit="1" customWidth="1"/>
    <col min="79" max="79" width="11" style="2" bestFit="1" customWidth="1"/>
    <col min="80" max="16384" width="9.140625" style="2"/>
  </cols>
  <sheetData>
    <row r="1" spans="1:82" ht="15.75" thickBot="1">
      <c r="A1" s="77" t="s">
        <v>9</v>
      </c>
      <c r="F1" s="7"/>
      <c r="G1" s="2">
        <v>1</v>
      </c>
      <c r="I1" s="94"/>
      <c r="K1" s="77" t="s">
        <v>9</v>
      </c>
      <c r="L1" s="2"/>
      <c r="M1" s="2"/>
      <c r="N1" s="2"/>
      <c r="P1" s="94"/>
      <c r="S1" s="77" t="s">
        <v>9</v>
      </c>
      <c r="AB1" s="77" t="s">
        <v>9</v>
      </c>
      <c r="AI1" s="1020"/>
      <c r="AJ1" s="1020"/>
      <c r="AK1" s="55"/>
      <c r="AL1" s="55"/>
      <c r="AN1" s="1283"/>
      <c r="AO1" s="1284"/>
      <c r="AP1" s="1284"/>
      <c r="AQ1" s="1284"/>
      <c r="AR1" s="1285"/>
      <c r="AT1" s="730" t="s">
        <v>1582</v>
      </c>
      <c r="BD1" s="68" t="s">
        <v>1156</v>
      </c>
      <c r="BM1" s="1183" t="s">
        <v>1157</v>
      </c>
      <c r="BW1" s="68" t="s">
        <v>1583</v>
      </c>
    </row>
    <row r="2" spans="1:82" ht="16.5" customHeight="1" thickBot="1">
      <c r="A2" s="299" t="str">
        <f>+'Control Panel'!$B$1</f>
        <v>Dominion Energy</v>
      </c>
      <c r="D2" s="1019"/>
      <c r="E2" s="1019"/>
      <c r="F2" s="1019" t="s">
        <v>756</v>
      </c>
      <c r="G2" s="2">
        <f>+G1+1</f>
        <v>2</v>
      </c>
      <c r="I2" s="1127"/>
      <c r="K2" s="299" t="str">
        <f>+'Control Panel'!$B$1</f>
        <v>Dominion Energy</v>
      </c>
      <c r="L2" s="2"/>
      <c r="M2" s="2"/>
      <c r="N2" s="7"/>
      <c r="P2" s="76"/>
      <c r="S2" s="299" t="str">
        <f>+'Control Panel'!$B$1</f>
        <v>Dominion Energy</v>
      </c>
      <c r="AB2" s="299" t="str">
        <f>+'Control Panel'!$B$1</f>
        <v>Dominion Energy</v>
      </c>
      <c r="AI2" s="55"/>
      <c r="AJ2" s="55"/>
      <c r="AK2" s="55"/>
      <c r="AL2" s="55"/>
      <c r="AN2" s="936" t="s">
        <v>1035</v>
      </c>
      <c r="AO2" s="887"/>
      <c r="AP2" s="887" t="s">
        <v>466</v>
      </c>
      <c r="AQ2" s="888"/>
      <c r="AR2" s="993"/>
      <c r="AT2" s="1132" t="s">
        <v>92</v>
      </c>
      <c r="AU2" s="1132" t="s">
        <v>339</v>
      </c>
      <c r="AV2" s="1132" t="s">
        <v>121</v>
      </c>
      <c r="AW2" s="1132" t="s">
        <v>7</v>
      </c>
      <c r="AX2" s="1132" t="s">
        <v>631</v>
      </c>
      <c r="AY2" s="1263" t="s">
        <v>655</v>
      </c>
      <c r="AZ2" s="1132" t="s">
        <v>90</v>
      </c>
      <c r="BA2" s="1132" t="s">
        <v>91</v>
      </c>
      <c r="BB2" s="1132" t="s">
        <v>680</v>
      </c>
      <c r="BD2" s="1134" t="s">
        <v>7</v>
      </c>
      <c r="BE2" s="1134" t="s">
        <v>631</v>
      </c>
      <c r="BF2" s="1134" t="s">
        <v>781</v>
      </c>
      <c r="BG2" s="1134" t="s">
        <v>90</v>
      </c>
      <c r="BH2" s="1134" t="s">
        <v>91</v>
      </c>
      <c r="BI2" s="1134" t="s">
        <v>680</v>
      </c>
      <c r="BJ2" s="1134" t="s">
        <v>339</v>
      </c>
      <c r="BK2" s="1134" t="s">
        <v>280</v>
      </c>
      <c r="BM2" s="1155" t="s">
        <v>7</v>
      </c>
      <c r="BN2" s="1156" t="s">
        <v>631</v>
      </c>
      <c r="BO2" s="1160" t="s">
        <v>655</v>
      </c>
      <c r="BP2" s="1156" t="s">
        <v>1087</v>
      </c>
      <c r="BQ2" s="1156" t="s">
        <v>91</v>
      </c>
      <c r="BR2" s="1155" t="s">
        <v>680</v>
      </c>
      <c r="BS2" s="1155" t="s">
        <v>339</v>
      </c>
      <c r="BT2" s="1156" t="s">
        <v>1088</v>
      </c>
      <c r="BU2" s="1156" t="s">
        <v>92</v>
      </c>
      <c r="BW2" s="1134" t="s">
        <v>7</v>
      </c>
      <c r="BX2" s="1134" t="s">
        <v>631</v>
      </c>
      <c r="BY2" s="1134" t="s">
        <v>781</v>
      </c>
      <c r="BZ2" s="1134" t="s">
        <v>90</v>
      </c>
      <c r="CA2" s="1134" t="s">
        <v>91</v>
      </c>
      <c r="CB2" s="1134" t="s">
        <v>680</v>
      </c>
      <c r="CC2" s="1134" t="s">
        <v>339</v>
      </c>
      <c r="CD2" s="1134" t="s">
        <v>280</v>
      </c>
    </row>
    <row r="3" spans="1:82" ht="24" customHeight="1" thickBot="1">
      <c r="A3" s="299" t="str">
        <f>+'Control Panel'!$B$2</f>
        <v>Utah - Dec 2017 Adjusted Avg Results</v>
      </c>
      <c r="D3" s="416" t="s">
        <v>1563</v>
      </c>
      <c r="E3" s="416"/>
      <c r="F3" s="416" t="str">
        <f>+'Control Panel'!F34</f>
        <v xml:space="preserve"> Incentives</v>
      </c>
      <c r="G3" s="2">
        <f t="shared" ref="G3:G26" si="0">+G2+1</f>
        <v>3</v>
      </c>
      <c r="I3" s="23"/>
      <c r="K3" s="299" t="str">
        <f>+'Control Panel'!$B$2</f>
        <v>Utah - Dec 2017 Adjusted Avg Results</v>
      </c>
      <c r="L3" s="2"/>
      <c r="M3" s="2"/>
      <c r="N3" s="2"/>
      <c r="Q3" s="23"/>
      <c r="S3" s="299" t="str">
        <f>+'Control Panel'!$B$2</f>
        <v>Utah - Dec 2017 Adjusted Avg Results</v>
      </c>
      <c r="AB3" s="299" t="str">
        <f>+'Control Panel'!$B$2</f>
        <v>Utah - Dec 2017 Adjusted Avg Results</v>
      </c>
      <c r="AI3" s="55"/>
      <c r="AJ3" s="55"/>
      <c r="AK3" s="55"/>
      <c r="AL3" s="55"/>
      <c r="AN3" s="994" t="s">
        <v>266</v>
      </c>
      <c r="AO3" s="889"/>
      <c r="AP3" s="888">
        <v>1</v>
      </c>
      <c r="AQ3" s="896">
        <v>7</v>
      </c>
      <c r="AR3" s="995" t="s">
        <v>824</v>
      </c>
      <c r="AT3" s="1131" t="s">
        <v>780</v>
      </c>
      <c r="AU3" s="758" t="s">
        <v>854</v>
      </c>
      <c r="AV3" s="1131" t="s">
        <v>122</v>
      </c>
      <c r="AW3" s="758" t="s">
        <v>757</v>
      </c>
      <c r="AX3" s="1182" t="s">
        <v>332</v>
      </c>
      <c r="AY3" s="1377">
        <v>482700</v>
      </c>
      <c r="AZ3" s="758" t="s">
        <v>1584</v>
      </c>
      <c r="BA3" s="1375">
        <v>42766</v>
      </c>
      <c r="BB3" s="758" t="s">
        <v>1034</v>
      </c>
      <c r="BD3" s="1383" t="s">
        <v>1490</v>
      </c>
      <c r="BE3" s="758"/>
      <c r="BF3" s="759"/>
      <c r="BG3" s="758"/>
      <c r="BH3" s="1106"/>
      <c r="BI3" s="758"/>
      <c r="BJ3" s="758"/>
      <c r="BK3" s="843"/>
      <c r="BM3" s="758" t="s">
        <v>757</v>
      </c>
      <c r="BN3" s="758" t="s">
        <v>377</v>
      </c>
      <c r="BO3" s="1377">
        <v>919000</v>
      </c>
      <c r="BP3" s="758" t="s">
        <v>1491</v>
      </c>
      <c r="BQ3" s="1375">
        <v>43100</v>
      </c>
      <c r="BR3" s="758" t="s">
        <v>1034</v>
      </c>
      <c r="BS3" s="758" t="s">
        <v>1492</v>
      </c>
      <c r="BT3" s="1384">
        <v>2</v>
      </c>
      <c r="BU3" s="1158" t="s">
        <v>779</v>
      </c>
      <c r="BW3" s="1383" t="s">
        <v>1490</v>
      </c>
      <c r="BX3" s="758"/>
      <c r="BY3" s="759"/>
      <c r="BZ3" s="758"/>
      <c r="CA3" s="1106"/>
      <c r="CB3" s="758"/>
      <c r="CC3" s="758"/>
      <c r="CD3" s="843"/>
    </row>
    <row r="4" spans="1:82" ht="23.25" customHeight="1">
      <c r="A4" s="368" t="str">
        <f>+'Control Panel'!$B$3</f>
        <v>12 Months Ended : Dec-2017</v>
      </c>
      <c r="D4" s="417"/>
      <c r="E4" s="417"/>
      <c r="F4" s="417"/>
      <c r="G4" s="2">
        <f t="shared" si="0"/>
        <v>4</v>
      </c>
      <c r="I4" s="24"/>
      <c r="K4" s="368" t="str">
        <f>+'Control Panel'!$B$3</f>
        <v>12 Months Ended : Dec-2017</v>
      </c>
      <c r="L4" s="2"/>
      <c r="M4" s="2"/>
      <c r="N4" s="2"/>
      <c r="Q4" s="24"/>
      <c r="S4" s="368" t="str">
        <f>+'Control Panel'!$B$3</f>
        <v>12 Months Ended : Dec-2017</v>
      </c>
      <c r="AB4" s="368" t="str">
        <f>+'Control Panel'!$B$3</f>
        <v>12 Months Ended : Dec-2017</v>
      </c>
      <c r="AI4" s="529"/>
      <c r="AJ4" s="55"/>
      <c r="AK4" s="498"/>
      <c r="AL4" s="55"/>
      <c r="AN4" s="994" t="s">
        <v>267</v>
      </c>
      <c r="AO4" s="890" t="s">
        <v>915</v>
      </c>
      <c r="AP4" s="891">
        <v>1092690</v>
      </c>
      <c r="AQ4" s="1036">
        <v>1457868.18</v>
      </c>
      <c r="AR4" s="996">
        <f t="shared" ref="AR4:AR7" si="1">SUM(AP4:AQ4)</f>
        <v>2550558.1799999997</v>
      </c>
      <c r="AT4" s="1131" t="s">
        <v>780</v>
      </c>
      <c r="AU4" s="758" t="s">
        <v>854</v>
      </c>
      <c r="AV4" s="1131" t="s">
        <v>122</v>
      </c>
      <c r="AW4" s="758" t="s">
        <v>757</v>
      </c>
      <c r="AX4" s="1182" t="s">
        <v>332</v>
      </c>
      <c r="AY4" s="1377">
        <v>482700</v>
      </c>
      <c r="AZ4" s="758" t="s">
        <v>1584</v>
      </c>
      <c r="BA4" s="1375">
        <v>42794</v>
      </c>
      <c r="BB4" s="758" t="s">
        <v>1034</v>
      </c>
      <c r="BD4" s="758"/>
      <c r="BE4" s="758"/>
      <c r="BF4" s="759"/>
      <c r="BG4" s="758"/>
      <c r="BH4" s="1106"/>
      <c r="BI4" s="758"/>
      <c r="BJ4" s="758"/>
      <c r="BK4" s="843"/>
      <c r="BM4" s="758" t="s">
        <v>757</v>
      </c>
      <c r="BN4" s="758" t="s">
        <v>377</v>
      </c>
      <c r="BO4" s="1377">
        <v>312161.31</v>
      </c>
      <c r="BP4" s="758" t="s">
        <v>1493</v>
      </c>
      <c r="BQ4" s="1375">
        <v>42766</v>
      </c>
      <c r="BR4" s="758" t="s">
        <v>1034</v>
      </c>
      <c r="BS4" s="758" t="s">
        <v>1106</v>
      </c>
      <c r="BT4" s="1384">
        <v>4</v>
      </c>
      <c r="BU4" s="1158" t="s">
        <v>779</v>
      </c>
      <c r="BW4" s="758"/>
      <c r="BX4" s="758"/>
      <c r="BY4" s="759"/>
      <c r="BZ4" s="758"/>
      <c r="CA4" s="1106"/>
      <c r="CB4" s="758"/>
      <c r="CC4" s="758"/>
      <c r="CD4" s="843"/>
    </row>
    <row r="5" spans="1:82" ht="15">
      <c r="A5" s="1018"/>
      <c r="G5" s="2">
        <f t="shared" si="0"/>
        <v>5</v>
      </c>
      <c r="I5" s="24"/>
      <c r="Q5" s="24"/>
      <c r="AB5" s="299"/>
      <c r="AC5" s="530"/>
      <c r="AD5" s="530"/>
      <c r="AE5" s="530"/>
      <c r="AF5" s="530"/>
      <c r="AG5" s="530"/>
      <c r="AH5" s="530"/>
      <c r="AI5" s="530"/>
      <c r="AJ5" s="55"/>
      <c r="AK5" s="55"/>
      <c r="AL5" s="55"/>
      <c r="AN5" s="997" t="s">
        <v>709</v>
      </c>
      <c r="AO5" s="890" t="s">
        <v>916</v>
      </c>
      <c r="AP5" s="892">
        <v>186760</v>
      </c>
      <c r="AQ5" s="893">
        <v>1761837.1</v>
      </c>
      <c r="AR5" s="998">
        <f t="shared" si="1"/>
        <v>1948597.1</v>
      </c>
      <c r="AT5" s="1131" t="s">
        <v>780</v>
      </c>
      <c r="AU5" s="758" t="s">
        <v>854</v>
      </c>
      <c r="AV5" s="1131" t="s">
        <v>122</v>
      </c>
      <c r="AW5" s="758" t="s">
        <v>757</v>
      </c>
      <c r="AX5" s="1182" t="s">
        <v>332</v>
      </c>
      <c r="AY5" s="1377">
        <v>123413.82</v>
      </c>
      <c r="AZ5" s="758" t="s">
        <v>1584</v>
      </c>
      <c r="BA5" s="1375">
        <v>42825</v>
      </c>
      <c r="BB5" s="758" t="s">
        <v>1034</v>
      </c>
      <c r="BD5" s="758"/>
      <c r="BE5" s="758"/>
      <c r="BF5" s="759"/>
      <c r="BG5" s="758"/>
      <c r="BH5" s="1106"/>
      <c r="BI5" s="758"/>
      <c r="BJ5" s="758"/>
      <c r="BK5" s="843"/>
      <c r="BM5" s="758" t="s">
        <v>757</v>
      </c>
      <c r="BN5" s="758" t="s">
        <v>377</v>
      </c>
      <c r="BO5" s="1377">
        <v>312161.31</v>
      </c>
      <c r="BP5" s="758" t="s">
        <v>1493</v>
      </c>
      <c r="BQ5" s="1375">
        <v>42794</v>
      </c>
      <c r="BR5" s="758" t="s">
        <v>1034</v>
      </c>
      <c r="BS5" s="758" t="s">
        <v>1106</v>
      </c>
      <c r="BT5" s="1384">
        <v>6</v>
      </c>
      <c r="BU5" s="1158" t="s">
        <v>779</v>
      </c>
      <c r="BW5" s="758"/>
      <c r="BX5" s="758"/>
      <c r="BY5" s="759"/>
      <c r="BZ5" s="758"/>
      <c r="CA5" s="1106"/>
      <c r="CB5" s="758"/>
      <c r="CC5" s="758"/>
      <c r="CD5" s="843"/>
    </row>
    <row r="6" spans="1:82" ht="16.5">
      <c r="G6" s="2">
        <f t="shared" si="0"/>
        <v>6</v>
      </c>
      <c r="L6" s="131"/>
      <c r="M6" s="131"/>
      <c r="N6" s="131"/>
      <c r="O6" s="131"/>
      <c r="AB6" s="299"/>
      <c r="AC6" s="531"/>
      <c r="AD6" s="531"/>
      <c r="AE6" s="531"/>
      <c r="AF6" s="1274">
        <f>0.5*1.13</f>
        <v>0.56499999999999995</v>
      </c>
      <c r="AG6" s="531"/>
      <c r="AH6" s="531"/>
      <c r="AI6" s="531"/>
      <c r="AJ6" s="55"/>
      <c r="AK6" s="55"/>
      <c r="AL6" s="55"/>
      <c r="AN6" s="997" t="s">
        <v>5</v>
      </c>
      <c r="AO6" s="894" t="s">
        <v>917</v>
      </c>
      <c r="AP6" s="892">
        <v>4328316.09</v>
      </c>
      <c r="AQ6" s="2">
        <v>1794813.47</v>
      </c>
      <c r="AR6" s="998">
        <f t="shared" si="1"/>
        <v>6123129.5599999996</v>
      </c>
      <c r="AT6" s="1131" t="s">
        <v>780</v>
      </c>
      <c r="AU6" s="758" t="s">
        <v>854</v>
      </c>
      <c r="AV6" s="1131" t="s">
        <v>122</v>
      </c>
      <c r="AW6" s="758" t="s">
        <v>757</v>
      </c>
      <c r="AX6" s="1182" t="s">
        <v>332</v>
      </c>
      <c r="AY6" s="1377">
        <v>501375</v>
      </c>
      <c r="AZ6" s="758" t="s">
        <v>1584</v>
      </c>
      <c r="BA6" s="1375">
        <v>42855</v>
      </c>
      <c r="BB6" s="758" t="s">
        <v>1034</v>
      </c>
      <c r="BD6" s="758"/>
      <c r="BE6" s="758"/>
      <c r="BF6" s="759"/>
      <c r="BG6" s="758"/>
      <c r="BH6" s="1106"/>
      <c r="BI6" s="758"/>
      <c r="BJ6" s="758"/>
      <c r="BK6" s="843"/>
      <c r="BM6" s="758" t="s">
        <v>757</v>
      </c>
      <c r="BN6" s="758" t="s">
        <v>377</v>
      </c>
      <c r="BO6" s="1377">
        <v>456312</v>
      </c>
      <c r="BP6" s="758" t="s">
        <v>1493</v>
      </c>
      <c r="BQ6" s="1375">
        <v>42825</v>
      </c>
      <c r="BR6" s="758" t="s">
        <v>1034</v>
      </c>
      <c r="BS6" s="758" t="s">
        <v>1106</v>
      </c>
      <c r="BT6" s="1384">
        <v>9</v>
      </c>
      <c r="BU6" s="1158" t="s">
        <v>779</v>
      </c>
      <c r="BW6" s="758"/>
      <c r="BX6" s="758"/>
      <c r="BY6" s="759"/>
      <c r="BZ6" s="758"/>
      <c r="CA6" s="1106"/>
      <c r="CB6" s="758"/>
      <c r="CC6" s="758"/>
      <c r="CD6" s="843"/>
    </row>
    <row r="7" spans="1:82" ht="17.25" thickBot="1">
      <c r="G7" s="2">
        <f t="shared" si="0"/>
        <v>7</v>
      </c>
      <c r="P7" s="76"/>
      <c r="Y7" s="76"/>
      <c r="AB7" s="55"/>
      <c r="AC7" s="55"/>
      <c r="AD7" s="55"/>
      <c r="AE7" s="55"/>
      <c r="AF7" s="55">
        <f>AF6/1.13</f>
        <v>0.5</v>
      </c>
      <c r="AG7" s="55"/>
      <c r="AH7" s="55"/>
      <c r="AI7" s="55"/>
      <c r="AJ7" s="55"/>
      <c r="AN7" s="997" t="s">
        <v>918</v>
      </c>
      <c r="AO7" s="895" t="s">
        <v>919</v>
      </c>
      <c r="AP7" s="892">
        <v>1005105.78</v>
      </c>
      <c r="AQ7" s="2">
        <v>99092.37</v>
      </c>
      <c r="AR7" s="998">
        <f t="shared" si="1"/>
        <v>1104198.1499999999</v>
      </c>
      <c r="AT7" s="1131" t="s">
        <v>780</v>
      </c>
      <c r="AU7" s="758" t="s">
        <v>854</v>
      </c>
      <c r="AV7" s="1131" t="s">
        <v>122</v>
      </c>
      <c r="AW7" s="758" t="s">
        <v>757</v>
      </c>
      <c r="AX7" s="1182" t="s">
        <v>332</v>
      </c>
      <c r="AY7" s="1377">
        <v>501375</v>
      </c>
      <c r="AZ7" s="758" t="s">
        <v>1584</v>
      </c>
      <c r="BA7" s="1375">
        <v>42886</v>
      </c>
      <c r="BB7" s="758" t="s">
        <v>1034</v>
      </c>
      <c r="BD7" s="758"/>
      <c r="BE7" s="758"/>
      <c r="BF7" s="759"/>
      <c r="BG7" s="758"/>
      <c r="BH7" s="1106"/>
      <c r="BI7" s="758"/>
      <c r="BJ7" s="758"/>
      <c r="BK7" s="843"/>
      <c r="BM7" s="758" t="s">
        <v>757</v>
      </c>
      <c r="BN7" s="758" t="s">
        <v>377</v>
      </c>
      <c r="BO7" s="1377">
        <v>313313</v>
      </c>
      <c r="BP7" s="758" t="s">
        <v>1493</v>
      </c>
      <c r="BQ7" s="1375">
        <v>42855</v>
      </c>
      <c r="BR7" s="758" t="s">
        <v>1034</v>
      </c>
      <c r="BS7" s="758" t="s">
        <v>1106</v>
      </c>
      <c r="BT7" s="1384">
        <v>6</v>
      </c>
      <c r="BU7" s="1158" t="s">
        <v>779</v>
      </c>
      <c r="BW7" s="758"/>
      <c r="BX7" s="758"/>
      <c r="BY7" s="759"/>
      <c r="BZ7" s="758"/>
      <c r="CA7" s="1106"/>
      <c r="CB7" s="758"/>
      <c r="CC7" s="758"/>
      <c r="CD7" s="843"/>
    </row>
    <row r="8" spans="1:82" ht="15.75" thickBot="1">
      <c r="A8" s="2"/>
      <c r="B8" s="2" t="s">
        <v>9</v>
      </c>
      <c r="G8" s="2">
        <f t="shared" si="0"/>
        <v>8</v>
      </c>
      <c r="J8" s="2"/>
      <c r="K8" s="2"/>
      <c r="L8" s="2" t="s">
        <v>1621</v>
      </c>
      <c r="M8" s="2"/>
      <c r="N8" s="2"/>
      <c r="O8" s="2"/>
      <c r="P8" s="2"/>
      <c r="Q8" s="2"/>
      <c r="S8" s="2" t="s">
        <v>1626</v>
      </c>
      <c r="AN8" s="999" t="s">
        <v>824</v>
      </c>
      <c r="AO8" s="1000"/>
      <c r="AP8" s="1001">
        <f>SUM(AP4:AP7)</f>
        <v>6612871.8700000001</v>
      </c>
      <c r="AQ8" s="1002">
        <f>SUM(AQ4:AQ7)</f>
        <v>5113611.12</v>
      </c>
      <c r="AR8" s="1003">
        <f>SUM(AR4:AR7)</f>
        <v>11726482.99</v>
      </c>
      <c r="AT8" s="1131" t="s">
        <v>780</v>
      </c>
      <c r="AU8" s="758" t="s">
        <v>854</v>
      </c>
      <c r="AV8" s="1131" t="s">
        <v>122</v>
      </c>
      <c r="AW8" s="758" t="s">
        <v>757</v>
      </c>
      <c r="AX8" s="1182" t="s">
        <v>332</v>
      </c>
      <c r="AY8" s="1377">
        <v>501375</v>
      </c>
      <c r="AZ8" s="758" t="s">
        <v>1584</v>
      </c>
      <c r="BA8" s="1375">
        <v>42916</v>
      </c>
      <c r="BB8" s="758" t="s">
        <v>1034</v>
      </c>
      <c r="BD8" s="758"/>
      <c r="BE8" s="758"/>
      <c r="BF8" s="759"/>
      <c r="BG8" s="758"/>
      <c r="BH8" s="1106"/>
      <c r="BI8" s="758"/>
      <c r="BJ8" s="758"/>
      <c r="BK8" s="843"/>
      <c r="BM8" s="758" t="s">
        <v>757</v>
      </c>
      <c r="BN8" s="758" t="s">
        <v>377</v>
      </c>
      <c r="BO8" s="1377">
        <v>313313</v>
      </c>
      <c r="BP8" s="758" t="s">
        <v>1493</v>
      </c>
      <c r="BQ8" s="1375">
        <v>42886</v>
      </c>
      <c r="BR8" s="758" t="s">
        <v>1034</v>
      </c>
      <c r="BS8" s="758" t="s">
        <v>1106</v>
      </c>
      <c r="BT8" s="1384">
        <v>3</v>
      </c>
      <c r="BU8" s="1158" t="s">
        <v>779</v>
      </c>
      <c r="BW8" s="758"/>
      <c r="BX8" s="758"/>
      <c r="BY8" s="759"/>
      <c r="BZ8" s="758"/>
      <c r="CA8" s="1106"/>
      <c r="CB8" s="758"/>
      <c r="CC8" s="758"/>
      <c r="CD8" s="843"/>
    </row>
    <row r="9" spans="1:82">
      <c r="A9" s="2"/>
      <c r="B9" s="2" t="s">
        <v>626</v>
      </c>
      <c r="G9" s="2">
        <f t="shared" si="0"/>
        <v>9</v>
      </c>
      <c r="J9" s="2"/>
      <c r="K9" s="2"/>
      <c r="L9" s="68" t="s">
        <v>1630</v>
      </c>
      <c r="M9" s="2"/>
      <c r="N9" s="2"/>
      <c r="O9" s="2"/>
      <c r="P9" s="2"/>
      <c r="Q9" s="2"/>
      <c r="S9" s="497" t="s">
        <v>1629</v>
      </c>
      <c r="AC9" s="2" t="s">
        <v>514</v>
      </c>
      <c r="AD9" s="2">
        <v>1</v>
      </c>
      <c r="AF9" s="89"/>
      <c r="AI9" s="89"/>
      <c r="AT9" s="1182" t="s">
        <v>780</v>
      </c>
      <c r="AU9" s="758" t="s">
        <v>854</v>
      </c>
      <c r="AV9" s="1182" t="s">
        <v>122</v>
      </c>
      <c r="AW9" s="758" t="s">
        <v>757</v>
      </c>
      <c r="AX9" s="1182" t="s">
        <v>332</v>
      </c>
      <c r="AY9" s="1377">
        <v>501375</v>
      </c>
      <c r="AZ9" s="758" t="s">
        <v>1584</v>
      </c>
      <c r="BA9" s="1375">
        <v>42947</v>
      </c>
      <c r="BB9" s="758" t="s">
        <v>1034</v>
      </c>
      <c r="BD9" s="758"/>
      <c r="BE9" s="758"/>
      <c r="BF9" s="759"/>
      <c r="BG9" s="758"/>
      <c r="BH9" s="1106"/>
      <c r="BI9" s="758"/>
      <c r="BJ9" s="758"/>
      <c r="BK9" s="843"/>
      <c r="BM9" s="758" t="s">
        <v>757</v>
      </c>
      <c r="BN9" s="758" t="s">
        <v>377</v>
      </c>
      <c r="BO9" s="1377">
        <v>313313</v>
      </c>
      <c r="BP9" s="758" t="s">
        <v>1493</v>
      </c>
      <c r="BQ9" s="1375">
        <v>42916</v>
      </c>
      <c r="BR9" s="758" t="s">
        <v>1034</v>
      </c>
      <c r="BS9" s="758" t="s">
        <v>1106</v>
      </c>
      <c r="BT9" s="1384">
        <v>10</v>
      </c>
      <c r="BU9" s="1158" t="s">
        <v>779</v>
      </c>
      <c r="BW9" s="758"/>
      <c r="BX9" s="758"/>
      <c r="BY9" s="759"/>
      <c r="BZ9" s="758"/>
      <c r="CA9" s="1106"/>
      <c r="CB9" s="758"/>
      <c r="CC9" s="758"/>
      <c r="CD9" s="843"/>
    </row>
    <row r="10" spans="1:82">
      <c r="A10" s="2"/>
      <c r="E10" s="55"/>
      <c r="G10" s="2">
        <f t="shared" si="0"/>
        <v>10</v>
      </c>
      <c r="J10" s="2"/>
      <c r="K10" s="2"/>
      <c r="L10" s="2" t="s">
        <v>440</v>
      </c>
      <c r="M10" s="2"/>
      <c r="N10" s="2"/>
      <c r="O10" s="2"/>
      <c r="P10" s="2"/>
      <c r="Q10" s="2"/>
      <c r="U10" s="2" t="s">
        <v>68</v>
      </c>
      <c r="AB10" s="2" t="s">
        <v>356</v>
      </c>
      <c r="AC10" s="2" t="s">
        <v>515</v>
      </c>
      <c r="AD10" s="2" t="s">
        <v>517</v>
      </c>
      <c r="AT10" s="1131" t="s">
        <v>780</v>
      </c>
      <c r="AU10" s="758" t="s">
        <v>854</v>
      </c>
      <c r="AV10" s="1131" t="s">
        <v>122</v>
      </c>
      <c r="AW10" s="758" t="s">
        <v>757</v>
      </c>
      <c r="AX10" s="1182" t="s">
        <v>332</v>
      </c>
      <c r="AY10" s="1377">
        <v>501375</v>
      </c>
      <c r="AZ10" s="758" t="s">
        <v>1584</v>
      </c>
      <c r="BA10" s="1375">
        <v>42978</v>
      </c>
      <c r="BB10" s="758" t="s">
        <v>1034</v>
      </c>
      <c r="BD10" s="758"/>
      <c r="BE10" s="758"/>
      <c r="BF10" s="759"/>
      <c r="BG10" s="758"/>
      <c r="BH10" s="1106"/>
      <c r="BI10" s="758"/>
      <c r="BJ10" s="758"/>
      <c r="BK10" s="843"/>
      <c r="BM10" s="758" t="s">
        <v>757</v>
      </c>
      <c r="BN10" s="758" t="s">
        <v>377</v>
      </c>
      <c r="BO10" s="1377">
        <v>313313</v>
      </c>
      <c r="BP10" s="758" t="s">
        <v>1493</v>
      </c>
      <c r="BQ10" s="1375">
        <v>42947</v>
      </c>
      <c r="BR10" s="758" t="s">
        <v>1034</v>
      </c>
      <c r="BS10" s="758" t="s">
        <v>1106</v>
      </c>
      <c r="BT10" s="1384">
        <v>2</v>
      </c>
      <c r="BU10" s="1158" t="s">
        <v>779</v>
      </c>
      <c r="BW10" s="758"/>
      <c r="BX10" s="758"/>
      <c r="BY10" s="759"/>
      <c r="BZ10" s="758"/>
      <c r="CA10" s="1106"/>
      <c r="CB10" s="758"/>
      <c r="CC10" s="758"/>
      <c r="CD10" s="843"/>
    </row>
    <row r="11" spans="1:82" ht="13.5" thickBot="1">
      <c r="B11" s="1025" t="s">
        <v>784</v>
      </c>
      <c r="C11" s="1025"/>
      <c r="D11" s="1025" t="s">
        <v>785</v>
      </c>
      <c r="E11" s="1206"/>
      <c r="F11" s="1025"/>
      <c r="G11" s="2">
        <f t="shared" si="0"/>
        <v>11</v>
      </c>
      <c r="I11" s="7"/>
      <c r="L11" s="103" t="s">
        <v>784</v>
      </c>
      <c r="M11" s="103"/>
      <c r="N11" s="103" t="s">
        <v>785</v>
      </c>
      <c r="O11" s="103" t="s">
        <v>786</v>
      </c>
      <c r="P11" s="103" t="s">
        <v>787</v>
      </c>
      <c r="R11" s="1022"/>
      <c r="S11" s="1019"/>
      <c r="T11" s="1019"/>
      <c r="U11" s="1019" t="s">
        <v>784</v>
      </c>
      <c r="V11" s="1019" t="s">
        <v>785</v>
      </c>
      <c r="W11" s="1019" t="s">
        <v>786</v>
      </c>
      <c r="X11" s="1019" t="s">
        <v>787</v>
      </c>
      <c r="Y11" s="1019" t="s">
        <v>766</v>
      </c>
      <c r="Z11" s="1019" t="s">
        <v>767</v>
      </c>
      <c r="AB11" s="1024"/>
      <c r="AC11" s="503" t="s">
        <v>516</v>
      </c>
      <c r="AD11" s="1020" t="str">
        <f>AF12</f>
        <v>Actual 2014</v>
      </c>
      <c r="AE11" s="1185"/>
      <c r="AF11" s="1208"/>
      <c r="AG11" s="1270"/>
      <c r="AH11" s="1282"/>
      <c r="AI11" s="1020"/>
      <c r="AJ11" s="240" t="s">
        <v>756</v>
      </c>
      <c r="AK11" s="55"/>
      <c r="AL11" s="55"/>
      <c r="AT11" s="1131" t="s">
        <v>780</v>
      </c>
      <c r="AU11" s="758" t="s">
        <v>854</v>
      </c>
      <c r="AV11" s="1131" t="s">
        <v>122</v>
      </c>
      <c r="AW11" s="758" t="s">
        <v>757</v>
      </c>
      <c r="AX11" s="1182" t="s">
        <v>332</v>
      </c>
      <c r="AY11" s="1377">
        <v>501375</v>
      </c>
      <c r="AZ11" s="758" t="s">
        <v>1584</v>
      </c>
      <c r="BA11" s="1375">
        <v>43008</v>
      </c>
      <c r="BB11" s="758" t="s">
        <v>1034</v>
      </c>
      <c r="BD11" s="758"/>
      <c r="BE11" s="758"/>
      <c r="BF11" s="759"/>
      <c r="BG11" s="758"/>
      <c r="BH11" s="1106"/>
      <c r="BI11" s="758"/>
      <c r="BJ11" s="758"/>
      <c r="BK11" s="843"/>
      <c r="BM11" s="758" t="s">
        <v>757</v>
      </c>
      <c r="BN11" s="758" t="s">
        <v>377</v>
      </c>
      <c r="BO11" s="1377">
        <v>313313</v>
      </c>
      <c r="BP11" s="758" t="s">
        <v>1493</v>
      </c>
      <c r="BQ11" s="1375">
        <v>42978</v>
      </c>
      <c r="BR11" s="758" t="s">
        <v>1034</v>
      </c>
      <c r="BS11" s="758" t="s">
        <v>1106</v>
      </c>
      <c r="BT11" s="1384">
        <v>2</v>
      </c>
      <c r="BU11" s="1158" t="s">
        <v>779</v>
      </c>
      <c r="BW11" s="758"/>
      <c r="BX11" s="758"/>
      <c r="BY11" s="759"/>
      <c r="BZ11" s="758"/>
      <c r="CA11" s="1106"/>
      <c r="CB11" s="758"/>
      <c r="CC11" s="758"/>
      <c r="CD11" s="843"/>
    </row>
    <row r="12" spans="1:82" ht="19.5" customHeight="1" thickBot="1">
      <c r="D12" s="55"/>
      <c r="E12" s="55"/>
      <c r="F12" s="55"/>
      <c r="G12" s="2">
        <f t="shared" si="0"/>
        <v>12</v>
      </c>
      <c r="I12" s="7"/>
      <c r="J12" s="112"/>
      <c r="N12" s="504" t="str">
        <f>+AJ12</f>
        <v>3-YR Average</v>
      </c>
      <c r="O12" s="504" t="s">
        <v>160</v>
      </c>
      <c r="P12" s="504" t="s">
        <v>263</v>
      </c>
      <c r="W12" s="1022"/>
      <c r="X12" s="343"/>
      <c r="Y12" s="343"/>
      <c r="Z12" s="343"/>
      <c r="AB12" s="298" t="s">
        <v>703</v>
      </c>
      <c r="AC12" s="1020"/>
      <c r="AD12" s="1139" t="s">
        <v>1084</v>
      </c>
      <c r="AE12" s="1185" t="s">
        <v>1107</v>
      </c>
      <c r="AF12" s="1208" t="s">
        <v>1115</v>
      </c>
      <c r="AG12" s="1270" t="s">
        <v>1244</v>
      </c>
      <c r="AH12" s="1282" t="s">
        <v>1286</v>
      </c>
      <c r="AI12" s="1020" t="s">
        <v>517</v>
      </c>
      <c r="AJ12" s="1020" t="str">
        <f>IF(AD9=1,AD10,AD11)</f>
        <v>3-YR Average</v>
      </c>
      <c r="AK12" s="1023">
        <v>1</v>
      </c>
      <c r="AL12" s="1023"/>
      <c r="AN12" s="1283"/>
      <c r="AO12" s="1284"/>
      <c r="AP12" s="1284"/>
      <c r="AQ12" s="1284"/>
      <c r="AR12" s="1285"/>
      <c r="AT12" s="1131" t="s">
        <v>780</v>
      </c>
      <c r="AU12" s="758" t="s">
        <v>854</v>
      </c>
      <c r="AV12" s="1131" t="s">
        <v>122</v>
      </c>
      <c r="AW12" s="758" t="s">
        <v>757</v>
      </c>
      <c r="AX12" s="1182" t="s">
        <v>332</v>
      </c>
      <c r="AY12" s="1377">
        <v>501375</v>
      </c>
      <c r="AZ12" s="758" t="s">
        <v>1584</v>
      </c>
      <c r="BA12" s="1375">
        <v>43039</v>
      </c>
      <c r="BB12" s="758" t="s">
        <v>1034</v>
      </c>
      <c r="BD12" s="758"/>
      <c r="BE12" s="758"/>
      <c r="BF12" s="759"/>
      <c r="BG12" s="758"/>
      <c r="BH12" s="1106"/>
      <c r="BI12" s="758"/>
      <c r="BJ12" s="758"/>
      <c r="BK12" s="843"/>
      <c r="BM12" s="758" t="s">
        <v>757</v>
      </c>
      <c r="BN12" s="758" t="s">
        <v>377</v>
      </c>
      <c r="BO12" s="1377">
        <v>313313</v>
      </c>
      <c r="BP12" s="758" t="s">
        <v>1493</v>
      </c>
      <c r="BQ12" s="1375">
        <v>43008</v>
      </c>
      <c r="BR12" s="758" t="s">
        <v>1034</v>
      </c>
      <c r="BS12" s="758" t="s">
        <v>1106</v>
      </c>
      <c r="BT12" s="1384">
        <v>2</v>
      </c>
      <c r="BU12" s="1158" t="s">
        <v>779</v>
      </c>
      <c r="BW12" s="758"/>
      <c r="BX12" s="758"/>
      <c r="BY12" s="759"/>
      <c r="BZ12" s="758"/>
      <c r="CA12" s="1106"/>
      <c r="CB12" s="758"/>
      <c r="CC12" s="758"/>
      <c r="CD12" s="843"/>
    </row>
    <row r="13" spans="1:82" ht="21" customHeight="1" thickBot="1">
      <c r="A13" s="1022">
        <v>1</v>
      </c>
      <c r="B13" s="2" t="s">
        <v>1622</v>
      </c>
      <c r="C13" s="560" t="s">
        <v>439</v>
      </c>
      <c r="D13" s="293">
        <f>P33</f>
        <v>-646298.2323788167</v>
      </c>
      <c r="E13" s="293"/>
      <c r="F13" s="293">
        <f>HLOOKUP($F$3,INSENTIVESCENARIO,G11,FALSE)</f>
        <v>-646298.2323788167</v>
      </c>
      <c r="G13" s="2">
        <f t="shared" si="0"/>
        <v>13</v>
      </c>
      <c r="I13" s="203"/>
      <c r="K13" s="505"/>
      <c r="L13" s="505"/>
      <c r="M13" s="505"/>
      <c r="N13" s="505" t="s">
        <v>953</v>
      </c>
      <c r="O13" s="506" t="s">
        <v>627</v>
      </c>
      <c r="P13" s="506" t="s">
        <v>41</v>
      </c>
      <c r="S13" s="82"/>
      <c r="T13" s="82"/>
      <c r="U13" s="82"/>
      <c r="V13" s="82"/>
      <c r="W13" s="79"/>
      <c r="X13" s="79" t="s">
        <v>129</v>
      </c>
      <c r="Y13" s="79" t="s">
        <v>130</v>
      </c>
      <c r="Z13" s="79" t="s">
        <v>583</v>
      </c>
      <c r="AB13" s="55"/>
      <c r="AK13" s="1023">
        <f>+AK12+1</f>
        <v>2</v>
      </c>
      <c r="AL13" s="1023"/>
      <c r="AN13" s="936" t="s">
        <v>1083</v>
      </c>
      <c r="AO13" s="887"/>
      <c r="AP13" s="887" t="s">
        <v>466</v>
      </c>
      <c r="AQ13" s="888"/>
      <c r="AR13" s="993"/>
      <c r="AT13" s="1131" t="s">
        <v>780</v>
      </c>
      <c r="AU13" s="758" t="s">
        <v>854</v>
      </c>
      <c r="AV13" s="1131" t="s">
        <v>122</v>
      </c>
      <c r="AW13" s="758" t="s">
        <v>757</v>
      </c>
      <c r="AX13" s="1182" t="s">
        <v>332</v>
      </c>
      <c r="AY13" s="1377">
        <v>501375</v>
      </c>
      <c r="AZ13" s="758" t="s">
        <v>1584</v>
      </c>
      <c r="BA13" s="1375">
        <v>43069</v>
      </c>
      <c r="BB13" s="758" t="s">
        <v>1034</v>
      </c>
      <c r="BD13" s="758"/>
      <c r="BE13" s="758"/>
      <c r="BF13" s="759"/>
      <c r="BG13" s="758"/>
      <c r="BH13" s="1106"/>
      <c r="BI13" s="758"/>
      <c r="BJ13" s="758"/>
      <c r="BK13" s="843"/>
      <c r="BM13" s="758" t="s">
        <v>757</v>
      </c>
      <c r="BN13" s="758" t="s">
        <v>377</v>
      </c>
      <c r="BO13" s="1377">
        <v>313313</v>
      </c>
      <c r="BP13" s="758" t="s">
        <v>1493</v>
      </c>
      <c r="BQ13" s="1375">
        <v>43039</v>
      </c>
      <c r="BR13" s="758" t="s">
        <v>1034</v>
      </c>
      <c r="BS13" s="758" t="s">
        <v>1106</v>
      </c>
      <c r="BT13" s="1384">
        <v>2</v>
      </c>
      <c r="BU13" s="1158" t="s">
        <v>779</v>
      </c>
      <c r="BW13" s="758"/>
      <c r="BX13" s="758"/>
      <c r="BY13" s="759"/>
      <c r="BZ13" s="758"/>
      <c r="CA13" s="1106"/>
      <c r="CB13" s="758"/>
      <c r="CC13" s="758"/>
      <c r="CD13" s="843"/>
    </row>
    <row r="14" spans="1:82" ht="15.75" thickBot="1">
      <c r="C14" s="84"/>
      <c r="D14" s="293"/>
      <c r="E14" s="293"/>
      <c r="F14" s="293"/>
      <c r="G14" s="2">
        <f t="shared" si="0"/>
        <v>14</v>
      </c>
      <c r="J14" s="102">
        <v>1</v>
      </c>
      <c r="K14" s="270" t="s">
        <v>1623</v>
      </c>
      <c r="R14" s="2">
        <v>1</v>
      </c>
      <c r="S14" s="77" t="s">
        <v>1585</v>
      </c>
      <c r="Y14" s="7"/>
      <c r="Z14" s="7"/>
      <c r="AB14" s="336" t="s">
        <v>424</v>
      </c>
      <c r="AC14" s="337"/>
      <c r="AD14" s="1149">
        <f>+AD16*AD18</f>
        <v>2073927.0236799999</v>
      </c>
      <c r="AE14" s="1149">
        <f>+AE16*AE18</f>
        <v>2348925.002415</v>
      </c>
      <c r="AF14" s="1149">
        <f>+AF16*AF18</f>
        <v>1352896.3397368423</v>
      </c>
      <c r="AG14" s="1149">
        <f>+AG16*AG18</f>
        <v>1719865.5124320001</v>
      </c>
      <c r="AH14" s="1149">
        <f>+AH16*AH18</f>
        <v>1000962.005</v>
      </c>
      <c r="AI14" s="1149">
        <f>AVERAGE(AF14:AH14)</f>
        <v>1357907.952389614</v>
      </c>
      <c r="AJ14" s="1149">
        <f>HLOOKUP($AJ$12,AVG_INCENTIVE,AK14,FALSE)</f>
        <v>1357907.952389614</v>
      </c>
      <c r="AK14" s="1023">
        <f t="shared" ref="AK14:AK55" si="2">+AK13+1</f>
        <v>3</v>
      </c>
      <c r="AL14" s="1023"/>
      <c r="AN14" s="994" t="s">
        <v>266</v>
      </c>
      <c r="AO14" s="889"/>
      <c r="AP14" s="888" t="s">
        <v>780</v>
      </c>
      <c r="AQ14" s="896" t="s">
        <v>779</v>
      </c>
      <c r="AR14" s="995" t="s">
        <v>824</v>
      </c>
      <c r="AT14" s="1131" t="s">
        <v>780</v>
      </c>
      <c r="AU14" s="758" t="s">
        <v>854</v>
      </c>
      <c r="AV14" s="1131" t="s">
        <v>122</v>
      </c>
      <c r="AW14" s="758" t="s">
        <v>757</v>
      </c>
      <c r="AX14" s="1182" t="s">
        <v>332</v>
      </c>
      <c r="AY14" s="1377">
        <v>-90220.72</v>
      </c>
      <c r="AZ14" s="758" t="s">
        <v>1584</v>
      </c>
      <c r="BA14" s="1375">
        <v>43100</v>
      </c>
      <c r="BB14" s="758" t="s">
        <v>1034</v>
      </c>
      <c r="BD14" s="758"/>
      <c r="BE14" s="758"/>
      <c r="BF14" s="759"/>
      <c r="BG14" s="758"/>
      <c r="BH14" s="1106"/>
      <c r="BI14" s="758"/>
      <c r="BJ14" s="758"/>
      <c r="BK14" s="843"/>
      <c r="BM14" s="758" t="s">
        <v>757</v>
      </c>
      <c r="BN14" s="758" t="s">
        <v>377</v>
      </c>
      <c r="BO14" s="1377">
        <v>313313</v>
      </c>
      <c r="BP14" s="758" t="s">
        <v>1493</v>
      </c>
      <c r="BQ14" s="1375">
        <v>43069</v>
      </c>
      <c r="BR14" s="758" t="s">
        <v>1034</v>
      </c>
      <c r="BS14" s="758" t="s">
        <v>1106</v>
      </c>
      <c r="BT14" s="1384">
        <v>3</v>
      </c>
      <c r="BU14" s="1158" t="s">
        <v>779</v>
      </c>
      <c r="BW14" s="758"/>
      <c r="BX14" s="758"/>
      <c r="BY14" s="759"/>
      <c r="BZ14" s="758"/>
      <c r="CA14" s="1106"/>
      <c r="CB14" s="758"/>
      <c r="CC14" s="758"/>
      <c r="CD14" s="843"/>
    </row>
    <row r="15" spans="1:82" ht="16.5" thickBot="1">
      <c r="A15" s="1022">
        <v>2</v>
      </c>
      <c r="B15" s="2" t="s">
        <v>1620</v>
      </c>
      <c r="C15" s="84" t="s">
        <v>384</v>
      </c>
      <c r="D15" s="293">
        <f>Z34</f>
        <v>-439431.66858556867</v>
      </c>
      <c r="E15" s="293"/>
      <c r="F15" s="293">
        <f>HLOOKUP($F$3,INSENTIVESCENARIO,G13,FALSE)</f>
        <v>-439431.66858556867</v>
      </c>
      <c r="G15" s="2">
        <f t="shared" si="0"/>
        <v>15</v>
      </c>
      <c r="I15" s="203"/>
      <c r="J15" s="102">
        <f>+J14+1</f>
        <v>2</v>
      </c>
      <c r="L15" s="2" t="s">
        <v>1586</v>
      </c>
      <c r="M15" s="2"/>
      <c r="N15" s="499">
        <f>+AJ18</f>
        <v>0.44375983869602892</v>
      </c>
      <c r="O15" s="112">
        <f>N15*O17</f>
        <v>1316289.6789792601</v>
      </c>
      <c r="P15" s="112">
        <f>-O15</f>
        <v>-1316289.6789792601</v>
      </c>
      <c r="R15" s="2">
        <f>+R14+1</f>
        <v>2</v>
      </c>
      <c r="S15" s="77"/>
      <c r="V15" s="371"/>
      <c r="Y15" s="7"/>
      <c r="Z15" s="7"/>
      <c r="AB15" s="341" t="s">
        <v>425</v>
      </c>
      <c r="AC15" s="275"/>
      <c r="AD15" s="1150">
        <f>+AD16*AD19</f>
        <v>743908.60632000002</v>
      </c>
      <c r="AE15" s="1150">
        <f>+AE16*AE19</f>
        <v>1446397.3475850001</v>
      </c>
      <c r="AF15" s="1150">
        <f>+AF16*AF19</f>
        <v>2567260.8102631578</v>
      </c>
      <c r="AG15" s="1150">
        <f>+AG16*AG19</f>
        <v>1538072.5675679999</v>
      </c>
      <c r="AH15" s="1150">
        <f>+AH16*AH19</f>
        <v>1000962.005</v>
      </c>
      <c r="AI15" s="1150">
        <f>AVERAGE(AF15:AH15)</f>
        <v>1702098.4609437194</v>
      </c>
      <c r="AJ15" s="1150">
        <f>HLOOKUP($AJ$12,AVG_INCENTIVE,AK15,FALSE)</f>
        <v>1702098.4609437194</v>
      </c>
      <c r="AK15" s="1023">
        <f t="shared" si="2"/>
        <v>4</v>
      </c>
      <c r="AL15" s="1023"/>
      <c r="AN15" s="994" t="s">
        <v>267</v>
      </c>
      <c r="AO15" s="890" t="s">
        <v>915</v>
      </c>
      <c r="AP15" s="891">
        <v>934692.77000000014</v>
      </c>
      <c r="AQ15" s="1036">
        <v>1276161.77</v>
      </c>
      <c r="AR15" s="996">
        <v>2210854.54</v>
      </c>
      <c r="AT15" s="1131" t="s">
        <v>780</v>
      </c>
      <c r="AU15" s="758" t="s">
        <v>1085</v>
      </c>
      <c r="AV15" s="1131" t="s">
        <v>122</v>
      </c>
      <c r="AW15" s="758" t="s">
        <v>757</v>
      </c>
      <c r="AX15" s="1182" t="s">
        <v>332</v>
      </c>
      <c r="AY15" s="1377">
        <v>-337750.05</v>
      </c>
      <c r="AZ15" s="758" t="s">
        <v>1587</v>
      </c>
      <c r="BA15" s="1375">
        <v>42825</v>
      </c>
      <c r="BB15" s="758" t="s">
        <v>1034</v>
      </c>
      <c r="BD15" s="758"/>
      <c r="BE15" s="758"/>
      <c r="BF15" s="759"/>
      <c r="BG15" s="758"/>
      <c r="BH15" s="1106"/>
      <c r="BI15" s="758"/>
      <c r="BJ15" s="758"/>
      <c r="BK15" s="843"/>
      <c r="BM15" s="758" t="s">
        <v>757</v>
      </c>
      <c r="BN15" s="758" t="s">
        <v>377</v>
      </c>
      <c r="BO15" s="1377">
        <v>237102.86</v>
      </c>
      <c r="BP15" s="758" t="s">
        <v>1493</v>
      </c>
      <c r="BQ15" s="1375">
        <v>43100</v>
      </c>
      <c r="BR15" s="758" t="s">
        <v>1034</v>
      </c>
      <c r="BS15" s="758" t="s">
        <v>1106</v>
      </c>
      <c r="BT15" s="1384">
        <v>3</v>
      </c>
      <c r="BU15" s="1158" t="s">
        <v>779</v>
      </c>
      <c r="BW15"/>
      <c r="BX15"/>
      <c r="BY15" s="1244"/>
      <c r="BZ15"/>
      <c r="CA15" s="1159"/>
      <c r="CB15"/>
      <c r="CC15"/>
      <c r="CD15" s="1247"/>
    </row>
    <row r="16" spans="1:82" ht="15">
      <c r="D16" s="55"/>
      <c r="E16" s="55"/>
      <c r="F16" s="55"/>
      <c r="G16" s="2">
        <f t="shared" si="0"/>
        <v>16</v>
      </c>
      <c r="J16" s="102">
        <f t="shared" ref="J16:J33" si="3">+J15+1</f>
        <v>3</v>
      </c>
      <c r="L16" s="2" t="s">
        <v>1588</v>
      </c>
      <c r="M16" s="2"/>
      <c r="N16" s="499">
        <f>+AJ19</f>
        <v>0.55624016130397114</v>
      </c>
      <c r="O16" s="112">
        <f>N16*O17</f>
        <v>1649931.1553511433</v>
      </c>
      <c r="R16" s="2">
        <f t="shared" ref="R16:R31" si="4">+R15+1</f>
        <v>3</v>
      </c>
      <c r="S16" s="77"/>
      <c r="V16" s="372"/>
      <c r="Y16" s="7"/>
      <c r="Z16" s="7"/>
      <c r="AB16" s="317" t="s">
        <v>750</v>
      </c>
      <c r="AC16" s="550"/>
      <c r="AD16" s="550">
        <f>+AQ15+AQ16</f>
        <v>2817835.63</v>
      </c>
      <c r="AE16" s="550">
        <f>AQ24+AQ25</f>
        <v>3795322.35</v>
      </c>
      <c r="AF16" s="550">
        <f>AQ33+AQ34</f>
        <v>3920157.1500000004</v>
      </c>
      <c r="AG16" s="550">
        <f>AQ42+AQ43</f>
        <v>3257938.08</v>
      </c>
      <c r="AH16" s="550">
        <f>AQ51+AQ52</f>
        <v>2001924.01</v>
      </c>
      <c r="AI16" s="550">
        <f>SUM(AI14:AI15)</f>
        <v>3060006.4133333331</v>
      </c>
      <c r="AJ16" s="52">
        <f>HLOOKUP($AJ$12,AVG_INCENTIVE,AK16,FALSE)</f>
        <v>3060006.4133333331</v>
      </c>
      <c r="AK16" s="1023">
        <f t="shared" si="2"/>
        <v>5</v>
      </c>
      <c r="AL16" s="1023"/>
      <c r="AN16" s="997" t="s">
        <v>709</v>
      </c>
      <c r="AO16" s="890" t="s">
        <v>916</v>
      </c>
      <c r="AP16" s="892">
        <v>232838.1</v>
      </c>
      <c r="AQ16" s="893">
        <v>1541673.86</v>
      </c>
      <c r="AR16" s="998">
        <v>1918104.27</v>
      </c>
      <c r="AT16" s="1131" t="s">
        <v>780</v>
      </c>
      <c r="AU16" s="758" t="s">
        <v>1085</v>
      </c>
      <c r="AV16" s="1131" t="s">
        <v>122</v>
      </c>
      <c r="AW16" s="758" t="s">
        <v>757</v>
      </c>
      <c r="AX16" s="1182" t="s">
        <v>332</v>
      </c>
      <c r="AY16" s="1377">
        <v>-563555.48</v>
      </c>
      <c r="AZ16" s="758" t="s">
        <v>1587</v>
      </c>
      <c r="BA16" s="1375">
        <v>42916</v>
      </c>
      <c r="BB16" s="758" t="s">
        <v>1034</v>
      </c>
      <c r="BD16" s="758"/>
      <c r="BE16" s="758"/>
      <c r="BF16" s="759"/>
      <c r="BG16" s="758"/>
      <c r="BH16" s="1106"/>
      <c r="BI16" s="758"/>
      <c r="BJ16" s="758"/>
      <c r="BK16" s="843"/>
      <c r="BN16" s="1158"/>
      <c r="BQ16" s="1159"/>
      <c r="BU16" s="1246"/>
      <c r="BY16" s="975">
        <f>SUM(BY3:BY14)</f>
        <v>0</v>
      </c>
      <c r="BZ16"/>
      <c r="CA16" s="1159"/>
      <c r="CB16"/>
      <c r="CC16"/>
      <c r="CD16" s="1247"/>
    </row>
    <row r="17" spans="1:82" ht="16.5">
      <c r="D17" s="55"/>
      <c r="E17" s="55"/>
      <c r="F17" s="55"/>
      <c r="G17" s="2">
        <f t="shared" si="0"/>
        <v>17</v>
      </c>
      <c r="I17" s="7"/>
      <c r="J17" s="102">
        <f t="shared" si="3"/>
        <v>4</v>
      </c>
      <c r="L17" s="47" t="s">
        <v>114</v>
      </c>
      <c r="N17" s="499">
        <f>SUM(N15:N16)</f>
        <v>1</v>
      </c>
      <c r="O17" s="112">
        <f>BO17*(AJ16/(AJ16+AJ24))</f>
        <v>2966220.8343304032</v>
      </c>
      <c r="P17" s="507">
        <f>SUM(P15:P16)</f>
        <v>-1316289.6789792601</v>
      </c>
      <c r="R17" s="2">
        <f t="shared" si="4"/>
        <v>4</v>
      </c>
      <c r="S17" s="77"/>
      <c r="T17" s="2" t="s">
        <v>287</v>
      </c>
      <c r="V17" s="371">
        <f>V39</f>
        <v>961868.4851820902</v>
      </c>
      <c r="Y17" s="7"/>
      <c r="Z17" s="7"/>
      <c r="AB17" s="124"/>
      <c r="AC17" s="55"/>
      <c r="AD17" s="55"/>
      <c r="AE17" s="55"/>
      <c r="AF17" s="55"/>
      <c r="AG17" s="55"/>
      <c r="AH17" s="55"/>
      <c r="AI17" s="55"/>
      <c r="AJ17" s="55"/>
      <c r="AK17" s="1023">
        <f t="shared" si="2"/>
        <v>6</v>
      </c>
      <c r="AL17" s="1023"/>
      <c r="AN17" s="997" t="s">
        <v>5</v>
      </c>
      <c r="AO17" s="894" t="s">
        <v>917</v>
      </c>
      <c r="AP17" s="892">
        <v>3550052.69</v>
      </c>
      <c r="AQ17" s="2">
        <v>1193540.98</v>
      </c>
      <c r="AR17" s="998">
        <v>4741991.2499999963</v>
      </c>
      <c r="AT17" s="1131" t="s">
        <v>780</v>
      </c>
      <c r="AU17" s="758" t="s">
        <v>1085</v>
      </c>
      <c r="AV17" s="1131" t="s">
        <v>122</v>
      </c>
      <c r="AW17" s="758" t="s">
        <v>757</v>
      </c>
      <c r="AX17" s="1182" t="s">
        <v>332</v>
      </c>
      <c r="AY17" s="1377">
        <v>-574047.15</v>
      </c>
      <c r="AZ17" s="758" t="s">
        <v>1587</v>
      </c>
      <c r="BA17" s="1375">
        <v>43008</v>
      </c>
      <c r="BB17" s="758" t="s">
        <v>1034</v>
      </c>
      <c r="BD17" s="758"/>
      <c r="BE17" s="758"/>
      <c r="BF17" s="759"/>
      <c r="BG17" s="758"/>
      <c r="BH17" s="1106"/>
      <c r="BI17" s="758"/>
      <c r="BJ17" s="758"/>
      <c r="BK17" s="843"/>
      <c r="BO17" s="465">
        <f>SUM(BO3:BO16)</f>
        <v>4743241.4800000004</v>
      </c>
      <c r="BW17" s="536" t="s">
        <v>1105</v>
      </c>
      <c r="BZ17"/>
      <c r="CA17" s="1159"/>
      <c r="CB17"/>
      <c r="CC17"/>
      <c r="CD17" s="1247"/>
    </row>
    <row r="18" spans="1:82" ht="17.25" thickBot="1">
      <c r="A18" s="1022">
        <v>3</v>
      </c>
      <c r="B18" s="2" t="s">
        <v>160</v>
      </c>
      <c r="C18" s="7"/>
      <c r="D18" s="81">
        <f>SUM(D13:D15)</f>
        <v>-1085729.9009643854</v>
      </c>
      <c r="E18" s="1335"/>
      <c r="F18" s="81">
        <f>HLOOKUP($F$3,INSENTIVESCENARIO,G16,FALSE)</f>
        <v>-1085729.9009643854</v>
      </c>
      <c r="G18" s="2">
        <f t="shared" si="0"/>
        <v>18</v>
      </c>
      <c r="J18" s="102">
        <f t="shared" si="3"/>
        <v>5</v>
      </c>
      <c r="L18" s="112" t="s">
        <v>1631</v>
      </c>
      <c r="P18" s="112">
        <f>-BF23</f>
        <v>0</v>
      </c>
      <c r="R18" s="2">
        <f t="shared" si="4"/>
        <v>5</v>
      </c>
      <c r="AB18" s="338" t="s">
        <v>511</v>
      </c>
      <c r="AC18" s="551"/>
      <c r="AD18" s="1141">
        <v>0.73599999999999999</v>
      </c>
      <c r="AE18" s="1141">
        <v>0.61890000000000001</v>
      </c>
      <c r="AF18" s="1141">
        <f>1-AF19</f>
        <v>0.34511278195488726</v>
      </c>
      <c r="AG18" s="1141">
        <v>0.52790000000000004</v>
      </c>
      <c r="AH18" s="1141">
        <v>0.5</v>
      </c>
      <c r="AI18" s="1143">
        <f>AI14/AI16</f>
        <v>0.44375983869602892</v>
      </c>
      <c r="AJ18" s="1147">
        <f>HLOOKUP($AJ$12,AVG_INCENTIVE,AK18,FALSE)</f>
        <v>0.44375983869602892</v>
      </c>
      <c r="AK18" s="1023">
        <f t="shared" si="2"/>
        <v>7</v>
      </c>
      <c r="AL18" s="1023"/>
      <c r="AN18" s="997" t="s">
        <v>918</v>
      </c>
      <c r="AO18" s="895" t="s">
        <v>919</v>
      </c>
      <c r="AP18" s="892">
        <v>1036751.74</v>
      </c>
      <c r="AQ18" s="2">
        <v>275655.63999999996</v>
      </c>
      <c r="AR18" s="998">
        <v>1311926.6099999999</v>
      </c>
      <c r="AT18" s="1131" t="s">
        <v>780</v>
      </c>
      <c r="AU18" s="758" t="s">
        <v>1085</v>
      </c>
      <c r="AV18" s="1131" t="s">
        <v>122</v>
      </c>
      <c r="AW18" s="758" t="s">
        <v>757</v>
      </c>
      <c r="AX18" s="1182" t="s">
        <v>332</v>
      </c>
      <c r="AY18" s="1377">
        <v>-356655.52</v>
      </c>
      <c r="AZ18" s="758" t="s">
        <v>1587</v>
      </c>
      <c r="BA18" s="1375">
        <v>43100</v>
      </c>
      <c r="BB18" s="758" t="s">
        <v>1034</v>
      </c>
      <c r="BD18" s="758"/>
      <c r="BE18" s="758"/>
      <c r="BF18" s="759"/>
      <c r="BG18" s="758"/>
      <c r="BH18" s="1106"/>
      <c r="BI18" s="758"/>
      <c r="BJ18" s="758"/>
      <c r="BK18" s="843"/>
      <c r="BW18"/>
      <c r="BX18"/>
      <c r="BY18" s="1244"/>
      <c r="BZ18"/>
      <c r="CA18" s="1159"/>
      <c r="CB18"/>
      <c r="CC18"/>
      <c r="CD18" s="1247"/>
    </row>
    <row r="19" spans="1:82" ht="15.75" thickBot="1">
      <c r="B19" s="83"/>
      <c r="C19" s="83"/>
      <c r="D19" s="83"/>
      <c r="E19" s="55"/>
      <c r="F19" s="83"/>
      <c r="G19" s="2">
        <f t="shared" si="0"/>
        <v>19</v>
      </c>
      <c r="J19" s="102">
        <f t="shared" si="3"/>
        <v>6</v>
      </c>
      <c r="K19" s="77"/>
      <c r="L19" s="503"/>
      <c r="P19" s="295"/>
      <c r="R19" s="2">
        <f t="shared" si="4"/>
        <v>6</v>
      </c>
      <c r="T19" s="2" t="s">
        <v>126</v>
      </c>
      <c r="W19" s="345"/>
      <c r="X19" s="345">
        <f>+AJ35</f>
        <v>0.54314786755657096</v>
      </c>
      <c r="Y19" s="7">
        <f>V17*X19</f>
        <v>522436.81659652147</v>
      </c>
      <c r="Z19" s="7">
        <f>Y19</f>
        <v>522436.81659652147</v>
      </c>
      <c r="AB19" s="341" t="s">
        <v>512</v>
      </c>
      <c r="AC19" s="117"/>
      <c r="AD19" s="1142">
        <v>0.26400000000000001</v>
      </c>
      <c r="AE19" s="1142">
        <v>0.38109999999999999</v>
      </c>
      <c r="AF19" s="1142">
        <f>87.1/133</f>
        <v>0.65488721804511274</v>
      </c>
      <c r="AG19" s="1142">
        <f>1-AG18</f>
        <v>0.47209999999999996</v>
      </c>
      <c r="AH19" s="1142">
        <f>1-AH18</f>
        <v>0.5</v>
      </c>
      <c r="AI19" s="1142">
        <f>AI15/AI16</f>
        <v>0.55624016130397114</v>
      </c>
      <c r="AJ19" s="1142">
        <f>HLOOKUP($AJ$12,AVG_INCENTIVE,AK19,FALSE)</f>
        <v>0.55624016130397114</v>
      </c>
      <c r="AK19" s="1023">
        <f t="shared" si="2"/>
        <v>8</v>
      </c>
      <c r="AL19" s="1023"/>
      <c r="AN19" s="999" t="s">
        <v>824</v>
      </c>
      <c r="AO19" s="1000" t="s">
        <v>919</v>
      </c>
      <c r="AP19" s="1001">
        <v>5761847.9599999962</v>
      </c>
      <c r="AQ19" s="1002">
        <v>4626375.129999999</v>
      </c>
      <c r="AR19" s="1003">
        <v>10388223.089999996</v>
      </c>
      <c r="AT19" s="1131" t="s">
        <v>780</v>
      </c>
      <c r="AU19" s="758" t="s">
        <v>1494</v>
      </c>
      <c r="AV19" s="1131" t="s">
        <v>122</v>
      </c>
      <c r="AW19" s="758" t="s">
        <v>757</v>
      </c>
      <c r="AX19" s="1182" t="s">
        <v>332</v>
      </c>
      <c r="AY19" s="1377">
        <v>930987.19</v>
      </c>
      <c r="AZ19" s="758" t="s">
        <v>1495</v>
      </c>
      <c r="BA19" s="1375">
        <v>43100</v>
      </c>
      <c r="BB19" s="758" t="s">
        <v>1034</v>
      </c>
      <c r="BD19" s="758"/>
      <c r="BE19" s="758"/>
      <c r="BF19" s="759"/>
      <c r="BG19" s="758"/>
      <c r="BH19" s="1106"/>
      <c r="BI19" s="758"/>
      <c r="BJ19" s="758"/>
      <c r="BK19" s="843"/>
      <c r="BM19" s="1183" t="s">
        <v>1104</v>
      </c>
      <c r="BW19"/>
      <c r="BX19"/>
      <c r="BY19" s="1244"/>
      <c r="BZ19"/>
      <c r="CA19" s="1159"/>
      <c r="CB19"/>
      <c r="CC19"/>
      <c r="CD19" s="1247"/>
    </row>
    <row r="20" spans="1:82" ht="15.75" thickBot="1">
      <c r="A20" s="1023">
        <v>4</v>
      </c>
      <c r="B20" s="166" t="s">
        <v>13</v>
      </c>
      <c r="C20" s="55"/>
      <c r="D20" s="564">
        <f>'ROR-Model'!$M$2*D18</f>
        <v>-1050314.8604837537</v>
      </c>
      <c r="E20" s="564"/>
      <c r="F20" s="564">
        <f>HLOOKUP($F$3,INSENTIVESCENARIO,G18,FALSE)</f>
        <v>-1050314.8604837537</v>
      </c>
      <c r="G20" s="2">
        <f t="shared" si="0"/>
        <v>20</v>
      </c>
      <c r="J20" s="102">
        <f t="shared" si="3"/>
        <v>7</v>
      </c>
      <c r="K20" s="2"/>
      <c r="P20" s="482"/>
      <c r="R20" s="2">
        <f t="shared" si="4"/>
        <v>7</v>
      </c>
      <c r="T20" s="77" t="s">
        <v>127</v>
      </c>
      <c r="U20" s="77"/>
      <c r="W20" s="89"/>
      <c r="X20" s="89">
        <f>SUM(X19:X19)</f>
        <v>0.54314786755657096</v>
      </c>
      <c r="Y20" s="7">
        <f>SUM(Y19:Y19)</f>
        <v>522436.81659652147</v>
      </c>
      <c r="Z20" s="7"/>
      <c r="AB20" s="339" t="s">
        <v>750</v>
      </c>
      <c r="AC20" s="289"/>
      <c r="AD20" s="1148">
        <f t="shared" ref="AD20:AF20" si="5">SUM(AD18:AD19)</f>
        <v>1</v>
      </c>
      <c r="AE20" s="1148">
        <f t="shared" si="5"/>
        <v>1</v>
      </c>
      <c r="AF20" s="1148">
        <f t="shared" si="5"/>
        <v>1</v>
      </c>
      <c r="AG20" s="1148">
        <f>SUM(AG18:AG19)</f>
        <v>1</v>
      </c>
      <c r="AH20" s="1148">
        <f>SUM(AH18:AH19)</f>
        <v>1</v>
      </c>
      <c r="AI20" s="1148">
        <f>SUM(AI18:AI19)</f>
        <v>1</v>
      </c>
      <c r="AJ20" s="1148">
        <f>HLOOKUP($AJ$12,AVG_INCENTIVE,AK20,FALSE)</f>
        <v>1</v>
      </c>
      <c r="AK20" s="1023">
        <f t="shared" si="2"/>
        <v>9</v>
      </c>
      <c r="AL20" s="1023"/>
      <c r="AN20" s="1128"/>
      <c r="AO20" s="1128"/>
      <c r="AP20" s="892"/>
      <c r="AQ20" s="892"/>
      <c r="AR20" s="892"/>
      <c r="AT20" s="1131"/>
      <c r="AU20" s="758"/>
      <c r="AV20" s="1182"/>
      <c r="AW20" s="758"/>
      <c r="AX20" s="1131"/>
      <c r="AY20" s="759"/>
      <c r="AZ20" s="758"/>
      <c r="BA20" s="1106"/>
      <c r="BB20" s="758"/>
      <c r="BD20" s="758"/>
      <c r="BE20" s="758"/>
      <c r="BF20" s="759"/>
      <c r="BG20" s="758"/>
      <c r="BH20" s="1106"/>
      <c r="BI20" s="758"/>
      <c r="BJ20" s="758"/>
      <c r="BK20" s="843"/>
      <c r="BW20"/>
      <c r="BX20"/>
      <c r="BY20" s="1244"/>
      <c r="BZ20"/>
      <c r="CA20" s="1159"/>
      <c r="CB20"/>
      <c r="CC20"/>
      <c r="CD20" s="1247"/>
    </row>
    <row r="21" spans="1:82" ht="15.75" thickBot="1">
      <c r="A21" s="1022">
        <v>5</v>
      </c>
      <c r="B21" s="46" t="s">
        <v>24</v>
      </c>
      <c r="C21" s="387"/>
      <c r="D21" s="1047">
        <f>'ROR-Model'!$N$2*D18</f>
        <v>-35415.040480631513</v>
      </c>
      <c r="E21" s="564"/>
      <c r="F21" s="1047">
        <f>HLOOKUP($F$3,INSENTIVESCENARIO,G19,FALSE)</f>
        <v>-35415.040480631513</v>
      </c>
      <c r="G21" s="2">
        <f t="shared" si="0"/>
        <v>21</v>
      </c>
      <c r="J21" s="102">
        <f t="shared" si="3"/>
        <v>8</v>
      </c>
      <c r="K21" s="2"/>
      <c r="L21" s="2" t="s">
        <v>1589</v>
      </c>
      <c r="N21" s="499">
        <f>+AG26</f>
        <v>0</v>
      </c>
      <c r="O21" s="112">
        <f>N21*O23</f>
        <v>0</v>
      </c>
      <c r="P21" s="112">
        <f>-O21</f>
        <v>0</v>
      </c>
      <c r="R21" s="2">
        <f t="shared" si="4"/>
        <v>8</v>
      </c>
      <c r="Y21" s="7"/>
      <c r="Z21" s="7"/>
      <c r="AC21" s="55"/>
      <c r="AD21" s="55"/>
      <c r="AE21" s="55"/>
      <c r="AF21" s="55"/>
      <c r="AG21" s="55"/>
      <c r="AH21" s="55"/>
      <c r="AI21" s="55"/>
      <c r="AJ21" s="55"/>
      <c r="AK21" s="1023">
        <f t="shared" si="2"/>
        <v>10</v>
      </c>
      <c r="AL21" s="1023"/>
      <c r="AN21" s="1286" t="s">
        <v>1108</v>
      </c>
      <c r="AO21" s="1287"/>
      <c r="AP21" s="1287"/>
      <c r="AQ21" s="1287"/>
      <c r="AR21" s="1288"/>
      <c r="AT21" s="1182"/>
      <c r="AU21" s="758"/>
      <c r="AV21" s="1182"/>
      <c r="AW21" s="758"/>
      <c r="AX21" s="1131"/>
      <c r="AY21" s="759"/>
      <c r="AZ21" s="758"/>
      <c r="BA21" s="1106"/>
      <c r="BB21" s="758"/>
      <c r="BD21" s="758"/>
      <c r="BE21" s="758"/>
      <c r="BF21" s="759"/>
      <c r="BG21" s="758"/>
      <c r="BH21" s="1106"/>
      <c r="BI21" s="758"/>
      <c r="BJ21" s="758"/>
      <c r="BK21" s="843"/>
      <c r="BW21"/>
      <c r="BX21"/>
      <c r="BY21" s="1244"/>
      <c r="BZ21"/>
      <c r="CA21" s="1159"/>
      <c r="CB21"/>
      <c r="CC21"/>
      <c r="CD21" s="1247"/>
    </row>
    <row r="22" spans="1:82" ht="17.25" thickBot="1">
      <c r="A22" s="120"/>
      <c r="B22" s="2" t="s">
        <v>160</v>
      </c>
      <c r="D22" s="444">
        <f>SUM(D20:D21)</f>
        <v>-1085729.9009643851</v>
      </c>
      <c r="E22" s="269"/>
      <c r="F22" s="444">
        <f>SUM(F20:F21)</f>
        <v>-1085729.9009643851</v>
      </c>
      <c r="G22" s="2">
        <f t="shared" si="0"/>
        <v>22</v>
      </c>
      <c r="J22" s="102">
        <f t="shared" si="3"/>
        <v>9</v>
      </c>
      <c r="L22" s="2" t="s">
        <v>1590</v>
      </c>
      <c r="M22" s="1228" t="s">
        <v>439</v>
      </c>
      <c r="N22" s="499">
        <f>+AG27</f>
        <v>1</v>
      </c>
      <c r="O22" s="508">
        <f>N22*O23</f>
        <v>1777020.6456695977</v>
      </c>
      <c r="P22" s="508"/>
      <c r="R22" s="2">
        <f t="shared" si="4"/>
        <v>9</v>
      </c>
      <c r="S22" s="77" t="s">
        <v>1591</v>
      </c>
      <c r="Y22" s="81"/>
      <c r="Z22" s="297"/>
      <c r="AB22" s="336" t="s">
        <v>775</v>
      </c>
      <c r="AC22" s="337"/>
      <c r="AD22" s="1149">
        <f>+AD24*AD26</f>
        <v>1104123.5204848484</v>
      </c>
      <c r="AE22" s="1149">
        <f>+AE24*AE26</f>
        <v>1292803.210144605</v>
      </c>
      <c r="AF22" s="1149">
        <f>+AF24*AF26</f>
        <v>0</v>
      </c>
      <c r="AG22" s="1149">
        <f>+AG24*AG26</f>
        <v>0</v>
      </c>
      <c r="AH22" s="1149">
        <f>+AH24*AH26</f>
        <v>0</v>
      </c>
      <c r="AI22" s="1149">
        <f>AVERAGE(AF22:AH22)</f>
        <v>0</v>
      </c>
      <c r="AJ22" s="1149">
        <f>HLOOKUP($AJ$12,AVG_INCENTIVE,AK22,FALSE)</f>
        <v>0</v>
      </c>
      <c r="AK22" s="1023">
        <f t="shared" si="2"/>
        <v>11</v>
      </c>
      <c r="AL22" s="1023"/>
      <c r="AN22" s="936" t="s">
        <v>1109</v>
      </c>
      <c r="AO22" s="887"/>
      <c r="AP22" s="887" t="s">
        <v>466</v>
      </c>
      <c r="AQ22" s="888"/>
      <c r="AR22" s="993"/>
      <c r="AT22" s="1182"/>
      <c r="AU22" s="758"/>
      <c r="AV22" s="1182"/>
      <c r="AW22" s="758"/>
      <c r="AX22" s="1131"/>
      <c r="AZ22" s="758"/>
      <c r="BA22" s="1106"/>
      <c r="BB22" s="758"/>
      <c r="BD22" s="758"/>
      <c r="BE22" s="758"/>
      <c r="BF22" s="759"/>
      <c r="BG22" s="758"/>
      <c r="BH22" s="1106"/>
      <c r="BI22" s="758"/>
      <c r="BJ22" s="758"/>
      <c r="BK22" s="843"/>
      <c r="BW22"/>
      <c r="BX22"/>
      <c r="BY22" s="1244"/>
      <c r="BZ22"/>
      <c r="CA22" s="1159"/>
      <c r="CB22"/>
      <c r="CC22"/>
      <c r="CD22" s="1247"/>
    </row>
    <row r="23" spans="1:82" ht="15.75" thickBot="1">
      <c r="A23" s="120" t="s">
        <v>439</v>
      </c>
      <c r="B23" s="13" t="s">
        <v>164</v>
      </c>
      <c r="E23" s="55"/>
      <c r="G23" s="2">
        <f t="shared" si="0"/>
        <v>23</v>
      </c>
      <c r="J23" s="102">
        <f t="shared" si="3"/>
        <v>10</v>
      </c>
      <c r="L23" s="47" t="s">
        <v>115</v>
      </c>
      <c r="M23" s="77"/>
      <c r="N23" s="499">
        <f>SUM(N21:N22)</f>
        <v>1</v>
      </c>
      <c r="O23" s="112">
        <f>BO17*(AJ24/(AJ24+AJ16))</f>
        <v>1777020.6456695977</v>
      </c>
      <c r="P23" s="112">
        <f>SUM(P21:P22)</f>
        <v>0</v>
      </c>
      <c r="R23" s="2">
        <f t="shared" si="4"/>
        <v>10</v>
      </c>
      <c r="S23" s="77"/>
      <c r="V23" s="371"/>
      <c r="Y23" s="81"/>
      <c r="Z23" s="297"/>
      <c r="AB23" s="341" t="s">
        <v>774</v>
      </c>
      <c r="AC23" s="275"/>
      <c r="AD23" s="1150">
        <f>+AD24*AD27</f>
        <v>365073.09951515152</v>
      </c>
      <c r="AE23" s="1150">
        <f>+AE24*AE27</f>
        <v>771548.62985539483</v>
      </c>
      <c r="AF23" s="1150">
        <f>+AF24*AF27</f>
        <v>1955703.36</v>
      </c>
      <c r="AG23" s="1150">
        <f>+AG24*AG27</f>
        <v>2085795.25</v>
      </c>
      <c r="AH23" s="1150">
        <f>+AH24*AH27</f>
        <v>1458120.14</v>
      </c>
      <c r="AI23" s="1150">
        <f>AVERAGE(AF23:AH23)</f>
        <v>1833206.25</v>
      </c>
      <c r="AJ23" s="1150">
        <f>HLOOKUP($AJ$12,AVG_INCENTIVE,AK23,FALSE)</f>
        <v>1833206.25</v>
      </c>
      <c r="AK23" s="1023">
        <f t="shared" si="2"/>
        <v>12</v>
      </c>
      <c r="AL23" s="1023"/>
      <c r="AN23" s="994" t="s">
        <v>266</v>
      </c>
      <c r="AO23" s="889"/>
      <c r="AP23" s="888" t="s">
        <v>780</v>
      </c>
      <c r="AQ23" s="896" t="s">
        <v>779</v>
      </c>
      <c r="AR23" s="995" t="s">
        <v>824</v>
      </c>
      <c r="AT23" s="1182"/>
      <c r="AU23" s="758"/>
      <c r="AV23" s="1182"/>
      <c r="AW23" s="758"/>
      <c r="AX23" s="1182"/>
      <c r="AY23" s="49">
        <f>SUM(AY3:AY21)</f>
        <v>4108572.0900000008</v>
      </c>
      <c r="AZ23" s="758"/>
      <c r="BA23" s="1106"/>
      <c r="BB23" s="758"/>
      <c r="BD23" s="758"/>
      <c r="BE23" s="758"/>
      <c r="BF23" s="178">
        <f>SUM(BF3:BF13)</f>
        <v>0</v>
      </c>
      <c r="BG23" s="758"/>
      <c r="BH23" s="1106"/>
      <c r="BI23" s="758"/>
      <c r="BJ23" s="758"/>
      <c r="BK23" s="843"/>
      <c r="BW23"/>
      <c r="BX23"/>
      <c r="BY23" s="1244"/>
      <c r="BZ23"/>
      <c r="CA23" s="1159"/>
      <c r="CB23"/>
      <c r="CC23"/>
      <c r="CD23" s="1247"/>
    </row>
    <row r="24" spans="1:82" ht="15.75">
      <c r="A24" s="1022" t="s">
        <v>384</v>
      </c>
      <c r="B24" s="13" t="s">
        <v>166</v>
      </c>
      <c r="C24" s="13"/>
      <c r="G24" s="2">
        <f t="shared" si="0"/>
        <v>24</v>
      </c>
      <c r="J24" s="102">
        <f t="shared" si="3"/>
        <v>11</v>
      </c>
      <c r="K24" s="2"/>
      <c r="L24" s="503"/>
      <c r="R24" s="2">
        <f t="shared" si="4"/>
        <v>11</v>
      </c>
      <c r="S24" s="77"/>
      <c r="V24" s="372"/>
      <c r="Y24" s="81"/>
      <c r="Z24" s="297"/>
      <c r="AB24" s="317" t="s">
        <v>750</v>
      </c>
      <c r="AC24" s="550"/>
      <c r="AD24" s="550">
        <f>+AQ17+AQ18</f>
        <v>1469196.6199999999</v>
      </c>
      <c r="AE24" s="550">
        <f>AQ26+AQ27</f>
        <v>2064351.8399999999</v>
      </c>
      <c r="AF24" s="550">
        <f>AQ35+AQ36</f>
        <v>1955703.36</v>
      </c>
      <c r="AG24" s="550">
        <f>AQ44+AQ45</f>
        <v>2085795.25</v>
      </c>
      <c r="AH24" s="550">
        <f>AQ53</f>
        <v>1458120.14</v>
      </c>
      <c r="AI24" s="550">
        <f>SUM(AI22:AI23)</f>
        <v>1833206.25</v>
      </c>
      <c r="AJ24" s="52">
        <f>HLOOKUP($AJ$12,AVG_INCENTIVE,AK24,FALSE)</f>
        <v>1833206.25</v>
      </c>
      <c r="AK24" s="1023">
        <f t="shared" si="2"/>
        <v>13</v>
      </c>
      <c r="AL24" s="1023"/>
      <c r="AN24" s="994" t="s">
        <v>267</v>
      </c>
      <c r="AO24" s="890" t="s">
        <v>915</v>
      </c>
      <c r="AP24" s="891">
        <v>1506522.15</v>
      </c>
      <c r="AQ24" s="1036">
        <v>1892115.57</v>
      </c>
      <c r="AR24" s="996">
        <f>SUM(AP24:AQ24)</f>
        <v>3398637.7199999997</v>
      </c>
      <c r="AT24" s="1182"/>
      <c r="AU24" s="758"/>
      <c r="AV24" s="1182"/>
      <c r="AW24" s="758"/>
      <c r="AX24" s="1182"/>
      <c r="AY24" s="1264"/>
      <c r="AZ24" s="758"/>
      <c r="BA24" s="1106"/>
      <c r="BB24" s="758"/>
      <c r="BD24" s="758"/>
      <c r="BE24" s="758"/>
      <c r="BF24" s="759"/>
      <c r="BG24" s="758"/>
      <c r="BH24" s="1106"/>
      <c r="BI24" s="758"/>
      <c r="BJ24" s="758"/>
      <c r="BK24" s="843"/>
      <c r="BW24"/>
      <c r="BX24"/>
      <c r="BY24" s="1244"/>
      <c r="BZ24"/>
      <c r="CA24" s="1159"/>
      <c r="CB24"/>
      <c r="CC24"/>
      <c r="CD24" s="1247"/>
    </row>
    <row r="25" spans="1:82" ht="14.25" customHeight="1">
      <c r="G25" s="2">
        <f t="shared" si="0"/>
        <v>25</v>
      </c>
      <c r="J25" s="102">
        <f t="shared" si="3"/>
        <v>12</v>
      </c>
      <c r="K25" s="2"/>
      <c r="L25" s="503" t="s">
        <v>1624</v>
      </c>
      <c r="O25" s="2"/>
      <c r="P25" s="131">
        <f>P17+P18+P23</f>
        <v>-1316289.6789792601</v>
      </c>
      <c r="R25" s="2">
        <f t="shared" si="4"/>
        <v>12</v>
      </c>
      <c r="S25" s="77"/>
      <c r="T25" s="2" t="s">
        <v>287</v>
      </c>
      <c r="V25" s="371">
        <f>V40</f>
        <v>3146703.6048179106</v>
      </c>
      <c r="Y25" s="81"/>
      <c r="Z25" s="297"/>
      <c r="AB25" s="124"/>
      <c r="AC25" s="55"/>
      <c r="AD25" s="55"/>
      <c r="AE25" s="55"/>
      <c r="AF25" s="55"/>
      <c r="AG25" s="55"/>
      <c r="AH25" s="55"/>
      <c r="AI25" s="55"/>
      <c r="AJ25" s="55"/>
      <c r="AK25" s="1023">
        <f t="shared" si="2"/>
        <v>14</v>
      </c>
      <c r="AL25" s="1023"/>
      <c r="AN25" s="997" t="s">
        <v>709</v>
      </c>
      <c r="AO25" s="890" t="s">
        <v>916</v>
      </c>
      <c r="AP25" s="892"/>
      <c r="AQ25" s="893">
        <v>1903206.78</v>
      </c>
      <c r="AR25" s="998">
        <f t="shared" ref="AR25:AR27" si="6">SUM(AP25:AQ25)</f>
        <v>1903206.78</v>
      </c>
      <c r="AT25" s="1182"/>
      <c r="AU25" s="1130"/>
      <c r="AV25" s="1182"/>
      <c r="AW25" s="1130"/>
      <c r="AX25" s="1130"/>
      <c r="AY25" s="1265"/>
      <c r="AZ25" s="1130"/>
      <c r="BA25" s="1106"/>
      <c r="BB25" s="1130"/>
      <c r="BD25" s="758"/>
      <c r="BE25" s="758"/>
      <c r="BF25" s="759"/>
      <c r="BG25" s="758"/>
      <c r="BH25" s="1106"/>
      <c r="BI25" s="758"/>
      <c r="BJ25" s="758"/>
      <c r="BK25" s="843"/>
      <c r="BW25"/>
      <c r="BX25"/>
      <c r="BY25" s="1244"/>
      <c r="BZ25"/>
      <c r="CA25" s="1159"/>
      <c r="CB25"/>
      <c r="CC25"/>
      <c r="CD25" s="1247"/>
    </row>
    <row r="26" spans="1:82" ht="16.5">
      <c r="B26" s="497"/>
      <c r="D26" s="147"/>
      <c r="E26" s="147"/>
      <c r="F26" s="147"/>
      <c r="G26" s="2">
        <f t="shared" si="0"/>
        <v>26</v>
      </c>
      <c r="J26" s="102">
        <f t="shared" si="3"/>
        <v>13</v>
      </c>
      <c r="R26" s="2">
        <f t="shared" si="4"/>
        <v>13</v>
      </c>
      <c r="S26" s="77"/>
      <c r="Z26" s="297"/>
      <c r="AB26" s="338" t="s">
        <v>776</v>
      </c>
      <c r="AC26" s="551"/>
      <c r="AD26" s="1144">
        <f>AD50/AD48</f>
        <v>0.75151515151515158</v>
      </c>
      <c r="AE26" s="1144">
        <f>AE50/AE48</f>
        <v>0.62625139043381539</v>
      </c>
      <c r="AF26" s="1144">
        <v>0</v>
      </c>
      <c r="AG26" s="1144">
        <f>AG50/AG48</f>
        <v>0</v>
      </c>
      <c r="AH26" s="1144">
        <f>AH50/AH48</f>
        <v>0</v>
      </c>
      <c r="AI26" s="1143">
        <f>AI22/AI24</f>
        <v>0</v>
      </c>
      <c r="AJ26" s="1147">
        <f>HLOOKUP($AJ$12,AVG_INCENTIVE,AK26,FALSE)</f>
        <v>0</v>
      </c>
      <c r="AK26" s="1023">
        <f t="shared" si="2"/>
        <v>15</v>
      </c>
      <c r="AL26" s="1023"/>
      <c r="AN26" s="997" t="s">
        <v>5</v>
      </c>
      <c r="AO26" s="894" t="s">
        <v>917</v>
      </c>
      <c r="AP26" s="892">
        <v>3919940.28</v>
      </c>
      <c r="AQ26" s="88">
        <v>1756871.9</v>
      </c>
      <c r="AR26" s="998">
        <f t="shared" si="6"/>
        <v>5676812.1799999997</v>
      </c>
      <c r="AT26" s="1182"/>
      <c r="AV26" s="1182"/>
      <c r="BA26" s="1106"/>
      <c r="BD26" s="758"/>
      <c r="BE26" s="758"/>
      <c r="BF26" s="759"/>
      <c r="BG26" s="758"/>
      <c r="BH26" s="1106"/>
      <c r="BI26" s="758"/>
      <c r="BJ26" s="758"/>
      <c r="BK26" s="843"/>
      <c r="BW26"/>
      <c r="BX26"/>
      <c r="BY26" s="1244"/>
      <c r="BZ26"/>
      <c r="CA26" s="1159"/>
      <c r="CB26"/>
      <c r="CC26"/>
      <c r="CD26" s="1247"/>
    </row>
    <row r="27" spans="1:82" ht="17.25" thickBot="1">
      <c r="J27" s="102">
        <f t="shared" si="3"/>
        <v>14</v>
      </c>
      <c r="L27" s="342"/>
      <c r="M27" s="342"/>
      <c r="N27" s="342"/>
      <c r="O27" s="342"/>
      <c r="P27" s="342"/>
      <c r="R27" s="2">
        <f t="shared" si="4"/>
        <v>14</v>
      </c>
      <c r="T27" s="2" t="s">
        <v>165</v>
      </c>
      <c r="W27" s="1227" t="s">
        <v>439</v>
      </c>
      <c r="X27" s="345">
        <f>AF44</f>
        <v>1</v>
      </c>
      <c r="Y27" s="112">
        <f>V25*X27</f>
        <v>3146703.6048179106</v>
      </c>
      <c r="Z27" s="7">
        <f>Y27</f>
        <v>3146703.6048179106</v>
      </c>
      <c r="AB27" s="341" t="s">
        <v>777</v>
      </c>
      <c r="AC27" s="117"/>
      <c r="AD27" s="1151">
        <f>AD49/AD48</f>
        <v>0.2484848484848485</v>
      </c>
      <c r="AE27" s="1151">
        <f>AE49/AE48</f>
        <v>0.37374860956618466</v>
      </c>
      <c r="AF27" s="1151">
        <v>1</v>
      </c>
      <c r="AG27" s="1151">
        <f>AG49/AG48</f>
        <v>1</v>
      </c>
      <c r="AH27" s="1151">
        <f>AH49/AH48</f>
        <v>1</v>
      </c>
      <c r="AI27" s="1142">
        <f>AI23/AI24</f>
        <v>1</v>
      </c>
      <c r="AJ27" s="1142">
        <f>HLOOKUP($AJ$12,AVG_INCENTIVE,AK27,FALSE)</f>
        <v>1</v>
      </c>
      <c r="AK27" s="1023">
        <f t="shared" si="2"/>
        <v>16</v>
      </c>
      <c r="AL27" s="1023"/>
      <c r="AN27" s="997" t="s">
        <v>918</v>
      </c>
      <c r="AO27" s="895" t="s">
        <v>919</v>
      </c>
      <c r="AP27" s="892">
        <v>1030575.13</v>
      </c>
      <c r="AQ27" s="88">
        <v>307479.94</v>
      </c>
      <c r="AR27" s="998">
        <f t="shared" si="6"/>
        <v>1338055.07</v>
      </c>
      <c r="AT27" s="1129"/>
      <c r="AU27" s="1129"/>
      <c r="AV27" s="1129"/>
      <c r="AW27" s="1129"/>
      <c r="AX27" s="1129"/>
      <c r="AY27" s="1265"/>
      <c r="AZ27" s="1129"/>
      <c r="BA27" s="1129"/>
      <c r="BB27" s="1129"/>
      <c r="BD27" s="1133"/>
      <c r="BE27" s="1133"/>
      <c r="BF27" s="1135"/>
      <c r="BG27" s="1133"/>
      <c r="BH27" s="1136"/>
      <c r="BI27" s="1133"/>
      <c r="BJ27" s="1133"/>
      <c r="BK27" s="1137"/>
      <c r="BW27"/>
      <c r="BX27"/>
      <c r="BY27" s="1244"/>
      <c r="BZ27"/>
      <c r="CA27" s="1159"/>
      <c r="CB27"/>
      <c r="CC27"/>
      <c r="CD27" s="1247"/>
    </row>
    <row r="28" spans="1:82" ht="15.75" thickBot="1">
      <c r="B28" s="13"/>
      <c r="J28" s="102">
        <f t="shared" si="3"/>
        <v>15</v>
      </c>
      <c r="L28" s="1021" t="s">
        <v>513</v>
      </c>
      <c r="M28" s="1021"/>
      <c r="N28" s="1021"/>
      <c r="O28" s="1021"/>
      <c r="P28" s="1021"/>
      <c r="R28" s="2">
        <f t="shared" si="4"/>
        <v>15</v>
      </c>
      <c r="T28" s="77" t="s">
        <v>128</v>
      </c>
      <c r="U28" s="77"/>
      <c r="V28" s="371"/>
      <c r="W28" s="89"/>
      <c r="X28" s="89">
        <f>SUM(X27:X27)</f>
        <v>1</v>
      </c>
      <c r="Y28" s="1168">
        <f>SUM(Y27:Y27)</f>
        <v>3146703.6048179106</v>
      </c>
      <c r="Z28" s="239"/>
      <c r="AB28" s="339" t="s">
        <v>750</v>
      </c>
      <c r="AC28" s="289"/>
      <c r="AD28" s="1148">
        <f t="shared" ref="AD28:AI28" si="7">SUM(AD26:AD27)</f>
        <v>1</v>
      </c>
      <c r="AE28" s="1148">
        <f t="shared" si="7"/>
        <v>1</v>
      </c>
      <c r="AF28" s="1148">
        <f t="shared" si="7"/>
        <v>1</v>
      </c>
      <c r="AG28" s="1148">
        <f t="shared" si="7"/>
        <v>1</v>
      </c>
      <c r="AH28" s="1148">
        <f t="shared" si="7"/>
        <v>1</v>
      </c>
      <c r="AI28" s="1148">
        <f t="shared" si="7"/>
        <v>1</v>
      </c>
      <c r="AJ28" s="1148">
        <f>HLOOKUP($AJ$12,AVG_INCENTIVE,AK28,FALSE)</f>
        <v>1</v>
      </c>
      <c r="AK28" s="1023">
        <f t="shared" si="2"/>
        <v>17</v>
      </c>
      <c r="AL28" s="1023"/>
      <c r="AN28" s="999" t="s">
        <v>824</v>
      </c>
      <c r="AO28" s="1000" t="s">
        <v>919</v>
      </c>
      <c r="AP28" s="1192">
        <f>SUM(AP24:AP27)</f>
        <v>6457037.5599999996</v>
      </c>
      <c r="AQ28" s="1193">
        <f>SUM(AQ24:AQ27)</f>
        <v>5859674.1900000004</v>
      </c>
      <c r="AR28" s="1190">
        <f>SUM(AR24:AR27)</f>
        <v>12316711.75</v>
      </c>
      <c r="BD28" s="1133"/>
      <c r="BE28" s="1133"/>
      <c r="BG28" s="1133"/>
      <c r="BH28" s="1136"/>
      <c r="BI28" s="1133"/>
      <c r="BJ28" s="1133"/>
      <c r="BK28" s="1137"/>
      <c r="BW28"/>
      <c r="BX28"/>
      <c r="BY28" s="1244"/>
      <c r="BZ28"/>
      <c r="CA28" s="1159"/>
      <c r="CB28"/>
      <c r="CC28"/>
      <c r="CD28" s="1247"/>
    </row>
    <row r="29" spans="1:82" ht="27" customHeight="1" thickBot="1">
      <c r="J29" s="102">
        <f t="shared" si="3"/>
        <v>16</v>
      </c>
      <c r="K29" s="503"/>
      <c r="L29" s="1229" t="s">
        <v>1153</v>
      </c>
      <c r="M29" s="1017"/>
      <c r="N29" s="1017"/>
      <c r="O29" s="1017"/>
      <c r="P29" s="1017"/>
      <c r="R29" s="2">
        <f t="shared" si="4"/>
        <v>16</v>
      </c>
      <c r="X29" s="84"/>
      <c r="Z29" s="7"/>
      <c r="AB29" s="55"/>
      <c r="AC29" s="55"/>
      <c r="AD29" s="55"/>
      <c r="AE29" s="55"/>
      <c r="AF29" s="55"/>
      <c r="AG29" s="55"/>
      <c r="AH29" s="55"/>
      <c r="AI29" s="55"/>
      <c r="AJ29" s="55"/>
      <c r="AK29" s="1023">
        <f t="shared" si="2"/>
        <v>18</v>
      </c>
      <c r="AL29" s="1023"/>
      <c r="BD29" s="1133"/>
      <c r="BE29" s="1133"/>
      <c r="BF29" s="1135"/>
      <c r="BG29" s="1133"/>
      <c r="BH29" s="1136"/>
      <c r="BI29" s="1133"/>
      <c r="BJ29" s="1133"/>
      <c r="BK29" s="1137"/>
      <c r="BW29" s="758"/>
      <c r="BX29" s="758"/>
      <c r="BY29" s="759"/>
      <c r="BZ29" s="758"/>
      <c r="CA29" s="1106"/>
      <c r="CB29" s="758"/>
      <c r="CC29" s="758"/>
      <c r="CD29" s="843"/>
    </row>
    <row r="30" spans="1:82" ht="15.75" thickBot="1">
      <c r="J30" s="102">
        <f t="shared" si="3"/>
        <v>17</v>
      </c>
      <c r="R30" s="2">
        <f t="shared" si="4"/>
        <v>17</v>
      </c>
      <c r="S30" s="68" t="s">
        <v>1113</v>
      </c>
      <c r="Y30" s="437"/>
      <c r="Z30" s="7">
        <f>SUM(Z19:Z27)</f>
        <v>3669140.4214144321</v>
      </c>
      <c r="AB30" s="340" t="s">
        <v>1592</v>
      </c>
      <c r="AC30" s="344"/>
      <c r="AD30" s="1152">
        <f>+AD32*AD34</f>
        <v>316860.84903000004</v>
      </c>
      <c r="AE30" s="1152">
        <f>+AE32*AE34</f>
        <v>583777.333125</v>
      </c>
      <c r="AF30" s="1152">
        <f>+AF32*AF34</f>
        <v>575492.83659999992</v>
      </c>
      <c r="AG30" s="1152">
        <f>+AG32*AG34</f>
        <v>827738.88841600006</v>
      </c>
      <c r="AH30" s="1152">
        <f>+AH32*AH34</f>
        <v>558892.68999999994</v>
      </c>
      <c r="AI30" s="1152">
        <f>AVERAGE(AF30:AH30)</f>
        <v>654041.47167200001</v>
      </c>
      <c r="AJ30" s="1152">
        <f>HLOOKUP($AJ$12,AVG_INCENTIVE,AK30,FALSE)</f>
        <v>654041.47167200001</v>
      </c>
      <c r="AK30" s="1023">
        <f t="shared" si="2"/>
        <v>19</v>
      </c>
      <c r="AL30" s="1023"/>
      <c r="AN30" s="1286" t="s">
        <v>1108</v>
      </c>
      <c r="AO30" s="1287"/>
      <c r="AP30" s="1287"/>
      <c r="AQ30" s="1287"/>
      <c r="AR30" s="1288"/>
      <c r="BZ30" s="758"/>
      <c r="CA30" s="1106"/>
      <c r="CB30" s="758"/>
      <c r="CC30" s="758"/>
      <c r="CD30" s="843"/>
    </row>
    <row r="31" spans="1:82" ht="17.25" thickBot="1">
      <c r="J31" s="102">
        <f t="shared" si="3"/>
        <v>18</v>
      </c>
      <c r="L31" s="1404" t="s">
        <v>1633</v>
      </c>
      <c r="M31" s="34"/>
      <c r="N31" s="34"/>
      <c r="O31" s="34"/>
      <c r="P31" s="32"/>
      <c r="R31" s="2">
        <f t="shared" si="4"/>
        <v>18</v>
      </c>
      <c r="S31" s="68" t="s">
        <v>954</v>
      </c>
      <c r="Y31" s="437"/>
      <c r="Z31" s="107">
        <f>V25+V17</f>
        <v>4108572.0900000008</v>
      </c>
      <c r="AB31" s="339" t="s">
        <v>1593</v>
      </c>
      <c r="AC31" s="275"/>
      <c r="AD31" s="1150">
        <f>+AD32*AD35</f>
        <v>617831.92097000009</v>
      </c>
      <c r="AE31" s="1150">
        <f>+AE32*AE35</f>
        <v>922744.81687500002</v>
      </c>
      <c r="AF31" s="1150">
        <f>+AF32*AF35</f>
        <v>1117133.1534</v>
      </c>
      <c r="AG31" s="1150">
        <f>+AG32*AG35</f>
        <v>656728.27158400009</v>
      </c>
      <c r="AH31" s="1150">
        <f>+AH32*AH35</f>
        <v>558892.68999999994</v>
      </c>
      <c r="AI31" s="1150">
        <f>AVERAGE(AF31:AH31)</f>
        <v>777584.70499466674</v>
      </c>
      <c r="AJ31" s="1150">
        <f>HLOOKUP($AJ$12,AVG_INCENTIVE,AK31,FALSE)</f>
        <v>777584.70499466674</v>
      </c>
      <c r="AK31" s="1023">
        <f t="shared" si="2"/>
        <v>20</v>
      </c>
      <c r="AL31" s="1023"/>
      <c r="AN31" s="936" t="s">
        <v>1114</v>
      </c>
      <c r="AO31" s="887"/>
      <c r="AP31" s="887" t="s">
        <v>466</v>
      </c>
      <c r="AQ31" s="888"/>
      <c r="AR31" s="993"/>
      <c r="BZ31" s="758"/>
      <c r="CA31" s="1106"/>
      <c r="CB31" s="758"/>
      <c r="CC31" s="758"/>
      <c r="CD31" s="843"/>
    </row>
    <row r="32" spans="1:82" ht="15.75" thickBot="1">
      <c r="A32" s="346"/>
      <c r="J32" s="102">
        <f t="shared" si="3"/>
        <v>19</v>
      </c>
      <c r="L32" s="34" t="s">
        <v>1634</v>
      </c>
      <c r="M32" s="492"/>
      <c r="N32" s="492"/>
      <c r="O32" s="492">
        <f>+'ALLOCATIONS&amp;PRETAX'!$G$8</f>
        <v>0.49099999999999999</v>
      </c>
      <c r="P32" s="493"/>
      <c r="R32" s="2">
        <f>+R31+1</f>
        <v>19</v>
      </c>
      <c r="S32" s="2" t="s">
        <v>765</v>
      </c>
      <c r="V32" s="49"/>
      <c r="W32" s="44"/>
      <c r="Y32" s="437"/>
      <c r="Z32" s="7">
        <f>Z30-Z31</f>
        <v>-439431.66858556867</v>
      </c>
      <c r="AB32" s="317" t="s">
        <v>750</v>
      </c>
      <c r="AC32" s="223"/>
      <c r="AD32" s="223">
        <f>+AP15</f>
        <v>934692.77000000014</v>
      </c>
      <c r="AE32" s="223">
        <f>AP24</f>
        <v>1506522.15</v>
      </c>
      <c r="AF32" s="223">
        <f>AP33+AP34</f>
        <v>1692625.99</v>
      </c>
      <c r="AG32" s="223">
        <f>AP42+AP43</f>
        <v>1484467.1600000001</v>
      </c>
      <c r="AH32" s="223">
        <f>AP51+AP52</f>
        <v>1117785.3799999999</v>
      </c>
      <c r="AI32" s="223">
        <f>SUM(AI30:AI31)</f>
        <v>1431626.1766666668</v>
      </c>
      <c r="AJ32" s="223">
        <f>SUM(AJ30:AJ31)</f>
        <v>1431626.1766666668</v>
      </c>
      <c r="AK32" s="1023">
        <f t="shared" si="2"/>
        <v>21</v>
      </c>
      <c r="AL32" s="1023"/>
      <c r="AN32" s="994" t="s">
        <v>266</v>
      </c>
      <c r="AO32" s="889"/>
      <c r="AP32" s="888" t="s">
        <v>780</v>
      </c>
      <c r="AQ32" s="896" t="s">
        <v>779</v>
      </c>
      <c r="AR32" s="995" t="s">
        <v>824</v>
      </c>
      <c r="BD32" s="850"/>
      <c r="BE32" s="850"/>
      <c r="BG32" s="850"/>
      <c r="BH32" s="850"/>
      <c r="BI32" s="850"/>
      <c r="BJ32" s="850"/>
      <c r="BK32" s="850"/>
      <c r="CA32" s="1106"/>
      <c r="CB32" s="758"/>
      <c r="CC32" s="758"/>
      <c r="CD32" s="843"/>
    </row>
    <row r="33" spans="4:82" ht="15.75">
      <c r="D33" s="553"/>
      <c r="E33" s="553"/>
      <c r="F33" s="553"/>
      <c r="J33" s="102">
        <f t="shared" si="3"/>
        <v>20</v>
      </c>
      <c r="L33" s="34" t="s">
        <v>1635</v>
      </c>
      <c r="M33" s="495"/>
      <c r="N33" s="495"/>
      <c r="O33" s="495">
        <f>P25*O32</f>
        <v>-646298.2323788167</v>
      </c>
      <c r="P33" s="98">
        <f>SUM(M33:O33)</f>
        <v>-646298.2323788167</v>
      </c>
      <c r="R33" s="2">
        <v>20</v>
      </c>
      <c r="S33" s="68" t="s">
        <v>1631</v>
      </c>
      <c r="V33" s="49"/>
      <c r="W33" s="44"/>
      <c r="Y33" s="7"/>
      <c r="Z33" s="7">
        <f>-BY16</f>
        <v>0</v>
      </c>
      <c r="AB33" s="124"/>
      <c r="AC33" s="55"/>
      <c r="AD33" s="55"/>
      <c r="AE33" s="55"/>
      <c r="AF33" s="55"/>
      <c r="AG33" s="55"/>
      <c r="AH33" s="55"/>
      <c r="AI33" s="55"/>
      <c r="AJ33" s="55"/>
      <c r="AK33" s="1023">
        <f t="shared" si="2"/>
        <v>22</v>
      </c>
      <c r="AL33" s="1023"/>
      <c r="AN33" s="994" t="s">
        <v>267</v>
      </c>
      <c r="AO33" s="890" t="s">
        <v>915</v>
      </c>
      <c r="AP33" s="891">
        <v>1366141.75</v>
      </c>
      <c r="AQ33" s="1036">
        <v>1942159.54</v>
      </c>
      <c r="AR33" s="996">
        <f>SUM(AP33:AQ33)</f>
        <v>3308301.29</v>
      </c>
      <c r="CA33" s="1106"/>
      <c r="CB33" s="758"/>
      <c r="CC33" s="758"/>
      <c r="CD33" s="843"/>
    </row>
    <row r="34" spans="4:82" ht="15.75" thickBot="1">
      <c r="J34"/>
      <c r="K34"/>
      <c r="L34"/>
      <c r="M34"/>
      <c r="N34"/>
      <c r="O34"/>
      <c r="P34"/>
      <c r="R34" s="2">
        <v>21</v>
      </c>
      <c r="S34" s="536" t="s">
        <v>765</v>
      </c>
      <c r="V34" s="49"/>
      <c r="W34" s="44"/>
      <c r="Z34" s="1164">
        <f>SUM(Z32:Z33)</f>
        <v>-439431.66858556867</v>
      </c>
      <c r="AB34" s="338" t="s">
        <v>1594</v>
      </c>
      <c r="AC34" s="174"/>
      <c r="AD34" s="1147">
        <f>1-AD35</f>
        <v>0.33899999999999997</v>
      </c>
      <c r="AE34" s="1147">
        <v>0.38750000000000001</v>
      </c>
      <c r="AF34" s="1147">
        <f>1-AF35</f>
        <v>0.33999999999999997</v>
      </c>
      <c r="AG34" s="1147">
        <v>0.55759999999999998</v>
      </c>
      <c r="AH34" s="1147">
        <v>0.5</v>
      </c>
      <c r="AI34" s="1147">
        <f>AI30/AI32</f>
        <v>0.45685213244342904</v>
      </c>
      <c r="AJ34" s="1147">
        <f>HLOOKUP($AJ$12,AVG_INCENTIVE,AK34,FALSE)</f>
        <v>0.45685213244342904</v>
      </c>
      <c r="AK34" s="1023">
        <f t="shared" si="2"/>
        <v>23</v>
      </c>
      <c r="AL34" s="1023"/>
      <c r="AN34" s="997" t="s">
        <v>709</v>
      </c>
      <c r="AO34" s="890" t="s">
        <v>916</v>
      </c>
      <c r="AP34" s="892">
        <v>326484.24</v>
      </c>
      <c r="AQ34" s="893">
        <v>1977997.61</v>
      </c>
      <c r="AR34" s="998">
        <f t="shared" ref="AR34:AR36" si="8">SUM(AP34:AQ34)</f>
        <v>2304481.85</v>
      </c>
      <c r="CA34" s="1106"/>
      <c r="CB34" s="758"/>
      <c r="CC34" s="758"/>
      <c r="CD34" s="843"/>
    </row>
    <row r="35" spans="4:82" ht="18" thickTop="1" thickBot="1">
      <c r="J35"/>
      <c r="K35"/>
      <c r="L35"/>
      <c r="M35"/>
      <c r="N35"/>
      <c r="O35"/>
      <c r="P35"/>
      <c r="Q35" s="503"/>
      <c r="R35" s="1022"/>
      <c r="AB35" s="341" t="s">
        <v>1595</v>
      </c>
      <c r="AC35" s="117"/>
      <c r="AD35" s="1142">
        <v>0.66100000000000003</v>
      </c>
      <c r="AE35" s="1142">
        <f>1-AE34</f>
        <v>0.61250000000000004</v>
      </c>
      <c r="AF35" s="1142">
        <f>99/150</f>
        <v>0.66</v>
      </c>
      <c r="AG35" s="1142">
        <f>1-AG34</f>
        <v>0.44240000000000002</v>
      </c>
      <c r="AH35" s="1142">
        <f>1-AH34</f>
        <v>0.5</v>
      </c>
      <c r="AI35" s="1142">
        <f>AI31/AI32</f>
        <v>0.54314786755657096</v>
      </c>
      <c r="AJ35" s="1142">
        <f>HLOOKUP($AJ$12,AVG_INCENTIVE,AK35,FALSE)</f>
        <v>0.54314786755657096</v>
      </c>
      <c r="AK35" s="1023">
        <f t="shared" si="2"/>
        <v>24</v>
      </c>
      <c r="AL35" s="1023"/>
      <c r="AN35" s="997" t="s">
        <v>5</v>
      </c>
      <c r="AO35" s="894" t="s">
        <v>917</v>
      </c>
      <c r="AP35" s="892">
        <v>4704097.67</v>
      </c>
      <c r="AQ35" s="88">
        <v>1570607.61</v>
      </c>
      <c r="AR35" s="998">
        <f t="shared" si="8"/>
        <v>6274705.2800000003</v>
      </c>
    </row>
    <row r="36" spans="4:82" ht="17.25" thickBot="1">
      <c r="J36"/>
      <c r="K36"/>
      <c r="L36"/>
      <c r="M36"/>
      <c r="N36"/>
      <c r="O36"/>
      <c r="P36"/>
      <c r="R36" s="1022"/>
      <c r="AB36" s="339" t="s">
        <v>750</v>
      </c>
      <c r="AC36" s="289"/>
      <c r="AD36" s="1148">
        <f t="shared" ref="AD36:AI36" si="9">SUM(AD34:AD35)</f>
        <v>1</v>
      </c>
      <c r="AE36" s="1148">
        <f t="shared" si="9"/>
        <v>1</v>
      </c>
      <c r="AF36" s="1148">
        <f t="shared" si="9"/>
        <v>1</v>
      </c>
      <c r="AG36" s="1148">
        <f t="shared" si="9"/>
        <v>1</v>
      </c>
      <c r="AH36" s="1148">
        <f t="shared" si="9"/>
        <v>1</v>
      </c>
      <c r="AI36" s="1148">
        <f t="shared" si="9"/>
        <v>1</v>
      </c>
      <c r="AJ36" s="1148">
        <f>HLOOKUP($AJ$12,AVG_INCENTIVE,AK36,FALSE)</f>
        <v>1</v>
      </c>
      <c r="AK36" s="1023">
        <f t="shared" si="2"/>
        <v>25</v>
      </c>
      <c r="AL36" s="1023"/>
      <c r="AN36" s="997" t="s">
        <v>918</v>
      </c>
      <c r="AO36" s="895" t="s">
        <v>919</v>
      </c>
      <c r="AP36" s="892">
        <v>1059150.79</v>
      </c>
      <c r="AQ36" s="88">
        <v>385095.75</v>
      </c>
      <c r="AR36" s="998">
        <f t="shared" si="8"/>
        <v>1444246.54</v>
      </c>
    </row>
    <row r="37" spans="4:82" ht="15.75" thickBot="1">
      <c r="J37"/>
      <c r="K37"/>
      <c r="L37"/>
      <c r="M37"/>
      <c r="N37"/>
      <c r="O37"/>
      <c r="P37"/>
      <c r="R37" s="1022"/>
      <c r="AB37" s="317"/>
      <c r="AC37" s="423"/>
      <c r="AD37" s="423"/>
      <c r="AE37" s="423"/>
      <c r="AF37" s="423"/>
      <c r="AG37" s="423"/>
      <c r="AH37" s="423"/>
      <c r="AI37" s="423"/>
      <c r="AJ37" s="423"/>
      <c r="AK37" s="1140">
        <f t="shared" si="2"/>
        <v>26</v>
      </c>
      <c r="AL37" s="1023"/>
      <c r="AN37" s="999" t="s">
        <v>824</v>
      </c>
      <c r="AO37" s="1000" t="s">
        <v>919</v>
      </c>
      <c r="AP37" s="1192">
        <f>SUM(AP33:AP36)</f>
        <v>7455874.4500000002</v>
      </c>
      <c r="AQ37" s="1193">
        <f>SUM(AQ33:AQ36)</f>
        <v>5875860.5100000007</v>
      </c>
      <c r="AR37" s="1190">
        <f>SUM(AR33:AR36)</f>
        <v>13331734.960000001</v>
      </c>
    </row>
    <row r="38" spans="4:82" ht="13.5" thickBot="1">
      <c r="J38"/>
      <c r="K38" s="68" t="s">
        <v>1245</v>
      </c>
      <c r="L38"/>
      <c r="M38"/>
      <c r="N38"/>
      <c r="O38"/>
      <c r="P38"/>
      <c r="R38" s="1022"/>
      <c r="S38" s="68" t="s">
        <v>1245</v>
      </c>
      <c r="U38" s="68"/>
      <c r="AK38" s="1140">
        <f t="shared" si="2"/>
        <v>27</v>
      </c>
      <c r="AL38" s="1023"/>
    </row>
    <row r="39" spans="4:82" ht="15.75" thickBot="1">
      <c r="J39"/>
      <c r="K39"/>
      <c r="L39"/>
      <c r="M39"/>
      <c r="N39"/>
      <c r="O39"/>
      <c r="P39"/>
      <c r="R39" s="1022"/>
      <c r="U39" s="68" t="s">
        <v>921</v>
      </c>
      <c r="V39" s="555">
        <f>(AP51+AP52)/(AP51+AP52+AP53+AP54)*V41</f>
        <v>961868.4851820902</v>
      </c>
      <c r="W39" s="68"/>
      <c r="AB39" s="336" t="s">
        <v>1596</v>
      </c>
      <c r="AC39" s="337"/>
      <c r="AD39" s="1149">
        <f>+AD43*AD41</f>
        <v>1617281.2789740565</v>
      </c>
      <c r="AE39" s="1149">
        <f>+AE43*AE41</f>
        <v>1269222.0418534959</v>
      </c>
      <c r="AF39" s="1149">
        <f>+AF43*AF41</f>
        <v>0</v>
      </c>
      <c r="AG39" s="1149">
        <f>+AG43*AG41</f>
        <v>0</v>
      </c>
      <c r="AH39" s="1149">
        <f>+AH43*AH41</f>
        <v>0</v>
      </c>
      <c r="AI39" s="337">
        <f>AVERAGE(AF39:AH39)</f>
        <v>0</v>
      </c>
      <c r="AJ39" s="337">
        <f>HLOOKUP($AJ$12,AVG_INCENTIVE,AK39,FALSE)</f>
        <v>0</v>
      </c>
      <c r="AK39" s="1140">
        <f t="shared" si="2"/>
        <v>28</v>
      </c>
      <c r="AL39" s="1023"/>
      <c r="AN39" s="1435" t="s">
        <v>1108</v>
      </c>
      <c r="AO39" s="1436"/>
      <c r="AP39" s="1436"/>
      <c r="AQ39" s="1436"/>
      <c r="AR39" s="1437"/>
    </row>
    <row r="40" spans="4:82" ht="17.25" thickBot="1">
      <c r="J40"/>
      <c r="K40"/>
      <c r="L40"/>
      <c r="M40"/>
      <c r="N40"/>
      <c r="O40"/>
      <c r="P40"/>
      <c r="R40" s="1022"/>
      <c r="U40" s="68" t="s">
        <v>922</v>
      </c>
      <c r="V40" s="555">
        <f>V41-V39</f>
        <v>3146703.6048179106</v>
      </c>
      <c r="Y40" s="498"/>
      <c r="Z40" s="55"/>
      <c r="AA40" s="55"/>
      <c r="AB40" s="338" t="s">
        <v>1597</v>
      </c>
      <c r="AC40" s="275"/>
      <c r="AD40" s="1150">
        <f>+AD44*AD41</f>
        <v>2969523.151025943</v>
      </c>
      <c r="AE40" s="1150">
        <f>+AE44*AE41</f>
        <v>3681293.3681465038</v>
      </c>
      <c r="AF40" s="1150">
        <f>+AF44*AF41</f>
        <v>5763248.46</v>
      </c>
      <c r="AG40" s="1150">
        <f>+AG44*AG41</f>
        <v>4542817.62</v>
      </c>
      <c r="AH40" s="1150">
        <f>+AH44*AH41</f>
        <v>3656777.7600000002</v>
      </c>
      <c r="AI40" s="275">
        <f>AVERAGE(AF40:AH40)</f>
        <v>4654281.28</v>
      </c>
      <c r="AJ40" s="1153">
        <f>HLOOKUP($AJ$12,AVG_INCENTIVE,AK40,FALSE)</f>
        <v>4654281.28</v>
      </c>
      <c r="AK40" s="1140">
        <f t="shared" si="2"/>
        <v>29</v>
      </c>
      <c r="AN40" s="936" t="s">
        <v>1246</v>
      </c>
      <c r="AO40" s="887"/>
      <c r="AP40" s="887" t="s">
        <v>466</v>
      </c>
      <c r="AQ40" s="888"/>
      <c r="AR40" s="993"/>
    </row>
    <row r="41" spans="4:82" ht="15.75" thickBot="1">
      <c r="J41"/>
      <c r="K41"/>
      <c r="L41"/>
      <c r="M41"/>
      <c r="N41"/>
      <c r="O41"/>
      <c r="P41"/>
      <c r="R41" s="1022"/>
      <c r="U41" s="68" t="s">
        <v>920</v>
      </c>
      <c r="V41" s="1167">
        <f>AY23</f>
        <v>4108572.0900000008</v>
      </c>
      <c r="W41" s="68"/>
      <c r="Y41" s="68"/>
      <c r="Z41" s="7"/>
      <c r="AA41" s="55"/>
      <c r="AB41" s="317" t="s">
        <v>750</v>
      </c>
      <c r="AC41" s="205"/>
      <c r="AD41" s="205">
        <f>+AP17+AP18</f>
        <v>4586804.43</v>
      </c>
      <c r="AE41" s="205">
        <f>AP26+AP27</f>
        <v>4950515.41</v>
      </c>
      <c r="AF41" s="540">
        <f>AP35+AP36</f>
        <v>5763248.46</v>
      </c>
      <c r="AG41" s="540">
        <f>AP44+AP45</f>
        <v>4542817.62</v>
      </c>
      <c r="AH41" s="540">
        <f>AP53</f>
        <v>3656777.7600000002</v>
      </c>
      <c r="AI41" s="540">
        <f>SUM(AI39:AI40)</f>
        <v>4654281.28</v>
      </c>
      <c r="AJ41" s="205">
        <f>SUM(AJ39:AJ40)</f>
        <v>4654281.28</v>
      </c>
      <c r="AK41" s="1140">
        <f t="shared" si="2"/>
        <v>30</v>
      </c>
      <c r="AN41" s="994" t="s">
        <v>266</v>
      </c>
      <c r="AO41" s="889"/>
      <c r="AP41" s="888" t="s">
        <v>780</v>
      </c>
      <c r="AQ41" s="896" t="s">
        <v>779</v>
      </c>
      <c r="AR41" s="995" t="s">
        <v>824</v>
      </c>
    </row>
    <row r="42" spans="4:82" ht="16.5" thickTop="1">
      <c r="J42"/>
      <c r="K42"/>
      <c r="L42"/>
      <c r="M42"/>
      <c r="N42"/>
      <c r="O42"/>
      <c r="P42"/>
      <c r="R42" s="1022"/>
      <c r="V42" s="309"/>
      <c r="Y42" s="498"/>
      <c r="Z42" s="57"/>
      <c r="AA42" s="55"/>
      <c r="AB42" s="124"/>
      <c r="AC42" s="55"/>
      <c r="AD42" s="55"/>
      <c r="AE42" s="55"/>
      <c r="AF42" s="55"/>
      <c r="AG42" s="55"/>
      <c r="AH42" s="55"/>
      <c r="AI42" s="55"/>
      <c r="AJ42" s="55"/>
      <c r="AK42" s="1140">
        <f t="shared" si="2"/>
        <v>31</v>
      </c>
      <c r="AN42" s="994" t="s">
        <v>267</v>
      </c>
      <c r="AO42" s="890" t="s">
        <v>915</v>
      </c>
      <c r="AP42" s="891">
        <v>1250981.56</v>
      </c>
      <c r="AQ42" s="1036">
        <v>1460798.74</v>
      </c>
      <c r="AR42" s="996">
        <f>SUM(AP42:AQ42)</f>
        <v>2711780.3</v>
      </c>
    </row>
    <row r="43" spans="4:82" ht="15">
      <c r="J43"/>
      <c r="K43"/>
      <c r="L43"/>
      <c r="M43"/>
      <c r="N43"/>
      <c r="O43"/>
      <c r="P43"/>
      <c r="R43" s="1022"/>
      <c r="S43" s="68"/>
      <c r="Y43" s="68"/>
      <c r="Z43" s="7"/>
      <c r="AA43" s="55"/>
      <c r="AB43" s="338" t="s">
        <v>1598</v>
      </c>
      <c r="AC43" s="174"/>
      <c r="AD43" s="1147">
        <f t="shared" ref="AD43" si="10">AD52/AD54</f>
        <v>0.35259433962264153</v>
      </c>
      <c r="AE43" s="1147">
        <f>AE52/AE54</f>
        <v>0.25638179800221972</v>
      </c>
      <c r="AF43" s="1147">
        <v>0</v>
      </c>
      <c r="AG43" s="1147">
        <v>0</v>
      </c>
      <c r="AH43" s="1147">
        <v>0</v>
      </c>
      <c r="AI43" s="174">
        <f>+AI39/AI41</f>
        <v>0</v>
      </c>
      <c r="AJ43" s="174">
        <f>HLOOKUP($AJ$12,AVG_INCENTIVE,AK43,FALSE)</f>
        <v>0</v>
      </c>
      <c r="AK43" s="1140">
        <f t="shared" si="2"/>
        <v>32</v>
      </c>
      <c r="AN43" s="997" t="s">
        <v>709</v>
      </c>
      <c r="AO43" s="890" t="s">
        <v>916</v>
      </c>
      <c r="AP43" s="892">
        <v>233485.6</v>
      </c>
      <c r="AQ43" s="893">
        <v>1797139.34</v>
      </c>
      <c r="AR43" s="998">
        <f t="shared" ref="AR43:AR45" si="11">SUM(AP43:AQ43)</f>
        <v>2030624.9400000002</v>
      </c>
    </row>
    <row r="44" spans="4:82" ht="17.25" thickBot="1">
      <c r="J44"/>
      <c r="K44"/>
      <c r="L44"/>
      <c r="M44"/>
      <c r="N44"/>
      <c r="O44"/>
      <c r="P44"/>
      <c r="R44" s="1022"/>
      <c r="V44" s="68"/>
      <c r="W44" s="555"/>
      <c r="AA44" s="55"/>
      <c r="AB44" s="338" t="s">
        <v>1599</v>
      </c>
      <c r="AC44" s="117"/>
      <c r="AD44" s="1142">
        <f>AD53/AD54</f>
        <v>0.64740566037735847</v>
      </c>
      <c r="AE44" s="1142">
        <f>AE53/AE54</f>
        <v>0.74361820199778017</v>
      </c>
      <c r="AF44" s="1210">
        <v>1</v>
      </c>
      <c r="AG44" s="1210">
        <v>1</v>
      </c>
      <c r="AH44" s="1210">
        <v>1</v>
      </c>
      <c r="AI44" s="117">
        <f>+AI40/AI41</f>
        <v>1</v>
      </c>
      <c r="AJ44" s="1154">
        <f>HLOOKUP($AJ$12,AVG_INCENTIVE,AK44,FALSE)</f>
        <v>1</v>
      </c>
      <c r="AK44" s="1140">
        <f t="shared" si="2"/>
        <v>33</v>
      </c>
      <c r="AN44" s="997" t="s">
        <v>5</v>
      </c>
      <c r="AO44" s="894" t="s">
        <v>917</v>
      </c>
      <c r="AP44" s="892">
        <v>3531739.37</v>
      </c>
      <c r="AQ44" s="88">
        <v>1724033.36</v>
      </c>
      <c r="AR44" s="998">
        <f t="shared" si="11"/>
        <v>5255772.7300000004</v>
      </c>
    </row>
    <row r="45" spans="4:82" ht="17.25" thickBot="1">
      <c r="J45"/>
      <c r="K45"/>
      <c r="L45"/>
      <c r="M45"/>
      <c r="N45"/>
      <c r="O45"/>
      <c r="P45"/>
      <c r="R45" s="1022"/>
      <c r="AA45" s="55"/>
      <c r="AB45" s="339" t="s">
        <v>750</v>
      </c>
      <c r="AC45" s="289"/>
      <c r="AD45" s="1148">
        <f t="shared" ref="AD45" si="12">SUM(AD43:AD44)</f>
        <v>1</v>
      </c>
      <c r="AE45" s="1148">
        <f t="shared" ref="AE45:AF45" si="13">SUM(AE43:AE44)</f>
        <v>0.99999999999999989</v>
      </c>
      <c r="AF45" s="1148">
        <f t="shared" si="13"/>
        <v>1</v>
      </c>
      <c r="AG45" s="1148">
        <f>SUM(AG43:AG44)</f>
        <v>1</v>
      </c>
      <c r="AH45" s="1148">
        <f>SUM(AH43:AH44)</f>
        <v>1</v>
      </c>
      <c r="AI45" s="289">
        <f>SUM(AI43:AI44)</f>
        <v>1</v>
      </c>
      <c r="AJ45" s="289">
        <f>SUM(AJ43:AJ44)</f>
        <v>1</v>
      </c>
      <c r="AK45" s="1140">
        <f t="shared" si="2"/>
        <v>34</v>
      </c>
      <c r="AN45" s="997" t="s">
        <v>918</v>
      </c>
      <c r="AO45" s="895" t="s">
        <v>919</v>
      </c>
      <c r="AP45" s="892">
        <v>1011078.25</v>
      </c>
      <c r="AQ45" s="88">
        <v>361761.89</v>
      </c>
      <c r="AR45" s="998">
        <f t="shared" si="11"/>
        <v>1372840.1400000001</v>
      </c>
    </row>
    <row r="46" spans="4:82" ht="15.75" thickBot="1">
      <c r="J46"/>
      <c r="K46"/>
      <c r="L46"/>
      <c r="M46"/>
      <c r="N46"/>
      <c r="O46"/>
      <c r="P46"/>
      <c r="R46" s="1022"/>
      <c r="AA46" s="55"/>
      <c r="AK46" s="1140">
        <f t="shared" si="2"/>
        <v>35</v>
      </c>
      <c r="AN46" s="999" t="s">
        <v>824</v>
      </c>
      <c r="AO46" s="1000" t="s">
        <v>919</v>
      </c>
      <c r="AP46" s="1192">
        <f>SUM(AP42:AP45)</f>
        <v>6027284.7800000003</v>
      </c>
      <c r="AQ46" s="1193">
        <f>SUM(AQ42:AQ45)</f>
        <v>5343733.33</v>
      </c>
      <c r="AR46" s="1190">
        <f>SUM(AR42:AR45)</f>
        <v>11371018.110000001</v>
      </c>
    </row>
    <row r="47" spans="4:82" ht="13.5" thickBot="1">
      <c r="J47"/>
      <c r="K47"/>
      <c r="L47"/>
      <c r="M47"/>
      <c r="N47"/>
      <c r="O47"/>
      <c r="P47"/>
      <c r="R47" s="1022"/>
      <c r="AB47" s="109" t="s">
        <v>1086</v>
      </c>
      <c r="AC47" s="173"/>
      <c r="AD47" s="173"/>
      <c r="AE47" s="173"/>
      <c r="AF47" s="173"/>
      <c r="AG47" s="173"/>
      <c r="AH47" s="173"/>
      <c r="AI47" s="173"/>
      <c r="AJ47" s="173"/>
      <c r="AK47" s="1140">
        <f t="shared" si="2"/>
        <v>36</v>
      </c>
    </row>
    <row r="48" spans="4:82" ht="15.75" thickBot="1">
      <c r="J48"/>
      <c r="K48"/>
      <c r="L48"/>
      <c r="M48"/>
      <c r="N48"/>
      <c r="O48"/>
      <c r="P48"/>
      <c r="R48" s="1022"/>
      <c r="AB48" s="498" t="s">
        <v>976</v>
      </c>
      <c r="AC48" s="423"/>
      <c r="AD48" s="1144">
        <v>6.6000000000000003E-2</v>
      </c>
      <c r="AE48" s="1144">
        <v>8.9899999999999994E-2</v>
      </c>
      <c r="AF48" s="1144">
        <v>8.8700000000000001E-2</v>
      </c>
      <c r="AG48" s="1144">
        <v>8.9300000000000004E-2</v>
      </c>
      <c r="AH48" s="1144">
        <v>0.06</v>
      </c>
      <c r="AI48" s="423"/>
      <c r="AJ48" s="423"/>
      <c r="AK48" s="1140">
        <f t="shared" si="2"/>
        <v>37</v>
      </c>
      <c r="AN48" s="1435" t="s">
        <v>1108</v>
      </c>
      <c r="AO48" s="1436"/>
      <c r="AP48" s="1436"/>
      <c r="AQ48" s="1436"/>
      <c r="AR48" s="1437"/>
    </row>
    <row r="49" spans="10:44" ht="17.25" thickBot="1">
      <c r="J49"/>
      <c r="K49"/>
      <c r="L49"/>
      <c r="M49"/>
      <c r="N49"/>
      <c r="O49"/>
      <c r="P49"/>
      <c r="R49" s="1022"/>
      <c r="W49" s="12"/>
      <c r="AB49" s="498" t="s">
        <v>1600</v>
      </c>
      <c r="AC49" s="423"/>
      <c r="AD49" s="1144">
        <v>1.6400000000000001E-2</v>
      </c>
      <c r="AE49" s="1144">
        <f>0.81%+0.81%+0.7%+0.29%+0.25%+0.5%</f>
        <v>3.3599999999999998E-2</v>
      </c>
      <c r="AF49" s="1144">
        <v>8.8700000000000001E-2</v>
      </c>
      <c r="AG49" s="1144">
        <v>8.9300000000000004E-2</v>
      </c>
      <c r="AH49" s="1144">
        <v>0.06</v>
      </c>
      <c r="AI49" s="1191"/>
      <c r="AJ49" s="423"/>
      <c r="AK49" s="1140">
        <f t="shared" si="2"/>
        <v>38</v>
      </c>
      <c r="AN49" s="936" t="s">
        <v>1285</v>
      </c>
      <c r="AO49" s="887"/>
      <c r="AP49" s="887" t="s">
        <v>466</v>
      </c>
      <c r="AQ49" s="888"/>
      <c r="AR49" s="993"/>
    </row>
    <row r="50" spans="10:44" ht="15.75" thickBot="1">
      <c r="R50" s="1022"/>
      <c r="AB50" s="498" t="s">
        <v>977</v>
      </c>
      <c r="AC50" s="423"/>
      <c r="AD50" s="1144">
        <f>AD48-AD49</f>
        <v>4.9600000000000005E-2</v>
      </c>
      <c r="AE50" s="1144">
        <f>AE48-AE49</f>
        <v>5.6299999999999996E-2</v>
      </c>
      <c r="AF50" s="1144">
        <f>AF48-AF49</f>
        <v>0</v>
      </c>
      <c r="AG50" s="1144">
        <f>AG48-AG49</f>
        <v>0</v>
      </c>
      <c r="AH50" s="1144">
        <v>0</v>
      </c>
      <c r="AI50" s="423"/>
      <c r="AJ50" s="423"/>
      <c r="AK50" s="1140">
        <f t="shared" si="2"/>
        <v>39</v>
      </c>
      <c r="AN50" s="994" t="s">
        <v>266</v>
      </c>
      <c r="AO50" s="889"/>
      <c r="AP50" s="888" t="s">
        <v>780</v>
      </c>
      <c r="AQ50" s="896" t="s">
        <v>779</v>
      </c>
      <c r="AR50" s="995" t="s">
        <v>824</v>
      </c>
    </row>
    <row r="51" spans="10:44" ht="16.5" thickBot="1">
      <c r="Q51" s="41"/>
      <c r="R51" s="1022"/>
      <c r="AK51" s="1140">
        <f t="shared" si="2"/>
        <v>40</v>
      </c>
      <c r="AN51" s="994" t="s">
        <v>267</v>
      </c>
      <c r="AO51" s="890" t="s">
        <v>915</v>
      </c>
      <c r="AP51" s="891">
        <f>[15]sheet1!$D$3</f>
        <v>912527.25</v>
      </c>
      <c r="AQ51" s="1036">
        <f>[15]sheet1!$D$9</f>
        <v>1511343.18</v>
      </c>
      <c r="AR51" s="996">
        <f>SUM(AP51:AQ51)</f>
        <v>2423870.4299999997</v>
      </c>
    </row>
    <row r="52" spans="10:44" ht="15">
      <c r="R52" s="1022"/>
      <c r="AB52" s="369" t="s">
        <v>1601</v>
      </c>
      <c r="AC52" s="370"/>
      <c r="AD52" s="1145">
        <v>2.9899999999999999E-2</v>
      </c>
      <c r="AE52" s="1189">
        <f>0.81%+1.5%</f>
        <v>2.3100000000000002E-2</v>
      </c>
      <c r="AF52" s="1189">
        <v>0</v>
      </c>
      <c r="AG52" s="1189">
        <v>0</v>
      </c>
      <c r="AH52" s="1189">
        <v>0</v>
      </c>
      <c r="AI52" s="370"/>
      <c r="AJ52" s="370"/>
      <c r="AK52" s="1140">
        <f t="shared" si="2"/>
        <v>41</v>
      </c>
      <c r="AN52" s="997" t="s">
        <v>709</v>
      </c>
      <c r="AO52" s="890" t="s">
        <v>916</v>
      </c>
      <c r="AP52" s="892">
        <f>[15]sheet1!$D$4</f>
        <v>205258.13</v>
      </c>
      <c r="AQ52" s="893">
        <f>[15]sheet1!$D$10</f>
        <v>490580.83</v>
      </c>
      <c r="AR52" s="998">
        <f t="shared" ref="AR52:AR54" si="14">SUM(AP52:AQ52)</f>
        <v>695838.96</v>
      </c>
    </row>
    <row r="53" spans="10:44" ht="17.25" thickBot="1">
      <c r="R53" s="1022"/>
      <c r="AB53" s="341" t="s">
        <v>1602</v>
      </c>
      <c r="AC53" s="554"/>
      <c r="AD53" s="1146">
        <v>5.4899999999999997E-2</v>
      </c>
      <c r="AE53" s="1186">
        <v>6.7000000000000004E-2</v>
      </c>
      <c r="AF53" s="1186">
        <v>9.98E-2</v>
      </c>
      <c r="AG53" s="1186">
        <v>7.4899999999999994E-2</v>
      </c>
      <c r="AH53" s="1186">
        <v>0.06</v>
      </c>
      <c r="AI53" s="554"/>
      <c r="AJ53" s="242"/>
      <c r="AK53" s="1140">
        <f t="shared" si="2"/>
        <v>42</v>
      </c>
      <c r="AN53" s="997" t="s">
        <v>5</v>
      </c>
      <c r="AO53" s="894" t="s">
        <v>917</v>
      </c>
      <c r="AP53" s="892">
        <f>[15]sheet1!$D$7+[15]sheet1!$D$11</f>
        <v>3656777.7600000002</v>
      </c>
      <c r="AQ53" s="88">
        <f>[15]sheet1!$D$14+[15]sheet1!$D$5</f>
        <v>1458120.14</v>
      </c>
      <c r="AR53" s="998">
        <f t="shared" si="14"/>
        <v>5114897.9000000004</v>
      </c>
    </row>
    <row r="54" spans="10:44" ht="17.25" thickBot="1">
      <c r="Q54" s="503"/>
      <c r="AB54" s="341" t="s">
        <v>1603</v>
      </c>
      <c r="AC54" s="554"/>
      <c r="AD54" s="1146">
        <f t="shared" ref="AD54" si="15">SUM(AD52:AD53)</f>
        <v>8.48E-2</v>
      </c>
      <c r="AE54" s="1186">
        <f>SUM(AE52:AE53)</f>
        <v>9.0100000000000013E-2</v>
      </c>
      <c r="AF54" s="1186">
        <f>SUM(AF52:AF53)</f>
        <v>9.98E-2</v>
      </c>
      <c r="AG54" s="1186">
        <f>SUM(AG52:AG53)</f>
        <v>7.4899999999999994E-2</v>
      </c>
      <c r="AH54" s="1186">
        <f>SUM(AH52:AH53)</f>
        <v>0.06</v>
      </c>
      <c r="AI54" s="554"/>
      <c r="AJ54" s="242"/>
      <c r="AK54" s="1140">
        <f t="shared" si="2"/>
        <v>43</v>
      </c>
      <c r="AN54" s="997" t="s">
        <v>918</v>
      </c>
      <c r="AO54" s="895" t="s">
        <v>919</v>
      </c>
      <c r="AP54" s="892">
        <v>0</v>
      </c>
      <c r="AQ54" s="88">
        <v>0</v>
      </c>
      <c r="AR54" s="998">
        <f t="shared" si="14"/>
        <v>0</v>
      </c>
    </row>
    <row r="55" spans="10:44" ht="15.75" thickBot="1">
      <c r="Q55" s="503"/>
      <c r="AK55" s="1140">
        <f t="shared" si="2"/>
        <v>44</v>
      </c>
      <c r="AN55" s="999" t="s">
        <v>824</v>
      </c>
      <c r="AO55" s="1000" t="s">
        <v>919</v>
      </c>
      <c r="AP55" s="1192">
        <f>SUM(AP51:AP54)</f>
        <v>4774563.1400000006</v>
      </c>
      <c r="AQ55" s="1193">
        <f>SUM(AQ51:AQ54)</f>
        <v>3460044.15</v>
      </c>
      <c r="AR55" s="1190">
        <f>SUM(AR51:AR54)</f>
        <v>8234607.29</v>
      </c>
    </row>
    <row r="57" spans="10:44">
      <c r="AH57" s="68" t="s">
        <v>1306</v>
      </c>
    </row>
    <row r="58" spans="10:44">
      <c r="AP58" s="68" t="s">
        <v>1306</v>
      </c>
    </row>
    <row r="62" spans="10:44">
      <c r="AA62" s="55"/>
    </row>
    <row r="63" spans="10:44">
      <c r="AA63" s="55"/>
    </row>
    <row r="64" spans="10:44">
      <c r="AA64" s="55"/>
    </row>
    <row r="65" spans="15:26">
      <c r="Y65" s="76"/>
    </row>
    <row r="66" spans="15:26">
      <c r="Y66" s="1019"/>
      <c r="Z66" s="1019"/>
    </row>
    <row r="67" spans="15:26">
      <c r="Y67" s="1019"/>
      <c r="Z67" s="1019"/>
    </row>
    <row r="72" spans="15:26">
      <c r="O72" s="509"/>
    </row>
    <row r="82" spans="18:23">
      <c r="R82" s="256"/>
    </row>
    <row r="83" spans="18:23">
      <c r="R83" s="256"/>
    </row>
    <row r="84" spans="18:23">
      <c r="R84" s="256"/>
    </row>
    <row r="85" spans="18:23">
      <c r="R85" s="256"/>
    </row>
    <row r="86" spans="18:23">
      <c r="R86" s="256"/>
    </row>
    <row r="87" spans="18:23">
      <c r="R87" s="256"/>
    </row>
    <row r="88" spans="18:23">
      <c r="R88" s="256"/>
    </row>
    <row r="89" spans="18:23">
      <c r="R89" s="270"/>
    </row>
    <row r="90" spans="18:23">
      <c r="R90" s="270"/>
    </row>
    <row r="91" spans="18:23">
      <c r="R91" s="270"/>
    </row>
    <row r="92" spans="18:23">
      <c r="R92" s="270"/>
    </row>
    <row r="93" spans="18:23">
      <c r="R93" s="270"/>
    </row>
    <row r="94" spans="18:23">
      <c r="R94" s="270"/>
    </row>
    <row r="95" spans="18:23">
      <c r="R95" s="270"/>
      <c r="V95" s="1019"/>
      <c r="W95" s="1019"/>
    </row>
    <row r="96" spans="18:23">
      <c r="R96" s="270"/>
      <c r="V96" s="1019"/>
      <c r="W96" s="1019"/>
    </row>
    <row r="97" spans="18:24" ht="13.5" customHeight="1">
      <c r="R97" s="270"/>
    </row>
    <row r="98" spans="18:24" ht="20.25" customHeight="1">
      <c r="R98" s="270"/>
      <c r="V98" s="120"/>
      <c r="W98" s="1022"/>
    </row>
    <row r="99" spans="18:24">
      <c r="R99" s="270"/>
      <c r="V99" s="1022"/>
      <c r="W99" s="1022"/>
    </row>
    <row r="100" spans="18:24">
      <c r="R100" s="270"/>
      <c r="V100" s="1022"/>
      <c r="W100" s="1022"/>
    </row>
    <row r="101" spans="18:24">
      <c r="R101" s="270"/>
      <c r="V101" s="88"/>
      <c r="W101" s="88"/>
    </row>
    <row r="102" spans="18:24">
      <c r="R102" s="270"/>
    </row>
    <row r="103" spans="18:24">
      <c r="R103" s="270"/>
    </row>
    <row r="104" spans="18:24">
      <c r="R104" s="270"/>
    </row>
    <row r="105" spans="18:24">
      <c r="R105" s="270"/>
      <c r="V105" s="88"/>
    </row>
    <row r="106" spans="18:24">
      <c r="R106" s="270"/>
      <c r="V106" s="88"/>
    </row>
    <row r="107" spans="18:24">
      <c r="S107" s="1019"/>
      <c r="T107" s="1019"/>
      <c r="U107" s="1019"/>
      <c r="V107" s="88"/>
      <c r="X107" s="1019"/>
    </row>
    <row r="108" spans="18:24">
      <c r="S108" s="1019"/>
      <c r="T108" s="1019"/>
      <c r="U108" s="1019"/>
      <c r="V108" s="88"/>
      <c r="X108" s="1019"/>
    </row>
    <row r="110" spans="18:24">
      <c r="R110" s="1019"/>
      <c r="U110" s="120"/>
    </row>
    <row r="111" spans="18:24">
      <c r="R111" s="1023"/>
      <c r="U111" s="1022"/>
    </row>
    <row r="112" spans="18:24">
      <c r="R112" s="256"/>
      <c r="U112" s="85"/>
      <c r="X112" s="1022"/>
    </row>
    <row r="113" spans="18:24">
      <c r="R113" s="256"/>
      <c r="U113" s="88"/>
      <c r="X113" s="49"/>
    </row>
    <row r="114" spans="18:24">
      <c r="R114" s="256"/>
    </row>
    <row r="115" spans="18:24">
      <c r="R115" s="256"/>
    </row>
    <row r="116" spans="18:24">
      <c r="R116" s="256"/>
      <c r="U116" s="13"/>
      <c r="X116" s="86"/>
    </row>
    <row r="117" spans="18:24">
      <c r="R117" s="256"/>
    </row>
    <row r="118" spans="18:24">
      <c r="R118" s="256"/>
      <c r="X118" s="86"/>
    </row>
    <row r="119" spans="18:24">
      <c r="R119" s="256"/>
      <c r="X119" s="86"/>
    </row>
    <row r="120" spans="18:24">
      <c r="R120" s="256"/>
    </row>
    <row r="121" spans="18:24">
      <c r="R121" s="256"/>
    </row>
    <row r="122" spans="18:24">
      <c r="R122" s="256"/>
    </row>
    <row r="123" spans="18:24">
      <c r="R123" s="256"/>
    </row>
    <row r="124" spans="18:24">
      <c r="R124" s="270"/>
    </row>
    <row r="125" spans="18:24">
      <c r="R125" s="270"/>
    </row>
    <row r="126" spans="18:24">
      <c r="R126" s="270"/>
    </row>
    <row r="127" spans="18:24">
      <c r="R127" s="270"/>
    </row>
    <row r="143" spans="18:18">
      <c r="R143" s="12"/>
    </row>
    <row r="144" spans="18:18">
      <c r="R144" s="12"/>
    </row>
    <row r="145" spans="18:18">
      <c r="R145" s="12"/>
    </row>
    <row r="148" spans="18:18">
      <c r="R148" s="88"/>
    </row>
    <row r="150" spans="18:18">
      <c r="R150" s="12"/>
    </row>
  </sheetData>
  <mergeCells count="2">
    <mergeCell ref="AN39:AR39"/>
    <mergeCell ref="AN48:AR48"/>
  </mergeCells>
  <phoneticPr fontId="0" type="noConversion"/>
  <dataValidations disablePrompts="1" count="1">
    <dataValidation type="list" showInputMessage="1" showErrorMessage="1" sqref="E3">
      <formula1>"Insentives QGC,Insentives DPU,Insentives CCS,Insentives FINAL ORDER,Insentives HISTORICAL"</formula1>
    </dataValidation>
  </dataValidations>
  <printOptions horizontalCentered="1"/>
  <pageMargins left="0.25" right="0.25" top="0.75" bottom="0.75" header="0.3" footer="0.3"/>
  <pageSetup scale="72" orientation="portrait" r:id="rId1"/>
  <headerFooter alignWithMargins="0"/>
  <colBreaks count="2" manualBreakCount="2">
    <brk id="9" max="37" man="1"/>
    <brk id="16" max="37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AP139"/>
  <sheetViews>
    <sheetView topLeftCell="H10" zoomScaleNormal="100" zoomScaleSheetLayoutView="100" workbookViewId="0">
      <selection activeCell="H25" sqref="H25"/>
    </sheetView>
  </sheetViews>
  <sheetFormatPr defaultColWidth="9.140625" defaultRowHeight="12.75"/>
  <cols>
    <col min="1" max="1" width="5.7109375" style="2" customWidth="1"/>
    <col min="2" max="2" width="35.7109375" style="2" bestFit="1" customWidth="1"/>
    <col min="3" max="3" width="15.28515625" style="2" customWidth="1"/>
    <col min="4" max="4" width="5.7109375" style="2" hidden="1" customWidth="1"/>
    <col min="5" max="5" width="2.7109375" style="2" hidden="1" customWidth="1"/>
    <col min="6" max="6" width="14" style="2" hidden="1" customWidth="1"/>
    <col min="7" max="7" width="9.28515625" style="2" hidden="1" customWidth="1"/>
    <col min="8" max="8" width="62.42578125" style="2" customWidth="1"/>
    <col min="9" max="9" width="4.7109375" style="93" customWidth="1"/>
    <col min="10" max="10" width="7.85546875" style="93" customWidth="1"/>
    <col min="11" max="11" width="35.5703125" style="93" customWidth="1"/>
    <col min="12" max="12" width="17" style="93" customWidth="1"/>
    <col min="13" max="13" width="18.7109375" style="93" bestFit="1" customWidth="1"/>
    <col min="14" max="14" width="18.85546875" style="93" bestFit="1" customWidth="1"/>
    <col min="15" max="15" width="5.7109375" style="93" customWidth="1"/>
    <col min="16" max="16" width="23.28515625" style="93" customWidth="1"/>
    <col min="17" max="17" width="11.42578125" style="2" customWidth="1"/>
    <col min="18" max="18" width="15.5703125" style="2" customWidth="1"/>
    <col min="19" max="19" width="11.42578125" style="2" customWidth="1"/>
    <col min="20" max="20" width="13.85546875" style="2" customWidth="1"/>
    <col min="21" max="21" width="10.85546875" style="2" customWidth="1"/>
    <col min="22" max="22" width="13.140625" style="2" customWidth="1"/>
    <col min="23" max="23" width="10.85546875" style="2" customWidth="1"/>
    <col min="24" max="24" width="9.140625" style="2"/>
    <col min="25" max="25" width="29.140625" style="2" bestFit="1" customWidth="1"/>
    <col min="26" max="26" width="10.85546875" style="2" bestFit="1" customWidth="1"/>
    <col min="27" max="27" width="10" style="2" customWidth="1"/>
    <col min="28" max="28" width="12.28515625" style="2" bestFit="1" customWidth="1"/>
    <col min="29" max="29" width="23.28515625" style="2" customWidth="1"/>
    <col min="30" max="30" width="8.85546875" style="2" customWidth="1"/>
    <col min="31" max="31" width="6.5703125" style="2" bestFit="1" customWidth="1"/>
    <col min="32" max="32" width="13.42578125" style="2" bestFit="1" customWidth="1"/>
    <col min="33" max="33" width="21.42578125" style="55" customWidth="1"/>
    <col min="34" max="34" width="26.85546875" style="55" customWidth="1"/>
    <col min="35" max="37" width="21.42578125" style="55" customWidth="1"/>
    <col min="38" max="38" width="13.7109375" style="2" bestFit="1" customWidth="1"/>
    <col min="39" max="40" width="9.140625" style="2"/>
    <col min="41" max="41" width="11" style="2" bestFit="1" customWidth="1"/>
    <col min="42" max="16384" width="9.140625" style="2"/>
  </cols>
  <sheetData>
    <row r="1" spans="1:42" ht="19.5" customHeight="1">
      <c r="B1" s="1336" t="s">
        <v>955</v>
      </c>
      <c r="J1" s="1336" t="s">
        <v>955</v>
      </c>
      <c r="K1" s="1336"/>
      <c r="L1" s="1336"/>
      <c r="N1" s="1348"/>
      <c r="P1" s="1336" t="s">
        <v>955</v>
      </c>
      <c r="Q1" s="1336"/>
      <c r="R1" s="33"/>
      <c r="S1" s="93"/>
      <c r="T1" s="163"/>
      <c r="U1" s="93"/>
      <c r="V1" s="93"/>
    </row>
    <row r="2" spans="1:42">
      <c r="B2" s="1336" t="str">
        <f>+'Control Panel'!$B$1</f>
        <v>Dominion Energy</v>
      </c>
      <c r="J2" s="1336" t="str">
        <f>+'Control Panel'!$B$1</f>
        <v>Dominion Energy</v>
      </c>
      <c r="N2" s="133"/>
      <c r="P2" s="1336" t="s">
        <v>1562</v>
      </c>
      <c r="Q2" s="1336"/>
      <c r="R2" s="34"/>
      <c r="S2" s="34"/>
      <c r="T2" s="34"/>
      <c r="U2" s="93"/>
      <c r="V2" s="93"/>
      <c r="Y2" s="55"/>
      <c r="Z2" s="55"/>
      <c r="AA2" s="55"/>
      <c r="AB2" s="55"/>
      <c r="AC2" s="55"/>
      <c r="AD2" s="55"/>
      <c r="AE2" s="55"/>
      <c r="AF2" s="55"/>
    </row>
    <row r="3" spans="1:42" ht="12.75" customHeight="1">
      <c r="B3" s="1336" t="str">
        <f>+'Control Panel'!$B$2</f>
        <v>Utah - Dec 2017 Adjusted Avg Results</v>
      </c>
      <c r="J3" s="1336" t="str">
        <f>+'Control Panel'!$B$2</f>
        <v>Utah - Dec 2017 Adjusted Avg Results</v>
      </c>
      <c r="N3" s="110"/>
      <c r="P3" s="1336" t="s">
        <v>960</v>
      </c>
      <c r="Q3" s="1336"/>
      <c r="R3" s="34"/>
      <c r="S3" s="34"/>
      <c r="T3" s="161"/>
      <c r="U3" s="7"/>
      <c r="V3" s="93"/>
      <c r="Y3" s="770"/>
      <c r="Z3" s="770"/>
      <c r="AA3" s="770"/>
      <c r="AB3" s="770"/>
      <c r="AC3" s="770"/>
      <c r="AD3" s="770"/>
      <c r="AE3" s="770"/>
      <c r="AF3" s="770"/>
      <c r="AG3" s="770"/>
      <c r="AH3" s="770"/>
      <c r="AI3" s="770"/>
      <c r="AJ3" s="770"/>
      <c r="AK3" s="770"/>
    </row>
    <row r="4" spans="1:42" ht="13.5" thickBot="1">
      <c r="B4" s="1336" t="str">
        <f>+'Control Panel'!$B$3</f>
        <v>12 Months Ended : Dec-2017</v>
      </c>
      <c r="J4" s="1336" t="str">
        <f>+'Control Panel'!$B$3</f>
        <v>12 Months Ended : Dec-2017</v>
      </c>
      <c r="P4" s="1336" t="str">
        <f>+B4</f>
        <v>12 Months Ended : Dec-2017</v>
      </c>
      <c r="Q4" s="1336"/>
      <c r="R4" s="34"/>
      <c r="S4" s="34"/>
      <c r="T4" s="161"/>
      <c r="U4" s="93"/>
      <c r="V4" s="93"/>
      <c r="Y4" s="1349" t="s">
        <v>1604</v>
      </c>
      <c r="AC4" s="434"/>
      <c r="AD4" s="1350"/>
      <c r="AE4" s="1350"/>
      <c r="AF4" s="434"/>
      <c r="AG4" s="2"/>
      <c r="AH4" s="1352" t="s">
        <v>1496</v>
      </c>
      <c r="AI4" s="434"/>
      <c r="AJ4" s="434"/>
      <c r="AK4" s="434"/>
      <c r="AL4" s="434"/>
      <c r="AM4" s="434"/>
      <c r="AN4" s="434"/>
      <c r="AO4" s="434"/>
      <c r="AP4" s="1351"/>
    </row>
    <row r="5" spans="1:42" ht="13.5" thickBot="1">
      <c r="I5" s="47" t="s">
        <v>956</v>
      </c>
      <c r="Q5" s="93"/>
      <c r="R5" s="34"/>
      <c r="S5" s="34"/>
      <c r="T5" s="93"/>
      <c r="U5" s="33"/>
      <c r="V5" s="93"/>
      <c r="Y5" s="1352" t="s">
        <v>92</v>
      </c>
      <c r="Z5" s="1352" t="s">
        <v>866</v>
      </c>
      <c r="AA5" s="1352" t="s">
        <v>7</v>
      </c>
      <c r="AB5" s="1352" t="s">
        <v>655</v>
      </c>
      <c r="AC5" s="1352" t="s">
        <v>867</v>
      </c>
      <c r="AD5" s="1352" t="s">
        <v>102</v>
      </c>
      <c r="AE5" s="1352" t="s">
        <v>93</v>
      </c>
      <c r="AF5" s="1352" t="s">
        <v>807</v>
      </c>
      <c r="AG5" s="2"/>
      <c r="AH5" s="1352" t="s">
        <v>92</v>
      </c>
      <c r="AI5" s="1352" t="s">
        <v>866</v>
      </c>
      <c r="AJ5" s="1352" t="s">
        <v>7</v>
      </c>
      <c r="AK5" s="1387" t="s">
        <v>655</v>
      </c>
      <c r="AL5" s="1352" t="s">
        <v>1499</v>
      </c>
      <c r="AM5" s="1352" t="s">
        <v>102</v>
      </c>
      <c r="AN5" s="1352" t="s">
        <v>93</v>
      </c>
      <c r="AO5" s="1352" t="s">
        <v>1500</v>
      </c>
      <c r="AP5" s="1352" t="s">
        <v>631</v>
      </c>
    </row>
    <row r="6" spans="1:42">
      <c r="F6" s="1337" t="s">
        <v>756</v>
      </c>
      <c r="P6" s="466" t="s">
        <v>961</v>
      </c>
      <c r="Q6" s="466"/>
      <c r="R6" s="161"/>
      <c r="S6" s="161"/>
      <c r="T6" s="93"/>
      <c r="U6" s="34"/>
      <c r="V6" s="93"/>
      <c r="Y6" s="434"/>
      <c r="Z6" s="434"/>
      <c r="AA6" s="434"/>
      <c r="AB6" s="436"/>
      <c r="AC6" s="434"/>
      <c r="AD6" s="1350"/>
      <c r="AE6" s="1350"/>
      <c r="AF6" s="434"/>
      <c r="AG6" s="434"/>
      <c r="AH6" s="1353" t="s">
        <v>779</v>
      </c>
      <c r="AI6" s="434" t="s">
        <v>1497</v>
      </c>
      <c r="AJ6" s="434" t="s">
        <v>758</v>
      </c>
      <c r="AK6" s="1385">
        <v>3168</v>
      </c>
      <c r="AL6" s="434" t="s">
        <v>868</v>
      </c>
      <c r="AM6" s="1386">
        <v>1</v>
      </c>
      <c r="AN6" s="1386">
        <v>2017</v>
      </c>
      <c r="AO6" s="434" t="s">
        <v>888</v>
      </c>
      <c r="AP6" s="434" t="s">
        <v>1212</v>
      </c>
    </row>
    <row r="7" spans="1:42" ht="25.5">
      <c r="A7" s="1355">
        <v>1</v>
      </c>
      <c r="C7" s="1354" t="s">
        <v>1564</v>
      </c>
      <c r="D7" s="902"/>
      <c r="E7" s="1312"/>
      <c r="F7" s="1354" t="str">
        <f>+'Control Panel'!B35</f>
        <v xml:space="preserve"> Sporting Events </v>
      </c>
      <c r="G7" s="1355">
        <v>1</v>
      </c>
      <c r="I7" s="2"/>
      <c r="P7" s="466"/>
      <c r="Q7" s="466"/>
      <c r="R7" s="161"/>
      <c r="S7" s="161"/>
      <c r="T7" s="93"/>
      <c r="U7" s="34"/>
      <c r="V7" s="93"/>
      <c r="Y7" s="434"/>
      <c r="Z7" s="434"/>
      <c r="AA7" s="434"/>
      <c r="AB7" s="436"/>
      <c r="AC7" s="434"/>
      <c r="AD7" s="1350"/>
      <c r="AE7" s="1350"/>
      <c r="AF7" s="434"/>
      <c r="AG7" s="434"/>
      <c r="AH7" s="434" t="s">
        <v>779</v>
      </c>
      <c r="AI7" s="434" t="s">
        <v>1498</v>
      </c>
      <c r="AJ7" s="434" t="s">
        <v>758</v>
      </c>
      <c r="AK7" s="1385">
        <v>1328</v>
      </c>
      <c r="AL7" s="434" t="s">
        <v>868</v>
      </c>
      <c r="AM7" s="1386">
        <v>4</v>
      </c>
      <c r="AN7" s="1386">
        <v>2017</v>
      </c>
      <c r="AO7" s="434" t="s">
        <v>888</v>
      </c>
      <c r="AP7" s="434" t="s">
        <v>1210</v>
      </c>
    </row>
    <row r="8" spans="1:42">
      <c r="A8" s="2">
        <f>+A7+1</f>
        <v>2</v>
      </c>
      <c r="D8" s="417"/>
      <c r="E8" s="417"/>
      <c r="G8" s="2">
        <f>+G7+1</f>
        <v>2</v>
      </c>
      <c r="I8" s="2"/>
      <c r="J8" s="92"/>
      <c r="K8" s="1431" t="s">
        <v>955</v>
      </c>
      <c r="L8" s="1431"/>
      <c r="M8" s="1431"/>
      <c r="N8" s="1431"/>
      <c r="O8" s="760"/>
      <c r="P8" s="466"/>
      <c r="Q8" s="466"/>
      <c r="R8" s="161"/>
      <c r="S8" s="161"/>
      <c r="T8" s="93"/>
      <c r="U8" s="34"/>
      <c r="V8" s="93"/>
      <c r="Y8" s="434"/>
      <c r="Z8" s="434"/>
      <c r="AA8" s="434"/>
      <c r="AB8" s="436"/>
      <c r="AC8" s="434"/>
      <c r="AD8" s="1350"/>
      <c r="AE8" s="1350"/>
      <c r="AF8" s="434"/>
      <c r="AG8" s="434"/>
      <c r="AH8" s="434"/>
      <c r="AI8" s="434"/>
      <c r="AJ8" s="434"/>
      <c r="AK8" s="436"/>
      <c r="AL8" s="434"/>
      <c r="AM8" s="1350"/>
      <c r="AN8" s="1350"/>
      <c r="AO8" s="434"/>
      <c r="AP8" s="434"/>
    </row>
    <row r="9" spans="1:42">
      <c r="A9" s="2">
        <f t="shared" ref="A9:A15" si="0">+A8+1</f>
        <v>3</v>
      </c>
      <c r="G9" s="2">
        <f t="shared" ref="G9:G15" si="1">+G8+1</f>
        <v>3</v>
      </c>
      <c r="I9" s="2"/>
      <c r="J9" s="92"/>
      <c r="K9" s="1438"/>
      <c r="L9" s="1431"/>
      <c r="M9" s="1431"/>
      <c r="N9" s="1431"/>
      <c r="P9" s="466"/>
      <c r="Q9" s="466"/>
      <c r="R9" s="161"/>
      <c r="S9" s="161"/>
      <c r="T9" s="93"/>
      <c r="U9" s="34"/>
      <c r="V9" s="93"/>
      <c r="Y9" s="434"/>
      <c r="Z9" s="434"/>
      <c r="AA9" s="434"/>
      <c r="AB9" s="436"/>
      <c r="AC9" s="434"/>
      <c r="AD9" s="1350"/>
      <c r="AE9" s="1350"/>
      <c r="AF9" s="434"/>
      <c r="AG9" s="434"/>
      <c r="AH9" s="434"/>
      <c r="AI9" s="434"/>
      <c r="AJ9" s="434"/>
      <c r="AK9" s="436"/>
      <c r="AL9" s="434"/>
      <c r="AM9" s="1350"/>
      <c r="AN9" s="1350"/>
      <c r="AO9" s="434"/>
      <c r="AP9" s="1351"/>
    </row>
    <row r="10" spans="1:42" ht="26.25" customHeight="1" thickBot="1">
      <c r="A10" s="2">
        <f t="shared" si="0"/>
        <v>4</v>
      </c>
      <c r="C10" s="771"/>
      <c r="D10" s="771"/>
      <c r="E10" s="771"/>
      <c r="F10" s="771"/>
      <c r="G10" s="2">
        <f t="shared" si="1"/>
        <v>4</v>
      </c>
      <c r="I10" s="2"/>
      <c r="J10" s="92"/>
      <c r="K10" s="34"/>
      <c r="L10" s="34"/>
      <c r="N10" s="99"/>
      <c r="O10" s="99"/>
      <c r="P10" s="466"/>
      <c r="Q10" s="466"/>
      <c r="R10" s="161"/>
      <c r="S10" s="161"/>
      <c r="T10" s="93"/>
      <c r="U10" s="34"/>
      <c r="V10" s="93"/>
      <c r="Y10" s="434"/>
      <c r="Z10" s="434"/>
      <c r="AA10" s="434"/>
      <c r="AB10" s="436"/>
      <c r="AC10" s="434"/>
      <c r="AD10" s="1350"/>
      <c r="AE10" s="1350"/>
      <c r="AF10" s="434"/>
      <c r="AG10" s="434"/>
      <c r="AH10" s="434"/>
      <c r="AI10" s="434"/>
      <c r="AJ10" s="434"/>
      <c r="AK10" s="1356">
        <f>SUM(AK6:AK9)</f>
        <v>4496</v>
      </c>
      <c r="AL10" s="434"/>
      <c r="AM10" s="434"/>
      <c r="AN10" s="434"/>
      <c r="AO10" s="434"/>
      <c r="AP10" s="1351"/>
    </row>
    <row r="11" spans="1:42">
      <c r="A11" s="2">
        <f t="shared" si="0"/>
        <v>5</v>
      </c>
      <c r="G11" s="2">
        <f t="shared" si="1"/>
        <v>5</v>
      </c>
      <c r="I11" s="2"/>
      <c r="J11" s="92"/>
      <c r="K11" s="1338" t="s">
        <v>784</v>
      </c>
      <c r="L11" s="1338" t="s">
        <v>785</v>
      </c>
      <c r="M11" s="96" t="s">
        <v>786</v>
      </c>
      <c r="N11" s="1338" t="s">
        <v>787</v>
      </c>
      <c r="O11" s="96"/>
      <c r="P11" s="1338" t="s">
        <v>784</v>
      </c>
      <c r="Q11" s="1338" t="s">
        <v>785</v>
      </c>
      <c r="R11" s="96" t="s">
        <v>786</v>
      </c>
      <c r="S11" s="1338" t="s">
        <v>787</v>
      </c>
      <c r="T11" s="1338" t="s">
        <v>766</v>
      </c>
      <c r="U11" s="1338" t="s">
        <v>767</v>
      </c>
      <c r="V11" s="96" t="s">
        <v>549</v>
      </c>
      <c r="W11" s="1338" t="s">
        <v>753</v>
      </c>
      <c r="Y11" s="434"/>
      <c r="Z11" s="434"/>
      <c r="AA11" s="434"/>
      <c r="AB11" s="436"/>
      <c r="AC11" s="434"/>
      <c r="AD11" s="1350"/>
      <c r="AE11" s="1350"/>
      <c r="AF11" s="434"/>
      <c r="AG11" s="434"/>
      <c r="AH11" s="434"/>
      <c r="AI11" s="434"/>
      <c r="AJ11" s="434"/>
      <c r="AK11" s="2"/>
      <c r="AL11" s="434"/>
      <c r="AM11" s="434"/>
      <c r="AN11" s="434"/>
      <c r="AO11" s="434"/>
      <c r="AP11" s="1351"/>
    </row>
    <row r="12" spans="1:42">
      <c r="A12" s="2">
        <f t="shared" si="0"/>
        <v>6</v>
      </c>
      <c r="B12" s="2" t="s">
        <v>957</v>
      </c>
      <c r="C12" s="309">
        <f>$N$29</f>
        <v>0</v>
      </c>
      <c r="D12" s="309"/>
      <c r="E12" s="309"/>
      <c r="F12" s="1357">
        <f>HLOOKUP($F$7,events,G12,FALSE)</f>
        <v>0</v>
      </c>
      <c r="G12" s="2">
        <f t="shared" si="1"/>
        <v>6</v>
      </c>
      <c r="H12" s="2" t="s">
        <v>439</v>
      </c>
      <c r="I12" s="2"/>
      <c r="J12" s="92"/>
      <c r="K12"/>
      <c r="L12"/>
      <c r="M12"/>
      <c r="N12"/>
      <c r="O12" s="1338"/>
      <c r="P12" s="466"/>
      <c r="Q12" s="466"/>
      <c r="R12" s="161"/>
      <c r="S12" s="161"/>
      <c r="T12" s="93"/>
      <c r="U12" s="34"/>
      <c r="V12" s="93"/>
      <c r="Y12" s="434"/>
      <c r="Z12" s="434"/>
      <c r="AA12" s="434"/>
      <c r="AB12" s="436"/>
      <c r="AC12" s="434"/>
      <c r="AD12" s="1350"/>
      <c r="AE12" s="1350"/>
      <c r="AF12" s="434"/>
      <c r="AG12" s="434"/>
      <c r="AH12" s="434"/>
      <c r="AI12" s="434"/>
      <c r="AJ12" s="434"/>
      <c r="AK12" s="434"/>
      <c r="AL12" s="434"/>
      <c r="AM12" s="434"/>
      <c r="AN12" s="434"/>
      <c r="AO12" s="434"/>
      <c r="AP12" s="1351"/>
    </row>
    <row r="13" spans="1:42" ht="13.5" thickBot="1">
      <c r="A13" s="2">
        <f t="shared" si="0"/>
        <v>7</v>
      </c>
      <c r="B13" s="68"/>
      <c r="C13" s="1358"/>
      <c r="D13" s="1359"/>
      <c r="E13" s="1359"/>
      <c r="F13" s="1359"/>
      <c r="G13" s="2">
        <f t="shared" si="1"/>
        <v>7</v>
      </c>
      <c r="I13" s="2"/>
      <c r="J13" s="92"/>
      <c r="K13"/>
      <c r="L13"/>
      <c r="M13"/>
      <c r="N13"/>
      <c r="O13" s="307"/>
      <c r="P13" s="466"/>
      <c r="Q13" s="466"/>
      <c r="R13" s="161"/>
      <c r="S13" s="161"/>
      <c r="T13" s="93"/>
      <c r="U13" s="34"/>
      <c r="V13" s="93"/>
      <c r="Y13" s="434"/>
      <c r="Z13" s="434"/>
      <c r="AA13" s="434"/>
      <c r="AB13" s="436"/>
      <c r="AC13" s="434"/>
      <c r="AD13" s="1350"/>
      <c r="AE13" s="1350"/>
      <c r="AF13" s="434"/>
      <c r="AG13" s="2"/>
      <c r="AH13" s="434"/>
      <c r="AI13" s="434"/>
      <c r="AJ13" s="434"/>
      <c r="AK13" s="434"/>
      <c r="AL13" s="434"/>
      <c r="AM13" s="434"/>
      <c r="AN13" s="434"/>
      <c r="AO13" s="434"/>
      <c r="AP13" s="1351"/>
    </row>
    <row r="14" spans="1:42">
      <c r="A14" s="2">
        <f t="shared" si="0"/>
        <v>8</v>
      </c>
      <c r="B14" s="2" t="s">
        <v>629</v>
      </c>
      <c r="C14" s="1330">
        <f>'ROR-Model'!$M$2*C12*(1+C13)</f>
        <v>0</v>
      </c>
      <c r="D14" s="1330"/>
      <c r="E14" s="1330"/>
      <c r="F14" s="1330">
        <f>'ROR-Model'!$M$2*F12*(1+F13)</f>
        <v>0</v>
      </c>
      <c r="G14" s="2">
        <f t="shared" si="1"/>
        <v>8</v>
      </c>
      <c r="I14" s="2">
        <v>1</v>
      </c>
      <c r="J14" s="92"/>
      <c r="K14" s="347" t="s">
        <v>1609</v>
      </c>
      <c r="L14" s="34"/>
      <c r="M14" s="846">
        <f>W23</f>
        <v>0</v>
      </c>
      <c r="N14" s="34"/>
      <c r="O14" s="99"/>
      <c r="P14" s="466"/>
      <c r="Q14" s="466"/>
      <c r="R14" s="161"/>
      <c r="S14" s="161"/>
      <c r="T14" s="93"/>
      <c r="U14" s="34"/>
      <c r="V14" s="93"/>
      <c r="Y14" s="434"/>
      <c r="Z14" s="434"/>
      <c r="AA14" s="434"/>
      <c r="AB14" s="436"/>
      <c r="AC14" s="434"/>
      <c r="AD14" s="1350"/>
      <c r="AE14" s="1350"/>
      <c r="AF14" s="434"/>
      <c r="AG14" s="2"/>
      <c r="AH14" s="434"/>
      <c r="AI14" s="434"/>
      <c r="AJ14" s="434"/>
      <c r="AK14" s="434"/>
      <c r="AL14" s="434"/>
      <c r="AM14" s="434"/>
      <c r="AN14" s="434"/>
      <c r="AO14" s="434"/>
      <c r="AP14" s="1351"/>
    </row>
    <row r="15" spans="1:42">
      <c r="A15" s="2">
        <f t="shared" si="0"/>
        <v>9</v>
      </c>
      <c r="B15" s="2" t="s">
        <v>630</v>
      </c>
      <c r="C15" s="309">
        <f>'ROR-Model'!$N$2*C12*(1+C13)</f>
        <v>0</v>
      </c>
      <c r="D15" s="309"/>
      <c r="E15" s="309"/>
      <c r="F15" s="309">
        <f>'ROR-Model'!$N$2*F12*(1+F13)</f>
        <v>0</v>
      </c>
      <c r="G15" s="2">
        <f t="shared" si="1"/>
        <v>9</v>
      </c>
      <c r="I15" s="2">
        <f>I14+1</f>
        <v>2</v>
      </c>
      <c r="J15" s="2"/>
      <c r="K15" s="2"/>
      <c r="L15" s="2"/>
      <c r="M15" s="2"/>
      <c r="N15" s="2"/>
      <c r="O15" s="2"/>
      <c r="P15" s="466"/>
      <c r="Q15" s="466"/>
      <c r="R15" s="161"/>
      <c r="S15" s="161"/>
      <c r="T15" s="93"/>
      <c r="U15" s="34"/>
      <c r="V15" s="93"/>
      <c r="Y15" s="434"/>
      <c r="AC15" s="434"/>
      <c r="AD15" s="1350"/>
      <c r="AE15" s="1350"/>
      <c r="AF15" s="434"/>
      <c r="AG15" s="2"/>
      <c r="AH15" s="434"/>
      <c r="AI15" s="434"/>
      <c r="AJ15" s="434"/>
      <c r="AK15" s="434"/>
      <c r="AL15" s="434"/>
      <c r="AM15" s="434"/>
      <c r="AN15" s="434"/>
      <c r="AO15" s="434"/>
      <c r="AP15" s="1351"/>
    </row>
    <row r="16" spans="1:42" ht="13.5" thickBot="1">
      <c r="B16" s="7"/>
      <c r="C16" s="7"/>
      <c r="D16" s="1357"/>
      <c r="E16" s="1357"/>
      <c r="I16" s="2">
        <f>I15+1</f>
        <v>3</v>
      </c>
      <c r="J16" s="96"/>
      <c r="K16" s="96"/>
      <c r="L16" s="96"/>
      <c r="M16" s="161"/>
      <c r="N16" s="2"/>
      <c r="O16" s="34"/>
      <c r="P16" s="466"/>
      <c r="Q16" s="466"/>
      <c r="R16" s="161"/>
      <c r="S16" s="161"/>
      <c r="T16" s="93"/>
      <c r="U16" s="34"/>
      <c r="V16" s="93"/>
      <c r="Y16" s="434"/>
      <c r="Z16" s="434"/>
      <c r="AA16" s="434"/>
      <c r="AB16" s="436"/>
      <c r="AC16" s="434"/>
      <c r="AD16" s="1350"/>
      <c r="AE16" s="1350"/>
      <c r="AF16" s="434"/>
      <c r="AG16" s="2"/>
      <c r="AH16" s="434"/>
      <c r="AI16" s="434"/>
      <c r="AJ16" s="434"/>
      <c r="AK16" s="434"/>
      <c r="AL16" s="434"/>
      <c r="AM16" s="434"/>
      <c r="AN16" s="434"/>
      <c r="AO16" s="434"/>
      <c r="AP16" s="1351"/>
    </row>
    <row r="17" spans="2:42">
      <c r="I17" s="2">
        <f t="shared" ref="I17:I33" si="2">I16+1</f>
        <v>4</v>
      </c>
      <c r="J17" s="2"/>
      <c r="K17" s="96"/>
      <c r="L17" s="1338" t="s">
        <v>186</v>
      </c>
      <c r="M17" s="96" t="s">
        <v>749</v>
      </c>
      <c r="N17" s="96" t="s">
        <v>41</v>
      </c>
      <c r="O17" s="34"/>
      <c r="P17" s="851"/>
      <c r="Q17" s="851"/>
      <c r="R17" s="161"/>
      <c r="S17" s="161"/>
      <c r="T17" s="1173" t="s">
        <v>1605</v>
      </c>
      <c r="U17" s="1174"/>
      <c r="V17" s="1439" t="s">
        <v>962</v>
      </c>
      <c r="W17" s="1440"/>
      <c r="Y17" s="93"/>
      <c r="Z17" s="502" t="s">
        <v>1036</v>
      </c>
      <c r="AA17" s="434"/>
      <c r="AB17" s="1360">
        <f>SUM(AB6:AB15)</f>
        <v>0</v>
      </c>
      <c r="AG17" s="2"/>
      <c r="AH17" s="434"/>
      <c r="AI17" s="434"/>
      <c r="AJ17" s="434"/>
      <c r="AK17" s="434"/>
      <c r="AL17" s="434"/>
      <c r="AM17" s="434"/>
      <c r="AN17" s="434"/>
      <c r="AO17" s="434"/>
      <c r="AP17" s="1351"/>
    </row>
    <row r="18" spans="2:42">
      <c r="B18" s="2" t="s">
        <v>1632</v>
      </c>
      <c r="I18" s="2">
        <f t="shared" si="2"/>
        <v>5</v>
      </c>
      <c r="J18" s="2"/>
      <c r="K18" s="34" t="s">
        <v>150</v>
      </c>
      <c r="L18" s="1343" t="s">
        <v>151</v>
      </c>
      <c r="M18" s="1361" t="s">
        <v>655</v>
      </c>
      <c r="N18" s="1361" t="s">
        <v>655</v>
      </c>
      <c r="O18" s="34"/>
      <c r="P18" s="33" t="s">
        <v>807</v>
      </c>
      <c r="Q18" s="1338"/>
      <c r="R18" s="1338" t="s">
        <v>963</v>
      </c>
      <c r="S18" s="1340" t="s">
        <v>964</v>
      </c>
      <c r="T18" s="852" t="s">
        <v>808</v>
      </c>
      <c r="U18" s="853" t="s">
        <v>965</v>
      </c>
      <c r="V18" s="852" t="s">
        <v>808</v>
      </c>
      <c r="W18" s="853" t="s">
        <v>965</v>
      </c>
      <c r="Y18" s="93"/>
      <c r="AG18" s="2"/>
      <c r="AH18" s="434"/>
      <c r="AI18" s="434"/>
      <c r="AJ18" s="434"/>
      <c r="AK18" s="434"/>
      <c r="AL18" s="434"/>
      <c r="AM18" s="434"/>
      <c r="AN18" s="434"/>
      <c r="AO18" s="434"/>
      <c r="AP18" s="1351"/>
    </row>
    <row r="19" spans="2:42" ht="13.5" thickBot="1">
      <c r="I19" s="2">
        <f t="shared" si="2"/>
        <v>6</v>
      </c>
      <c r="J19" s="2"/>
      <c r="K19" s="2"/>
      <c r="L19" s="2"/>
      <c r="M19" s="2"/>
      <c r="N19" s="2"/>
      <c r="O19" s="34"/>
      <c r="P19" s="33"/>
      <c r="Q19" s="854" t="s">
        <v>104</v>
      </c>
      <c r="R19" s="854" t="s">
        <v>966</v>
      </c>
      <c r="S19" s="1267" t="s">
        <v>1290</v>
      </c>
      <c r="T19" s="855" t="s">
        <v>809</v>
      </c>
      <c r="U19" s="856" t="s">
        <v>967</v>
      </c>
      <c r="V19" s="855" t="s">
        <v>809</v>
      </c>
      <c r="W19" s="856" t="s">
        <v>967</v>
      </c>
      <c r="Y19" s="434"/>
      <c r="Z19" s="434"/>
      <c r="AA19" s="434"/>
      <c r="AB19" s="434"/>
      <c r="AC19" s="434"/>
      <c r="AD19" s="434"/>
      <c r="AE19" s="434"/>
      <c r="AF19" s="434"/>
      <c r="AG19" s="1351"/>
      <c r="AH19" s="1351"/>
      <c r="AI19" s="1351"/>
      <c r="AJ19" s="1351"/>
      <c r="AK19" s="1351"/>
    </row>
    <row r="20" spans="2:42">
      <c r="I20" s="2">
        <f t="shared" si="2"/>
        <v>7</v>
      </c>
      <c r="J20" s="2"/>
      <c r="K20" s="34" t="s">
        <v>1575</v>
      </c>
      <c r="L20" s="34"/>
      <c r="M20" s="32"/>
      <c r="N20" s="32"/>
      <c r="O20" s="34">
        <v>1</v>
      </c>
      <c r="P20" s="34" t="s">
        <v>911</v>
      </c>
      <c r="Q20" s="501">
        <f>SUM(AB6:AB13)</f>
        <v>0</v>
      </c>
      <c r="R20" s="93">
        <v>0</v>
      </c>
      <c r="S20" s="308">
        <f>Q32/S32</f>
        <v>1</v>
      </c>
      <c r="T20" s="501">
        <f>S20*Q20</f>
        <v>0</v>
      </c>
      <c r="U20" s="501">
        <f>Q20-T20</f>
        <v>0</v>
      </c>
      <c r="V20" s="2">
        <f>S20*R20</f>
        <v>0</v>
      </c>
      <c r="W20" s="2">
        <f>R20-V20</f>
        <v>0</v>
      </c>
      <c r="Y20" s="434"/>
      <c r="Z20" s="434"/>
      <c r="AA20" s="434"/>
      <c r="AB20" s="434"/>
      <c r="AC20" s="434"/>
      <c r="AD20" s="434"/>
      <c r="AE20" s="434"/>
      <c r="AF20" s="434"/>
      <c r="AG20" s="1351"/>
      <c r="AH20" s="1351"/>
      <c r="AI20" s="1351"/>
      <c r="AJ20" s="1351"/>
      <c r="AK20" s="1351"/>
    </row>
    <row r="21" spans="2:42">
      <c r="I21" s="2">
        <f t="shared" si="2"/>
        <v>8</v>
      </c>
      <c r="J21" s="96"/>
      <c r="K21" s="41" t="s">
        <v>1576</v>
      </c>
      <c r="L21" s="1362">
        <f>+'ALLOCATIONS&amp;PRETAX'!G8</f>
        <v>0.49099999999999999</v>
      </c>
      <c r="M21" s="1363"/>
      <c r="N21" s="1363"/>
      <c r="O21" s="34">
        <f>O20+1</f>
        <v>2</v>
      </c>
      <c r="P21" s="34" t="s">
        <v>912</v>
      </c>
      <c r="Q21" s="883">
        <f>SUM(AB15)</f>
        <v>0</v>
      </c>
      <c r="R21" s="883">
        <f>SUM(AK6:AK7)</f>
        <v>4496</v>
      </c>
      <c r="S21" s="150">
        <f>Q32/S32</f>
        <v>1</v>
      </c>
      <c r="T21" s="883">
        <f>S21*Q21</f>
        <v>0</v>
      </c>
      <c r="U21" s="883">
        <f>Q21-T21</f>
        <v>0</v>
      </c>
      <c r="V21" s="883">
        <f>S21*R21</f>
        <v>4496</v>
      </c>
      <c r="W21" s="883">
        <f>R21-V21</f>
        <v>0</v>
      </c>
      <c r="Y21" s="434"/>
      <c r="Z21" s="434"/>
      <c r="AA21" s="434"/>
      <c r="AB21" s="434"/>
      <c r="AC21" s="434"/>
      <c r="AD21" s="434"/>
      <c r="AE21" s="434"/>
      <c r="AF21" s="434"/>
      <c r="AG21" s="1351"/>
      <c r="AH21" s="1351"/>
      <c r="AI21" s="1351"/>
      <c r="AJ21" s="1351"/>
      <c r="AK21" s="1351"/>
    </row>
    <row r="22" spans="2:42">
      <c r="I22" s="2">
        <f t="shared" si="2"/>
        <v>9</v>
      </c>
      <c r="J22" s="96"/>
      <c r="K22" s="494" t="s">
        <v>1577</v>
      </c>
      <c r="L22" s="849">
        <f>+M14*L21</f>
        <v>0</v>
      </c>
      <c r="M22" s="1364">
        <f>+L22</f>
        <v>0</v>
      </c>
      <c r="N22" s="1364">
        <f>+M22</f>
        <v>0</v>
      </c>
      <c r="O22" s="34">
        <f t="shared" ref="O22:O35" si="3">O21+1</f>
        <v>3</v>
      </c>
      <c r="P22" s="93" t="s">
        <v>991</v>
      </c>
      <c r="Q22" s="857">
        <f>AB14</f>
        <v>0</v>
      </c>
      <c r="R22" s="910">
        <v>0</v>
      </c>
      <c r="S22" s="884">
        <v>0</v>
      </c>
      <c r="T22" s="857">
        <f>S22*Q22</f>
        <v>0</v>
      </c>
      <c r="U22" s="857">
        <f>Q22-T22</f>
        <v>0</v>
      </c>
      <c r="V22" s="857">
        <f>S22*R22</f>
        <v>0</v>
      </c>
      <c r="W22" s="857">
        <f>R22-V22</f>
        <v>0</v>
      </c>
      <c r="Y22" s="434"/>
      <c r="Z22" s="434"/>
      <c r="AA22" s="434"/>
      <c r="AB22" s="434"/>
      <c r="AC22" s="434"/>
      <c r="AD22" s="434"/>
      <c r="AE22" s="434"/>
      <c r="AF22" s="434"/>
      <c r="AG22" s="1351"/>
      <c r="AH22" s="1351"/>
      <c r="AI22" s="1351"/>
      <c r="AJ22" s="1351"/>
      <c r="AK22" s="1351"/>
    </row>
    <row r="23" spans="2:42">
      <c r="I23" s="2">
        <f t="shared" si="2"/>
        <v>10</v>
      </c>
      <c r="J23" s="2"/>
      <c r="K23" s="161"/>
      <c r="L23" s="161"/>
      <c r="M23" s="34"/>
      <c r="N23" s="34"/>
      <c r="O23" s="34">
        <f t="shared" si="3"/>
        <v>4</v>
      </c>
      <c r="Q23" s="883"/>
      <c r="R23" s="572"/>
      <c r="S23" s="150"/>
      <c r="T23" s="883"/>
      <c r="U23" s="883"/>
      <c r="V23" s="883">
        <f>SUM(V20:V22)</f>
        <v>4496</v>
      </c>
      <c r="W23" s="883">
        <f>SUM(W20:W22)</f>
        <v>0</v>
      </c>
      <c r="Y23" s="434"/>
      <c r="Z23" s="434"/>
      <c r="AA23" s="434"/>
      <c r="AB23" s="434"/>
      <c r="AC23" s="434"/>
      <c r="AD23" s="434"/>
      <c r="AE23" s="434"/>
      <c r="AF23" s="434"/>
      <c r="AG23" s="1351"/>
      <c r="AH23" s="1351"/>
      <c r="AI23" s="1351"/>
      <c r="AJ23" s="1351"/>
      <c r="AK23" s="1351"/>
    </row>
    <row r="24" spans="2:42">
      <c r="I24" s="2">
        <f t="shared" si="2"/>
        <v>11</v>
      </c>
      <c r="J24" s="2"/>
      <c r="K24" s="2"/>
      <c r="L24" s="2"/>
      <c r="M24" s="2"/>
      <c r="N24" s="2"/>
      <c r="O24" s="34">
        <f t="shared" si="3"/>
        <v>5</v>
      </c>
      <c r="P24" s="34" t="s">
        <v>968</v>
      </c>
      <c r="Q24" s="501">
        <f>SUM(Q20:Q22)</f>
        <v>0</v>
      </c>
      <c r="R24" s="501">
        <f>SUM(R20:R22)</f>
        <v>4496</v>
      </c>
      <c r="S24" s="308"/>
      <c r="T24" s="501">
        <f>SUM(T20:T22)</f>
        <v>0</v>
      </c>
      <c r="U24" s="883">
        <f>SUM(U20:U22)</f>
        <v>0</v>
      </c>
      <c r="V24" s="93"/>
      <c r="Y24" s="434"/>
      <c r="Z24" s="434"/>
      <c r="AA24" s="434"/>
      <c r="AB24" s="434"/>
      <c r="AC24" s="434"/>
      <c r="AD24" s="434"/>
      <c r="AE24" s="434"/>
      <c r="AF24" s="434"/>
      <c r="AH24" s="1351"/>
      <c r="AI24" s="1351"/>
      <c r="AJ24" s="1351"/>
      <c r="AK24" s="1351"/>
    </row>
    <row r="25" spans="2:42">
      <c r="I25" s="2">
        <f t="shared" si="2"/>
        <v>12</v>
      </c>
      <c r="J25" s="347" t="s">
        <v>1606</v>
      </c>
      <c r="N25" s="98">
        <f>U24</f>
        <v>0</v>
      </c>
      <c r="O25" s="34">
        <f t="shared" si="3"/>
        <v>6</v>
      </c>
      <c r="Q25" s="93"/>
      <c r="R25" s="858"/>
      <c r="S25" s="858"/>
      <c r="T25" s="93"/>
      <c r="U25" s="161"/>
      <c r="V25" s="93"/>
      <c r="Y25" s="434"/>
      <c r="Z25" s="434"/>
      <c r="AA25" s="434"/>
      <c r="AB25" s="434"/>
      <c r="AC25" s="434"/>
      <c r="AD25" s="434"/>
      <c r="AE25" s="434"/>
      <c r="AF25" s="434"/>
    </row>
    <row r="26" spans="2:42">
      <c r="I26" s="2">
        <f t="shared" si="2"/>
        <v>13</v>
      </c>
      <c r="J26" s="34"/>
      <c r="O26" s="34">
        <f t="shared" si="3"/>
        <v>7</v>
      </c>
      <c r="Q26" s="93"/>
      <c r="R26" s="161"/>
      <c r="S26" s="162"/>
      <c r="T26" s="858"/>
      <c r="U26" s="307"/>
      <c r="V26" s="93"/>
      <c r="Y26" s="434"/>
      <c r="Z26" s="434"/>
      <c r="AA26" s="434"/>
      <c r="AB26" s="434"/>
      <c r="AC26" s="434"/>
      <c r="AD26" s="434"/>
      <c r="AE26" s="434"/>
      <c r="AF26" s="434"/>
    </row>
    <row r="27" spans="2:42">
      <c r="I27" s="2">
        <f t="shared" si="2"/>
        <v>14</v>
      </c>
      <c r="J27" s="347" t="s">
        <v>957</v>
      </c>
      <c r="N27" s="1048">
        <f>N25+N22</f>
        <v>0</v>
      </c>
      <c r="O27" s="34">
        <f t="shared" si="3"/>
        <v>8</v>
      </c>
      <c r="Q27" s="93"/>
      <c r="R27" s="93"/>
      <c r="S27" s="93"/>
      <c r="T27" s="93"/>
      <c r="U27" s="93"/>
      <c r="V27" s="93"/>
    </row>
    <row r="28" spans="2:42">
      <c r="I28" s="2">
        <f t="shared" si="2"/>
        <v>15</v>
      </c>
      <c r="J28" s="299" t="s">
        <v>958</v>
      </c>
      <c r="K28" s="109"/>
      <c r="N28" s="150"/>
      <c r="O28" s="34">
        <f t="shared" si="3"/>
        <v>9</v>
      </c>
      <c r="Q28" s="162" t="s">
        <v>1501</v>
      </c>
      <c r="R28" s="162"/>
      <c r="S28" s="1105"/>
      <c r="T28" s="93"/>
      <c r="U28" s="93"/>
      <c r="V28" s="93"/>
    </row>
    <row r="29" spans="2:42">
      <c r="I29" s="2">
        <f t="shared" si="2"/>
        <v>16</v>
      </c>
      <c r="J29" s="109" t="s">
        <v>765</v>
      </c>
      <c r="K29" s="109"/>
      <c r="N29" s="1048">
        <f>-N27*(1+N28)</f>
        <v>0</v>
      </c>
      <c r="O29" s="34">
        <f t="shared" si="3"/>
        <v>10</v>
      </c>
      <c r="Q29" s="858"/>
      <c r="R29" s="93"/>
      <c r="S29" s="93"/>
      <c r="T29" s="93"/>
      <c r="U29" s="93"/>
      <c r="V29" s="1266"/>
      <c r="W29" s="1266"/>
    </row>
    <row r="30" spans="2:42">
      <c r="I30" s="2">
        <f t="shared" si="2"/>
        <v>17</v>
      </c>
      <c r="O30" s="34">
        <f t="shared" si="3"/>
        <v>11</v>
      </c>
      <c r="P30" s="761"/>
      <c r="Q30" s="1105" t="s">
        <v>808</v>
      </c>
      <c r="R30" s="93"/>
      <c r="S30" s="93"/>
      <c r="T30" s="93"/>
      <c r="U30" s="93"/>
      <c r="V30" s="1266"/>
      <c r="W30" s="1266"/>
      <c r="AG30" s="1108"/>
    </row>
    <row r="31" spans="2:42" ht="13.5" thickBot="1">
      <c r="I31" s="2">
        <f t="shared" si="2"/>
        <v>18</v>
      </c>
      <c r="K31" s="163" t="s">
        <v>629</v>
      </c>
      <c r="L31" s="34"/>
      <c r="M31" s="34"/>
      <c r="N31" s="1048">
        <f>N29*'ROR-Model'!M2</f>
        <v>0</v>
      </c>
      <c r="O31" s="34">
        <f t="shared" si="3"/>
        <v>12</v>
      </c>
      <c r="P31" s="32"/>
      <c r="Q31" s="885" t="s">
        <v>809</v>
      </c>
      <c r="R31" s="885" t="s">
        <v>810</v>
      </c>
      <c r="S31" s="885" t="s">
        <v>160</v>
      </c>
      <c r="T31" s="93"/>
      <c r="U31" s="93"/>
      <c r="V31" s="93"/>
      <c r="AH31" s="1108"/>
      <c r="AI31" s="1108"/>
      <c r="AJ31" s="1108"/>
      <c r="AK31" s="1108"/>
    </row>
    <row r="32" spans="2:42" ht="14.25" thickTop="1" thickBot="1">
      <c r="I32" s="2">
        <f t="shared" si="2"/>
        <v>19</v>
      </c>
      <c r="K32" s="144" t="s">
        <v>959</v>
      </c>
      <c r="N32" s="1365">
        <f>N29*'ROR-Model'!N2</f>
        <v>0</v>
      </c>
      <c r="O32" s="34">
        <f t="shared" si="3"/>
        <v>13</v>
      </c>
      <c r="P32" s="32" t="s">
        <v>992</v>
      </c>
      <c r="Q32" s="761">
        <v>352</v>
      </c>
      <c r="R32" s="761">
        <v>0</v>
      </c>
      <c r="S32" s="761">
        <f>Q32+R32</f>
        <v>352</v>
      </c>
      <c r="T32" s="93"/>
      <c r="U32" s="93"/>
      <c r="V32" s="93"/>
    </row>
    <row r="33" spans="9:32">
      <c r="I33" s="2">
        <f t="shared" si="2"/>
        <v>20</v>
      </c>
      <c r="K33" s="93" t="s">
        <v>160</v>
      </c>
      <c r="N33" s="1048">
        <f>SUM(N31:N32)</f>
        <v>0</v>
      </c>
      <c r="O33" s="34">
        <f t="shared" si="3"/>
        <v>14</v>
      </c>
      <c r="P33" s="93" t="s">
        <v>991</v>
      </c>
      <c r="Q33" s="93">
        <v>0</v>
      </c>
      <c r="R33" s="93">
        <v>0</v>
      </c>
      <c r="S33" s="93">
        <f>SUM(Q33:R33)</f>
        <v>0</v>
      </c>
      <c r="T33" s="1266"/>
      <c r="U33" s="1266"/>
      <c r="V33" s="93"/>
      <c r="Y33" s="502"/>
      <c r="Z33" s="502"/>
      <c r="AA33" s="502"/>
      <c r="AB33" s="502"/>
      <c r="AC33" s="502"/>
      <c r="AD33" s="502"/>
      <c r="AE33" s="502"/>
      <c r="AF33" s="502"/>
    </row>
    <row r="34" spans="9:32">
      <c r="O34" s="34">
        <f t="shared" si="3"/>
        <v>15</v>
      </c>
      <c r="P34" s="32" t="s">
        <v>811</v>
      </c>
      <c r="Q34" s="886">
        <f>SUM(Q32:Q33)</f>
        <v>352</v>
      </c>
      <c r="R34" s="886">
        <f>SUM(R32:R33)</f>
        <v>0</v>
      </c>
      <c r="S34" s="886">
        <f>SUM(S32:S33)</f>
        <v>352</v>
      </c>
      <c r="T34" s="1266"/>
      <c r="U34" s="1266"/>
      <c r="V34" s="93"/>
    </row>
    <row r="35" spans="9:32">
      <c r="J35" s="2"/>
      <c r="O35" s="34">
        <f t="shared" si="3"/>
        <v>16</v>
      </c>
      <c r="P35" s="32" t="s">
        <v>993</v>
      </c>
      <c r="Q35" s="165">
        <f>Q34/$S$34</f>
        <v>1</v>
      </c>
      <c r="R35" s="165">
        <f>R34/$S$34</f>
        <v>0</v>
      </c>
      <c r="S35" s="165">
        <f>S34/$S$34</f>
        <v>1</v>
      </c>
      <c r="T35" s="93"/>
      <c r="U35" s="93"/>
      <c r="V35" s="93"/>
    </row>
    <row r="36" spans="9:32">
      <c r="J36" s="33"/>
      <c r="K36" s="2"/>
      <c r="L36" s="2"/>
      <c r="M36" s="2"/>
      <c r="N36" s="2"/>
      <c r="O36" s="34"/>
      <c r="Q36" s="93"/>
      <c r="U36" s="93"/>
      <c r="V36" s="93"/>
    </row>
    <row r="37" spans="9:32">
      <c r="J37" s="34"/>
      <c r="K37" s="33"/>
      <c r="O37" s="34"/>
      <c r="Q37" s="93"/>
      <c r="S37" s="93"/>
      <c r="T37" s="93"/>
      <c r="U37" s="93"/>
    </row>
    <row r="38" spans="9:32">
      <c r="J38" s="34"/>
      <c r="K38" s="34"/>
      <c r="Q38" s="93"/>
      <c r="U38" s="93"/>
    </row>
    <row r="39" spans="9:32">
      <c r="K39" s="34"/>
      <c r="Q39" s="93"/>
      <c r="R39" s="93"/>
      <c r="S39" s="93"/>
      <c r="T39" s="93"/>
      <c r="U39" s="858"/>
    </row>
    <row r="40" spans="9:32">
      <c r="J40" s="34"/>
      <c r="K40" s="34"/>
      <c r="P40" s="2"/>
      <c r="R40" s="93"/>
      <c r="S40" s="93"/>
      <c r="T40" s="93"/>
      <c r="U40" s="93"/>
    </row>
    <row r="41" spans="9:32">
      <c r="P41" s="2"/>
      <c r="R41" s="93"/>
      <c r="S41" s="93"/>
      <c r="T41" s="93"/>
      <c r="U41" s="93"/>
    </row>
    <row r="42" spans="9:32">
      <c r="Q42" s="93"/>
      <c r="R42" s="93"/>
      <c r="S42" s="93"/>
      <c r="T42" s="93"/>
      <c r="U42" s="93"/>
    </row>
    <row r="43" spans="9:32">
      <c r="Q43" s="93"/>
      <c r="R43" s="93"/>
      <c r="S43" s="93"/>
      <c r="T43" s="93"/>
      <c r="U43" s="93"/>
    </row>
    <row r="44" spans="9:32">
      <c r="Q44" s="93"/>
      <c r="R44" s="93"/>
      <c r="S44" s="93"/>
      <c r="T44" s="93"/>
      <c r="U44" s="93"/>
    </row>
    <row r="45" spans="9:32">
      <c r="Q45" s="93"/>
      <c r="R45" s="93"/>
      <c r="S45" s="93"/>
      <c r="T45" s="93"/>
      <c r="U45" s="93"/>
    </row>
    <row r="46" spans="9:32">
      <c r="Q46" s="93"/>
      <c r="R46" s="93"/>
      <c r="S46" s="93"/>
      <c r="T46" s="93"/>
      <c r="U46" s="93"/>
    </row>
    <row r="47" spans="9:32">
      <c r="Q47" s="93"/>
      <c r="R47" s="93"/>
      <c r="S47" s="93"/>
      <c r="T47" s="93"/>
      <c r="U47" s="93"/>
    </row>
    <row r="48" spans="9:32">
      <c r="I48" s="92"/>
      <c r="Q48" s="93"/>
      <c r="R48" s="93"/>
      <c r="S48" s="93"/>
      <c r="T48" s="93"/>
      <c r="U48" s="93"/>
    </row>
    <row r="49" spans="9:21">
      <c r="I49" s="92"/>
      <c r="Q49" s="93"/>
      <c r="R49" s="93"/>
      <c r="S49" s="93"/>
      <c r="T49" s="93"/>
    </row>
    <row r="50" spans="9:21">
      <c r="I50" s="92"/>
      <c r="Q50" s="93"/>
      <c r="R50" s="93"/>
      <c r="S50" s="93"/>
      <c r="T50" s="93"/>
      <c r="U50" s="93"/>
    </row>
    <row r="51" spans="9:21">
      <c r="I51" s="92"/>
      <c r="J51" s="34"/>
      <c r="Q51" s="93"/>
      <c r="R51" s="93"/>
      <c r="S51" s="93"/>
      <c r="T51" s="93"/>
    </row>
    <row r="52" spans="9:21">
      <c r="I52" s="92"/>
      <c r="J52" s="34"/>
      <c r="Q52" s="93"/>
      <c r="R52" s="93"/>
      <c r="S52" s="93"/>
      <c r="T52" s="93"/>
    </row>
    <row r="53" spans="9:21">
      <c r="I53" s="92"/>
      <c r="J53" s="34"/>
      <c r="Q53" s="93"/>
      <c r="R53" s="93"/>
      <c r="S53" s="93"/>
      <c r="T53" s="93"/>
    </row>
    <row r="54" spans="9:21">
      <c r="I54" s="92"/>
      <c r="J54" s="34"/>
      <c r="Q54" s="93"/>
      <c r="R54" s="93"/>
      <c r="S54" s="93"/>
      <c r="T54" s="93"/>
      <c r="U54" s="32"/>
    </row>
    <row r="55" spans="9:21">
      <c r="I55" s="92"/>
      <c r="J55" s="96"/>
      <c r="Q55" s="93"/>
      <c r="R55" s="93"/>
      <c r="S55" s="93"/>
      <c r="T55" s="93"/>
    </row>
    <row r="56" spans="9:21">
      <c r="I56" s="2"/>
      <c r="J56" s="96"/>
    </row>
    <row r="57" spans="9:21">
      <c r="I57" s="2"/>
      <c r="J57" s="96"/>
    </row>
    <row r="58" spans="9:21">
      <c r="I58" s="2"/>
      <c r="J58" s="96"/>
    </row>
    <row r="59" spans="9:21">
      <c r="I59" s="2"/>
      <c r="J59" s="96"/>
    </row>
    <row r="60" spans="9:21">
      <c r="I60" s="2"/>
      <c r="J60" s="96"/>
    </row>
    <row r="61" spans="9:21">
      <c r="I61" s="501"/>
      <c r="J61" s="96"/>
      <c r="S61" s="178"/>
    </row>
    <row r="62" spans="9:21">
      <c r="I62" s="501"/>
      <c r="J62" s="96"/>
    </row>
    <row r="63" spans="9:21" ht="12.75" customHeight="1">
      <c r="I63" s="501"/>
      <c r="J63" s="96"/>
    </row>
    <row r="64" spans="9:21">
      <c r="I64" s="92"/>
      <c r="J64" s="96"/>
    </row>
    <row r="65" spans="9:10">
      <c r="I65" s="92"/>
      <c r="J65" s="96"/>
    </row>
    <row r="66" spans="9:10">
      <c r="I66" s="92"/>
      <c r="J66" s="96"/>
    </row>
    <row r="67" spans="9:10">
      <c r="I67" s="92"/>
      <c r="J67" s="96"/>
    </row>
    <row r="68" spans="9:10">
      <c r="I68" s="92"/>
      <c r="J68" s="2"/>
    </row>
    <row r="69" spans="9:10">
      <c r="I69" s="92"/>
    </row>
    <row r="70" spans="9:10">
      <c r="I70" s="92"/>
    </row>
    <row r="71" spans="9:10">
      <c r="I71" s="92"/>
    </row>
    <row r="72" spans="9:10">
      <c r="I72" s="92"/>
    </row>
    <row r="73" spans="9:10">
      <c r="I73" s="92"/>
    </row>
    <row r="74" spans="9:10">
      <c r="I74" s="92"/>
    </row>
    <row r="75" spans="9:10">
      <c r="I75" s="92"/>
    </row>
    <row r="76" spans="9:10">
      <c r="I76" s="92"/>
    </row>
    <row r="77" spans="9:10">
      <c r="I77" s="92"/>
    </row>
    <row r="78" spans="9:10">
      <c r="I78" s="92"/>
    </row>
    <row r="79" spans="9:10">
      <c r="I79" s="92"/>
    </row>
    <row r="80" spans="9:10">
      <c r="I80" s="2"/>
    </row>
    <row r="86" spans="10:16">
      <c r="O86" s="2"/>
    </row>
    <row r="87" spans="10:16">
      <c r="O87" s="32"/>
    </row>
    <row r="88" spans="10:16">
      <c r="O88" s="432"/>
    </row>
    <row r="89" spans="10:16">
      <c r="O89" s="98"/>
    </row>
    <row r="90" spans="10:16">
      <c r="O90" s="34"/>
    </row>
    <row r="91" spans="10:16">
      <c r="O91" s="2"/>
    </row>
    <row r="92" spans="10:16">
      <c r="O92" s="32"/>
    </row>
    <row r="93" spans="10:16">
      <c r="O93" s="432"/>
    </row>
    <row r="94" spans="10:16">
      <c r="O94" s="98"/>
    </row>
    <row r="95" spans="10:16">
      <c r="J95" s="92"/>
      <c r="L95" s="2"/>
      <c r="M95" s="2"/>
      <c r="N95" s="2"/>
      <c r="O95" s="34"/>
    </row>
    <row r="96" spans="10:16">
      <c r="L96" s="2"/>
      <c r="M96" s="2"/>
      <c r="N96" s="2"/>
      <c r="O96" s="2"/>
      <c r="P96" s="2"/>
    </row>
    <row r="97" spans="10:16">
      <c r="J97" s="92"/>
      <c r="L97" s="2"/>
      <c r="M97" s="2"/>
      <c r="N97" s="2"/>
      <c r="O97" s="32"/>
      <c r="P97" s="2"/>
    </row>
    <row r="98" spans="10:16">
      <c r="J98" s="92"/>
      <c r="K98" s="2"/>
      <c r="L98" s="2"/>
      <c r="M98" s="2"/>
      <c r="N98" s="2"/>
      <c r="O98" s="432"/>
      <c r="P98" s="2"/>
    </row>
    <row r="99" spans="10:16">
      <c r="K99" s="2"/>
      <c r="L99" s="2"/>
      <c r="M99" s="2"/>
      <c r="N99" s="2"/>
      <c r="O99" s="98"/>
      <c r="P99" s="2"/>
    </row>
    <row r="100" spans="10:16">
      <c r="K100" s="2"/>
      <c r="L100" s="2"/>
      <c r="M100" s="2"/>
      <c r="N100" s="2"/>
      <c r="O100" s="2"/>
      <c r="P100" s="2"/>
    </row>
    <row r="101" spans="10:16">
      <c r="K101" s="2"/>
      <c r="L101" s="2"/>
      <c r="M101" s="2"/>
      <c r="N101" s="2"/>
      <c r="O101" s="81"/>
      <c r="P101" s="2"/>
    </row>
    <row r="102" spans="10:16">
      <c r="K102" s="2"/>
      <c r="L102" s="2"/>
      <c r="M102" s="2"/>
      <c r="N102" s="2"/>
      <c r="O102" s="81"/>
      <c r="P102" s="2"/>
    </row>
    <row r="103" spans="10:16">
      <c r="K103" s="2"/>
      <c r="L103" s="2"/>
      <c r="M103" s="2"/>
      <c r="N103" s="2"/>
      <c r="O103" s="2"/>
      <c r="P103" s="2"/>
    </row>
    <row r="104" spans="10:16">
      <c r="K104" s="2"/>
      <c r="L104" s="2"/>
      <c r="M104" s="2"/>
      <c r="N104" s="2"/>
      <c r="O104" s="2"/>
      <c r="P104" s="2"/>
    </row>
    <row r="105" spans="10:16">
      <c r="K105" s="2"/>
      <c r="L105" s="2"/>
      <c r="M105" s="2"/>
      <c r="N105" s="2"/>
      <c r="O105" s="2"/>
      <c r="P105" s="2"/>
    </row>
    <row r="106" spans="10:16">
      <c r="K106" s="2"/>
      <c r="L106" s="2"/>
      <c r="M106" s="2"/>
      <c r="N106" s="2"/>
      <c r="P106" s="2"/>
    </row>
    <row r="107" spans="10:16">
      <c r="K107" s="2"/>
      <c r="L107" s="2"/>
      <c r="M107" s="2"/>
      <c r="N107" s="2"/>
      <c r="P107" s="2"/>
    </row>
    <row r="108" spans="10:16">
      <c r="K108" s="2"/>
      <c r="L108" s="2"/>
      <c r="M108" s="2"/>
      <c r="N108" s="2"/>
      <c r="O108" s="2"/>
      <c r="P108" s="2"/>
    </row>
    <row r="109" spans="10:16">
      <c r="K109" s="2"/>
      <c r="L109" s="2"/>
      <c r="M109" s="2"/>
      <c r="N109" s="2"/>
      <c r="O109" s="2"/>
      <c r="P109" s="2"/>
    </row>
    <row r="110" spans="10:16">
      <c r="K110" s="2"/>
      <c r="L110" s="2"/>
      <c r="M110" s="2"/>
      <c r="N110" s="2"/>
      <c r="O110" s="2"/>
      <c r="P110" s="2"/>
    </row>
    <row r="111" spans="10:16">
      <c r="K111" s="2"/>
      <c r="L111" s="2"/>
      <c r="M111" s="2"/>
      <c r="N111" s="2"/>
      <c r="O111" s="2"/>
      <c r="P111" s="2"/>
    </row>
    <row r="112" spans="10:16">
      <c r="K112" s="2"/>
      <c r="L112" s="2"/>
      <c r="M112" s="2"/>
      <c r="N112" s="2"/>
      <c r="O112" s="2"/>
      <c r="P112" s="2"/>
    </row>
    <row r="113" spans="11:16">
      <c r="K113" s="2"/>
      <c r="L113" s="2"/>
      <c r="M113" s="2"/>
      <c r="N113" s="2"/>
      <c r="O113" s="2"/>
      <c r="P113" s="2"/>
    </row>
    <row r="114" spans="11:16">
      <c r="K114" s="2"/>
      <c r="L114" s="2"/>
      <c r="M114" s="2"/>
      <c r="N114" s="2"/>
      <c r="O114" s="2"/>
      <c r="P114" s="2"/>
    </row>
    <row r="115" spans="11:16">
      <c r="K115" s="2"/>
      <c r="L115" s="2"/>
      <c r="M115" s="2"/>
      <c r="N115" s="2"/>
      <c r="O115" s="2"/>
      <c r="P115" s="2"/>
    </row>
    <row r="116" spans="11:16">
      <c r="K116" s="2"/>
      <c r="L116" s="2"/>
      <c r="M116" s="2"/>
      <c r="N116" s="2"/>
      <c r="O116" s="2"/>
      <c r="P116" s="2"/>
    </row>
    <row r="117" spans="11:16">
      <c r="K117" s="2"/>
      <c r="L117" s="2"/>
      <c r="M117" s="2"/>
      <c r="N117" s="2"/>
      <c r="O117" s="2"/>
      <c r="P117" s="2"/>
    </row>
    <row r="118" spans="11:16">
      <c r="K118" s="2"/>
      <c r="L118" s="2"/>
      <c r="M118" s="2"/>
      <c r="N118" s="2"/>
      <c r="O118" s="2"/>
      <c r="P118" s="2"/>
    </row>
    <row r="119" spans="11:16">
      <c r="K119" s="2"/>
      <c r="L119" s="2"/>
      <c r="M119" s="2"/>
      <c r="N119" s="2"/>
      <c r="O119" s="2"/>
      <c r="P119" s="2"/>
    </row>
    <row r="120" spans="11:16">
      <c r="K120" s="2"/>
      <c r="L120" s="2"/>
      <c r="M120" s="2"/>
      <c r="N120" s="2"/>
      <c r="O120" s="2"/>
      <c r="P120" s="2"/>
    </row>
    <row r="121" spans="11:16">
      <c r="K121" s="2"/>
      <c r="L121" s="2"/>
      <c r="M121" s="2"/>
      <c r="N121" s="2"/>
      <c r="O121" s="2"/>
      <c r="P121" s="2"/>
    </row>
    <row r="122" spans="11:16">
      <c r="K122" s="2"/>
      <c r="L122" s="2"/>
      <c r="M122" s="2"/>
      <c r="N122" s="2"/>
      <c r="O122" s="2"/>
      <c r="P122" s="2"/>
    </row>
    <row r="123" spans="11:16">
      <c r="K123" s="2"/>
      <c r="L123" s="2"/>
      <c r="M123" s="2"/>
      <c r="N123" s="2"/>
      <c r="O123" s="2"/>
      <c r="P123" s="2"/>
    </row>
    <row r="124" spans="11:16">
      <c r="K124" s="2"/>
      <c r="L124" s="2"/>
      <c r="M124" s="2"/>
      <c r="N124" s="2"/>
      <c r="O124" s="2"/>
      <c r="P124" s="2"/>
    </row>
    <row r="125" spans="11:16">
      <c r="K125" s="2"/>
      <c r="L125" s="2"/>
      <c r="M125" s="2"/>
      <c r="N125" s="2"/>
      <c r="O125" s="2"/>
      <c r="P125" s="2"/>
    </row>
    <row r="126" spans="11:16">
      <c r="K126" s="2"/>
      <c r="L126" s="2"/>
      <c r="M126" s="2"/>
      <c r="N126" s="2"/>
      <c r="O126" s="2"/>
      <c r="P126" s="2"/>
    </row>
    <row r="127" spans="11:16">
      <c r="K127" s="2"/>
      <c r="L127" s="2"/>
      <c r="M127" s="2"/>
      <c r="N127" s="2"/>
      <c r="O127" s="2"/>
      <c r="P127" s="2"/>
    </row>
    <row r="128" spans="11:16">
      <c r="K128" s="2"/>
      <c r="L128" s="2"/>
      <c r="M128" s="2"/>
      <c r="N128" s="2"/>
      <c r="O128" s="2"/>
      <c r="P128" s="2"/>
    </row>
    <row r="129" spans="11:15">
      <c r="K129" s="2"/>
      <c r="L129" s="2"/>
      <c r="M129" s="2"/>
      <c r="N129" s="2"/>
      <c r="O129" s="2"/>
    </row>
    <row r="130" spans="11:15">
      <c r="K130" s="2"/>
      <c r="O130" s="2"/>
    </row>
    <row r="131" spans="11:15">
      <c r="K131" s="2"/>
      <c r="O131" s="2"/>
    </row>
    <row r="132" spans="11:15">
      <c r="K132" s="2"/>
      <c r="O132" s="2"/>
    </row>
    <row r="133" spans="11:15">
      <c r="O133" s="2"/>
    </row>
    <row r="134" spans="11:15">
      <c r="O134" s="2"/>
    </row>
    <row r="135" spans="11:15">
      <c r="O135" s="2"/>
    </row>
    <row r="136" spans="11:15">
      <c r="O136" s="2"/>
    </row>
    <row r="137" spans="11:15">
      <c r="O137" s="2"/>
    </row>
    <row r="138" spans="11:15">
      <c r="O138" s="2"/>
    </row>
    <row r="139" spans="11:15">
      <c r="O139" s="2"/>
    </row>
  </sheetData>
  <mergeCells count="3">
    <mergeCell ref="K8:N8"/>
    <mergeCell ref="K9:N9"/>
    <mergeCell ref="V17:W17"/>
  </mergeCells>
  <dataValidations count="2">
    <dataValidation type="list" showInputMessage="1" showErrorMessage="1" sqref="D7">
      <formula1>"Sporting Events Position 1,Sporting Events Position 2,Sporting Events Position 3,Sporting Events Position 4,QGC Sporting Events Dec 08,QGC Sporting Events June 08,QGC Sporting Events Dec 09"</formula1>
    </dataValidation>
    <dataValidation type="list" showInputMessage="1" showErrorMessage="1" sqref="E7">
      <formula1>"Sporting Events QGC,Sporting Events DPU,Sporting Events CCS,Sporting Events FINAL ORDER,Sporting Events HISTORICAL,Sporting Events Dec 08,Sporting Events Jun 09"</formula1>
    </dataValidation>
  </dataValidations>
  <pageMargins left="0.7" right="0.7" top="0.75" bottom="0.75" header="0.3" footer="0.3"/>
  <pageSetup scale="75" orientation="portrait" r:id="rId1"/>
  <colBreaks count="2" manualBreakCount="2">
    <brk id="8" max="34" man="1"/>
    <brk id="14" max="3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21"/>
  <sheetViews>
    <sheetView topLeftCell="A16" workbookViewId="0">
      <selection activeCell="G45" sqref="G45"/>
    </sheetView>
  </sheetViews>
  <sheetFormatPr defaultRowHeight="12.75"/>
  <cols>
    <col min="1" max="1" width="5.7109375" customWidth="1"/>
    <col min="2" max="2" width="21" customWidth="1"/>
    <col min="3" max="3" width="5.7109375" customWidth="1"/>
    <col min="4" max="4" width="62.28515625" customWidth="1"/>
    <col min="5" max="5" width="6.28515625" customWidth="1"/>
    <col min="6" max="6" width="17.85546875" style="2" bestFit="1" customWidth="1"/>
    <col min="7" max="7" width="16.28515625" customWidth="1"/>
    <col min="8" max="8" width="3.140625" customWidth="1"/>
    <col min="9" max="9" width="16.28515625" customWidth="1"/>
    <col min="10" max="10" width="1.5703125" customWidth="1"/>
    <col min="11" max="11" width="13.28515625" customWidth="1"/>
    <col min="12" max="12" width="35.42578125" customWidth="1"/>
    <col min="13" max="13" width="18.5703125" customWidth="1"/>
    <col min="14" max="14" width="17.85546875" customWidth="1"/>
    <col min="15" max="17" width="13.85546875" customWidth="1"/>
    <col min="19" max="19" width="15.5703125" bestFit="1" customWidth="1"/>
  </cols>
  <sheetData>
    <row r="1" spans="1:12">
      <c r="A1" s="14" t="s">
        <v>471</v>
      </c>
      <c r="B1" s="121"/>
      <c r="C1" s="58"/>
      <c r="D1" s="58"/>
      <c r="E1" s="17"/>
      <c r="G1" s="3"/>
      <c r="H1" s="2"/>
      <c r="I1" s="3"/>
      <c r="J1" s="2"/>
      <c r="K1" s="55"/>
    </row>
    <row r="2" spans="1:12">
      <c r="A2" s="14" t="str">
        <f>'Control Panel'!$B$1</f>
        <v>Dominion Energy</v>
      </c>
      <c r="B2" s="121"/>
      <c r="C2" s="58"/>
      <c r="D2" s="58"/>
      <c r="E2" s="17"/>
      <c r="G2" s="3"/>
      <c r="H2" s="2"/>
      <c r="I2" s="3"/>
      <c r="J2" s="2"/>
      <c r="K2" s="55"/>
    </row>
    <row r="3" spans="1:12">
      <c r="A3" s="14" t="str">
        <f>'Control Panel'!$B$2</f>
        <v>Utah - Dec 2017 Adjusted Avg Results</v>
      </c>
      <c r="B3" s="261"/>
      <c r="C3" s="16"/>
      <c r="D3" s="58"/>
      <c r="E3" s="17"/>
      <c r="G3" s="3"/>
      <c r="H3" s="2"/>
      <c r="I3" s="3"/>
      <c r="J3" s="2"/>
      <c r="K3" s="55"/>
    </row>
    <row r="4" spans="1:12">
      <c r="A4" s="14" t="str">
        <f>'Control Panel'!$B$3</f>
        <v>12 Months Ended : Dec-2017</v>
      </c>
      <c r="B4" s="261"/>
      <c r="C4" s="17"/>
      <c r="D4" s="17"/>
      <c r="E4" s="17"/>
      <c r="G4" s="3"/>
      <c r="H4" s="3"/>
      <c r="I4" s="3"/>
      <c r="J4" s="2"/>
      <c r="K4" s="55"/>
    </row>
    <row r="5" spans="1:12">
      <c r="A5" s="47" t="str">
        <f>IF('Control Panel'!$B$4="","",'Control Panel'!$B$4)</f>
        <v>Capital Structure : ORDERED CAP STR 13-057-05</v>
      </c>
      <c r="B5" s="17"/>
      <c r="C5" s="17"/>
      <c r="D5" s="17"/>
      <c r="E5" s="17"/>
      <c r="G5" s="2"/>
      <c r="H5" s="263"/>
      <c r="I5" s="2"/>
      <c r="J5" s="2"/>
      <c r="K5" s="55"/>
    </row>
    <row r="6" spans="1:12" ht="38.25">
      <c r="A6" s="153"/>
      <c r="B6" s="49"/>
      <c r="C6" s="49"/>
      <c r="D6" s="49"/>
      <c r="E6" s="49"/>
      <c r="F6" s="1035" t="s">
        <v>971</v>
      </c>
      <c r="G6" s="2"/>
      <c r="H6" s="306"/>
      <c r="I6" s="2"/>
      <c r="J6" s="2"/>
      <c r="K6" s="55"/>
    </row>
    <row r="7" spans="1:12" ht="35.25" customHeight="1">
      <c r="A7" s="452"/>
      <c r="B7" s="453"/>
      <c r="C7" s="453"/>
      <c r="D7" s="453"/>
      <c r="E7" s="453"/>
      <c r="F7" s="68"/>
      <c r="G7" s="686"/>
      <c r="H7" s="78"/>
      <c r="I7" s="686"/>
      <c r="J7" s="78"/>
      <c r="K7" s="698"/>
    </row>
    <row r="8" spans="1:12" ht="91.5" customHeight="1">
      <c r="A8" s="414"/>
      <c r="B8" s="415"/>
      <c r="C8" s="415"/>
      <c r="D8" s="2"/>
      <c r="E8" s="641"/>
      <c r="F8" s="1035" t="s">
        <v>1298</v>
      </c>
      <c r="G8" s="1035" t="s">
        <v>1298</v>
      </c>
      <c r="H8" s="642"/>
      <c r="I8" s="687" t="s">
        <v>881</v>
      </c>
      <c r="J8" s="418"/>
      <c r="K8" s="726">
        <v>1</v>
      </c>
    </row>
    <row r="9" spans="1:12" ht="13.5" thickBot="1">
      <c r="A9" s="151" t="s">
        <v>828</v>
      </c>
      <c r="B9" s="152"/>
      <c r="C9" s="1415" t="s">
        <v>829</v>
      </c>
      <c r="D9" s="1415"/>
      <c r="E9" s="118"/>
      <c r="F9" s="22"/>
      <c r="G9" s="328"/>
      <c r="H9" s="264"/>
      <c r="I9" s="328"/>
      <c r="J9" s="265"/>
      <c r="K9" s="306">
        <f>+K8+1</f>
        <v>2</v>
      </c>
    </row>
    <row r="10" spans="1:12">
      <c r="A10" s="153"/>
      <c r="B10" s="49"/>
      <c r="C10" s="49"/>
      <c r="D10" s="49"/>
      <c r="E10" s="49"/>
      <c r="F10" s="55"/>
      <c r="G10" s="2"/>
      <c r="H10" s="56"/>
      <c r="I10" s="2"/>
      <c r="J10" s="49"/>
      <c r="K10" s="306">
        <f t="shared" ref="K10:K73" si="0">+K9+1</f>
        <v>3</v>
      </c>
    </row>
    <row r="11" spans="1:12">
      <c r="A11" s="1441" t="s">
        <v>830</v>
      </c>
      <c r="B11" s="1441"/>
      <c r="C11" s="1441"/>
      <c r="D11" s="1441"/>
      <c r="E11" s="198"/>
      <c r="F11" s="57">
        <f>+F363+F365</f>
        <v>536084033.16347772</v>
      </c>
      <c r="G11" s="357">
        <f>HLOOKUP($G$8,RevenueScenarios,K11,FALSE)</f>
        <v>536084033.16347772</v>
      </c>
      <c r="H11" s="306"/>
      <c r="I11" s="357">
        <f>+I362+I364</f>
        <v>0</v>
      </c>
      <c r="J11" s="57"/>
      <c r="K11" s="306">
        <f t="shared" si="0"/>
        <v>4</v>
      </c>
      <c r="L11" s="1"/>
    </row>
    <row r="12" spans="1:12">
      <c r="A12" s="1441" t="s">
        <v>12</v>
      </c>
      <c r="B12" s="1441"/>
      <c r="C12" s="1441"/>
      <c r="D12" s="1441"/>
      <c r="E12" s="198"/>
      <c r="F12" s="310"/>
      <c r="G12" s="688"/>
      <c r="H12" s="311"/>
      <c r="I12" s="688"/>
      <c r="J12" s="14"/>
      <c r="K12" s="306">
        <f t="shared" si="0"/>
        <v>5</v>
      </c>
    </row>
    <row r="13" spans="1:12">
      <c r="A13" s="153"/>
      <c r="B13" s="49"/>
      <c r="C13" s="49"/>
      <c r="D13" s="49"/>
      <c r="E13" s="49"/>
      <c r="F13" s="685"/>
      <c r="G13" s="306"/>
      <c r="H13" s="306"/>
      <c r="I13" s="306"/>
      <c r="J13" s="49"/>
      <c r="K13" s="306">
        <f t="shared" si="0"/>
        <v>6</v>
      </c>
    </row>
    <row r="14" spans="1:12">
      <c r="A14" s="130" t="s">
        <v>13</v>
      </c>
      <c r="B14" s="16"/>
      <c r="C14" s="17"/>
      <c r="D14" s="49"/>
      <c r="E14" s="49"/>
      <c r="F14" s="685"/>
      <c r="G14" s="306"/>
      <c r="H14" s="306"/>
      <c r="I14" s="306"/>
      <c r="J14" s="52"/>
      <c r="K14" s="306">
        <f t="shared" si="0"/>
        <v>7</v>
      </c>
    </row>
    <row r="15" spans="1:12">
      <c r="A15" s="153"/>
      <c r="B15" s="365" t="s">
        <v>882</v>
      </c>
      <c r="C15" s="17" t="s">
        <v>15</v>
      </c>
      <c r="D15" s="49"/>
      <c r="E15" s="49"/>
      <c r="F15" s="685">
        <f>'Booked Dec 2017 Rev'!$T$15</f>
        <v>316199223</v>
      </c>
      <c r="G15" s="357">
        <f>HLOOKUP($G$8,RevenueScenarios,K15,FALSE)</f>
        <v>316199223</v>
      </c>
      <c r="H15" s="9"/>
      <c r="I15" s="357">
        <f>G15-F15</f>
        <v>0</v>
      </c>
      <c r="J15" s="9"/>
      <c r="K15" s="306">
        <f t="shared" si="0"/>
        <v>8</v>
      </c>
    </row>
    <row r="16" spans="1:12">
      <c r="A16" s="153"/>
      <c r="B16" s="365"/>
      <c r="C16" s="17"/>
      <c r="D16" s="49"/>
      <c r="E16" s="49"/>
      <c r="F16" s="685"/>
      <c r="G16" s="357"/>
      <c r="H16" s="9"/>
      <c r="I16" s="357"/>
      <c r="J16" s="9"/>
      <c r="K16" s="306">
        <f t="shared" si="0"/>
        <v>9</v>
      </c>
    </row>
    <row r="17" spans="1:11">
      <c r="A17" s="153"/>
      <c r="B17" s="365"/>
      <c r="C17" s="17" t="s">
        <v>16</v>
      </c>
      <c r="D17" s="49"/>
      <c r="E17" s="49"/>
      <c r="F17" s="685">
        <f>'Booked Dec 2017 Rev'!$T$17</f>
        <v>100235379</v>
      </c>
      <c r="G17" s="357">
        <f>HLOOKUP($G$8,RevenueScenarios,K17,FALSE)</f>
        <v>100235379</v>
      </c>
      <c r="H17" s="9"/>
      <c r="I17" s="357">
        <f>G17-F17</f>
        <v>0</v>
      </c>
      <c r="J17" s="9"/>
      <c r="K17" s="306">
        <f t="shared" si="0"/>
        <v>10</v>
      </c>
    </row>
    <row r="18" spans="1:11">
      <c r="A18" s="153"/>
      <c r="B18" s="365"/>
      <c r="C18" s="17"/>
      <c r="D18" s="49"/>
      <c r="E18" s="49"/>
      <c r="F18" s="685"/>
      <c r="G18" s="357"/>
      <c r="H18" s="9"/>
      <c r="I18" s="357"/>
      <c r="J18" s="9"/>
      <c r="K18" s="306">
        <f t="shared" si="0"/>
        <v>11</v>
      </c>
    </row>
    <row r="19" spans="1:11">
      <c r="A19" s="153"/>
      <c r="B19" s="365"/>
      <c r="C19" s="17" t="s">
        <v>17</v>
      </c>
      <c r="D19" s="49"/>
      <c r="E19" s="49"/>
      <c r="F19" s="685">
        <f>'Booked Dec 2017 Rev'!$T$19</f>
        <v>393060780</v>
      </c>
      <c r="G19" s="357">
        <f>HLOOKUP($G$8,RevenueScenarios,K19,FALSE)</f>
        <v>393060780</v>
      </c>
      <c r="H19" s="9"/>
      <c r="I19" s="357">
        <f>G19-F19</f>
        <v>0</v>
      </c>
      <c r="J19" s="9"/>
      <c r="K19" s="306">
        <f t="shared" si="0"/>
        <v>12</v>
      </c>
    </row>
    <row r="20" spans="1:11">
      <c r="A20" s="153"/>
      <c r="B20" s="365"/>
      <c r="C20" s="17" t="s">
        <v>18</v>
      </c>
      <c r="D20" s="49"/>
      <c r="E20" s="49"/>
      <c r="F20" s="689">
        <f>'Booked Dec 2017 Rev'!$T$21</f>
        <v>992105.25</v>
      </c>
      <c r="G20" s="388">
        <f>HLOOKUP($G$8,RevenueScenarios,K20,FALSE)</f>
        <v>992105.25</v>
      </c>
      <c r="H20" s="157"/>
      <c r="I20" s="388">
        <f>G20-F20</f>
        <v>0</v>
      </c>
      <c r="J20" s="9"/>
      <c r="K20" s="306">
        <f t="shared" si="0"/>
        <v>13</v>
      </c>
    </row>
    <row r="21" spans="1:11">
      <c r="A21" s="153"/>
      <c r="B21" s="365"/>
      <c r="C21" s="17"/>
      <c r="D21" s="49"/>
      <c r="E21" s="49"/>
      <c r="F21" s="685"/>
      <c r="G21" s="357"/>
      <c r="H21" s="9"/>
      <c r="I21" s="357"/>
      <c r="J21" s="9"/>
      <c r="K21" s="306">
        <f t="shared" si="0"/>
        <v>14</v>
      </c>
    </row>
    <row r="22" spans="1:11">
      <c r="A22" s="153"/>
      <c r="B22" s="365"/>
      <c r="C22" s="17" t="s">
        <v>19</v>
      </c>
      <c r="D22" s="49"/>
      <c r="E22" s="49"/>
      <c r="F22" s="685">
        <f>'Booked Dec 2017 Rev'!$T$22</f>
        <v>97193727</v>
      </c>
      <c r="G22" s="357">
        <f>HLOOKUP($G$8,RevenueScenarios,K22,FALSE)</f>
        <v>97193727</v>
      </c>
      <c r="H22" s="9"/>
      <c r="I22" s="357">
        <f>G22-F22</f>
        <v>0</v>
      </c>
      <c r="J22" s="9"/>
      <c r="K22" s="306">
        <f t="shared" si="0"/>
        <v>15</v>
      </c>
    </row>
    <row r="23" spans="1:11">
      <c r="A23" s="153"/>
      <c r="B23" s="365"/>
      <c r="C23" s="17"/>
      <c r="D23" s="49"/>
      <c r="E23" s="49"/>
      <c r="F23" s="685"/>
      <c r="G23" s="357"/>
      <c r="H23" s="9"/>
      <c r="I23" s="357"/>
      <c r="J23" s="9"/>
      <c r="K23" s="306">
        <f t="shared" si="0"/>
        <v>16</v>
      </c>
    </row>
    <row r="24" spans="1:11">
      <c r="A24" s="153"/>
      <c r="B24" s="365" t="s">
        <v>233</v>
      </c>
      <c r="C24" s="17" t="s">
        <v>15</v>
      </c>
      <c r="D24" s="49"/>
      <c r="E24" s="49"/>
      <c r="F24" s="685">
        <f>'Booked Dec 2017 Rev'!$T$24</f>
        <v>0</v>
      </c>
      <c r="G24" s="357">
        <f>HLOOKUP($G$8,RevenueScenarios,K24,FALSE)</f>
        <v>0</v>
      </c>
      <c r="H24" s="9"/>
      <c r="I24" s="357">
        <f>G24-F24</f>
        <v>0</v>
      </c>
      <c r="J24" s="9"/>
      <c r="K24" s="306">
        <f t="shared" si="0"/>
        <v>17</v>
      </c>
    </row>
    <row r="25" spans="1:11">
      <c r="A25" s="153"/>
      <c r="B25" s="365"/>
      <c r="C25" s="17"/>
      <c r="D25" s="49"/>
      <c r="E25" s="49"/>
      <c r="F25" s="685"/>
      <c r="G25" s="357"/>
      <c r="H25" s="9"/>
      <c r="I25" s="357"/>
      <c r="J25" s="9"/>
      <c r="K25" s="306">
        <f t="shared" si="0"/>
        <v>18</v>
      </c>
    </row>
    <row r="26" spans="1:11">
      <c r="A26" s="153"/>
      <c r="B26" s="365"/>
      <c r="C26" s="17" t="s">
        <v>16</v>
      </c>
      <c r="D26" s="49"/>
      <c r="E26" s="49"/>
      <c r="F26" s="685">
        <f>'Booked Dec 2017 Rev'!$T$26</f>
        <v>0</v>
      </c>
      <c r="G26" s="357">
        <f>HLOOKUP($G$8,RevenueScenarios,K26,FALSE)</f>
        <v>0</v>
      </c>
      <c r="H26" s="9"/>
      <c r="I26" s="357">
        <f>G26-F26</f>
        <v>0</v>
      </c>
      <c r="J26" s="9"/>
      <c r="K26" s="306">
        <f t="shared" si="0"/>
        <v>19</v>
      </c>
    </row>
    <row r="27" spans="1:11">
      <c r="A27" s="153"/>
      <c r="B27" s="365"/>
      <c r="C27" s="17"/>
      <c r="D27" s="49"/>
      <c r="E27" s="49"/>
      <c r="F27" s="685"/>
      <c r="G27" s="357"/>
      <c r="H27" s="9"/>
      <c r="I27" s="357"/>
      <c r="J27" s="9"/>
      <c r="K27" s="306">
        <f t="shared" si="0"/>
        <v>20</v>
      </c>
    </row>
    <row r="28" spans="1:11">
      <c r="A28" s="153"/>
      <c r="B28" s="365"/>
      <c r="C28" s="17" t="s">
        <v>17</v>
      </c>
      <c r="D28" s="49"/>
      <c r="E28" s="49"/>
      <c r="F28" s="685">
        <f>'Booked Dec 2017 Rev'!$T$28</f>
        <v>0</v>
      </c>
      <c r="G28" s="357">
        <f>HLOOKUP($G$8,RevenueScenarios,K28,FALSE)</f>
        <v>0</v>
      </c>
      <c r="H28" s="9"/>
      <c r="I28" s="357">
        <f>G28-F28</f>
        <v>0</v>
      </c>
      <c r="J28" s="9"/>
      <c r="K28" s="306">
        <f t="shared" si="0"/>
        <v>21</v>
      </c>
    </row>
    <row r="29" spans="1:11">
      <c r="A29" s="153"/>
      <c r="B29" s="365"/>
      <c r="C29" s="17" t="s">
        <v>18</v>
      </c>
      <c r="D29" s="49"/>
      <c r="E29" s="49"/>
      <c r="F29" s="689">
        <f>'Booked Dec 2017 Rev'!$T$29</f>
        <v>0</v>
      </c>
      <c r="G29" s="388">
        <f>HLOOKUP($G$8,RevenueScenarios,K29,FALSE)</f>
        <v>0</v>
      </c>
      <c r="H29" s="157"/>
      <c r="I29" s="388">
        <f>G29-F29</f>
        <v>0</v>
      </c>
      <c r="J29" s="9"/>
      <c r="K29" s="306">
        <f t="shared" si="0"/>
        <v>22</v>
      </c>
    </row>
    <row r="30" spans="1:11">
      <c r="A30" s="153"/>
      <c r="B30" s="365"/>
      <c r="C30" s="17"/>
      <c r="D30" s="49"/>
      <c r="E30" s="49"/>
      <c r="F30" s="685"/>
      <c r="G30" s="357"/>
      <c r="H30" s="9"/>
      <c r="I30" s="357"/>
      <c r="J30" s="9"/>
      <c r="K30" s="306">
        <f t="shared" si="0"/>
        <v>23</v>
      </c>
    </row>
    <row r="31" spans="1:11">
      <c r="A31" s="153"/>
      <c r="B31" s="365"/>
      <c r="C31" s="17" t="s">
        <v>19</v>
      </c>
      <c r="D31" s="49"/>
      <c r="E31" s="49"/>
      <c r="F31" s="685">
        <f>'Booked Dec 2017 Rev'!$T$31</f>
        <v>0</v>
      </c>
      <c r="G31" s="357">
        <f>HLOOKUP($G$8,RevenueScenarios,K31,FALSE)</f>
        <v>0</v>
      </c>
      <c r="H31" s="9"/>
      <c r="I31" s="357">
        <f>G31-F31</f>
        <v>0</v>
      </c>
      <c r="J31" s="9"/>
      <c r="K31" s="306">
        <f t="shared" si="0"/>
        <v>24</v>
      </c>
    </row>
    <row r="32" spans="1:11">
      <c r="A32" s="153"/>
      <c r="B32" s="63"/>
      <c r="C32" s="2"/>
      <c r="D32" s="2"/>
      <c r="E32" s="49"/>
      <c r="F32" s="685"/>
      <c r="G32" s="357"/>
      <c r="H32" s="9"/>
      <c r="I32" s="357"/>
      <c r="J32" s="9"/>
      <c r="K32" s="306">
        <f t="shared" si="0"/>
        <v>25</v>
      </c>
    </row>
    <row r="33" spans="1:11">
      <c r="A33" s="153"/>
      <c r="B33" s="365" t="s">
        <v>796</v>
      </c>
      <c r="C33" s="17" t="s">
        <v>15</v>
      </c>
      <c r="D33" s="49"/>
      <c r="E33" s="49"/>
      <c r="F33" s="685">
        <f>'Booked Dec 2017 Rev'!$T$33</f>
        <v>0</v>
      </c>
      <c r="G33" s="357">
        <f>HLOOKUP($G$8,RevenueScenarios,K33,FALSE)</f>
        <v>0</v>
      </c>
      <c r="H33" s="9"/>
      <c r="I33" s="357">
        <f>G33-F33</f>
        <v>0</v>
      </c>
      <c r="J33" s="9"/>
      <c r="K33" s="306">
        <f t="shared" si="0"/>
        <v>26</v>
      </c>
    </row>
    <row r="34" spans="1:11">
      <c r="A34" s="153"/>
      <c r="B34" s="365"/>
      <c r="C34" s="17"/>
      <c r="D34" s="49"/>
      <c r="E34" s="49"/>
      <c r="F34" s="685"/>
      <c r="G34" s="357"/>
      <c r="H34" s="9"/>
      <c r="I34" s="357"/>
      <c r="J34" s="9"/>
      <c r="K34" s="306">
        <f t="shared" si="0"/>
        <v>27</v>
      </c>
    </row>
    <row r="35" spans="1:11">
      <c r="A35" s="153"/>
      <c r="B35" s="365"/>
      <c r="C35" s="17" t="s">
        <v>16</v>
      </c>
      <c r="D35" s="49"/>
      <c r="E35" s="49"/>
      <c r="F35" s="685">
        <f>'Booked Dec 2017 Rev'!$T$35</f>
        <v>0</v>
      </c>
      <c r="G35" s="357">
        <f>HLOOKUP($G$8,RevenueScenarios,K35,FALSE)</f>
        <v>0</v>
      </c>
      <c r="H35" s="9"/>
      <c r="I35" s="357">
        <f>G35-F35</f>
        <v>0</v>
      </c>
      <c r="J35" s="9"/>
      <c r="K35" s="306">
        <f t="shared" si="0"/>
        <v>28</v>
      </c>
    </row>
    <row r="36" spans="1:11">
      <c r="A36" s="153"/>
      <c r="B36" s="365"/>
      <c r="C36" s="17"/>
      <c r="D36" s="49"/>
      <c r="E36" s="49"/>
      <c r="F36" s="685"/>
      <c r="G36" s="357"/>
      <c r="H36" s="9"/>
      <c r="I36" s="357"/>
      <c r="J36" s="9"/>
      <c r="K36" s="306">
        <f t="shared" si="0"/>
        <v>29</v>
      </c>
    </row>
    <row r="37" spans="1:11">
      <c r="A37" s="153"/>
      <c r="B37" s="365"/>
      <c r="C37" s="17" t="s">
        <v>17</v>
      </c>
      <c r="D37" s="49"/>
      <c r="E37" s="49"/>
      <c r="F37" s="685">
        <f>'Booked Dec 2017 Rev'!$T$37</f>
        <v>0</v>
      </c>
      <c r="G37" s="357">
        <f>HLOOKUP($G$8,RevenueScenarios,K37,FALSE)</f>
        <v>0</v>
      </c>
      <c r="H37" s="9"/>
      <c r="I37" s="357">
        <f>G37-F37</f>
        <v>0</v>
      </c>
      <c r="J37" s="9"/>
      <c r="K37" s="306">
        <f t="shared" si="0"/>
        <v>30</v>
      </c>
    </row>
    <row r="38" spans="1:11">
      <c r="A38" s="153"/>
      <c r="B38" s="365"/>
      <c r="C38" s="17" t="s">
        <v>18</v>
      </c>
      <c r="D38" s="49"/>
      <c r="E38" s="49"/>
      <c r="F38" s="689">
        <f>'Booked Dec 2017 Rev'!$T$38</f>
        <v>0</v>
      </c>
      <c r="G38" s="388">
        <f>HLOOKUP($G$8,RevenueScenarios,K38,FALSE)</f>
        <v>0</v>
      </c>
      <c r="H38" s="157"/>
      <c r="I38" s="388">
        <f>G38-F38</f>
        <v>0</v>
      </c>
      <c r="J38" s="9"/>
      <c r="K38" s="306">
        <f t="shared" si="0"/>
        <v>31</v>
      </c>
    </row>
    <row r="39" spans="1:11">
      <c r="A39" s="153"/>
      <c r="B39" s="365"/>
      <c r="C39" s="17"/>
      <c r="D39" s="49"/>
      <c r="E39" s="49"/>
      <c r="F39" s="685"/>
      <c r="G39" s="357"/>
      <c r="H39" s="9"/>
      <c r="I39" s="357"/>
      <c r="J39" s="9"/>
      <c r="K39" s="306">
        <f t="shared" si="0"/>
        <v>32</v>
      </c>
    </row>
    <row r="40" spans="1:11">
      <c r="A40" s="153"/>
      <c r="B40" s="365"/>
      <c r="C40" s="17" t="s">
        <v>19</v>
      </c>
      <c r="D40" s="49"/>
      <c r="E40" s="49"/>
      <c r="F40" s="685">
        <f>'Booked Dec 2017 Rev'!$T$40</f>
        <v>0</v>
      </c>
      <c r="G40" s="357">
        <f>HLOOKUP($G$8,RevenueScenarios,K40,FALSE)</f>
        <v>0</v>
      </c>
      <c r="H40" s="9"/>
      <c r="I40" s="357">
        <f>G40-F40</f>
        <v>0</v>
      </c>
      <c r="J40" s="9"/>
      <c r="K40" s="306">
        <f t="shared" si="0"/>
        <v>33</v>
      </c>
    </row>
    <row r="41" spans="1:11">
      <c r="A41" s="153"/>
      <c r="B41" s="63"/>
      <c r="C41" s="17"/>
      <c r="D41" s="49"/>
      <c r="E41" s="49"/>
      <c r="F41" s="685"/>
      <c r="G41" s="357"/>
      <c r="H41" s="9"/>
      <c r="I41" s="357"/>
      <c r="J41" s="9"/>
      <c r="K41" s="306">
        <f t="shared" si="0"/>
        <v>34</v>
      </c>
    </row>
    <row r="42" spans="1:11">
      <c r="A42" s="153"/>
      <c r="B42" s="365" t="s">
        <v>797</v>
      </c>
      <c r="C42" s="17" t="s">
        <v>15</v>
      </c>
      <c r="D42" s="49"/>
      <c r="E42" s="49"/>
      <c r="F42" s="685">
        <f>'Booked Dec 2017 Rev'!$T$42</f>
        <v>3357867</v>
      </c>
      <c r="G42" s="357">
        <f>HLOOKUP($G$8,RevenueScenarios,K42,FALSE)</f>
        <v>3357867</v>
      </c>
      <c r="H42" s="9"/>
      <c r="I42" s="357">
        <f>G42-F42</f>
        <v>0</v>
      </c>
      <c r="J42" s="9"/>
      <c r="K42" s="306">
        <f t="shared" si="0"/>
        <v>35</v>
      </c>
    </row>
    <row r="43" spans="1:11">
      <c r="A43" s="153"/>
      <c r="B43" s="365"/>
      <c r="C43" s="17"/>
      <c r="D43" s="49"/>
      <c r="E43" s="49"/>
      <c r="F43" s="685"/>
      <c r="G43" s="357"/>
      <c r="H43" s="9"/>
      <c r="I43" s="357"/>
      <c r="J43" s="9"/>
      <c r="K43" s="306">
        <f t="shared" si="0"/>
        <v>36</v>
      </c>
    </row>
    <row r="44" spans="1:11">
      <c r="A44" s="153"/>
      <c r="B44" s="365"/>
      <c r="C44" s="17" t="s">
        <v>16</v>
      </c>
      <c r="D44" s="49"/>
      <c r="E44" s="49"/>
      <c r="F44" s="685">
        <f>'Booked Dec 2017 Rev'!$T$44</f>
        <v>3463902</v>
      </c>
      <c r="G44" s="357">
        <f>HLOOKUP($G$8,RevenueScenarios,K44,FALSE)</f>
        <v>3463902</v>
      </c>
      <c r="H44" s="9"/>
      <c r="I44" s="357">
        <f>G44-F44</f>
        <v>0</v>
      </c>
      <c r="J44" s="9"/>
      <c r="K44" s="306">
        <f t="shared" si="0"/>
        <v>37</v>
      </c>
    </row>
    <row r="45" spans="1:11">
      <c r="A45" s="153"/>
      <c r="B45" s="365"/>
      <c r="C45" s="17"/>
      <c r="D45" s="49"/>
      <c r="E45" s="49"/>
      <c r="F45" s="685"/>
      <c r="G45" s="357"/>
      <c r="H45" s="9"/>
      <c r="I45" s="357"/>
      <c r="J45" s="9"/>
      <c r="K45" s="306">
        <f t="shared" si="0"/>
        <v>38</v>
      </c>
    </row>
    <row r="46" spans="1:11">
      <c r="A46" s="153"/>
      <c r="B46" s="365"/>
      <c r="C46" s="17" t="s">
        <v>17</v>
      </c>
      <c r="D46" s="49"/>
      <c r="E46" s="49"/>
      <c r="F46" s="685">
        <f>'Booked Dec 2017 Rev'!$T$46</f>
        <v>15794370</v>
      </c>
      <c r="G46" s="357">
        <f>HLOOKUP($G$8,RevenueScenarios,K46,FALSE)</f>
        <v>15794370</v>
      </c>
      <c r="H46" s="9"/>
      <c r="I46" s="357">
        <f>G46-F46</f>
        <v>0</v>
      </c>
      <c r="J46" s="9"/>
      <c r="K46" s="306">
        <f t="shared" si="0"/>
        <v>39</v>
      </c>
    </row>
    <row r="47" spans="1:11">
      <c r="A47" s="153"/>
      <c r="B47" s="365"/>
      <c r="C47" s="17" t="s">
        <v>18</v>
      </c>
      <c r="D47" s="49"/>
      <c r="E47" s="49"/>
      <c r="F47" s="689">
        <f>'Booked Dec 2017 Rev'!$T$47</f>
        <v>22616139</v>
      </c>
      <c r="G47" s="388">
        <f>HLOOKUP($G$8,RevenueScenarios,K47,FALSE)</f>
        <v>22616139</v>
      </c>
      <c r="H47" s="157"/>
      <c r="I47" s="388">
        <f>G47-F47</f>
        <v>0</v>
      </c>
      <c r="J47" s="9"/>
      <c r="K47" s="306">
        <f t="shared" si="0"/>
        <v>40</v>
      </c>
    </row>
    <row r="48" spans="1:11">
      <c r="A48" s="153"/>
      <c r="B48" s="365"/>
      <c r="C48" s="17"/>
      <c r="D48" s="49"/>
      <c r="E48" s="49"/>
      <c r="F48" s="685"/>
      <c r="G48" s="357"/>
      <c r="H48" s="9"/>
      <c r="I48" s="357"/>
      <c r="J48" s="9"/>
      <c r="K48" s="306">
        <f t="shared" si="0"/>
        <v>41</v>
      </c>
    </row>
    <row r="49" spans="1:11">
      <c r="A49" s="153"/>
      <c r="B49" s="365"/>
      <c r="C49" s="17" t="s">
        <v>19</v>
      </c>
      <c r="D49" s="49"/>
      <c r="E49" s="49"/>
      <c r="F49" s="685">
        <f>'Booked Dec 2017 Rev'!$T$49</f>
        <v>3917177</v>
      </c>
      <c r="G49" s="357">
        <f>HLOOKUP($G$8,RevenueScenarios,K49,FALSE)</f>
        <v>3917177</v>
      </c>
      <c r="H49" s="9"/>
      <c r="I49" s="357">
        <f>G49-F49</f>
        <v>0</v>
      </c>
      <c r="J49" s="9"/>
      <c r="K49" s="306">
        <f t="shared" si="0"/>
        <v>42</v>
      </c>
    </row>
    <row r="50" spans="1:11">
      <c r="A50" s="153"/>
      <c r="B50" s="63"/>
      <c r="C50" s="17"/>
      <c r="D50" s="49"/>
      <c r="E50" s="49"/>
      <c r="F50" s="685"/>
      <c r="G50" s="357"/>
      <c r="H50" s="9"/>
      <c r="I50" s="357"/>
      <c r="J50" s="9"/>
      <c r="K50" s="306">
        <f t="shared" si="0"/>
        <v>43</v>
      </c>
    </row>
    <row r="51" spans="1:11">
      <c r="A51" s="153"/>
      <c r="B51" s="365" t="s">
        <v>799</v>
      </c>
      <c r="C51" s="17" t="s">
        <v>15</v>
      </c>
      <c r="D51" s="49"/>
      <c r="E51" s="49"/>
      <c r="F51" s="685">
        <f>'Booked Dec 2017 Rev'!$T$51</f>
        <v>0</v>
      </c>
      <c r="G51" s="357">
        <f>HLOOKUP($G$8,RevenueScenarios,K51,FALSE)</f>
        <v>0</v>
      </c>
      <c r="H51" s="9"/>
      <c r="I51" s="357">
        <f>G51-F51</f>
        <v>0</v>
      </c>
      <c r="J51" s="9"/>
      <c r="K51" s="306">
        <f t="shared" si="0"/>
        <v>44</v>
      </c>
    </row>
    <row r="52" spans="1:11">
      <c r="A52" s="153"/>
      <c r="B52" s="450"/>
      <c r="C52" s="17" t="s">
        <v>16</v>
      </c>
      <c r="D52" s="49"/>
      <c r="E52" s="49"/>
      <c r="F52" s="685">
        <f>'Booked Dec 2017 Rev'!$T$52</f>
        <v>0</v>
      </c>
      <c r="G52" s="357"/>
      <c r="H52" s="9"/>
      <c r="I52" s="357"/>
      <c r="J52" s="9"/>
      <c r="K52" s="306">
        <f t="shared" si="0"/>
        <v>45</v>
      </c>
    </row>
    <row r="53" spans="1:11">
      <c r="A53" s="153"/>
      <c r="B53" s="362"/>
      <c r="C53" s="17" t="s">
        <v>800</v>
      </c>
      <c r="D53" s="49"/>
      <c r="E53" s="49"/>
      <c r="F53" s="685">
        <f>'Booked Dec 2017 Rev'!$T$53</f>
        <v>0</v>
      </c>
      <c r="G53" s="357">
        <f>HLOOKUP($G$8,RevenueScenarios,K53,FALSE)</f>
        <v>0</v>
      </c>
      <c r="H53" s="9"/>
      <c r="I53" s="357">
        <f>G53-F53</f>
        <v>0</v>
      </c>
      <c r="J53" s="9"/>
      <c r="K53" s="306">
        <f t="shared" si="0"/>
        <v>46</v>
      </c>
    </row>
    <row r="54" spans="1:11">
      <c r="A54" s="153"/>
      <c r="B54" s="450"/>
      <c r="C54" s="17" t="s">
        <v>801</v>
      </c>
      <c r="D54" s="49"/>
      <c r="E54" s="49"/>
      <c r="F54" s="685">
        <f>'Booked Dec 2017 Rev'!$T$54</f>
        <v>0</v>
      </c>
      <c r="G54" s="357"/>
      <c r="H54" s="9"/>
      <c r="I54" s="357"/>
      <c r="J54" s="9"/>
      <c r="K54" s="306">
        <f t="shared" si="0"/>
        <v>47</v>
      </c>
    </row>
    <row r="55" spans="1:11">
      <c r="A55" s="153"/>
      <c r="B55" s="362"/>
      <c r="C55" s="17" t="s">
        <v>802</v>
      </c>
      <c r="D55" s="49"/>
      <c r="E55" s="49"/>
      <c r="F55" s="685">
        <f>'Booked Dec 2017 Rev'!$T$55</f>
        <v>0</v>
      </c>
      <c r="G55" s="357">
        <f>HLOOKUP($G$8,RevenueScenarios,K55,FALSE)</f>
        <v>0</v>
      </c>
      <c r="H55" s="9"/>
      <c r="I55" s="357">
        <f>G55-F55</f>
        <v>0</v>
      </c>
      <c r="J55" s="9"/>
      <c r="K55" s="306">
        <f t="shared" si="0"/>
        <v>48</v>
      </c>
    </row>
    <row r="56" spans="1:11">
      <c r="A56" s="153"/>
      <c r="B56" s="362"/>
      <c r="C56" s="17" t="s">
        <v>18</v>
      </c>
      <c r="D56" s="49"/>
      <c r="E56" s="49"/>
      <c r="F56" s="689">
        <f>'Booked Dec 2017 Rev'!$T$56</f>
        <v>0</v>
      </c>
      <c r="G56" s="388">
        <f>HLOOKUP($G$8,RevenueScenarios,K56,FALSE)</f>
        <v>0</v>
      </c>
      <c r="H56" s="157"/>
      <c r="I56" s="388">
        <f>G56-F56</f>
        <v>0</v>
      </c>
      <c r="J56" s="9"/>
      <c r="K56" s="306">
        <f t="shared" si="0"/>
        <v>49</v>
      </c>
    </row>
    <row r="57" spans="1:11">
      <c r="A57" s="153"/>
      <c r="B57" s="362"/>
      <c r="C57" s="17"/>
      <c r="D57" s="49"/>
      <c r="E57" s="49"/>
      <c r="F57" s="685"/>
      <c r="G57" s="357"/>
      <c r="H57" s="9"/>
      <c r="I57" s="357"/>
      <c r="J57" s="9"/>
      <c r="K57" s="306">
        <f t="shared" si="0"/>
        <v>50</v>
      </c>
    </row>
    <row r="58" spans="1:11">
      <c r="A58" s="153"/>
      <c r="B58" s="362"/>
      <c r="C58" s="17" t="s">
        <v>75</v>
      </c>
      <c r="D58" s="49"/>
      <c r="E58" s="49"/>
      <c r="F58" s="685">
        <f>'Booked Dec 2017 Rev'!$T$58</f>
        <v>0</v>
      </c>
      <c r="G58" s="357">
        <f>HLOOKUP($G$8,RevenueScenarios,K58,FALSE)</f>
        <v>0</v>
      </c>
      <c r="H58" s="9"/>
      <c r="I58" s="357">
        <f>G58-F58</f>
        <v>0</v>
      </c>
      <c r="J58" s="9"/>
      <c r="K58" s="306">
        <f t="shared" si="0"/>
        <v>51</v>
      </c>
    </row>
    <row r="59" spans="1:11">
      <c r="A59" s="153"/>
      <c r="B59" s="63"/>
      <c r="C59" s="17"/>
      <c r="D59" s="49"/>
      <c r="E59" s="49"/>
      <c r="F59" s="685"/>
      <c r="G59" s="357"/>
      <c r="H59" s="9"/>
      <c r="I59" s="357"/>
      <c r="J59" s="9"/>
      <c r="K59" s="306">
        <f t="shared" si="0"/>
        <v>52</v>
      </c>
    </row>
    <row r="60" spans="1:11">
      <c r="A60" s="153"/>
      <c r="B60" s="365" t="s">
        <v>798</v>
      </c>
      <c r="C60" s="17" t="s">
        <v>15</v>
      </c>
      <c r="D60" s="49"/>
      <c r="E60" s="49"/>
      <c r="F60" s="685">
        <f>'Booked Dec 2017 Rev'!$T$60</f>
        <v>1777126.4168316997</v>
      </c>
      <c r="G60" s="357">
        <f>HLOOKUP($G$8,RevenueScenarios,K60,FALSE)</f>
        <v>1777126.4168316997</v>
      </c>
      <c r="H60" s="9"/>
      <c r="I60" s="357">
        <f>G60-F60</f>
        <v>0</v>
      </c>
      <c r="J60" s="9"/>
      <c r="K60" s="306">
        <f t="shared" si="0"/>
        <v>53</v>
      </c>
    </row>
    <row r="61" spans="1:11">
      <c r="A61" s="153"/>
      <c r="B61" s="365"/>
      <c r="C61" s="17"/>
      <c r="D61" s="49"/>
      <c r="E61" s="49"/>
      <c r="F61" s="685"/>
      <c r="G61" s="357"/>
      <c r="H61" s="9"/>
      <c r="I61" s="357"/>
      <c r="J61" s="9"/>
      <c r="K61" s="306">
        <f t="shared" si="0"/>
        <v>54</v>
      </c>
    </row>
    <row r="62" spans="1:11">
      <c r="A62" s="153"/>
      <c r="B62" s="365"/>
      <c r="C62" s="17" t="s">
        <v>16</v>
      </c>
      <c r="D62" s="49"/>
      <c r="E62" s="49"/>
      <c r="F62" s="685">
        <f>'Booked Dec 2017 Rev'!$T$62</f>
        <v>265317.09801070008</v>
      </c>
      <c r="G62" s="357">
        <f>HLOOKUP($G$8,RevenueScenarios,K62,FALSE)</f>
        <v>265317.09801070008</v>
      </c>
      <c r="H62" s="9"/>
      <c r="I62" s="357">
        <f>G62-F62</f>
        <v>0</v>
      </c>
      <c r="J62" s="9"/>
      <c r="K62" s="306">
        <f t="shared" si="0"/>
        <v>55</v>
      </c>
    </row>
    <row r="63" spans="1:11">
      <c r="A63" s="153"/>
      <c r="B63" s="365"/>
      <c r="C63" s="17"/>
      <c r="D63" s="49"/>
      <c r="E63" s="49"/>
      <c r="F63" s="685"/>
      <c r="G63" s="357"/>
      <c r="H63" s="9"/>
      <c r="I63" s="357"/>
      <c r="J63" s="9"/>
      <c r="K63" s="306">
        <f t="shared" si="0"/>
        <v>56</v>
      </c>
    </row>
    <row r="64" spans="1:11">
      <c r="A64" s="153"/>
      <c r="B64" s="365"/>
      <c r="C64" s="17" t="s">
        <v>17</v>
      </c>
      <c r="D64" s="49"/>
      <c r="E64" s="49"/>
      <c r="F64" s="685">
        <f>'Booked Dec 2017 Rev'!$T$64</f>
        <v>1200610.4451576001</v>
      </c>
      <c r="G64" s="357">
        <f>HLOOKUP($G$8,RevenueScenarios,K64,FALSE)</f>
        <v>1200610.4451576001</v>
      </c>
      <c r="H64" s="9"/>
      <c r="I64" s="357">
        <f>G64-F64</f>
        <v>0</v>
      </c>
      <c r="J64" s="9"/>
      <c r="K64" s="306">
        <f t="shared" si="0"/>
        <v>57</v>
      </c>
    </row>
    <row r="65" spans="1:11">
      <c r="A65" s="153"/>
      <c r="B65" s="365"/>
      <c r="C65" s="17" t="s">
        <v>18</v>
      </c>
      <c r="D65" s="49"/>
      <c r="E65" s="49"/>
      <c r="F65" s="689">
        <f>'Booked Dec 2017 Rev'!$T$65</f>
        <v>3243053.96</v>
      </c>
      <c r="G65" s="388">
        <f>HLOOKUP($G$8,RevenueScenarios,K65,FALSE)</f>
        <v>3243053.96</v>
      </c>
      <c r="H65" s="157"/>
      <c r="I65" s="388">
        <f>G65-F65</f>
        <v>0</v>
      </c>
      <c r="J65" s="9"/>
      <c r="K65" s="306">
        <f t="shared" si="0"/>
        <v>58</v>
      </c>
    </row>
    <row r="66" spans="1:11">
      <c r="A66" s="153"/>
      <c r="B66" s="365"/>
      <c r="C66" s="17"/>
      <c r="D66" s="49"/>
      <c r="E66" s="49"/>
      <c r="F66" s="685"/>
      <c r="G66" s="357"/>
      <c r="H66" s="9"/>
      <c r="I66" s="357"/>
      <c r="J66" s="9"/>
      <c r="K66" s="306">
        <f t="shared" si="0"/>
        <v>59</v>
      </c>
    </row>
    <row r="67" spans="1:11">
      <c r="A67" s="153"/>
      <c r="B67" s="365"/>
      <c r="C67" s="17" t="s">
        <v>19</v>
      </c>
      <c r="D67" s="49"/>
      <c r="E67" s="49"/>
      <c r="F67" s="685">
        <f>'Booked Dec 2017 Rev'!$T$67</f>
        <v>297834.61000000004</v>
      </c>
      <c r="G67" s="357">
        <f>HLOOKUP($G$8,RevenueScenarios,K67,FALSE)</f>
        <v>297834.61000000004</v>
      </c>
      <c r="H67" s="9"/>
      <c r="I67" s="357">
        <f>G67-F67</f>
        <v>0</v>
      </c>
      <c r="J67" s="9"/>
      <c r="K67" s="306">
        <f t="shared" si="0"/>
        <v>60</v>
      </c>
    </row>
    <row r="68" spans="1:11">
      <c r="A68" s="153"/>
      <c r="B68" s="63"/>
      <c r="C68" s="17"/>
      <c r="D68" s="49"/>
      <c r="E68" s="49"/>
      <c r="F68" s="685"/>
      <c r="G68" s="357"/>
      <c r="H68" s="9"/>
      <c r="I68" s="357"/>
      <c r="J68" s="9"/>
      <c r="K68" s="306">
        <f t="shared" si="0"/>
        <v>61</v>
      </c>
    </row>
    <row r="69" spans="1:11">
      <c r="A69" s="153"/>
      <c r="B69" s="16" t="s">
        <v>4</v>
      </c>
      <c r="C69" s="17" t="s">
        <v>15</v>
      </c>
      <c r="D69" s="49"/>
      <c r="E69" s="49"/>
      <c r="F69" s="685">
        <f>'Booked Dec 2017 Rev'!$T$69</f>
        <v>0</v>
      </c>
      <c r="G69" s="357">
        <f>HLOOKUP($G$8,RevenueScenarios,K69,FALSE)</f>
        <v>0</v>
      </c>
      <c r="H69" s="9"/>
      <c r="I69" s="357">
        <f>G69-F69</f>
        <v>0</v>
      </c>
      <c r="J69" s="9"/>
      <c r="K69" s="306">
        <f t="shared" si="0"/>
        <v>62</v>
      </c>
    </row>
    <row r="70" spans="1:11">
      <c r="A70" s="153"/>
      <c r="B70" s="16"/>
      <c r="C70" s="17"/>
      <c r="D70" s="49"/>
      <c r="E70" s="49"/>
      <c r="F70" s="685"/>
      <c r="G70" s="357"/>
      <c r="H70" s="9"/>
      <c r="I70" s="357"/>
      <c r="J70" s="9"/>
      <c r="K70" s="306">
        <f t="shared" si="0"/>
        <v>63</v>
      </c>
    </row>
    <row r="71" spans="1:11">
      <c r="A71" s="153"/>
      <c r="B71" s="16"/>
      <c r="C71" s="17" t="s">
        <v>16</v>
      </c>
      <c r="D71" s="49"/>
      <c r="E71" s="49"/>
      <c r="F71" s="685">
        <f>'Booked Dec 2017 Rev'!$T$71</f>
        <v>0</v>
      </c>
      <c r="G71" s="357">
        <f>HLOOKUP($G$8,RevenueScenarios,K71,FALSE)</f>
        <v>0</v>
      </c>
      <c r="H71" s="9"/>
      <c r="I71" s="357">
        <f>G71-F71</f>
        <v>0</v>
      </c>
      <c r="J71" s="9"/>
      <c r="K71" s="306">
        <f t="shared" si="0"/>
        <v>64</v>
      </c>
    </row>
    <row r="72" spans="1:11">
      <c r="A72" s="153"/>
      <c r="B72" s="16"/>
      <c r="C72" s="17"/>
      <c r="D72" s="49"/>
      <c r="E72" s="49"/>
      <c r="F72" s="685"/>
      <c r="G72" s="357"/>
      <c r="H72" s="9"/>
      <c r="I72" s="357"/>
      <c r="J72" s="9"/>
      <c r="K72" s="306">
        <f t="shared" si="0"/>
        <v>65</v>
      </c>
    </row>
    <row r="73" spans="1:11">
      <c r="A73" s="153"/>
      <c r="B73" s="16"/>
      <c r="C73" s="17" t="s">
        <v>17</v>
      </c>
      <c r="D73" s="49"/>
      <c r="E73" s="49"/>
      <c r="F73" s="685">
        <f>'Booked Dec 2017 Rev'!$T$73</f>
        <v>0</v>
      </c>
      <c r="G73" s="357">
        <f>HLOOKUP($G$8,RevenueScenarios,K73,FALSE)</f>
        <v>0</v>
      </c>
      <c r="H73" s="9"/>
      <c r="I73" s="357">
        <f>G73-F73</f>
        <v>0</v>
      </c>
      <c r="J73" s="9"/>
      <c r="K73" s="306">
        <f t="shared" si="0"/>
        <v>66</v>
      </c>
    </row>
    <row r="74" spans="1:11">
      <c r="A74" s="153"/>
      <c r="B74" s="16"/>
      <c r="C74" s="17" t="s">
        <v>18</v>
      </c>
      <c r="D74" s="49"/>
      <c r="E74" s="49"/>
      <c r="F74" s="689">
        <f>'Booked Dec 2017 Rev'!$T$74</f>
        <v>0</v>
      </c>
      <c r="G74" s="388">
        <f>HLOOKUP($G$8,RevenueScenarios,K74,FALSE)</f>
        <v>0</v>
      </c>
      <c r="H74" s="157"/>
      <c r="I74" s="388">
        <f>G74-F74</f>
        <v>0</v>
      </c>
      <c r="J74" s="9"/>
      <c r="K74" s="306">
        <f t="shared" ref="K74:K137" si="1">+K73+1</f>
        <v>67</v>
      </c>
    </row>
    <row r="75" spans="1:11">
      <c r="A75" s="153"/>
      <c r="B75" s="16"/>
      <c r="C75" s="17"/>
      <c r="D75" s="49"/>
      <c r="E75" s="49"/>
      <c r="F75" s="685"/>
      <c r="G75" s="357"/>
      <c r="H75" s="9"/>
      <c r="I75" s="357"/>
      <c r="J75" s="9"/>
      <c r="K75" s="306">
        <f t="shared" si="1"/>
        <v>68</v>
      </c>
    </row>
    <row r="76" spans="1:11">
      <c r="A76" s="153"/>
      <c r="B76" s="16"/>
      <c r="C76" s="17" t="s">
        <v>19</v>
      </c>
      <c r="D76" s="49"/>
      <c r="E76" s="49"/>
      <c r="F76" s="685">
        <f>'Booked Dec 2017 Rev'!$T$76</f>
        <v>0</v>
      </c>
      <c r="G76" s="357">
        <f>HLOOKUP($G$8,RevenueScenarios,K76,FALSE)</f>
        <v>0</v>
      </c>
      <c r="H76" s="9"/>
      <c r="I76" s="357">
        <f>G76-F76</f>
        <v>0</v>
      </c>
      <c r="J76" s="9"/>
      <c r="K76" s="306">
        <f t="shared" si="1"/>
        <v>69</v>
      </c>
    </row>
    <row r="77" spans="1:11">
      <c r="A77" s="153"/>
      <c r="B77" s="365"/>
      <c r="C77" s="17"/>
      <c r="D77" s="49"/>
      <c r="E77" s="49"/>
      <c r="F77" s="685"/>
      <c r="G77" s="357"/>
      <c r="H77" s="9"/>
      <c r="I77" s="357"/>
      <c r="J77" s="9"/>
      <c r="K77" s="306">
        <f t="shared" si="1"/>
        <v>70</v>
      </c>
    </row>
    <row r="78" spans="1:11">
      <c r="A78" s="153"/>
      <c r="B78" s="16" t="s">
        <v>80</v>
      </c>
      <c r="C78" s="17" t="s">
        <v>15</v>
      </c>
      <c r="D78" s="49"/>
      <c r="E78" s="49"/>
      <c r="F78" s="685">
        <f>'Booked Dec 2017 Rev'!$T$78</f>
        <v>0</v>
      </c>
      <c r="G78" s="357">
        <f>HLOOKUP($G$8,RevenueScenarios,K78,FALSE)</f>
        <v>0</v>
      </c>
      <c r="H78" s="9"/>
      <c r="I78" s="357">
        <f>G78-F78</f>
        <v>0</v>
      </c>
      <c r="J78" s="9"/>
      <c r="K78" s="306">
        <f t="shared" si="1"/>
        <v>71</v>
      </c>
    </row>
    <row r="79" spans="1:11">
      <c r="A79" s="153"/>
      <c r="B79" s="16"/>
      <c r="C79" s="17"/>
      <c r="D79" s="49"/>
      <c r="E79" s="49"/>
      <c r="F79" s="685"/>
      <c r="G79" s="357"/>
      <c r="H79" s="9"/>
      <c r="I79" s="357"/>
      <c r="J79" s="9"/>
      <c r="K79" s="306">
        <f t="shared" si="1"/>
        <v>72</v>
      </c>
    </row>
    <row r="80" spans="1:11">
      <c r="A80" s="153"/>
      <c r="B80" s="16"/>
      <c r="C80" s="17" t="s">
        <v>16</v>
      </c>
      <c r="D80" s="49"/>
      <c r="E80" s="49"/>
      <c r="F80" s="685">
        <f>'Booked Dec 2017 Rev'!$T$80</f>
        <v>0</v>
      </c>
      <c r="G80" s="357">
        <f>HLOOKUP($G$8,RevenueScenarios,K80,FALSE)</f>
        <v>0</v>
      </c>
      <c r="H80" s="9"/>
      <c r="I80" s="357">
        <f>G80-F80</f>
        <v>0</v>
      </c>
      <c r="J80" s="9"/>
      <c r="K80" s="306">
        <f t="shared" si="1"/>
        <v>73</v>
      </c>
    </row>
    <row r="81" spans="1:11">
      <c r="A81" s="153"/>
      <c r="B81" s="16"/>
      <c r="C81" s="17"/>
      <c r="D81" s="49"/>
      <c r="E81" s="49"/>
      <c r="F81" s="685"/>
      <c r="G81" s="357"/>
      <c r="H81" s="9"/>
      <c r="I81" s="357"/>
      <c r="J81" s="9"/>
      <c r="K81" s="306">
        <f t="shared" si="1"/>
        <v>74</v>
      </c>
    </row>
    <row r="82" spans="1:11">
      <c r="A82" s="153"/>
      <c r="B82" s="16"/>
      <c r="C82" s="17" t="s">
        <v>17</v>
      </c>
      <c r="D82" s="49"/>
      <c r="E82" s="49"/>
      <c r="F82" s="685">
        <f>'Booked Dec 2017 Rev'!$T$82</f>
        <v>0</v>
      </c>
      <c r="G82" s="357">
        <f>HLOOKUP($G$8,RevenueScenarios,K82,FALSE)</f>
        <v>0</v>
      </c>
      <c r="H82" s="9"/>
      <c r="I82" s="357">
        <f>G82-F82</f>
        <v>0</v>
      </c>
      <c r="J82" s="9"/>
      <c r="K82" s="306">
        <f t="shared" si="1"/>
        <v>75</v>
      </c>
    </row>
    <row r="83" spans="1:11">
      <c r="A83" s="153"/>
      <c r="B83" s="16"/>
      <c r="C83" s="17" t="s">
        <v>18</v>
      </c>
      <c r="D83" s="49"/>
      <c r="E83" s="49"/>
      <c r="F83" s="689">
        <f>'Booked Dec 2017 Rev'!$T$83</f>
        <v>0</v>
      </c>
      <c r="G83" s="388">
        <f>HLOOKUP($G$8,RevenueScenarios,K83,FALSE)</f>
        <v>0</v>
      </c>
      <c r="H83" s="157"/>
      <c r="I83" s="388">
        <f>G83-F83</f>
        <v>0</v>
      </c>
      <c r="J83" s="9"/>
      <c r="K83" s="306">
        <f t="shared" si="1"/>
        <v>76</v>
      </c>
    </row>
    <row r="84" spans="1:11">
      <c r="A84" s="153"/>
      <c r="B84" s="16"/>
      <c r="C84" s="17"/>
      <c r="D84" s="49"/>
      <c r="E84" s="49"/>
      <c r="F84" s="685"/>
      <c r="G84" s="357"/>
      <c r="H84" s="9"/>
      <c r="I84" s="357"/>
      <c r="J84" s="9"/>
      <c r="K84" s="306">
        <f t="shared" si="1"/>
        <v>77</v>
      </c>
    </row>
    <row r="85" spans="1:11">
      <c r="A85" s="153"/>
      <c r="B85" s="16"/>
      <c r="C85" s="17" t="s">
        <v>19</v>
      </c>
      <c r="D85" s="49"/>
      <c r="E85" s="49"/>
      <c r="F85" s="685">
        <f>'Booked Dec 2017 Rev'!$T$85</f>
        <v>0</v>
      </c>
      <c r="G85" s="357">
        <f>HLOOKUP($G$8,RevenueScenarios,K85,FALSE)</f>
        <v>0</v>
      </c>
      <c r="H85" s="9"/>
      <c r="I85" s="357">
        <f>G85-F85</f>
        <v>0</v>
      </c>
      <c r="J85" s="9"/>
      <c r="K85" s="306">
        <f t="shared" si="1"/>
        <v>78</v>
      </c>
    </row>
    <row r="86" spans="1:11">
      <c r="A86" s="153"/>
      <c r="B86" s="365"/>
      <c r="C86" s="17"/>
      <c r="D86" s="49"/>
      <c r="E86" s="49"/>
      <c r="F86" s="685"/>
      <c r="G86" s="357"/>
      <c r="H86" s="9"/>
      <c r="I86" s="357"/>
      <c r="J86" s="9"/>
      <c r="K86" s="306">
        <f t="shared" si="1"/>
        <v>79</v>
      </c>
    </row>
    <row r="87" spans="1:11">
      <c r="A87" s="153"/>
      <c r="B87" s="365" t="s">
        <v>81</v>
      </c>
      <c r="C87" s="17" t="s">
        <v>15</v>
      </c>
      <c r="D87" s="49"/>
      <c r="E87" s="49"/>
      <c r="F87" s="685">
        <f>'Booked Dec 2017 Rev'!$T$87</f>
        <v>0</v>
      </c>
      <c r="G87" s="357">
        <f>HLOOKUP($G$8,RevenueScenarios,K87,FALSE)</f>
        <v>0</v>
      </c>
      <c r="H87" s="9"/>
      <c r="I87" s="357">
        <f>G87-F87</f>
        <v>0</v>
      </c>
      <c r="J87" s="9"/>
      <c r="K87" s="306">
        <f t="shared" si="1"/>
        <v>80</v>
      </c>
    </row>
    <row r="88" spans="1:11">
      <c r="A88" s="153"/>
      <c r="B88" s="365"/>
      <c r="C88" s="17"/>
      <c r="D88" s="49"/>
      <c r="E88" s="49"/>
      <c r="F88" s="685"/>
      <c r="G88" s="357"/>
      <c r="H88" s="9"/>
      <c r="I88" s="357"/>
      <c r="J88" s="9"/>
      <c r="K88" s="306">
        <f t="shared" si="1"/>
        <v>81</v>
      </c>
    </row>
    <row r="89" spans="1:11">
      <c r="A89" s="153"/>
      <c r="B89" s="365"/>
      <c r="C89" s="17" t="s">
        <v>16</v>
      </c>
      <c r="D89" s="49"/>
      <c r="E89" s="49"/>
      <c r="F89" s="685">
        <f>'Booked Dec 2017 Rev'!$T$89</f>
        <v>0</v>
      </c>
      <c r="G89" s="357">
        <f>HLOOKUP($G$8,RevenueScenarios,K89,FALSE)</f>
        <v>0</v>
      </c>
      <c r="H89" s="9"/>
      <c r="I89" s="357">
        <f>G89-F89</f>
        <v>0</v>
      </c>
      <c r="J89" s="9"/>
      <c r="K89" s="306">
        <f t="shared" si="1"/>
        <v>82</v>
      </c>
    </row>
    <row r="90" spans="1:11">
      <c r="A90" s="153"/>
      <c r="B90" s="365"/>
      <c r="C90" s="17"/>
      <c r="D90" s="49"/>
      <c r="E90" s="49"/>
      <c r="F90" s="685"/>
      <c r="G90" s="357"/>
      <c r="H90" s="9"/>
      <c r="I90" s="357"/>
      <c r="J90" s="9"/>
      <c r="K90" s="306">
        <f t="shared" si="1"/>
        <v>83</v>
      </c>
    </row>
    <row r="91" spans="1:11">
      <c r="A91" s="153"/>
      <c r="B91" s="365"/>
      <c r="C91" s="17" t="s">
        <v>17</v>
      </c>
      <c r="D91" s="49"/>
      <c r="E91" s="49"/>
      <c r="F91" s="685">
        <f>'Booked Dec 2017 Rev'!$T$91</f>
        <v>0</v>
      </c>
      <c r="G91" s="357">
        <f>HLOOKUP($G$8,RevenueScenarios,K91,FALSE)</f>
        <v>0</v>
      </c>
      <c r="H91" s="9"/>
      <c r="I91" s="357">
        <f>G91-F91</f>
        <v>0</v>
      </c>
      <c r="J91" s="9"/>
      <c r="K91" s="306">
        <f t="shared" si="1"/>
        <v>84</v>
      </c>
    </row>
    <row r="92" spans="1:11">
      <c r="A92" s="153"/>
      <c r="B92" s="365"/>
      <c r="C92" s="17" t="s">
        <v>18</v>
      </c>
      <c r="D92" s="49"/>
      <c r="E92" s="49"/>
      <c r="F92" s="689">
        <f>'Booked Dec 2017 Rev'!$T$92</f>
        <v>0</v>
      </c>
      <c r="G92" s="388">
        <f>HLOOKUP($G$8,RevenueScenarios,K92,FALSE)</f>
        <v>0</v>
      </c>
      <c r="H92" s="157"/>
      <c r="I92" s="388">
        <f>G92-F92</f>
        <v>0</v>
      </c>
      <c r="J92" s="9"/>
      <c r="K92" s="306">
        <f t="shared" si="1"/>
        <v>85</v>
      </c>
    </row>
    <row r="93" spans="1:11">
      <c r="A93" s="153"/>
      <c r="B93" s="365"/>
      <c r="C93" s="17"/>
      <c r="D93" s="49"/>
      <c r="E93" s="49"/>
      <c r="F93" s="685"/>
      <c r="G93" s="357"/>
      <c r="H93" s="9"/>
      <c r="I93" s="357"/>
      <c r="J93" s="9"/>
      <c r="K93" s="306">
        <f t="shared" si="1"/>
        <v>86</v>
      </c>
    </row>
    <row r="94" spans="1:11">
      <c r="A94" s="153"/>
      <c r="B94" s="365"/>
      <c r="C94" s="17" t="s">
        <v>19</v>
      </c>
      <c r="D94" s="49"/>
      <c r="E94" s="49"/>
      <c r="F94" s="685">
        <f>'Booked Dec 2017 Rev'!$T$94</f>
        <v>0</v>
      </c>
      <c r="G94" s="357">
        <f>HLOOKUP($G$8,RevenueScenarios,K94,FALSE)</f>
        <v>0</v>
      </c>
      <c r="H94" s="9"/>
      <c r="I94" s="357">
        <f>G94-F94</f>
        <v>0</v>
      </c>
      <c r="J94" s="9"/>
      <c r="K94" s="306">
        <f t="shared" si="1"/>
        <v>87</v>
      </c>
    </row>
    <row r="95" spans="1:11">
      <c r="A95" s="153"/>
      <c r="B95" s="365"/>
      <c r="C95" s="17"/>
      <c r="D95" s="49"/>
      <c r="E95" s="49"/>
      <c r="F95" s="685"/>
      <c r="G95" s="357"/>
      <c r="H95" s="9"/>
      <c r="I95" s="357"/>
      <c r="J95" s="9"/>
      <c r="K95" s="306">
        <f t="shared" si="1"/>
        <v>88</v>
      </c>
    </row>
    <row r="96" spans="1:11">
      <c r="A96" s="153"/>
      <c r="B96" s="16" t="s">
        <v>78</v>
      </c>
      <c r="C96" s="17" t="s">
        <v>15</v>
      </c>
      <c r="D96" s="49"/>
      <c r="E96" s="49"/>
      <c r="F96" s="685">
        <f>'Booked Dec 2017 Rev'!$T$96</f>
        <v>373983</v>
      </c>
      <c r="G96" s="357">
        <f>HLOOKUP($G$8,RevenueScenarios,K96,FALSE)</f>
        <v>373983</v>
      </c>
      <c r="H96" s="9"/>
      <c r="I96" s="357">
        <f>G96-F96</f>
        <v>0</v>
      </c>
      <c r="J96" s="9"/>
      <c r="K96" s="306">
        <f t="shared" si="1"/>
        <v>89</v>
      </c>
    </row>
    <row r="97" spans="1:11">
      <c r="A97" s="153"/>
      <c r="B97" s="16"/>
      <c r="C97" s="17"/>
      <c r="D97" s="49"/>
      <c r="E97" s="49"/>
      <c r="F97" s="685"/>
      <c r="G97" s="357"/>
      <c r="H97" s="9"/>
      <c r="I97" s="357"/>
      <c r="J97" s="9"/>
      <c r="K97" s="306">
        <f t="shared" si="1"/>
        <v>90</v>
      </c>
    </row>
    <row r="98" spans="1:11">
      <c r="A98" s="153"/>
      <c r="B98" s="16"/>
      <c r="C98" s="17" t="s">
        <v>16</v>
      </c>
      <c r="D98" s="49"/>
      <c r="E98" s="49"/>
      <c r="F98" s="685">
        <f>'Booked Dec 2017 Rev'!$T$98</f>
        <v>111250</v>
      </c>
      <c r="G98" s="357">
        <f>HLOOKUP($G$8,RevenueScenarios,K98,FALSE)</f>
        <v>111250</v>
      </c>
      <c r="H98" s="9"/>
      <c r="I98" s="357">
        <f>G98-F98</f>
        <v>0</v>
      </c>
      <c r="J98" s="9"/>
      <c r="K98" s="306">
        <f t="shared" si="1"/>
        <v>91</v>
      </c>
    </row>
    <row r="99" spans="1:11">
      <c r="A99" s="153"/>
      <c r="B99" s="16"/>
      <c r="C99" s="17"/>
      <c r="D99" s="49"/>
      <c r="E99" s="49"/>
      <c r="F99" s="685"/>
      <c r="G99" s="357"/>
      <c r="H99" s="9"/>
      <c r="I99" s="357"/>
      <c r="J99" s="9"/>
      <c r="K99" s="306">
        <f t="shared" si="1"/>
        <v>92</v>
      </c>
    </row>
    <row r="100" spans="1:11">
      <c r="A100" s="153"/>
      <c r="B100" s="16"/>
      <c r="C100" s="17" t="s">
        <v>17</v>
      </c>
      <c r="D100" s="49"/>
      <c r="E100" s="49"/>
      <c r="F100" s="685">
        <f>'Booked Dec 2017 Rev'!$T$100</f>
        <v>2493346</v>
      </c>
      <c r="G100" s="357">
        <f>HLOOKUP($G$8,RevenueScenarios,K100,FALSE)</f>
        <v>2493346</v>
      </c>
      <c r="H100" s="9"/>
      <c r="I100" s="357">
        <f>G100-F100</f>
        <v>0</v>
      </c>
      <c r="J100" s="9"/>
      <c r="K100" s="306">
        <f t="shared" si="1"/>
        <v>93</v>
      </c>
    </row>
    <row r="101" spans="1:11">
      <c r="A101" s="153"/>
      <c r="B101" s="16"/>
      <c r="C101" s="17" t="s">
        <v>18</v>
      </c>
      <c r="D101" s="49"/>
      <c r="E101" s="49"/>
      <c r="F101" s="689">
        <f>'Booked Dec 2017 Rev'!$T$101</f>
        <v>2978579</v>
      </c>
      <c r="G101" s="388">
        <f>HLOOKUP($G$8,RevenueScenarios,K101,FALSE)</f>
        <v>2978579</v>
      </c>
      <c r="H101" s="157"/>
      <c r="I101" s="388">
        <f>G101-F101</f>
        <v>0</v>
      </c>
      <c r="J101" s="9"/>
      <c r="K101" s="306">
        <f t="shared" si="1"/>
        <v>94</v>
      </c>
    </row>
    <row r="102" spans="1:11">
      <c r="A102" s="153"/>
      <c r="B102" s="16"/>
      <c r="C102" s="17"/>
      <c r="D102" s="49"/>
      <c r="E102" s="49"/>
      <c r="F102" s="685"/>
      <c r="G102" s="357"/>
      <c r="H102" s="9"/>
      <c r="I102" s="357"/>
      <c r="J102" s="9"/>
      <c r="K102" s="306">
        <f t="shared" si="1"/>
        <v>95</v>
      </c>
    </row>
    <row r="103" spans="1:11">
      <c r="A103" s="153"/>
      <c r="B103" s="16"/>
      <c r="C103" s="17" t="s">
        <v>19</v>
      </c>
      <c r="D103" s="49"/>
      <c r="E103" s="49"/>
      <c r="F103" s="685">
        <f>'Booked Dec 2017 Rev'!$T$103</f>
        <v>619341</v>
      </c>
      <c r="G103" s="357">
        <f>HLOOKUP($G$8,RevenueScenarios,K103,FALSE)</f>
        <v>619341</v>
      </c>
      <c r="H103" s="9"/>
      <c r="I103" s="357">
        <f>G103-F103</f>
        <v>0</v>
      </c>
      <c r="J103" s="9"/>
      <c r="K103" s="306">
        <f t="shared" si="1"/>
        <v>96</v>
      </c>
    </row>
    <row r="104" spans="1:11">
      <c r="A104" s="153"/>
      <c r="B104" s="365"/>
      <c r="C104" s="17"/>
      <c r="D104" s="49"/>
      <c r="E104" s="49"/>
      <c r="F104" s="685"/>
      <c r="G104" s="357"/>
      <c r="H104" s="9"/>
      <c r="I104" s="357"/>
      <c r="J104" s="9"/>
      <c r="K104" s="306">
        <f t="shared" si="1"/>
        <v>97</v>
      </c>
    </row>
    <row r="105" spans="1:11">
      <c r="A105" s="153"/>
      <c r="B105" s="16" t="s">
        <v>79</v>
      </c>
      <c r="C105" s="17" t="s">
        <v>15</v>
      </c>
      <c r="D105" s="49"/>
      <c r="E105" s="49"/>
      <c r="F105" s="685">
        <f>'Booked Dec 2017 Rev'!$T$105</f>
        <v>0</v>
      </c>
      <c r="G105" s="357">
        <f>HLOOKUP($G$8,RevenueScenarios,K105,FALSE)</f>
        <v>0</v>
      </c>
      <c r="H105" s="9"/>
      <c r="I105" s="357">
        <f>G105-F105</f>
        <v>0</v>
      </c>
      <c r="J105" s="9"/>
      <c r="K105" s="306">
        <f t="shared" si="1"/>
        <v>98</v>
      </c>
    </row>
    <row r="106" spans="1:11">
      <c r="A106" s="153"/>
      <c r="B106" s="16"/>
      <c r="C106" s="17"/>
      <c r="D106" s="49"/>
      <c r="E106" s="49"/>
      <c r="F106" s="685"/>
      <c r="G106" s="357"/>
      <c r="H106" s="9"/>
      <c r="I106" s="357"/>
      <c r="J106" s="9"/>
      <c r="K106" s="306">
        <f t="shared" si="1"/>
        <v>99</v>
      </c>
    </row>
    <row r="107" spans="1:11">
      <c r="A107" s="153"/>
      <c r="B107" s="16"/>
      <c r="C107" s="17" t="s">
        <v>16</v>
      </c>
      <c r="D107" s="49"/>
      <c r="E107" s="49"/>
      <c r="F107" s="685">
        <f>'Booked Dec 2017 Rev'!$T$107</f>
        <v>0</v>
      </c>
      <c r="G107" s="357">
        <f>HLOOKUP($G$8,RevenueScenarios,K107,FALSE)</f>
        <v>0</v>
      </c>
      <c r="H107" s="9"/>
      <c r="I107" s="357">
        <f>G107-F107</f>
        <v>0</v>
      </c>
      <c r="J107" s="9"/>
      <c r="K107" s="306">
        <f t="shared" si="1"/>
        <v>100</v>
      </c>
    </row>
    <row r="108" spans="1:11">
      <c r="A108" s="153"/>
      <c r="B108" s="16"/>
      <c r="C108" s="17"/>
      <c r="D108" s="49"/>
      <c r="E108" s="49"/>
      <c r="F108" s="685"/>
      <c r="G108" s="357"/>
      <c r="H108" s="9"/>
      <c r="I108" s="357"/>
      <c r="J108" s="9"/>
      <c r="K108" s="306">
        <f t="shared" si="1"/>
        <v>101</v>
      </c>
    </row>
    <row r="109" spans="1:11">
      <c r="A109" s="153"/>
      <c r="B109" s="16"/>
      <c r="C109" s="17" t="s">
        <v>17</v>
      </c>
      <c r="D109" s="49"/>
      <c r="E109" s="49"/>
      <c r="F109" s="685">
        <f>'Booked Dec 2017 Rev'!$T$109</f>
        <v>0</v>
      </c>
      <c r="G109" s="357">
        <f>HLOOKUP($G$8,RevenueScenarios,K109,FALSE)</f>
        <v>0</v>
      </c>
      <c r="H109" s="9"/>
      <c r="I109" s="357">
        <f>G109-F109</f>
        <v>0</v>
      </c>
      <c r="J109" s="9"/>
      <c r="K109" s="306">
        <f t="shared" si="1"/>
        <v>102</v>
      </c>
    </row>
    <row r="110" spans="1:11">
      <c r="A110" s="153"/>
      <c r="B110" s="16"/>
      <c r="C110" s="17" t="s">
        <v>18</v>
      </c>
      <c r="D110" s="49"/>
      <c r="E110" s="49"/>
      <c r="F110" s="689">
        <f>'Booked Dec 2017 Rev'!$T$110</f>
        <v>0</v>
      </c>
      <c r="G110" s="388">
        <f>HLOOKUP($G$8,RevenueScenarios,K110,FALSE)</f>
        <v>0</v>
      </c>
      <c r="H110" s="157"/>
      <c r="I110" s="388">
        <f>G110-F110</f>
        <v>0</v>
      </c>
      <c r="J110" s="9"/>
      <c r="K110" s="306">
        <f t="shared" si="1"/>
        <v>103</v>
      </c>
    </row>
    <row r="111" spans="1:11">
      <c r="A111" s="153"/>
      <c r="B111" s="16"/>
      <c r="C111" s="17"/>
      <c r="D111" s="49"/>
      <c r="E111" s="49"/>
      <c r="F111" s="685"/>
      <c r="G111" s="357"/>
      <c r="H111" s="9"/>
      <c r="I111" s="357"/>
      <c r="J111" s="9"/>
      <c r="K111" s="306">
        <f t="shared" si="1"/>
        <v>104</v>
      </c>
    </row>
    <row r="112" spans="1:11">
      <c r="A112" s="153"/>
      <c r="B112" s="16"/>
      <c r="C112" s="17" t="s">
        <v>19</v>
      </c>
      <c r="D112" s="49"/>
      <c r="E112" s="49"/>
      <c r="F112" s="685">
        <f>'Booked Dec 2017 Rev'!$T$112</f>
        <v>0</v>
      </c>
      <c r="G112" s="357">
        <f>HLOOKUP($G$8,RevenueScenarios,K112,FALSE)</f>
        <v>0</v>
      </c>
      <c r="H112" s="9"/>
      <c r="I112" s="357">
        <f>G112-F112</f>
        <v>0</v>
      </c>
      <c r="J112" s="9"/>
      <c r="K112" s="306">
        <f t="shared" si="1"/>
        <v>105</v>
      </c>
    </row>
    <row r="113" spans="1:11">
      <c r="A113" s="153"/>
      <c r="B113" s="365"/>
      <c r="C113" s="17"/>
      <c r="D113" s="49"/>
      <c r="E113" s="49"/>
      <c r="F113" s="685"/>
      <c r="G113" s="357"/>
      <c r="H113" s="9"/>
      <c r="I113" s="357"/>
      <c r="J113" s="9"/>
      <c r="K113" s="306">
        <f t="shared" si="1"/>
        <v>106</v>
      </c>
    </row>
    <row r="114" spans="1:11">
      <c r="A114" s="153"/>
      <c r="B114" s="365" t="s">
        <v>36</v>
      </c>
      <c r="C114" s="17" t="s">
        <v>15</v>
      </c>
      <c r="D114" s="49"/>
      <c r="E114" s="49"/>
      <c r="F114" s="685">
        <f>'Booked Dec 2017 Rev'!$T$114</f>
        <v>0</v>
      </c>
      <c r="G114" s="357">
        <f>HLOOKUP($G$8,RevenueScenarios,K114,FALSE)</f>
        <v>0</v>
      </c>
      <c r="H114" s="9"/>
      <c r="I114" s="357">
        <f>G114-F114</f>
        <v>0</v>
      </c>
      <c r="J114" s="9"/>
      <c r="K114" s="306">
        <f t="shared" si="1"/>
        <v>107</v>
      </c>
    </row>
    <row r="115" spans="1:11">
      <c r="A115" s="153"/>
      <c r="B115" s="365"/>
      <c r="C115" s="17"/>
      <c r="D115" s="49"/>
      <c r="E115" s="49"/>
      <c r="F115" s="685"/>
      <c r="G115" s="357"/>
      <c r="H115" s="9"/>
      <c r="I115" s="357"/>
      <c r="J115" s="9"/>
      <c r="K115" s="306">
        <f t="shared" si="1"/>
        <v>108</v>
      </c>
    </row>
    <row r="116" spans="1:11">
      <c r="A116" s="153"/>
      <c r="B116" s="365"/>
      <c r="C116" s="17" t="s">
        <v>16</v>
      </c>
      <c r="D116" s="49"/>
      <c r="E116" s="49"/>
      <c r="F116" s="685">
        <f>'Booked Dec 2017 Rev'!$T$116</f>
        <v>0</v>
      </c>
      <c r="G116" s="357">
        <f>HLOOKUP($G$8,RevenueScenarios,K116,FALSE)</f>
        <v>0</v>
      </c>
      <c r="H116" s="9"/>
      <c r="I116" s="357">
        <f>G116-F116</f>
        <v>0</v>
      </c>
      <c r="J116" s="9"/>
      <c r="K116" s="306">
        <f t="shared" si="1"/>
        <v>109</v>
      </c>
    </row>
    <row r="117" spans="1:11">
      <c r="A117" s="153"/>
      <c r="B117" s="365"/>
      <c r="C117" s="17"/>
      <c r="D117" s="49"/>
      <c r="E117" s="49"/>
      <c r="F117" s="685"/>
      <c r="G117" s="357"/>
      <c r="H117" s="9"/>
      <c r="I117" s="357"/>
      <c r="J117" s="9"/>
      <c r="K117" s="306">
        <f t="shared" si="1"/>
        <v>110</v>
      </c>
    </row>
    <row r="118" spans="1:11">
      <c r="A118" s="153"/>
      <c r="B118" s="365"/>
      <c r="C118" s="17" t="s">
        <v>17</v>
      </c>
      <c r="D118" s="49"/>
      <c r="E118" s="49"/>
      <c r="F118" s="685">
        <f>'Booked Dec 2017 Rev'!$T$118</f>
        <v>0</v>
      </c>
      <c r="G118" s="357">
        <f>HLOOKUP($G$8,RevenueScenarios,K118,FALSE)</f>
        <v>0</v>
      </c>
      <c r="H118" s="9"/>
      <c r="I118" s="357">
        <f>G118-F118</f>
        <v>0</v>
      </c>
      <c r="J118" s="9"/>
      <c r="K118" s="306">
        <f t="shared" si="1"/>
        <v>111</v>
      </c>
    </row>
    <row r="119" spans="1:11">
      <c r="A119" s="153"/>
      <c r="B119" s="365"/>
      <c r="C119" s="17" t="s">
        <v>18</v>
      </c>
      <c r="D119" s="49"/>
      <c r="E119" s="49"/>
      <c r="F119" s="689">
        <f>'Booked Dec 2017 Rev'!$T$119</f>
        <v>0</v>
      </c>
      <c r="G119" s="388">
        <f>HLOOKUP($G$8,RevenueScenarios,K119,FALSE)</f>
        <v>0</v>
      </c>
      <c r="H119" s="157"/>
      <c r="I119" s="388">
        <f>G119-F119</f>
        <v>0</v>
      </c>
      <c r="J119" s="9"/>
      <c r="K119" s="306">
        <f t="shared" si="1"/>
        <v>112</v>
      </c>
    </row>
    <row r="120" spans="1:11">
      <c r="A120" s="153"/>
      <c r="B120" s="365"/>
      <c r="C120" s="17"/>
      <c r="D120" s="49"/>
      <c r="E120" s="49"/>
      <c r="F120" s="685"/>
      <c r="G120" s="357"/>
      <c r="H120" s="9"/>
      <c r="I120" s="357"/>
      <c r="J120" s="9"/>
      <c r="K120" s="306">
        <f t="shared" si="1"/>
        <v>113</v>
      </c>
    </row>
    <row r="121" spans="1:11">
      <c r="A121" s="153"/>
      <c r="B121" s="365"/>
      <c r="C121" s="17" t="s">
        <v>19</v>
      </c>
      <c r="D121" s="49"/>
      <c r="E121" s="49"/>
      <c r="F121" s="685">
        <f>'Booked Dec 2017 Rev'!$T$121</f>
        <v>0</v>
      </c>
      <c r="G121" s="357">
        <f>HLOOKUP($G$8,RevenueScenarios,K121,FALSE)</f>
        <v>0</v>
      </c>
      <c r="H121" s="9"/>
      <c r="I121" s="357">
        <f>G121-F121</f>
        <v>0</v>
      </c>
      <c r="J121" s="9"/>
      <c r="K121" s="306">
        <f t="shared" si="1"/>
        <v>114</v>
      </c>
    </row>
    <row r="122" spans="1:11">
      <c r="A122" s="153"/>
      <c r="B122" s="365"/>
      <c r="C122" s="17"/>
      <c r="D122" s="49"/>
      <c r="E122" s="49"/>
      <c r="F122" s="685"/>
      <c r="G122" s="357"/>
      <c r="H122" s="9"/>
      <c r="I122" s="357"/>
      <c r="J122" s="9"/>
      <c r="K122" s="306">
        <f t="shared" si="1"/>
        <v>115</v>
      </c>
    </row>
    <row r="123" spans="1:11">
      <c r="A123" s="153"/>
      <c r="B123" s="365" t="s">
        <v>84</v>
      </c>
      <c r="C123" s="7" t="s">
        <v>15</v>
      </c>
      <c r="D123" s="49"/>
      <c r="E123" s="49"/>
      <c r="F123" s="685">
        <f>'Booked Dec 2017 Rev'!$T$123</f>
        <v>5148837</v>
      </c>
      <c r="G123" s="357">
        <f>HLOOKUP($G$8,RevenueScenarios,K123,FALSE)</f>
        <v>5148837</v>
      </c>
      <c r="H123" s="9"/>
      <c r="I123" s="357">
        <f>G123-F123</f>
        <v>0</v>
      </c>
      <c r="J123" s="9"/>
      <c r="K123" s="306">
        <f t="shared" si="1"/>
        <v>116</v>
      </c>
    </row>
    <row r="124" spans="1:11">
      <c r="A124" s="153"/>
      <c r="B124" s="365"/>
      <c r="C124" s="17"/>
      <c r="D124" s="49"/>
      <c r="E124" s="49"/>
      <c r="F124" s="685"/>
      <c r="G124" s="357"/>
      <c r="H124" s="9"/>
      <c r="I124" s="357"/>
      <c r="J124" s="9"/>
      <c r="K124" s="306">
        <f t="shared" si="1"/>
        <v>117</v>
      </c>
    </row>
    <row r="125" spans="1:11">
      <c r="A125" s="153"/>
      <c r="B125" s="365"/>
      <c r="C125" s="17" t="s">
        <v>16</v>
      </c>
      <c r="D125" s="49"/>
      <c r="E125" s="49"/>
      <c r="F125" s="685">
        <f>'Booked Dec 2017 Rev'!$T$125</f>
        <v>0</v>
      </c>
      <c r="G125" s="357">
        <f>HLOOKUP($G$8,RevenueScenarios,K125,FALSE)</f>
        <v>0</v>
      </c>
      <c r="H125" s="9"/>
      <c r="I125" s="357">
        <f>G125-F125</f>
        <v>0</v>
      </c>
      <c r="J125" s="9"/>
      <c r="K125" s="306">
        <f t="shared" si="1"/>
        <v>118</v>
      </c>
    </row>
    <row r="126" spans="1:11">
      <c r="A126" s="153"/>
      <c r="B126" s="365"/>
      <c r="C126" s="17"/>
      <c r="D126" s="49"/>
      <c r="E126" s="49"/>
      <c r="F126" s="685"/>
      <c r="G126" s="357"/>
      <c r="H126" s="9"/>
      <c r="I126" s="357"/>
      <c r="J126" s="9"/>
      <c r="K126" s="306">
        <f t="shared" si="1"/>
        <v>119</v>
      </c>
    </row>
    <row r="127" spans="1:11">
      <c r="A127" s="153"/>
      <c r="B127" s="365"/>
      <c r="C127" s="17" t="s">
        <v>17</v>
      </c>
      <c r="D127" s="49"/>
      <c r="E127" s="49"/>
      <c r="F127" s="685">
        <f>'Booked Dec 2017 Rev'!$T$127</f>
        <v>0</v>
      </c>
      <c r="G127" s="357">
        <f>HLOOKUP($G$8,RevenueScenarios,K127,FALSE)</f>
        <v>0</v>
      </c>
      <c r="H127" s="9"/>
      <c r="I127" s="357">
        <f>G127-F127</f>
        <v>0</v>
      </c>
      <c r="J127" s="9"/>
      <c r="K127" s="306">
        <f t="shared" si="1"/>
        <v>120</v>
      </c>
    </row>
    <row r="128" spans="1:11">
      <c r="A128" s="153"/>
      <c r="B128" s="365"/>
      <c r="C128" s="17" t="s">
        <v>18</v>
      </c>
      <c r="D128" s="49"/>
      <c r="E128" s="49"/>
      <c r="F128" s="689">
        <f>'Booked Dec 2017 Rev'!$T$128</f>
        <v>5148837</v>
      </c>
      <c r="G128" s="388">
        <f>HLOOKUP($G$8,RevenueScenarios,K128,FALSE)</f>
        <v>5148837</v>
      </c>
      <c r="H128" s="157"/>
      <c r="I128" s="388">
        <f>G128-F128</f>
        <v>0</v>
      </c>
      <c r="J128" s="9"/>
      <c r="K128" s="306">
        <f t="shared" si="1"/>
        <v>121</v>
      </c>
    </row>
    <row r="129" spans="1:11">
      <c r="A129" s="153"/>
      <c r="B129" s="365"/>
      <c r="C129" s="17"/>
      <c r="D129" s="49"/>
      <c r="E129" s="49"/>
      <c r="F129" s="685"/>
      <c r="G129" s="357"/>
      <c r="H129" s="9"/>
      <c r="I129" s="357"/>
      <c r="J129" s="9"/>
      <c r="K129" s="306">
        <f t="shared" si="1"/>
        <v>122</v>
      </c>
    </row>
    <row r="130" spans="1:11">
      <c r="A130" s="153"/>
      <c r="B130" s="365"/>
      <c r="C130" s="17" t="s">
        <v>19</v>
      </c>
      <c r="D130" s="49"/>
      <c r="E130" s="49"/>
      <c r="F130" s="685">
        <f>'Booked Dec 2017 Rev'!$T$130</f>
        <v>31275505</v>
      </c>
      <c r="G130" s="357">
        <f>HLOOKUP($G$8,RevenueScenarios,K130,FALSE)</f>
        <v>31275505</v>
      </c>
      <c r="H130" s="9"/>
      <c r="I130" s="357">
        <f>G130-F130</f>
        <v>0</v>
      </c>
      <c r="J130" s="9"/>
      <c r="K130" s="306">
        <f t="shared" si="1"/>
        <v>123</v>
      </c>
    </row>
    <row r="131" spans="1:11">
      <c r="A131" s="153"/>
      <c r="B131" s="365"/>
      <c r="C131" s="17"/>
      <c r="D131" s="49"/>
      <c r="E131" s="49"/>
      <c r="F131" s="685"/>
      <c r="G131" s="357"/>
      <c r="H131" s="9"/>
      <c r="I131" s="357"/>
      <c r="J131" s="9"/>
      <c r="K131" s="306">
        <f t="shared" si="1"/>
        <v>124</v>
      </c>
    </row>
    <row r="132" spans="1:11">
      <c r="A132" s="153"/>
      <c r="B132" s="16" t="s">
        <v>85</v>
      </c>
      <c r="C132" s="17" t="s">
        <v>15</v>
      </c>
      <c r="D132" s="49"/>
      <c r="E132" s="49"/>
      <c r="F132" s="685">
        <f>'Booked Dec 2017 Rev'!$T$132</f>
        <v>0</v>
      </c>
      <c r="G132" s="357">
        <f>HLOOKUP($G$8,RevenueScenarios,K132,FALSE)</f>
        <v>0</v>
      </c>
      <c r="H132" s="9"/>
      <c r="I132" s="357">
        <f>G132-F132</f>
        <v>0</v>
      </c>
      <c r="J132" s="9"/>
      <c r="K132" s="306">
        <f t="shared" si="1"/>
        <v>125</v>
      </c>
    </row>
    <row r="133" spans="1:11">
      <c r="A133" s="153"/>
      <c r="B133" s="16"/>
      <c r="C133" s="17"/>
      <c r="D133" s="49"/>
      <c r="E133" s="49"/>
      <c r="F133" s="685"/>
      <c r="G133" s="357"/>
      <c r="H133" s="9"/>
      <c r="I133" s="357"/>
      <c r="J133" s="9"/>
      <c r="K133" s="306">
        <f t="shared" si="1"/>
        <v>126</v>
      </c>
    </row>
    <row r="134" spans="1:11">
      <c r="A134" s="153"/>
      <c r="B134" s="16"/>
      <c r="C134" s="17" t="s">
        <v>16</v>
      </c>
      <c r="D134" s="49"/>
      <c r="E134" s="49"/>
      <c r="F134" s="685">
        <f>'Booked Dec 2017 Rev'!$T$134</f>
        <v>0</v>
      </c>
      <c r="G134" s="357">
        <f>HLOOKUP($G$8,RevenueScenarios,K134,FALSE)</f>
        <v>0</v>
      </c>
      <c r="H134" s="9"/>
      <c r="I134" s="357">
        <f>G134-F134</f>
        <v>0</v>
      </c>
      <c r="J134" s="9"/>
      <c r="K134" s="306">
        <f t="shared" si="1"/>
        <v>127</v>
      </c>
    </row>
    <row r="135" spans="1:11">
      <c r="A135" s="153"/>
      <c r="B135" s="16"/>
      <c r="C135" s="17"/>
      <c r="D135" s="49"/>
      <c r="E135" s="49"/>
      <c r="F135" s="685"/>
      <c r="G135" s="357"/>
      <c r="H135" s="9"/>
      <c r="I135" s="357"/>
      <c r="J135" s="9"/>
      <c r="K135" s="306">
        <f t="shared" si="1"/>
        <v>128</v>
      </c>
    </row>
    <row r="136" spans="1:11">
      <c r="A136" s="153"/>
      <c r="B136" s="16"/>
      <c r="C136" s="17" t="s">
        <v>17</v>
      </c>
      <c r="D136" s="49"/>
      <c r="E136" s="49"/>
      <c r="F136" s="685">
        <f>'Booked Dec 2017 Rev'!$T$136</f>
        <v>0</v>
      </c>
      <c r="G136" s="357">
        <f>HLOOKUP($G$8,RevenueScenarios,K136,FALSE)</f>
        <v>0</v>
      </c>
      <c r="H136" s="9"/>
      <c r="I136" s="357">
        <f>G136-F136</f>
        <v>0</v>
      </c>
      <c r="J136" s="9"/>
      <c r="K136" s="306">
        <f t="shared" si="1"/>
        <v>129</v>
      </c>
    </row>
    <row r="137" spans="1:11">
      <c r="A137" s="153"/>
      <c r="B137" s="16"/>
      <c r="C137" s="17" t="s">
        <v>18</v>
      </c>
      <c r="D137" s="49"/>
      <c r="E137" s="49"/>
      <c r="F137" s="689">
        <f>'Booked Dec 2017 Rev'!$T$137</f>
        <v>0</v>
      </c>
      <c r="G137" s="388">
        <f>HLOOKUP($G$8,RevenueScenarios,K137,FALSE)</f>
        <v>0</v>
      </c>
      <c r="H137" s="157"/>
      <c r="I137" s="388">
        <f>G137-F137</f>
        <v>0</v>
      </c>
      <c r="J137" s="9"/>
      <c r="K137" s="306">
        <f t="shared" si="1"/>
        <v>130</v>
      </c>
    </row>
    <row r="138" spans="1:11">
      <c r="A138" s="153"/>
      <c r="B138" s="16"/>
      <c r="C138" s="17"/>
      <c r="D138" s="49"/>
      <c r="E138" s="49"/>
      <c r="F138" s="685"/>
      <c r="G138" s="357"/>
      <c r="H138" s="9"/>
      <c r="I138" s="357"/>
      <c r="J138" s="9"/>
      <c r="K138" s="306">
        <f t="shared" ref="K138:K201" si="2">+K137+1</f>
        <v>131</v>
      </c>
    </row>
    <row r="139" spans="1:11">
      <c r="A139" s="153"/>
      <c r="B139" s="16"/>
      <c r="C139" s="17" t="s">
        <v>19</v>
      </c>
      <c r="D139" s="49"/>
      <c r="E139" s="49"/>
      <c r="F139" s="685">
        <f>'Booked Dec 2017 Rev'!$T$139</f>
        <v>0</v>
      </c>
      <c r="G139" s="357">
        <f>HLOOKUP($G$8,RevenueScenarios,K139,FALSE)</f>
        <v>0</v>
      </c>
      <c r="H139" s="9"/>
      <c r="I139" s="357">
        <f>G139-F139</f>
        <v>0</v>
      </c>
      <c r="J139" s="9"/>
      <c r="K139" s="306">
        <f t="shared" si="2"/>
        <v>132</v>
      </c>
    </row>
    <row r="140" spans="1:11">
      <c r="A140" s="153"/>
      <c r="B140" s="365"/>
      <c r="C140" s="17"/>
      <c r="D140" s="49"/>
      <c r="E140" s="49"/>
      <c r="F140" s="685"/>
      <c r="G140" s="357"/>
      <c r="H140" s="9"/>
      <c r="I140" s="357"/>
      <c r="J140" s="9"/>
      <c r="K140" s="306">
        <f t="shared" si="2"/>
        <v>133</v>
      </c>
    </row>
    <row r="141" spans="1:11">
      <c r="A141" s="153"/>
      <c r="B141" s="365" t="s">
        <v>678</v>
      </c>
      <c r="C141" s="17" t="s">
        <v>15</v>
      </c>
      <c r="D141" s="49"/>
      <c r="E141" s="49"/>
      <c r="F141" s="685">
        <f>'Booked Dec 2017 Rev'!$T$141</f>
        <v>24214</v>
      </c>
      <c r="G141" s="357">
        <f>HLOOKUP($G$8,RevenueScenarios,K141,FALSE)</f>
        <v>24214</v>
      </c>
      <c r="H141" s="9"/>
      <c r="I141" s="357">
        <f>G141-F141</f>
        <v>0</v>
      </c>
      <c r="J141" s="9"/>
      <c r="K141" s="306">
        <f t="shared" si="2"/>
        <v>134</v>
      </c>
    </row>
    <row r="142" spans="1:11">
      <c r="A142" s="153"/>
      <c r="B142" s="365"/>
      <c r="C142" s="17"/>
      <c r="D142" s="49"/>
      <c r="E142" s="49"/>
      <c r="F142" s="685"/>
      <c r="G142" s="357"/>
      <c r="H142" s="9"/>
      <c r="I142" s="357"/>
      <c r="J142" s="9"/>
      <c r="K142" s="306">
        <f t="shared" si="2"/>
        <v>135</v>
      </c>
    </row>
    <row r="143" spans="1:11">
      <c r="A143" s="153"/>
      <c r="B143" s="365"/>
      <c r="C143" s="17" t="s">
        <v>16</v>
      </c>
      <c r="D143" s="49"/>
      <c r="E143" s="49"/>
      <c r="F143" s="685">
        <f>'Booked Dec 2017 Rev'!$T$143</f>
        <v>2090</v>
      </c>
      <c r="G143" s="357">
        <f>HLOOKUP($G$8,RevenueScenarios,K143,FALSE)</f>
        <v>2090</v>
      </c>
      <c r="H143" s="9"/>
      <c r="I143" s="357">
        <f>G143-F143</f>
        <v>0</v>
      </c>
      <c r="J143" s="9"/>
      <c r="K143" s="306">
        <f t="shared" si="2"/>
        <v>136</v>
      </c>
    </row>
    <row r="144" spans="1:11">
      <c r="A144" s="153"/>
      <c r="B144" s="365"/>
      <c r="C144" s="17"/>
      <c r="D144" s="49"/>
      <c r="E144" s="49"/>
      <c r="F144" s="685"/>
      <c r="G144" s="357"/>
      <c r="H144" s="9"/>
      <c r="I144" s="357"/>
      <c r="J144" s="9"/>
      <c r="K144" s="306">
        <f t="shared" si="2"/>
        <v>137</v>
      </c>
    </row>
    <row r="145" spans="1:11">
      <c r="A145" s="153"/>
      <c r="B145" s="365"/>
      <c r="C145" s="17" t="s">
        <v>17</v>
      </c>
      <c r="D145" s="49"/>
      <c r="E145" s="49"/>
      <c r="F145" s="685">
        <f>'Booked Dec 2017 Rev'!$T$145</f>
        <v>0</v>
      </c>
      <c r="G145" s="357">
        <f>HLOOKUP($G$8,RevenueScenarios,K145,FALSE)</f>
        <v>0</v>
      </c>
      <c r="H145" s="9"/>
      <c r="I145" s="357">
        <f>G145-F145</f>
        <v>0</v>
      </c>
      <c r="J145" s="9"/>
      <c r="K145" s="306">
        <f t="shared" si="2"/>
        <v>138</v>
      </c>
    </row>
    <row r="146" spans="1:11">
      <c r="A146" s="153"/>
      <c r="B146" s="365"/>
      <c r="C146" s="17" t="s">
        <v>18</v>
      </c>
      <c r="D146" s="49"/>
      <c r="E146" s="49"/>
      <c r="F146" s="689">
        <f>'Booked Dec 2017 Rev'!$T$146</f>
        <v>26304</v>
      </c>
      <c r="G146" s="388">
        <f>HLOOKUP($G$8,RevenueScenarios,K146,FALSE)</f>
        <v>26304</v>
      </c>
      <c r="H146" s="157"/>
      <c r="I146" s="388">
        <f>G146-F146</f>
        <v>0</v>
      </c>
      <c r="J146" s="9"/>
      <c r="K146" s="306">
        <f t="shared" si="2"/>
        <v>139</v>
      </c>
    </row>
    <row r="147" spans="1:11">
      <c r="A147" s="153"/>
      <c r="B147" s="365"/>
      <c r="C147" s="17"/>
      <c r="D147" s="49"/>
      <c r="E147" s="49"/>
      <c r="F147" s="685"/>
      <c r="G147" s="357"/>
      <c r="H147" s="9"/>
      <c r="I147" s="357"/>
      <c r="J147" s="9"/>
      <c r="K147" s="306">
        <f t="shared" si="2"/>
        <v>140</v>
      </c>
    </row>
    <row r="148" spans="1:11">
      <c r="A148" s="153"/>
      <c r="B148" s="365"/>
      <c r="C148" s="17" t="s">
        <v>19</v>
      </c>
      <c r="D148" s="49"/>
      <c r="E148" s="49"/>
      <c r="F148" s="685">
        <f>'Booked Dec 2017 Rev'!$T$148</f>
        <v>21165</v>
      </c>
      <c r="G148" s="357">
        <f>HLOOKUP($G$8,RevenueScenarios,K148,FALSE)</f>
        <v>21165</v>
      </c>
      <c r="H148" s="9"/>
      <c r="I148" s="357">
        <f>G148-F148</f>
        <v>0</v>
      </c>
      <c r="J148" s="9"/>
      <c r="K148" s="306">
        <f t="shared" si="2"/>
        <v>141</v>
      </c>
    </row>
    <row r="149" spans="1:11">
      <c r="A149" s="153"/>
      <c r="B149" s="365"/>
      <c r="C149" s="17"/>
      <c r="D149" s="49"/>
      <c r="E149" s="49"/>
      <c r="F149" s="685"/>
      <c r="G149" s="357"/>
      <c r="H149" s="9"/>
      <c r="I149" s="357"/>
      <c r="J149" s="9"/>
      <c r="K149" s="306">
        <f t="shared" si="2"/>
        <v>142</v>
      </c>
    </row>
    <row r="150" spans="1:11">
      <c r="A150" s="153"/>
      <c r="B150" s="16" t="s">
        <v>751</v>
      </c>
      <c r="C150" s="17" t="s">
        <v>15</v>
      </c>
      <c r="D150" s="49"/>
      <c r="E150" s="49"/>
      <c r="F150" s="685">
        <f>'Booked Dec 2017 Rev'!$T$150</f>
        <v>0</v>
      </c>
      <c r="G150" s="357">
        <f>HLOOKUP($G$8,RevenueScenarios,K150,FALSE)</f>
        <v>0</v>
      </c>
      <c r="H150" s="9"/>
      <c r="I150" s="357">
        <f>G150-F150</f>
        <v>0</v>
      </c>
      <c r="J150" s="9"/>
      <c r="K150" s="306">
        <f t="shared" si="2"/>
        <v>143</v>
      </c>
    </row>
    <row r="151" spans="1:11">
      <c r="A151" s="153"/>
      <c r="B151" s="16"/>
      <c r="C151" s="17"/>
      <c r="D151" s="49"/>
      <c r="E151" s="49"/>
      <c r="F151" s="685"/>
      <c r="G151" s="357"/>
      <c r="H151" s="9"/>
      <c r="I151" s="357"/>
      <c r="J151" s="9"/>
      <c r="K151" s="306">
        <f t="shared" si="2"/>
        <v>144</v>
      </c>
    </row>
    <row r="152" spans="1:11">
      <c r="A152" s="153"/>
      <c r="B152" s="16"/>
      <c r="C152" s="17" t="s">
        <v>16</v>
      </c>
      <c r="D152" s="49"/>
      <c r="E152" s="49"/>
      <c r="F152" s="685">
        <f>'Booked Dec 2017 Rev'!$T$152</f>
        <v>0</v>
      </c>
      <c r="G152" s="357">
        <f>HLOOKUP($G$8,RevenueScenarios,K152,FALSE)</f>
        <v>0</v>
      </c>
      <c r="H152" s="9"/>
      <c r="I152" s="357">
        <f>G152-F152</f>
        <v>0</v>
      </c>
      <c r="J152" s="9"/>
      <c r="K152" s="306">
        <f t="shared" si="2"/>
        <v>145</v>
      </c>
    </row>
    <row r="153" spans="1:11">
      <c r="A153" s="153"/>
      <c r="B153" s="16"/>
      <c r="C153" s="17"/>
      <c r="D153" s="49"/>
      <c r="E153" s="49"/>
      <c r="F153" s="685"/>
      <c r="G153" s="357"/>
      <c r="H153" s="9"/>
      <c r="I153" s="357"/>
      <c r="J153" s="9"/>
      <c r="K153" s="306">
        <f t="shared" si="2"/>
        <v>146</v>
      </c>
    </row>
    <row r="154" spans="1:11">
      <c r="A154" s="153"/>
      <c r="B154" s="16"/>
      <c r="C154" s="17" t="s">
        <v>17</v>
      </c>
      <c r="D154" s="49"/>
      <c r="E154" s="49"/>
      <c r="F154" s="685">
        <f>'Booked Dec 2017 Rev'!$T$154</f>
        <v>0</v>
      </c>
      <c r="G154" s="357">
        <f>HLOOKUP($G$8,RevenueScenarios,K154,FALSE)</f>
        <v>0</v>
      </c>
      <c r="H154" s="9"/>
      <c r="I154" s="357">
        <f>G154-F154</f>
        <v>0</v>
      </c>
      <c r="J154" s="9"/>
      <c r="K154" s="306">
        <f t="shared" si="2"/>
        <v>147</v>
      </c>
    </row>
    <row r="155" spans="1:11">
      <c r="A155" s="153"/>
      <c r="B155" s="16"/>
      <c r="C155" s="17" t="s">
        <v>18</v>
      </c>
      <c r="D155" s="49"/>
      <c r="E155" s="49"/>
      <c r="F155" s="689">
        <f>'Booked Dec 2017 Rev'!$T$155</f>
        <v>0</v>
      </c>
      <c r="G155" s="388">
        <f>HLOOKUP($G$8,RevenueScenarios,K155,FALSE)</f>
        <v>0</v>
      </c>
      <c r="H155" s="157"/>
      <c r="I155" s="388">
        <f>G155-F155</f>
        <v>0</v>
      </c>
      <c r="J155" s="9"/>
      <c r="K155" s="306">
        <f t="shared" si="2"/>
        <v>148</v>
      </c>
    </row>
    <row r="156" spans="1:11">
      <c r="A156" s="153"/>
      <c r="B156" s="16"/>
      <c r="C156" s="17"/>
      <c r="D156" s="49"/>
      <c r="E156" s="49"/>
      <c r="F156" s="685"/>
      <c r="G156" s="357"/>
      <c r="H156" s="9"/>
      <c r="I156" s="357"/>
      <c r="J156" s="9"/>
      <c r="K156" s="306">
        <f t="shared" si="2"/>
        <v>149</v>
      </c>
    </row>
    <row r="157" spans="1:11">
      <c r="A157" s="153"/>
      <c r="B157" s="16"/>
      <c r="C157" s="17" t="s">
        <v>19</v>
      </c>
      <c r="D157" s="49"/>
      <c r="E157" s="49"/>
      <c r="F157" s="685">
        <f>'Booked Dec 2017 Rev'!$T$157</f>
        <v>0</v>
      </c>
      <c r="G157" s="357">
        <f>HLOOKUP($G$8,RevenueScenarios,K157,FALSE)</f>
        <v>0</v>
      </c>
      <c r="H157" s="9"/>
      <c r="I157" s="357">
        <f>G157-F157</f>
        <v>0</v>
      </c>
      <c r="J157" s="9"/>
      <c r="K157" s="306">
        <f t="shared" si="2"/>
        <v>150</v>
      </c>
    </row>
    <row r="158" spans="1:11">
      <c r="A158" s="153"/>
      <c r="B158" s="365"/>
      <c r="C158" s="17"/>
      <c r="D158" s="49"/>
      <c r="E158" s="49"/>
      <c r="F158" s="685"/>
      <c r="G158" s="357"/>
      <c r="H158" s="9"/>
      <c r="I158" s="357"/>
      <c r="J158" s="9"/>
      <c r="K158" s="306">
        <f t="shared" si="2"/>
        <v>151</v>
      </c>
    </row>
    <row r="159" spans="1:11">
      <c r="A159" s="153"/>
      <c r="B159" s="481" t="s">
        <v>82</v>
      </c>
      <c r="C159" s="17" t="s">
        <v>15</v>
      </c>
      <c r="D159" s="49"/>
      <c r="E159" s="49"/>
      <c r="F159" s="685">
        <f>'Booked Dec 2017 Rev'!$T$159</f>
        <v>20188113</v>
      </c>
      <c r="G159" s="357">
        <f>HLOOKUP($G$8,RevenueScenarios,K159,FALSE)</f>
        <v>20188113</v>
      </c>
      <c r="H159" s="9"/>
      <c r="I159" s="357">
        <f>G159-F159</f>
        <v>0</v>
      </c>
      <c r="J159" s="9"/>
      <c r="K159" s="306">
        <f t="shared" si="2"/>
        <v>152</v>
      </c>
    </row>
    <row r="160" spans="1:11">
      <c r="A160" s="153"/>
      <c r="B160" s="365"/>
      <c r="C160" s="17"/>
      <c r="D160" s="49"/>
      <c r="E160" s="49"/>
      <c r="F160" s="685"/>
      <c r="G160" s="357"/>
      <c r="H160" s="9"/>
      <c r="I160" s="357"/>
      <c r="J160" s="9"/>
      <c r="K160" s="306">
        <f t="shared" si="2"/>
        <v>153</v>
      </c>
    </row>
    <row r="161" spans="1:11">
      <c r="A161" s="153"/>
      <c r="B161" s="365"/>
      <c r="C161" s="17" t="s">
        <v>16</v>
      </c>
      <c r="D161" s="49"/>
      <c r="E161" s="49"/>
      <c r="F161" s="685">
        <f>'Booked Dec 2017 Rev'!$T$161</f>
        <v>568888</v>
      </c>
      <c r="G161" s="357">
        <f>HLOOKUP($G$8,RevenueScenarios,K161,FALSE)</f>
        <v>568888</v>
      </c>
      <c r="H161" s="9"/>
      <c r="I161" s="357">
        <f>G161-F161</f>
        <v>0</v>
      </c>
      <c r="J161" s="9"/>
      <c r="K161" s="306">
        <f t="shared" si="2"/>
        <v>154</v>
      </c>
    </row>
    <row r="162" spans="1:11">
      <c r="A162" s="153"/>
      <c r="B162" s="365"/>
      <c r="C162" s="17"/>
      <c r="D162" s="49"/>
      <c r="E162" s="49"/>
      <c r="F162" s="685"/>
      <c r="G162" s="357"/>
      <c r="H162" s="9"/>
      <c r="I162" s="357"/>
      <c r="J162" s="9"/>
      <c r="K162" s="306">
        <f t="shared" si="2"/>
        <v>155</v>
      </c>
    </row>
    <row r="163" spans="1:11">
      <c r="A163" s="153"/>
      <c r="B163" s="365"/>
      <c r="C163" s="17" t="s">
        <v>17</v>
      </c>
      <c r="D163" s="49"/>
      <c r="E163" s="49"/>
      <c r="F163" s="685">
        <f>'Booked Dec 2017 Rev'!$T$163</f>
        <v>96363</v>
      </c>
      <c r="G163" s="357">
        <f>HLOOKUP($G$8,RevenueScenarios,K163,FALSE)</f>
        <v>96363</v>
      </c>
      <c r="H163" s="9"/>
      <c r="I163" s="357">
        <f>G163-F163</f>
        <v>0</v>
      </c>
      <c r="J163" s="9"/>
      <c r="K163" s="306">
        <f t="shared" si="2"/>
        <v>156</v>
      </c>
    </row>
    <row r="164" spans="1:11">
      <c r="A164" s="153"/>
      <c r="B164" s="365"/>
      <c r="C164" s="17" t="s">
        <v>18</v>
      </c>
      <c r="D164" s="49"/>
      <c r="E164" s="49"/>
      <c r="F164" s="689">
        <f>'Booked Dec 2017 Rev'!$T$164</f>
        <v>20853364</v>
      </c>
      <c r="G164" s="388">
        <f>HLOOKUP($G$8,RevenueScenarios,K164,FALSE)</f>
        <v>20853364</v>
      </c>
      <c r="H164" s="157"/>
      <c r="I164" s="388">
        <f>G164-F164</f>
        <v>0</v>
      </c>
      <c r="J164" s="9"/>
      <c r="K164" s="306">
        <f t="shared" si="2"/>
        <v>157</v>
      </c>
    </row>
    <row r="165" spans="1:11">
      <c r="A165" s="153"/>
      <c r="B165" s="365"/>
      <c r="C165" s="17"/>
      <c r="D165" s="49"/>
      <c r="E165" s="49"/>
      <c r="F165" s="685"/>
      <c r="G165" s="357"/>
      <c r="H165" s="9"/>
      <c r="I165" s="357"/>
      <c r="J165" s="9"/>
      <c r="K165" s="306">
        <f t="shared" si="2"/>
        <v>158</v>
      </c>
    </row>
    <row r="166" spans="1:11">
      <c r="A166" s="153"/>
      <c r="B166" s="365"/>
      <c r="C166" s="17" t="s">
        <v>19</v>
      </c>
      <c r="D166" s="49"/>
      <c r="E166" s="49"/>
      <c r="F166" s="685">
        <f>'Booked Dec 2017 Rev'!$T$166</f>
        <v>44783653</v>
      </c>
      <c r="G166" s="357">
        <f>HLOOKUP($G$8,RevenueScenarios,K166,FALSE)</f>
        <v>44783653</v>
      </c>
      <c r="H166" s="9"/>
      <c r="I166" s="357">
        <f>G166-F166</f>
        <v>0</v>
      </c>
      <c r="J166" s="9"/>
      <c r="K166" s="306">
        <f t="shared" si="2"/>
        <v>159</v>
      </c>
    </row>
    <row r="167" spans="1:11">
      <c r="A167" s="153"/>
      <c r="B167" s="63"/>
      <c r="C167" s="17"/>
      <c r="D167" s="49"/>
      <c r="E167" s="49"/>
      <c r="F167" s="685"/>
      <c r="G167" s="357"/>
      <c r="H167" s="9"/>
      <c r="I167" s="357"/>
      <c r="J167" s="9"/>
      <c r="K167" s="306">
        <f t="shared" si="2"/>
        <v>160</v>
      </c>
    </row>
    <row r="168" spans="1:11">
      <c r="A168" s="153"/>
      <c r="B168" s="365" t="s">
        <v>83</v>
      </c>
      <c r="C168" s="17" t="s">
        <v>15</v>
      </c>
      <c r="D168" s="49"/>
      <c r="E168" s="49"/>
      <c r="F168" s="685">
        <f>'Booked Dec 2017 Rev'!$T$168</f>
        <v>0</v>
      </c>
      <c r="G168" s="357">
        <f>HLOOKUP($G$8,RevenueScenarios,K168,FALSE)</f>
        <v>0</v>
      </c>
      <c r="H168" s="9"/>
      <c r="I168" s="357">
        <f>G168-F168</f>
        <v>0</v>
      </c>
      <c r="J168" s="9"/>
      <c r="K168" s="306">
        <f t="shared" si="2"/>
        <v>161</v>
      </c>
    </row>
    <row r="169" spans="1:11">
      <c r="A169" s="153"/>
      <c r="B169" s="365"/>
      <c r="C169" s="17"/>
      <c r="D169" s="49"/>
      <c r="E169" s="49"/>
      <c r="F169" s="685"/>
      <c r="G169" s="357"/>
      <c r="H169" s="9"/>
      <c r="I169" s="357"/>
      <c r="J169" s="9"/>
      <c r="K169" s="306">
        <f t="shared" si="2"/>
        <v>162</v>
      </c>
    </row>
    <row r="170" spans="1:11">
      <c r="A170" s="153"/>
      <c r="B170" s="365"/>
      <c r="C170" s="17" t="s">
        <v>16</v>
      </c>
      <c r="D170" s="49"/>
      <c r="E170" s="49"/>
      <c r="F170" s="685">
        <f>'Booked Dec 2017 Rev'!$T$170</f>
        <v>0</v>
      </c>
      <c r="G170" s="357">
        <f>HLOOKUP($G$8,RevenueScenarios,K170,FALSE)</f>
        <v>0</v>
      </c>
      <c r="H170" s="9"/>
      <c r="I170" s="357">
        <f>G170-F170</f>
        <v>0</v>
      </c>
      <c r="J170" s="9"/>
      <c r="K170" s="306">
        <f t="shared" si="2"/>
        <v>163</v>
      </c>
    </row>
    <row r="171" spans="1:11">
      <c r="A171" s="153"/>
      <c r="B171" s="365"/>
      <c r="C171" s="17"/>
      <c r="D171" s="49"/>
      <c r="E171" s="49"/>
      <c r="F171" s="685"/>
      <c r="G171" s="357"/>
      <c r="H171" s="9"/>
      <c r="I171" s="357"/>
      <c r="J171" s="9"/>
      <c r="K171" s="306">
        <f t="shared" si="2"/>
        <v>164</v>
      </c>
    </row>
    <row r="172" spans="1:11">
      <c r="A172" s="153"/>
      <c r="B172" s="365"/>
      <c r="C172" s="17" t="s">
        <v>17</v>
      </c>
      <c r="D172" s="49"/>
      <c r="E172" s="49"/>
      <c r="F172" s="685">
        <f>'Booked Dec 2017 Rev'!$T$172</f>
        <v>0</v>
      </c>
      <c r="G172" s="357">
        <f>HLOOKUP($G$8,RevenueScenarios,K172,FALSE)</f>
        <v>0</v>
      </c>
      <c r="H172" s="9"/>
      <c r="I172" s="357">
        <f>G172-F172</f>
        <v>0</v>
      </c>
      <c r="J172" s="9"/>
      <c r="K172" s="306">
        <f t="shared" si="2"/>
        <v>165</v>
      </c>
    </row>
    <row r="173" spans="1:11">
      <c r="A173" s="153"/>
      <c r="B173" s="365"/>
      <c r="C173" s="17" t="s">
        <v>18</v>
      </c>
      <c r="D173" s="49"/>
      <c r="E173" s="49"/>
      <c r="F173" s="689">
        <f>'Booked Dec 2017 Rev'!$T$173</f>
        <v>0</v>
      </c>
      <c r="G173" s="388">
        <f>HLOOKUP($G$8,RevenueScenarios,K173,FALSE)</f>
        <v>0</v>
      </c>
      <c r="H173" s="157"/>
      <c r="I173" s="388">
        <f>G173-F173</f>
        <v>0</v>
      </c>
      <c r="J173" s="9"/>
      <c r="K173" s="306">
        <f t="shared" si="2"/>
        <v>166</v>
      </c>
    </row>
    <row r="174" spans="1:11">
      <c r="A174" s="153"/>
      <c r="B174" s="365"/>
      <c r="C174" s="17"/>
      <c r="D174" s="49"/>
      <c r="E174" s="49"/>
      <c r="F174" s="685"/>
      <c r="G174" s="357"/>
      <c r="H174" s="9"/>
      <c r="I174" s="357"/>
      <c r="J174" s="9"/>
      <c r="K174" s="306">
        <f t="shared" si="2"/>
        <v>167</v>
      </c>
    </row>
    <row r="175" spans="1:11">
      <c r="A175" s="153"/>
      <c r="B175" s="365"/>
      <c r="C175" s="17" t="s">
        <v>19</v>
      </c>
      <c r="D175" s="49"/>
      <c r="E175" s="49"/>
      <c r="F175" s="685">
        <f>'Booked Dec 2017 Rev'!$T$175</f>
        <v>0</v>
      </c>
      <c r="G175" s="357">
        <f>HLOOKUP($G$8,RevenueScenarios,K175,FALSE)</f>
        <v>0</v>
      </c>
      <c r="H175" s="9"/>
      <c r="I175" s="357">
        <f>G175-F175</f>
        <v>0</v>
      </c>
      <c r="J175" s="9"/>
      <c r="K175" s="306">
        <f t="shared" si="2"/>
        <v>168</v>
      </c>
    </row>
    <row r="176" spans="1:11">
      <c r="A176" s="153"/>
      <c r="B176" s="365"/>
      <c r="C176" s="17"/>
      <c r="D176" s="49"/>
      <c r="E176" s="49"/>
      <c r="F176" s="685"/>
      <c r="G176" s="357"/>
      <c r="H176" s="9"/>
      <c r="I176" s="357"/>
      <c r="J176" s="9"/>
      <c r="K176" s="306">
        <f t="shared" si="2"/>
        <v>169</v>
      </c>
    </row>
    <row r="177" spans="1:11">
      <c r="A177" s="153"/>
      <c r="B177" s="365" t="s">
        <v>118</v>
      </c>
      <c r="C177" s="17" t="s">
        <v>15</v>
      </c>
      <c r="D177" s="49"/>
      <c r="E177" s="49"/>
      <c r="F177" s="685">
        <f>'Booked Dec 2017 Rev'!$T$177</f>
        <v>0</v>
      </c>
      <c r="G177" s="357">
        <f>HLOOKUP($G$8,RevenueScenarios,K177,FALSE)</f>
        <v>0</v>
      </c>
      <c r="H177" s="9"/>
      <c r="I177" s="357">
        <f>G177-F177</f>
        <v>0</v>
      </c>
      <c r="J177" s="9"/>
      <c r="K177" s="306">
        <f t="shared" si="2"/>
        <v>170</v>
      </c>
    </row>
    <row r="178" spans="1:11">
      <c r="A178" s="153"/>
      <c r="B178" s="365"/>
      <c r="C178" s="17"/>
      <c r="D178" s="49"/>
      <c r="E178" s="49"/>
      <c r="F178" s="685"/>
      <c r="G178" s="357"/>
      <c r="H178" s="9"/>
      <c r="I178" s="357"/>
      <c r="J178" s="9"/>
      <c r="K178" s="306">
        <f t="shared" si="2"/>
        <v>171</v>
      </c>
    </row>
    <row r="179" spans="1:11">
      <c r="A179" s="153"/>
      <c r="B179" s="365"/>
      <c r="C179" s="17" t="s">
        <v>16</v>
      </c>
      <c r="D179" s="49"/>
      <c r="E179" s="49"/>
      <c r="F179" s="685">
        <f>'Booked Dec 2017 Rev'!$T$179</f>
        <v>0</v>
      </c>
      <c r="G179" s="357">
        <f>HLOOKUP($G$8,RevenueScenarios,K179,FALSE)</f>
        <v>0</v>
      </c>
      <c r="H179" s="9"/>
      <c r="I179" s="357">
        <f>G179-F179</f>
        <v>0</v>
      </c>
      <c r="J179" s="9"/>
      <c r="K179" s="306">
        <f t="shared" si="2"/>
        <v>172</v>
      </c>
    </row>
    <row r="180" spans="1:11">
      <c r="A180" s="153"/>
      <c r="B180" s="365"/>
      <c r="C180" s="17"/>
      <c r="D180" s="49"/>
      <c r="E180" s="49"/>
      <c r="F180" s="685"/>
      <c r="G180" s="357"/>
      <c r="H180" s="9"/>
      <c r="I180" s="357"/>
      <c r="J180" s="9"/>
      <c r="K180" s="306">
        <f t="shared" si="2"/>
        <v>173</v>
      </c>
    </row>
    <row r="181" spans="1:11">
      <c r="A181" s="153"/>
      <c r="B181" s="365"/>
      <c r="C181" s="17" t="s">
        <v>17</v>
      </c>
      <c r="D181" s="49"/>
      <c r="E181" s="49"/>
      <c r="F181" s="685">
        <f>'Booked Dec 2017 Rev'!$T$181</f>
        <v>0</v>
      </c>
      <c r="G181" s="357">
        <f>HLOOKUP($G$8,RevenueScenarios,K181,FALSE)</f>
        <v>0</v>
      </c>
      <c r="H181" s="9"/>
      <c r="I181" s="357">
        <f>G181-F181</f>
        <v>0</v>
      </c>
      <c r="J181" s="9"/>
      <c r="K181" s="306">
        <f t="shared" si="2"/>
        <v>174</v>
      </c>
    </row>
    <row r="182" spans="1:11">
      <c r="A182" s="153"/>
      <c r="B182" s="365"/>
      <c r="C182" s="17" t="s">
        <v>18</v>
      </c>
      <c r="D182" s="49"/>
      <c r="E182" s="49"/>
      <c r="F182" s="689">
        <f>'Booked Dec 2017 Rev'!$T$182</f>
        <v>0</v>
      </c>
      <c r="G182" s="388">
        <f>HLOOKUP($G$8,RevenueScenarios,K182,FALSE)</f>
        <v>0</v>
      </c>
      <c r="H182" s="157"/>
      <c r="I182" s="388">
        <f>G182-F182</f>
        <v>0</v>
      </c>
      <c r="J182" s="9"/>
      <c r="K182" s="306">
        <f t="shared" si="2"/>
        <v>175</v>
      </c>
    </row>
    <row r="183" spans="1:11">
      <c r="A183" s="153"/>
      <c r="B183" s="365"/>
      <c r="C183" s="17"/>
      <c r="D183" s="49"/>
      <c r="E183" s="49"/>
      <c r="F183" s="685"/>
      <c r="G183" s="357"/>
      <c r="H183" s="9"/>
      <c r="I183" s="357"/>
      <c r="J183" s="9"/>
      <c r="K183" s="306">
        <f t="shared" si="2"/>
        <v>176</v>
      </c>
    </row>
    <row r="184" spans="1:11">
      <c r="A184" s="153"/>
      <c r="B184" s="365"/>
      <c r="C184" s="17" t="s">
        <v>19</v>
      </c>
      <c r="D184" s="49"/>
      <c r="E184" s="49"/>
      <c r="F184" s="685">
        <f>'Booked Dec 2017 Rev'!$T$184</f>
        <v>0</v>
      </c>
      <c r="G184" s="357">
        <f>HLOOKUP($G$8,RevenueScenarios,K184,FALSE)</f>
        <v>0</v>
      </c>
      <c r="H184" s="9"/>
      <c r="I184" s="357">
        <f>G184-F184</f>
        <v>0</v>
      </c>
      <c r="J184" s="9"/>
      <c r="K184" s="306">
        <f t="shared" si="2"/>
        <v>177</v>
      </c>
    </row>
    <row r="185" spans="1:11">
      <c r="A185" s="153"/>
      <c r="B185" s="365"/>
      <c r="C185" s="17"/>
      <c r="D185" s="49"/>
      <c r="E185" s="49"/>
      <c r="F185" s="685"/>
      <c r="G185" s="357"/>
      <c r="H185" s="9"/>
      <c r="I185" s="357"/>
      <c r="J185" s="9"/>
      <c r="K185" s="306">
        <f t="shared" si="2"/>
        <v>178</v>
      </c>
    </row>
    <row r="186" spans="1:11">
      <c r="A186" s="153"/>
      <c r="B186" s="365" t="s">
        <v>76</v>
      </c>
      <c r="C186" s="17" t="s">
        <v>15</v>
      </c>
      <c r="D186" s="49"/>
      <c r="E186" s="49"/>
      <c r="F186" s="685">
        <f>'Booked Dec 2017 Rev'!$T$186</f>
        <v>0</v>
      </c>
      <c r="G186" s="357">
        <f>HLOOKUP($G$8,RevenueScenarios,K186,FALSE)</f>
        <v>0</v>
      </c>
      <c r="H186" s="9"/>
      <c r="I186" s="357">
        <f>G186-F186</f>
        <v>0</v>
      </c>
      <c r="J186" s="9"/>
      <c r="K186" s="306">
        <f t="shared" si="2"/>
        <v>179</v>
      </c>
    </row>
    <row r="187" spans="1:11">
      <c r="A187" s="153"/>
      <c r="B187" s="365"/>
      <c r="C187" s="17"/>
      <c r="D187" s="49"/>
      <c r="E187" s="49"/>
      <c r="F187" s="685"/>
      <c r="G187" s="357"/>
      <c r="H187" s="9"/>
      <c r="I187" s="357"/>
      <c r="J187" s="9"/>
      <c r="K187" s="306">
        <f t="shared" si="2"/>
        <v>180</v>
      </c>
    </row>
    <row r="188" spans="1:11">
      <c r="A188" s="153"/>
      <c r="B188" s="365"/>
      <c r="C188" s="17" t="s">
        <v>16</v>
      </c>
      <c r="D188" s="49"/>
      <c r="E188" s="49"/>
      <c r="F188" s="685">
        <f>'Booked Dec 2017 Rev'!$T$188</f>
        <v>0</v>
      </c>
      <c r="G188" s="357">
        <f>HLOOKUP($G$8,RevenueScenarios,K188,FALSE)</f>
        <v>0</v>
      </c>
      <c r="H188" s="9"/>
      <c r="I188" s="357">
        <f>G188-F188</f>
        <v>0</v>
      </c>
      <c r="J188" s="9"/>
      <c r="K188" s="306">
        <f t="shared" si="2"/>
        <v>181</v>
      </c>
    </row>
    <row r="189" spans="1:11">
      <c r="A189" s="153"/>
      <c r="B189" s="365"/>
      <c r="C189" s="17"/>
      <c r="D189" s="49"/>
      <c r="E189" s="49"/>
      <c r="F189" s="685"/>
      <c r="G189" s="357"/>
      <c r="H189" s="9"/>
      <c r="I189" s="357"/>
      <c r="J189" s="9"/>
      <c r="K189" s="306">
        <f t="shared" si="2"/>
        <v>182</v>
      </c>
    </row>
    <row r="190" spans="1:11">
      <c r="A190" s="153"/>
      <c r="B190" s="365"/>
      <c r="C190" s="17" t="s">
        <v>17</v>
      </c>
      <c r="D190" s="49"/>
      <c r="E190" s="49"/>
      <c r="F190" s="685">
        <f>'Booked Dec 2017 Rev'!$T$190</f>
        <v>0</v>
      </c>
      <c r="G190" s="357">
        <f>HLOOKUP($G$8,RevenueScenarios,K190,FALSE)</f>
        <v>0</v>
      </c>
      <c r="H190" s="9"/>
      <c r="I190" s="357">
        <f>G190-F190</f>
        <v>0</v>
      </c>
      <c r="J190" s="9"/>
      <c r="K190" s="306">
        <f t="shared" si="2"/>
        <v>183</v>
      </c>
    </row>
    <row r="191" spans="1:11">
      <c r="A191" s="153"/>
      <c r="B191" s="365"/>
      <c r="C191" s="17" t="s">
        <v>18</v>
      </c>
      <c r="D191" s="49"/>
      <c r="E191" s="49"/>
      <c r="F191" s="689">
        <f>'Booked Dec 2017 Rev'!$T$191</f>
        <v>0</v>
      </c>
      <c r="G191" s="388">
        <f>HLOOKUP($G$8,RevenueScenarios,K191,FALSE)</f>
        <v>0</v>
      </c>
      <c r="H191" s="157"/>
      <c r="I191" s="388">
        <f>G191-F191</f>
        <v>0</v>
      </c>
      <c r="J191" s="9"/>
      <c r="K191" s="306">
        <f t="shared" si="2"/>
        <v>184</v>
      </c>
    </row>
    <row r="192" spans="1:11">
      <c r="A192" s="153"/>
      <c r="B192" s="365"/>
      <c r="C192" s="17"/>
      <c r="D192" s="49"/>
      <c r="E192" s="49"/>
      <c r="F192" s="685"/>
      <c r="G192" s="357"/>
      <c r="H192" s="9"/>
      <c r="I192" s="357"/>
      <c r="J192" s="9"/>
      <c r="K192" s="306">
        <f t="shared" si="2"/>
        <v>185</v>
      </c>
    </row>
    <row r="193" spans="1:11">
      <c r="A193" s="153"/>
      <c r="B193" s="365"/>
      <c r="C193" s="17" t="s">
        <v>19</v>
      </c>
      <c r="D193" s="49"/>
      <c r="E193" s="49"/>
      <c r="F193" s="685">
        <f>'Booked Dec 2017 Rev'!$T$193</f>
        <v>0</v>
      </c>
      <c r="G193" s="357">
        <f>HLOOKUP($G$8,RevenueScenarios,K193,FALSE)</f>
        <v>0</v>
      </c>
      <c r="H193" s="9"/>
      <c r="I193" s="357">
        <f>G193-F193</f>
        <v>0</v>
      </c>
      <c r="J193" s="9"/>
      <c r="K193" s="306">
        <f t="shared" si="2"/>
        <v>186</v>
      </c>
    </row>
    <row r="194" spans="1:11">
      <c r="A194" s="153"/>
      <c r="B194" s="365"/>
      <c r="C194" s="17"/>
      <c r="D194" s="49"/>
      <c r="E194" s="49"/>
      <c r="F194" s="685"/>
      <c r="G194" s="357"/>
      <c r="H194" s="9"/>
      <c r="I194" s="357"/>
      <c r="J194" s="9"/>
      <c r="K194" s="306">
        <f t="shared" si="2"/>
        <v>187</v>
      </c>
    </row>
    <row r="195" spans="1:11" s="880" customFormat="1">
      <c r="A195" s="873"/>
      <c r="B195" s="874" t="s">
        <v>676</v>
      </c>
      <c r="C195" s="875" t="s">
        <v>15</v>
      </c>
      <c r="D195" s="876"/>
      <c r="E195" s="876"/>
      <c r="F195" s="685">
        <f>'Booked Dec 2017 Rev'!$T$195</f>
        <v>-1433989</v>
      </c>
      <c r="G195" s="877">
        <f>HLOOKUP($G$8,RevenueScenarios,K195,FALSE)</f>
        <v>-1433989</v>
      </c>
      <c r="H195" s="878"/>
      <c r="I195" s="877">
        <f>G195-F195</f>
        <v>0</v>
      </c>
      <c r="J195" s="878"/>
      <c r="K195" s="879">
        <f t="shared" si="2"/>
        <v>188</v>
      </c>
    </row>
    <row r="196" spans="1:11" s="880" customFormat="1">
      <c r="A196" s="873"/>
      <c r="B196" s="874" t="s">
        <v>107</v>
      </c>
      <c r="C196" s="875" t="s">
        <v>15</v>
      </c>
      <c r="D196" s="876"/>
      <c r="E196" s="876"/>
      <c r="F196" s="685">
        <f>'Booked Dec 2017 Rev'!$T$196</f>
        <v>20806992</v>
      </c>
      <c r="G196" s="877">
        <f>HLOOKUP($G$8,RevenueScenarios,K196,FALSE)</f>
        <v>20806992</v>
      </c>
      <c r="H196" s="878"/>
      <c r="I196" s="877">
        <f>G196-F196</f>
        <v>0</v>
      </c>
      <c r="J196" s="878"/>
      <c r="K196" s="879">
        <f t="shared" si="2"/>
        <v>189</v>
      </c>
    </row>
    <row r="197" spans="1:11" ht="13.5" thickBot="1">
      <c r="A197" s="153"/>
      <c r="B197" s="63"/>
      <c r="C197" s="17"/>
      <c r="D197" s="49"/>
      <c r="E197" s="49"/>
      <c r="F197" s="690"/>
      <c r="G197" s="579"/>
      <c r="H197" s="26"/>
      <c r="I197" s="579"/>
      <c r="J197" s="9"/>
      <c r="K197" s="306">
        <f t="shared" si="2"/>
        <v>190</v>
      </c>
    </row>
    <row r="198" spans="1:11" ht="13.5" thickTop="1">
      <c r="A198" s="153"/>
      <c r="B198" s="2"/>
      <c r="C198" s="17"/>
      <c r="D198" s="49"/>
      <c r="E198" s="49"/>
      <c r="F198" s="685"/>
      <c r="G198" s="357"/>
      <c r="H198" s="9"/>
      <c r="I198" s="357"/>
      <c r="J198" s="9"/>
      <c r="K198" s="306">
        <f t="shared" si="2"/>
        <v>191</v>
      </c>
    </row>
    <row r="199" spans="1:11">
      <c r="A199" s="153"/>
      <c r="B199" s="63"/>
      <c r="C199" s="17" t="s">
        <v>15</v>
      </c>
      <c r="D199" s="49"/>
      <c r="E199" s="49"/>
      <c r="F199" s="691">
        <f>+F15+F24+F33+F42+F51+F60+F69+F78+F87+F96+F105+F114+F123+F132+F141+F150+F159+F168+F177+F186+F195+F196</f>
        <v>366442366.41683167</v>
      </c>
      <c r="G199" s="358">
        <f>HLOOKUP($G$8,RevenueScenarios,K199,FALSE)</f>
        <v>366442366.41683167</v>
      </c>
      <c r="H199" s="10"/>
      <c r="I199" s="358">
        <f>G199-F199</f>
        <v>0</v>
      </c>
      <c r="J199" s="10"/>
      <c r="K199" s="306">
        <f t="shared" si="2"/>
        <v>192</v>
      </c>
    </row>
    <row r="200" spans="1:11">
      <c r="A200" s="153"/>
      <c r="B200" s="63"/>
      <c r="C200" s="17" t="s">
        <v>16</v>
      </c>
      <c r="D200" s="49"/>
      <c r="E200" s="49"/>
      <c r="F200" s="691">
        <f>+F17+F26+F35+F44+F53+F61+F62+F71+F80+F89+F98+F107+F116+F125+F134+F143+F152+F161+F170+F179+F188</f>
        <v>104646826.0980107</v>
      </c>
      <c r="G200" s="358">
        <f>HLOOKUP($G$8,RevenueScenarios,K200,FALSE)</f>
        <v>104646826.0980107</v>
      </c>
      <c r="H200" s="10"/>
      <c r="I200" s="358">
        <f>G200-F200</f>
        <v>0</v>
      </c>
      <c r="J200" s="10"/>
      <c r="K200" s="306">
        <f t="shared" si="2"/>
        <v>193</v>
      </c>
    </row>
    <row r="201" spans="1:11">
      <c r="A201" s="153"/>
      <c r="B201" s="63"/>
      <c r="C201" s="17" t="s">
        <v>17</v>
      </c>
      <c r="D201" s="49"/>
      <c r="E201" s="49"/>
      <c r="F201" s="692">
        <f>+F19+F28+F37+F46+F55+F63+F64+F73+F82+F91+F100+F109+F118+F127+F136+F145+F154+F163+F172+F181+F190</f>
        <v>412645469.44515759</v>
      </c>
      <c r="G201" s="358">
        <f>HLOOKUP($G$8,RevenueScenarios,K201,FALSE)</f>
        <v>412645469.44515759</v>
      </c>
      <c r="H201" s="10"/>
      <c r="I201" s="358">
        <f>G201-F201</f>
        <v>0</v>
      </c>
      <c r="J201" s="10"/>
      <c r="K201" s="306">
        <f t="shared" si="2"/>
        <v>194</v>
      </c>
    </row>
    <row r="202" spans="1:11">
      <c r="A202" s="153"/>
      <c r="B202" s="353"/>
      <c r="C202" s="15" t="s">
        <v>441</v>
      </c>
      <c r="D202" s="49"/>
      <c r="E202" s="49"/>
      <c r="F202" s="693">
        <f>+F20+F38+F47+F56+F65+F74+F83+F92+F101+F110+F119+F128+F137+F146+F155+F164+F173+F182+F191+F29+F195+F196</f>
        <v>75231385.210000008</v>
      </c>
      <c r="G202" s="389">
        <f>HLOOKUP($G$8,RevenueScenarios,K202,FALSE)</f>
        <v>75231385.210000008</v>
      </c>
      <c r="H202" s="191"/>
      <c r="I202" s="389">
        <f>G202-F202</f>
        <v>0</v>
      </c>
      <c r="J202" s="10"/>
      <c r="K202" s="306">
        <f t="shared" ref="K202:K265" si="3">+K201+1</f>
        <v>195</v>
      </c>
    </row>
    <row r="203" spans="1:11">
      <c r="A203" s="153"/>
      <c r="B203" s="353"/>
      <c r="C203" s="15"/>
      <c r="D203" s="49"/>
      <c r="E203" s="49"/>
      <c r="F203" s="694"/>
      <c r="G203" s="390"/>
      <c r="H203" s="11"/>
      <c r="I203" s="390"/>
      <c r="J203" s="11"/>
      <c r="K203" s="306">
        <f t="shared" si="3"/>
        <v>196</v>
      </c>
    </row>
    <row r="204" spans="1:11">
      <c r="A204" s="153"/>
      <c r="B204" s="353"/>
      <c r="C204" s="27" t="s">
        <v>57</v>
      </c>
      <c r="D204" s="49"/>
      <c r="E204" s="49"/>
      <c r="F204" s="691">
        <f>F22+F31+F40+F49+F58+F67+F76+F85+F94+F103+F112+F121+F193</f>
        <v>102028079.61</v>
      </c>
      <c r="G204" s="358">
        <f>HLOOKUP($G$8,RevenueScenarios,K204,FALSE)</f>
        <v>102028079.61</v>
      </c>
      <c r="H204" s="10"/>
      <c r="I204" s="358">
        <f>G204-F204</f>
        <v>0</v>
      </c>
      <c r="J204" s="10"/>
      <c r="K204" s="306">
        <f t="shared" si="3"/>
        <v>197</v>
      </c>
    </row>
    <row r="205" spans="1:11">
      <c r="A205" s="153"/>
      <c r="B205" s="50"/>
      <c r="C205" s="17" t="s">
        <v>58</v>
      </c>
      <c r="D205" s="49"/>
      <c r="E205" s="49"/>
      <c r="F205" s="691">
        <f>F130+F139+F148+F157+F166+F175+F184+F31</f>
        <v>76080323</v>
      </c>
      <c r="G205" s="358">
        <f>HLOOKUP($G$8,RevenueScenarios,K205,FALSE)</f>
        <v>76080323</v>
      </c>
      <c r="H205" s="10"/>
      <c r="I205" s="358">
        <f>G205-F205</f>
        <v>0</v>
      </c>
      <c r="J205" s="10"/>
      <c r="K205" s="306">
        <f t="shared" si="3"/>
        <v>198</v>
      </c>
    </row>
    <row r="206" spans="1:11">
      <c r="A206" s="153"/>
      <c r="B206" s="353"/>
      <c r="C206" s="15" t="s">
        <v>442</v>
      </c>
      <c r="D206" s="49"/>
      <c r="E206" s="49"/>
      <c r="F206" s="693">
        <f>+F22+F40+F49+F58+F67+F76+F85+F94+F103+F112+F121+F130+F139+F148+F157+F166+F175+F184+F193+F31</f>
        <v>178108402.61000001</v>
      </c>
      <c r="G206" s="389">
        <f>HLOOKUP($G$8,RevenueScenarios,K206,FALSE)</f>
        <v>178108402.61000001</v>
      </c>
      <c r="H206" s="191"/>
      <c r="I206" s="389">
        <f>G206-F206</f>
        <v>0</v>
      </c>
      <c r="J206" s="10"/>
      <c r="K206" s="306">
        <f t="shared" si="3"/>
        <v>199</v>
      </c>
    </row>
    <row r="207" spans="1:11">
      <c r="A207" s="153"/>
      <c r="B207" s="353"/>
      <c r="C207" s="17"/>
      <c r="D207" s="49"/>
      <c r="E207" s="49"/>
      <c r="F207" s="685"/>
      <c r="G207" s="357"/>
      <c r="H207" s="9"/>
      <c r="I207" s="357"/>
      <c r="J207" s="9"/>
      <c r="K207" s="306">
        <f t="shared" si="3"/>
        <v>200</v>
      </c>
    </row>
    <row r="208" spans="1:11">
      <c r="A208" s="130" t="s">
        <v>443</v>
      </c>
      <c r="B208" s="353"/>
      <c r="C208" s="17"/>
      <c r="D208" s="49"/>
      <c r="E208" s="49"/>
      <c r="F208" s="685"/>
      <c r="G208" s="357"/>
      <c r="H208" s="9"/>
      <c r="I208" s="357"/>
      <c r="J208" s="9"/>
      <c r="K208" s="306">
        <f t="shared" si="3"/>
        <v>201</v>
      </c>
    </row>
    <row r="209" spans="1:11">
      <c r="A209" s="153"/>
      <c r="B209" s="353" t="s">
        <v>14</v>
      </c>
      <c r="C209" s="17" t="s">
        <v>15</v>
      </c>
      <c r="D209" s="49"/>
      <c r="E209" s="49"/>
      <c r="F209" s="685">
        <f>'Booked Dec 2017 Rev'!$T$209</f>
        <v>0</v>
      </c>
      <c r="G209" s="357">
        <f>HLOOKUP($G$8,RevenueScenarios,K209,FALSE)</f>
        <v>0</v>
      </c>
      <c r="H209" s="9"/>
      <c r="I209" s="357">
        <f>G209-F209</f>
        <v>0</v>
      </c>
      <c r="J209" s="9"/>
      <c r="K209" s="306">
        <f t="shared" si="3"/>
        <v>202</v>
      </c>
    </row>
    <row r="210" spans="1:11">
      <c r="A210" s="153"/>
      <c r="B210" s="353"/>
      <c r="C210" s="17"/>
      <c r="D210" s="49"/>
      <c r="E210" s="49"/>
      <c r="F210" s="685"/>
      <c r="G210" s="357"/>
      <c r="H210" s="9"/>
      <c r="I210" s="357"/>
      <c r="J210" s="9"/>
      <c r="K210" s="306">
        <f t="shared" si="3"/>
        <v>203</v>
      </c>
    </row>
    <row r="211" spans="1:11">
      <c r="A211" s="153"/>
      <c r="B211" s="353"/>
      <c r="C211" s="17" t="s">
        <v>16</v>
      </c>
      <c r="D211" s="49"/>
      <c r="E211" s="49"/>
      <c r="F211" s="685">
        <f>'Booked Dec 2017 Rev'!$T$211</f>
        <v>0</v>
      </c>
      <c r="G211" s="357">
        <f>HLOOKUP($G$8,RevenueScenarios,K211,FALSE)</f>
        <v>0</v>
      </c>
      <c r="H211" s="9"/>
      <c r="I211" s="357">
        <f>G211-F211</f>
        <v>0</v>
      </c>
      <c r="J211" s="9"/>
      <c r="K211" s="306">
        <f t="shared" si="3"/>
        <v>204</v>
      </c>
    </row>
    <row r="212" spans="1:11">
      <c r="A212" s="153"/>
      <c r="B212" s="353"/>
      <c r="C212" s="17"/>
      <c r="D212" s="49"/>
      <c r="E212" s="49"/>
      <c r="F212" s="685"/>
      <c r="G212" s="357"/>
      <c r="H212" s="9"/>
      <c r="I212" s="357"/>
      <c r="J212" s="9"/>
      <c r="K212" s="306">
        <f t="shared" si="3"/>
        <v>205</v>
      </c>
    </row>
    <row r="213" spans="1:11">
      <c r="A213" s="153"/>
      <c r="B213" s="353"/>
      <c r="C213" s="17" t="s">
        <v>17</v>
      </c>
      <c r="D213" s="49"/>
      <c r="E213" s="49"/>
      <c r="F213" s="685">
        <f>'Booked Dec 2017 Rev'!$T$213</f>
        <v>0</v>
      </c>
      <c r="G213" s="357">
        <f>HLOOKUP($G$8,RevenueScenarios,K213,FALSE)</f>
        <v>0</v>
      </c>
      <c r="H213" s="9"/>
      <c r="I213" s="357">
        <f>G213-F213</f>
        <v>0</v>
      </c>
      <c r="J213" s="9"/>
      <c r="K213" s="306">
        <f t="shared" si="3"/>
        <v>206</v>
      </c>
    </row>
    <row r="214" spans="1:11">
      <c r="A214" s="153"/>
      <c r="B214" s="353"/>
      <c r="C214" s="17" t="s">
        <v>18</v>
      </c>
      <c r="D214" s="49"/>
      <c r="E214" s="49"/>
      <c r="F214" s="689">
        <f>'Booked Dec 2017 Rev'!$T$214</f>
        <v>0</v>
      </c>
      <c r="G214" s="388">
        <f>HLOOKUP($G$8,RevenueScenarios,K214,FALSE)</f>
        <v>0</v>
      </c>
      <c r="H214" s="157"/>
      <c r="I214" s="388">
        <f>G214-F214</f>
        <v>0</v>
      </c>
      <c r="J214" s="9"/>
      <c r="K214" s="306">
        <f t="shared" si="3"/>
        <v>207</v>
      </c>
    </row>
    <row r="215" spans="1:11">
      <c r="A215" s="153"/>
      <c r="B215" s="353"/>
      <c r="C215" s="17"/>
      <c r="D215" s="49"/>
      <c r="E215" s="49"/>
      <c r="F215" s="685"/>
      <c r="G215" s="357"/>
      <c r="H215" s="9"/>
      <c r="I215" s="357"/>
      <c r="J215" s="9"/>
      <c r="K215" s="306">
        <f t="shared" si="3"/>
        <v>208</v>
      </c>
    </row>
    <row r="216" spans="1:11">
      <c r="A216" s="153"/>
      <c r="B216" s="353"/>
      <c r="C216" s="17" t="s">
        <v>19</v>
      </c>
      <c r="D216" s="49"/>
      <c r="E216" s="49"/>
      <c r="F216" s="685">
        <f>'Booked Dec 2017 Rev'!$T$216</f>
        <v>0</v>
      </c>
      <c r="G216" s="357">
        <f>HLOOKUP($G$8,RevenueScenarios,K216,FALSE)</f>
        <v>0</v>
      </c>
      <c r="H216" s="9"/>
      <c r="I216" s="357">
        <f>G216-F216</f>
        <v>0</v>
      </c>
      <c r="J216" s="9"/>
      <c r="K216" s="306">
        <f t="shared" si="3"/>
        <v>209</v>
      </c>
    </row>
    <row r="217" spans="1:11">
      <c r="A217" s="153"/>
      <c r="B217" s="353"/>
      <c r="C217" s="17"/>
      <c r="D217" s="49"/>
      <c r="E217" s="49"/>
      <c r="F217" s="685"/>
      <c r="G217" s="357"/>
      <c r="H217" s="9"/>
      <c r="I217" s="357"/>
      <c r="J217" s="9"/>
      <c r="K217" s="306">
        <f t="shared" si="3"/>
        <v>210</v>
      </c>
    </row>
    <row r="218" spans="1:11">
      <c r="A218" s="153"/>
      <c r="B218" s="353" t="s">
        <v>80</v>
      </c>
      <c r="C218" s="17" t="s">
        <v>15</v>
      </c>
      <c r="D218" s="49"/>
      <c r="E218" s="49"/>
      <c r="F218" s="685">
        <f>'Booked Dec 2017 Rev'!$T$218</f>
        <v>0</v>
      </c>
      <c r="G218" s="357">
        <f>HLOOKUP($G$8,RevenueScenarios,K218,FALSE)</f>
        <v>0</v>
      </c>
      <c r="H218" s="9"/>
      <c r="I218" s="357">
        <f>G218-F218</f>
        <v>0</v>
      </c>
      <c r="J218" s="9"/>
      <c r="K218" s="306">
        <f t="shared" si="3"/>
        <v>211</v>
      </c>
    </row>
    <row r="219" spans="1:11">
      <c r="A219" s="153"/>
      <c r="B219" s="353"/>
      <c r="C219" s="17"/>
      <c r="D219" s="49"/>
      <c r="E219" s="49"/>
      <c r="F219" s="685"/>
      <c r="G219" s="357"/>
      <c r="H219" s="9"/>
      <c r="I219" s="357"/>
      <c r="J219" s="9"/>
      <c r="K219" s="306">
        <f t="shared" si="3"/>
        <v>212</v>
      </c>
    </row>
    <row r="220" spans="1:11">
      <c r="A220" s="153"/>
      <c r="B220" s="353"/>
      <c r="C220" s="17" t="s">
        <v>16</v>
      </c>
      <c r="D220" s="49"/>
      <c r="E220" s="49"/>
      <c r="F220" s="685">
        <f>'Booked Dec 2017 Rev'!$T$220</f>
        <v>0</v>
      </c>
      <c r="G220" s="357">
        <f>HLOOKUP($G$8,RevenueScenarios,K220,FALSE)</f>
        <v>0</v>
      </c>
      <c r="H220" s="9"/>
      <c r="I220" s="357">
        <f>G220-F220</f>
        <v>0</v>
      </c>
      <c r="J220" s="9"/>
      <c r="K220" s="306">
        <f t="shared" si="3"/>
        <v>213</v>
      </c>
    </row>
    <row r="221" spans="1:11">
      <c r="A221" s="153"/>
      <c r="B221" s="353"/>
      <c r="C221" s="17"/>
      <c r="D221" s="49"/>
      <c r="E221" s="49"/>
      <c r="F221" s="685"/>
      <c r="G221" s="357"/>
      <c r="H221" s="9"/>
      <c r="I221" s="357"/>
      <c r="J221" s="9"/>
      <c r="K221" s="306">
        <f t="shared" si="3"/>
        <v>214</v>
      </c>
    </row>
    <row r="222" spans="1:11">
      <c r="A222" s="153"/>
      <c r="B222" s="353"/>
      <c r="C222" s="17" t="s">
        <v>17</v>
      </c>
      <c r="D222" s="49"/>
      <c r="E222" s="49"/>
      <c r="F222" s="685">
        <f>'Booked Dec 2017 Rev'!$T$222</f>
        <v>0</v>
      </c>
      <c r="G222" s="357">
        <f>HLOOKUP($G$8,RevenueScenarios,K222,FALSE)</f>
        <v>0</v>
      </c>
      <c r="H222" s="9"/>
      <c r="I222" s="357">
        <f>G222-F222</f>
        <v>0</v>
      </c>
      <c r="J222" s="9"/>
      <c r="K222" s="306">
        <f t="shared" si="3"/>
        <v>215</v>
      </c>
    </row>
    <row r="223" spans="1:11">
      <c r="A223" s="153"/>
      <c r="B223" s="353"/>
      <c r="C223" s="17" t="s">
        <v>18</v>
      </c>
      <c r="D223" s="49"/>
      <c r="E223" s="49"/>
      <c r="F223" s="689">
        <f>'Booked Dec 2017 Rev'!$T$223</f>
        <v>0</v>
      </c>
      <c r="G223" s="388">
        <f>HLOOKUP($G$8,RevenueScenarios,K223,FALSE)</f>
        <v>0</v>
      </c>
      <c r="H223" s="157"/>
      <c r="I223" s="388">
        <f>G223-F223</f>
        <v>0</v>
      </c>
      <c r="J223" s="9"/>
      <c r="K223" s="306">
        <f t="shared" si="3"/>
        <v>216</v>
      </c>
    </row>
    <row r="224" spans="1:11">
      <c r="A224" s="153"/>
      <c r="B224" s="353"/>
      <c r="C224" s="17"/>
      <c r="D224" s="49"/>
      <c r="E224" s="49"/>
      <c r="F224" s="685"/>
      <c r="G224" s="357"/>
      <c r="H224" s="9"/>
      <c r="I224" s="357"/>
      <c r="J224" s="9"/>
      <c r="K224" s="306">
        <f t="shared" si="3"/>
        <v>217</v>
      </c>
    </row>
    <row r="225" spans="1:11">
      <c r="A225" s="153"/>
      <c r="B225" s="353"/>
      <c r="C225" s="17" t="s">
        <v>19</v>
      </c>
      <c r="D225" s="49"/>
      <c r="E225" s="49"/>
      <c r="F225" s="685">
        <f>'Booked Dec 2017 Rev'!$T$225</f>
        <v>0</v>
      </c>
      <c r="G225" s="357">
        <f>HLOOKUP($G$8,RevenueScenarios,K225,FALSE)</f>
        <v>0</v>
      </c>
      <c r="H225" s="9"/>
      <c r="I225" s="357">
        <f>G225-F225</f>
        <v>0</v>
      </c>
      <c r="J225" s="9"/>
      <c r="K225" s="306">
        <f t="shared" si="3"/>
        <v>218</v>
      </c>
    </row>
    <row r="226" spans="1:11" ht="13.5" thickBot="1">
      <c r="A226" s="153"/>
      <c r="B226" s="353"/>
      <c r="C226" s="17"/>
      <c r="D226" s="49"/>
      <c r="E226" s="49"/>
      <c r="F226" s="690"/>
      <c r="G226" s="579"/>
      <c r="H226" s="26"/>
      <c r="I226" s="579"/>
      <c r="J226" s="9"/>
      <c r="K226" s="306">
        <f t="shared" si="3"/>
        <v>219</v>
      </c>
    </row>
    <row r="227" spans="1:11" ht="13.5" thickTop="1">
      <c r="A227" s="153"/>
      <c r="B227" s="50" t="s">
        <v>533</v>
      </c>
      <c r="C227" s="17"/>
      <c r="D227" s="49"/>
      <c r="E227" s="49"/>
      <c r="F227" s="685">
        <f>'Booked Dec 2017 Rev'!$T$227</f>
        <v>0</v>
      </c>
      <c r="G227" s="357"/>
      <c r="H227" s="9"/>
      <c r="I227" s="357">
        <f>G227-F227</f>
        <v>0</v>
      </c>
      <c r="J227" s="9"/>
      <c r="K227" s="306">
        <f t="shared" si="3"/>
        <v>220</v>
      </c>
    </row>
    <row r="228" spans="1:11">
      <c r="A228" s="153"/>
      <c r="B228" s="50"/>
      <c r="C228" s="17" t="s">
        <v>15</v>
      </c>
      <c r="D228" s="49"/>
      <c r="E228" s="49"/>
      <c r="F228" s="685">
        <f>'Booked Dec 2017 Rev'!$T$228</f>
        <v>0</v>
      </c>
      <c r="G228" s="357">
        <f>HLOOKUP($G$8,RevenueScenarios,K228,FALSE)</f>
        <v>0</v>
      </c>
      <c r="H228" s="9"/>
      <c r="I228" s="357">
        <f>G228-F228</f>
        <v>0</v>
      </c>
      <c r="J228" s="9"/>
      <c r="K228" s="306">
        <f t="shared" si="3"/>
        <v>221</v>
      </c>
    </row>
    <row r="229" spans="1:11">
      <c r="A229" s="153"/>
      <c r="B229" s="50"/>
      <c r="C229" s="17" t="s">
        <v>16</v>
      </c>
      <c r="D229" s="49"/>
      <c r="E229" s="49"/>
      <c r="F229" s="685">
        <f>'Booked Dec 2017 Rev'!$T$229</f>
        <v>0</v>
      </c>
      <c r="G229" s="357">
        <f>HLOOKUP($G$8,RevenueScenarios,K229,FALSE)</f>
        <v>0</v>
      </c>
      <c r="H229" s="9"/>
      <c r="I229" s="357">
        <f>G229-F229</f>
        <v>0</v>
      </c>
      <c r="J229" s="9"/>
      <c r="K229" s="306">
        <f t="shared" si="3"/>
        <v>222</v>
      </c>
    </row>
    <row r="230" spans="1:11">
      <c r="A230" s="153"/>
      <c r="B230" s="50"/>
      <c r="C230" s="17" t="s">
        <v>17</v>
      </c>
      <c r="D230" s="49"/>
      <c r="E230" s="49"/>
      <c r="F230" s="685">
        <f>'Booked Dec 2017 Rev'!$T$230</f>
        <v>0</v>
      </c>
      <c r="G230" s="357">
        <f>HLOOKUP($G$8,RevenueScenarios,K230,FALSE)</f>
        <v>0</v>
      </c>
      <c r="H230" s="9"/>
      <c r="I230" s="357">
        <f>G230-F230</f>
        <v>0</v>
      </c>
      <c r="J230" s="9"/>
      <c r="K230" s="306">
        <f t="shared" si="3"/>
        <v>223</v>
      </c>
    </row>
    <row r="231" spans="1:11">
      <c r="A231" s="153"/>
      <c r="B231" s="353"/>
      <c r="C231" s="15" t="s">
        <v>444</v>
      </c>
      <c r="D231" s="49"/>
      <c r="E231" s="49"/>
      <c r="F231" s="689">
        <f>'Booked Dec 2017 Rev'!$T$231</f>
        <v>0</v>
      </c>
      <c r="G231" s="388">
        <f>HLOOKUP($G$8,RevenueScenarios,K231,FALSE)</f>
        <v>0</v>
      </c>
      <c r="H231" s="157"/>
      <c r="I231" s="388">
        <f>G231-F231</f>
        <v>0</v>
      </c>
      <c r="J231" s="9"/>
      <c r="K231" s="306">
        <f t="shared" si="3"/>
        <v>224</v>
      </c>
    </row>
    <row r="232" spans="1:11">
      <c r="A232" s="153"/>
      <c r="B232" s="353"/>
      <c r="C232" s="15"/>
      <c r="D232" s="49"/>
      <c r="E232" s="49"/>
      <c r="F232" s="685"/>
      <c r="G232" s="357"/>
      <c r="H232" s="9"/>
      <c r="I232" s="357"/>
      <c r="J232" s="9"/>
      <c r="K232" s="306">
        <f t="shared" si="3"/>
        <v>225</v>
      </c>
    </row>
    <row r="233" spans="1:11">
      <c r="A233" s="153"/>
      <c r="B233" s="353"/>
      <c r="C233" s="27" t="s">
        <v>57</v>
      </c>
      <c r="D233" s="49"/>
      <c r="E233" s="49"/>
      <c r="F233" s="685">
        <f>'Booked Dec 2017 Rev'!$T$233</f>
        <v>0</v>
      </c>
      <c r="G233" s="357">
        <f>HLOOKUP($G$8,RevenueScenarios,K233,FALSE)</f>
        <v>0</v>
      </c>
      <c r="H233" s="9"/>
      <c r="I233" s="357">
        <f>G233-F233</f>
        <v>0</v>
      </c>
      <c r="J233" s="9"/>
      <c r="K233" s="306">
        <f t="shared" si="3"/>
        <v>226</v>
      </c>
    </row>
    <row r="234" spans="1:11">
      <c r="A234" s="153"/>
      <c r="B234" s="50"/>
      <c r="C234" s="17" t="s">
        <v>58</v>
      </c>
      <c r="D234" s="49"/>
      <c r="E234" s="49"/>
      <c r="F234" s="685">
        <f>'Booked Dec 2017 Rev'!$T$234</f>
        <v>0</v>
      </c>
      <c r="G234" s="357">
        <f>HLOOKUP($G$8,RevenueScenarios,K234,FALSE)</f>
        <v>0</v>
      </c>
      <c r="H234" s="9"/>
      <c r="I234" s="357">
        <f>G234-F234</f>
        <v>0</v>
      </c>
      <c r="J234" s="9"/>
      <c r="K234" s="306">
        <f t="shared" si="3"/>
        <v>227</v>
      </c>
    </row>
    <row r="235" spans="1:11">
      <c r="A235" s="153"/>
      <c r="B235" s="353"/>
      <c r="C235" s="15" t="s">
        <v>445</v>
      </c>
      <c r="D235" s="49"/>
      <c r="E235" s="49"/>
      <c r="F235" s="689">
        <f>'Booked Dec 2017 Rev'!$T$235</f>
        <v>0</v>
      </c>
      <c r="G235" s="388">
        <f>HLOOKUP($G$8,RevenueScenarios,K235,FALSE)</f>
        <v>0</v>
      </c>
      <c r="H235" s="157"/>
      <c r="I235" s="388">
        <f>G235-F235</f>
        <v>0</v>
      </c>
      <c r="J235" s="9"/>
      <c r="K235" s="306">
        <f t="shared" si="3"/>
        <v>228</v>
      </c>
    </row>
    <row r="236" spans="1:11">
      <c r="A236" s="153"/>
      <c r="B236" s="353"/>
      <c r="C236" s="17"/>
      <c r="D236" s="49"/>
      <c r="E236" s="49"/>
      <c r="F236" s="685"/>
      <c r="G236" s="357"/>
      <c r="H236" s="9"/>
      <c r="I236" s="357"/>
      <c r="J236" s="9"/>
      <c r="K236" s="306">
        <f t="shared" si="3"/>
        <v>229</v>
      </c>
    </row>
    <row r="237" spans="1:11">
      <c r="A237" s="130"/>
      <c r="B237" s="353"/>
      <c r="C237" s="17"/>
      <c r="D237" s="49"/>
      <c r="E237" s="49"/>
      <c r="F237" s="685"/>
      <c r="G237" s="357"/>
      <c r="H237" s="9"/>
      <c r="I237" s="357"/>
      <c r="J237" s="9"/>
      <c r="K237" s="306">
        <f t="shared" si="3"/>
        <v>230</v>
      </c>
    </row>
    <row r="238" spans="1:11">
      <c r="A238" s="153"/>
      <c r="B238" s="353" t="s">
        <v>14</v>
      </c>
      <c r="C238" s="17" t="s">
        <v>15</v>
      </c>
      <c r="D238" s="49"/>
      <c r="E238" s="49"/>
      <c r="F238" s="685">
        <f>'Booked Dec 2017 Rev'!$T$238</f>
        <v>12201566</v>
      </c>
      <c r="G238" s="357">
        <f>HLOOKUP($G$8,RevenueScenarios,K238,FALSE)</f>
        <v>12201566</v>
      </c>
      <c r="H238" s="9"/>
      <c r="I238" s="357">
        <f>G238-F238</f>
        <v>0</v>
      </c>
      <c r="J238" s="9"/>
      <c r="K238" s="306">
        <f t="shared" si="3"/>
        <v>231</v>
      </c>
    </row>
    <row r="239" spans="1:11">
      <c r="A239" s="153"/>
      <c r="B239" s="353"/>
      <c r="C239" s="17"/>
      <c r="D239" s="49"/>
      <c r="E239" s="49"/>
      <c r="F239" s="685"/>
      <c r="G239" s="357"/>
      <c r="H239" s="9"/>
      <c r="I239" s="357"/>
      <c r="J239" s="9"/>
      <c r="K239" s="306">
        <f t="shared" si="3"/>
        <v>232</v>
      </c>
    </row>
    <row r="240" spans="1:11">
      <c r="A240" s="153"/>
      <c r="B240" s="353"/>
      <c r="C240" s="17"/>
      <c r="D240" s="49"/>
      <c r="E240" s="49"/>
      <c r="F240" s="685"/>
      <c r="G240" s="357"/>
      <c r="H240" s="9"/>
      <c r="I240" s="357"/>
      <c r="J240" s="9"/>
      <c r="K240" s="306">
        <f t="shared" si="3"/>
        <v>233</v>
      </c>
    </row>
    <row r="241" spans="1:11">
      <c r="A241" s="153"/>
      <c r="B241" s="353"/>
      <c r="C241" s="17"/>
      <c r="D241" s="49"/>
      <c r="E241" s="49"/>
      <c r="F241" s="685"/>
      <c r="G241" s="357"/>
      <c r="H241" s="9"/>
      <c r="I241" s="357"/>
      <c r="J241" s="9"/>
      <c r="K241" s="306">
        <f t="shared" si="3"/>
        <v>234</v>
      </c>
    </row>
    <row r="242" spans="1:11">
      <c r="A242" s="153"/>
      <c r="B242" s="353"/>
      <c r="C242" s="17" t="s">
        <v>17</v>
      </c>
      <c r="D242" s="49"/>
      <c r="E242" s="49"/>
      <c r="F242" s="685">
        <f>'Booked Dec 2017 Rev'!$T$242</f>
        <v>17122316</v>
      </c>
      <c r="G242" s="357">
        <f>HLOOKUP($G$8,RevenueScenarios,K242,FALSE)</f>
        <v>17122316</v>
      </c>
      <c r="H242" s="9"/>
      <c r="I242" s="357">
        <f>G242-F242</f>
        <v>0</v>
      </c>
      <c r="J242" s="9"/>
      <c r="K242" s="306">
        <f t="shared" si="3"/>
        <v>235</v>
      </c>
    </row>
    <row r="243" spans="1:11">
      <c r="A243" s="153"/>
      <c r="B243" s="353"/>
      <c r="C243" s="17" t="s">
        <v>18</v>
      </c>
      <c r="D243" s="49"/>
      <c r="E243" s="49"/>
      <c r="F243" s="689">
        <f>'Booked Dec 2017 Rev'!$T$243</f>
        <v>29323882</v>
      </c>
      <c r="G243" s="388">
        <f>HLOOKUP($G$8,RevenueScenarios,K243,FALSE)</f>
        <v>29323882</v>
      </c>
      <c r="H243" s="157"/>
      <c r="I243" s="388">
        <f>G243-F243</f>
        <v>0</v>
      </c>
      <c r="J243" s="9"/>
      <c r="K243" s="306">
        <f t="shared" si="3"/>
        <v>236</v>
      </c>
    </row>
    <row r="244" spans="1:11">
      <c r="A244" s="153"/>
      <c r="B244" s="353"/>
      <c r="C244" s="17"/>
      <c r="D244" s="49"/>
      <c r="E244" s="49"/>
      <c r="F244" s="685"/>
      <c r="G244" s="357"/>
      <c r="H244" s="9"/>
      <c r="I244" s="357"/>
      <c r="J244" s="9"/>
      <c r="K244" s="306">
        <f t="shared" si="3"/>
        <v>237</v>
      </c>
    </row>
    <row r="245" spans="1:11">
      <c r="A245" s="153"/>
      <c r="B245" s="353"/>
      <c r="C245" s="17" t="s">
        <v>19</v>
      </c>
      <c r="D245" s="49"/>
      <c r="E245" s="49"/>
      <c r="F245" s="685">
        <f>'Booked Dec 2017 Rev'!$T$245</f>
        <v>3395528</v>
      </c>
      <c r="G245" s="357">
        <f>HLOOKUP($G$8,RevenueScenarios,K245,FALSE)</f>
        <v>3395528</v>
      </c>
      <c r="H245" s="9"/>
      <c r="I245" s="357">
        <f>G245-F245</f>
        <v>0</v>
      </c>
      <c r="J245" s="9"/>
      <c r="K245" s="306">
        <f t="shared" si="3"/>
        <v>238</v>
      </c>
    </row>
    <row r="246" spans="1:11">
      <c r="A246" s="153"/>
      <c r="B246" s="353"/>
      <c r="C246" s="17"/>
      <c r="D246" s="49"/>
      <c r="E246" s="49"/>
      <c r="F246" s="685"/>
      <c r="G246" s="357"/>
      <c r="H246" s="9"/>
      <c r="I246" s="357"/>
      <c r="J246" s="9"/>
      <c r="K246" s="306">
        <f t="shared" si="3"/>
        <v>239</v>
      </c>
    </row>
    <row r="247" spans="1:11">
      <c r="A247" s="153"/>
      <c r="B247" s="353" t="s">
        <v>797</v>
      </c>
      <c r="C247" s="17" t="s">
        <v>15</v>
      </c>
      <c r="D247" s="49"/>
      <c r="E247" s="49"/>
      <c r="F247" s="685">
        <f>'Booked Dec 2017 Rev'!$T$247</f>
        <v>167408</v>
      </c>
      <c r="G247" s="357">
        <f>HLOOKUP($G$8,RevenueScenarios,K247,FALSE)</f>
        <v>167408</v>
      </c>
      <c r="H247" s="9"/>
      <c r="I247" s="357">
        <f>G247-F247</f>
        <v>0</v>
      </c>
      <c r="J247" s="9"/>
      <c r="K247" s="306">
        <f t="shared" si="3"/>
        <v>240</v>
      </c>
    </row>
    <row r="248" spans="1:11">
      <c r="A248" s="153"/>
      <c r="B248" s="353"/>
      <c r="C248" s="17"/>
      <c r="D248" s="49"/>
      <c r="E248" s="49"/>
      <c r="F248" s="685"/>
      <c r="G248" s="357"/>
      <c r="H248" s="9"/>
      <c r="I248" s="357"/>
      <c r="J248" s="9"/>
      <c r="K248" s="306">
        <f t="shared" si="3"/>
        <v>241</v>
      </c>
    </row>
    <row r="249" spans="1:11">
      <c r="A249" s="153"/>
      <c r="B249" s="353"/>
      <c r="C249" s="17"/>
      <c r="D249" s="49"/>
      <c r="E249" s="49"/>
      <c r="F249" s="685"/>
      <c r="G249" s="357"/>
      <c r="H249" s="9"/>
      <c r="I249" s="357"/>
      <c r="J249" s="9"/>
      <c r="K249" s="306">
        <f t="shared" si="3"/>
        <v>242</v>
      </c>
    </row>
    <row r="250" spans="1:11">
      <c r="A250" s="153"/>
      <c r="B250" s="353"/>
      <c r="C250" s="17"/>
      <c r="D250" s="49"/>
      <c r="E250" s="49"/>
      <c r="F250" s="685"/>
      <c r="G250" s="357"/>
      <c r="H250" s="9"/>
      <c r="I250" s="357"/>
      <c r="J250" s="9"/>
      <c r="K250" s="306">
        <f t="shared" si="3"/>
        <v>243</v>
      </c>
    </row>
    <row r="251" spans="1:11">
      <c r="A251" s="153"/>
      <c r="B251" s="353"/>
      <c r="C251" s="17" t="s">
        <v>17</v>
      </c>
      <c r="D251" s="49"/>
      <c r="E251" s="49"/>
      <c r="F251" s="685">
        <f>'Booked Dec 2017 Rev'!$T$251</f>
        <v>859949</v>
      </c>
      <c r="G251" s="357">
        <f>HLOOKUP($G$8,RevenueScenarios,K251,FALSE)</f>
        <v>859949</v>
      </c>
      <c r="H251" s="9"/>
      <c r="I251" s="357">
        <f>G251-F251</f>
        <v>0</v>
      </c>
      <c r="J251" s="9"/>
      <c r="K251" s="306">
        <f t="shared" si="3"/>
        <v>244</v>
      </c>
    </row>
    <row r="252" spans="1:11">
      <c r="A252" s="153"/>
      <c r="B252" s="353"/>
      <c r="C252" s="17" t="s">
        <v>18</v>
      </c>
      <c r="D252" s="49"/>
      <c r="E252" s="49"/>
      <c r="F252" s="689">
        <f>'Booked Dec 2017 Rev'!$T$252</f>
        <v>1027357</v>
      </c>
      <c r="G252" s="388">
        <f>HLOOKUP($G$8,RevenueScenarios,K252,FALSE)</f>
        <v>1027357</v>
      </c>
      <c r="H252" s="157"/>
      <c r="I252" s="388">
        <f>G252-F252</f>
        <v>0</v>
      </c>
      <c r="J252" s="9"/>
      <c r="K252" s="306">
        <f t="shared" si="3"/>
        <v>245</v>
      </c>
    </row>
    <row r="253" spans="1:11">
      <c r="A253" s="153"/>
      <c r="B253" s="353"/>
      <c r="C253" s="17"/>
      <c r="D253" s="49"/>
      <c r="E253" s="49"/>
      <c r="F253" s="685"/>
      <c r="G253" s="357"/>
      <c r="H253" s="9"/>
      <c r="I253" s="357"/>
      <c r="J253" s="9"/>
      <c r="K253" s="306">
        <f t="shared" si="3"/>
        <v>246</v>
      </c>
    </row>
    <row r="254" spans="1:11">
      <c r="A254" s="153"/>
      <c r="B254" s="353"/>
      <c r="C254" s="17" t="s">
        <v>19</v>
      </c>
      <c r="D254" s="49"/>
      <c r="E254" s="49"/>
      <c r="F254" s="685">
        <f>'Booked Dec 2017 Rev'!$T$254</f>
        <v>171161</v>
      </c>
      <c r="G254" s="357">
        <f>HLOOKUP($G$8,RevenueScenarios,K254,FALSE)</f>
        <v>171161</v>
      </c>
      <c r="H254" s="9"/>
      <c r="I254" s="357">
        <f>G254-F254</f>
        <v>0</v>
      </c>
      <c r="J254" s="9"/>
      <c r="K254" s="306">
        <f t="shared" si="3"/>
        <v>247</v>
      </c>
    </row>
    <row r="255" spans="1:11">
      <c r="A255" s="153"/>
      <c r="B255" s="353"/>
      <c r="C255" s="17"/>
      <c r="D255" s="49"/>
      <c r="E255" s="49"/>
      <c r="F255" s="685"/>
      <c r="G255" s="357"/>
      <c r="H255" s="9"/>
      <c r="I255" s="357"/>
      <c r="J255" s="9"/>
      <c r="K255" s="306">
        <f t="shared" si="3"/>
        <v>248</v>
      </c>
    </row>
    <row r="256" spans="1:11">
      <c r="A256" s="153"/>
      <c r="B256" s="353" t="s">
        <v>798</v>
      </c>
      <c r="C256" s="17" t="s">
        <v>15</v>
      </c>
      <c r="D256" s="49"/>
      <c r="E256" s="49"/>
      <c r="F256" s="685">
        <f>'Booked Dec 2017 Rev'!$T$256</f>
        <v>61516.109690600002</v>
      </c>
      <c r="G256" s="357">
        <f>HLOOKUP($G$8,RevenueScenarios,K256,FALSE)</f>
        <v>61516.109690600002</v>
      </c>
      <c r="H256" s="9"/>
      <c r="I256" s="357">
        <f>G256-F256</f>
        <v>0</v>
      </c>
      <c r="J256" s="9"/>
      <c r="K256" s="306">
        <f t="shared" si="3"/>
        <v>249</v>
      </c>
    </row>
    <row r="257" spans="1:11">
      <c r="A257" s="153"/>
      <c r="B257" s="353"/>
      <c r="C257" s="17"/>
      <c r="D257" s="49"/>
      <c r="E257" s="49"/>
      <c r="F257" s="685"/>
      <c r="G257" s="357"/>
      <c r="H257" s="9"/>
      <c r="I257" s="357"/>
      <c r="J257" s="9"/>
      <c r="K257" s="306">
        <f t="shared" si="3"/>
        <v>250</v>
      </c>
    </row>
    <row r="258" spans="1:11">
      <c r="A258" s="153"/>
      <c r="B258" s="353"/>
      <c r="C258" s="17"/>
      <c r="D258" s="49"/>
      <c r="E258" s="49"/>
      <c r="F258" s="685"/>
      <c r="G258" s="357"/>
      <c r="H258" s="9"/>
      <c r="I258" s="357"/>
      <c r="J258" s="9"/>
      <c r="K258" s="306">
        <f t="shared" si="3"/>
        <v>251</v>
      </c>
    </row>
    <row r="259" spans="1:11">
      <c r="A259" s="153"/>
      <c r="B259" s="353"/>
      <c r="C259" s="17"/>
      <c r="D259" s="49"/>
      <c r="E259" s="49"/>
      <c r="F259" s="685"/>
      <c r="G259" s="357"/>
      <c r="H259" s="9"/>
      <c r="I259" s="357"/>
      <c r="J259" s="9"/>
      <c r="K259" s="306">
        <f t="shared" si="3"/>
        <v>252</v>
      </c>
    </row>
    <row r="260" spans="1:11">
      <c r="A260" s="153"/>
      <c r="B260" s="353"/>
      <c r="C260" s="17" t="s">
        <v>17</v>
      </c>
      <c r="D260" s="49"/>
      <c r="E260" s="49"/>
      <c r="F260" s="685">
        <f>'Booked Dec 2017 Rev'!$T$260</f>
        <v>34019.620309400001</v>
      </c>
      <c r="G260" s="357">
        <f>HLOOKUP($G$8,RevenueScenarios,K260,FALSE)</f>
        <v>34019.620309400001</v>
      </c>
      <c r="H260" s="9"/>
      <c r="I260" s="357">
        <f>G260-F260</f>
        <v>0</v>
      </c>
      <c r="J260" s="9"/>
      <c r="K260" s="306">
        <f t="shared" si="3"/>
        <v>253</v>
      </c>
    </row>
    <row r="261" spans="1:11">
      <c r="A261" s="153"/>
      <c r="B261" s="353"/>
      <c r="C261" s="17" t="s">
        <v>18</v>
      </c>
      <c r="D261" s="49"/>
      <c r="E261" s="49"/>
      <c r="F261" s="689">
        <f>'Booked Dec 2017 Rev'!$T$261</f>
        <v>95535.73000000001</v>
      </c>
      <c r="G261" s="388">
        <f>HLOOKUP($G$8,RevenueScenarios,K261,FALSE)</f>
        <v>95535.73000000001</v>
      </c>
      <c r="H261" s="157"/>
      <c r="I261" s="388">
        <f>G261-F261</f>
        <v>0</v>
      </c>
      <c r="J261" s="9"/>
      <c r="K261" s="306">
        <f t="shared" si="3"/>
        <v>254</v>
      </c>
    </row>
    <row r="262" spans="1:11">
      <c r="A262" s="153"/>
      <c r="B262" s="353"/>
      <c r="C262" s="17"/>
      <c r="D262" s="49"/>
      <c r="E262" s="49"/>
      <c r="F262" s="685"/>
      <c r="G262" s="357"/>
      <c r="H262" s="9"/>
      <c r="I262" s="357"/>
      <c r="J262" s="9"/>
      <c r="K262" s="306">
        <f t="shared" si="3"/>
        <v>255</v>
      </c>
    </row>
    <row r="263" spans="1:11">
      <c r="A263" s="153"/>
      <c r="B263" s="353"/>
      <c r="C263" s="17" t="s">
        <v>19</v>
      </c>
      <c r="D263" s="49"/>
      <c r="E263" s="49"/>
      <c r="F263" s="685">
        <f>'Booked Dec 2017 Rev'!$T$263</f>
        <v>6776.8700000000008</v>
      </c>
      <c r="G263" s="357">
        <f>HLOOKUP($G$8,RevenueScenarios,K263,FALSE)</f>
        <v>6776.8700000000008</v>
      </c>
      <c r="H263" s="9"/>
      <c r="I263" s="357">
        <f>G263-F263</f>
        <v>0</v>
      </c>
      <c r="J263" s="9"/>
      <c r="K263" s="306">
        <f t="shared" si="3"/>
        <v>256</v>
      </c>
    </row>
    <row r="264" spans="1:11">
      <c r="A264" s="153"/>
      <c r="B264" s="353"/>
      <c r="C264" s="17"/>
      <c r="D264" s="49"/>
      <c r="E264" s="49"/>
      <c r="F264" s="685"/>
      <c r="G264" s="357"/>
      <c r="H264" s="9"/>
      <c r="I264" s="357"/>
      <c r="J264" s="9"/>
      <c r="K264" s="306">
        <f t="shared" si="3"/>
        <v>257</v>
      </c>
    </row>
    <row r="265" spans="1:11">
      <c r="A265" s="153"/>
      <c r="B265" s="353" t="s">
        <v>752</v>
      </c>
      <c r="C265" s="17" t="s">
        <v>15</v>
      </c>
      <c r="D265" s="49"/>
      <c r="E265" s="49"/>
      <c r="F265" s="685">
        <f>'Booked Dec 2017 Rev'!$T$265</f>
        <v>0</v>
      </c>
      <c r="G265" s="357">
        <f>HLOOKUP($G$8,RevenueScenarios,K265,FALSE)</f>
        <v>0</v>
      </c>
      <c r="H265" s="9"/>
      <c r="I265" s="357">
        <f>G265-F265</f>
        <v>0</v>
      </c>
      <c r="J265" s="9"/>
      <c r="K265" s="306">
        <f t="shared" si="3"/>
        <v>258</v>
      </c>
    </row>
    <row r="266" spans="1:11" ht="12.75" customHeight="1">
      <c r="A266" s="153"/>
      <c r="B266" s="353"/>
      <c r="C266" s="17"/>
      <c r="D266" s="49"/>
      <c r="E266" s="49"/>
      <c r="F266" s="685"/>
      <c r="G266" s="357"/>
      <c r="H266" s="9"/>
      <c r="I266" s="357"/>
      <c r="J266" s="9"/>
      <c r="K266" s="306">
        <f t="shared" ref="K266:K280" si="4">+K265+1</f>
        <v>259</v>
      </c>
    </row>
    <row r="267" spans="1:11">
      <c r="A267" s="153"/>
      <c r="B267" s="353"/>
      <c r="C267" s="17"/>
      <c r="D267" s="49"/>
      <c r="E267" s="49"/>
      <c r="F267" s="685"/>
      <c r="G267" s="357"/>
      <c r="H267" s="9"/>
      <c r="I267" s="357"/>
      <c r="J267" s="9"/>
      <c r="K267" s="306">
        <f t="shared" si="4"/>
        <v>260</v>
      </c>
    </row>
    <row r="268" spans="1:11">
      <c r="A268" s="153"/>
      <c r="B268" s="353"/>
      <c r="C268" s="17"/>
      <c r="D268" s="49"/>
      <c r="E268" s="49"/>
      <c r="F268" s="685"/>
      <c r="G268" s="357"/>
      <c r="H268" s="9"/>
      <c r="I268" s="357"/>
      <c r="J268" s="9"/>
      <c r="K268" s="306">
        <f t="shared" si="4"/>
        <v>261</v>
      </c>
    </row>
    <row r="269" spans="1:11">
      <c r="A269" s="153"/>
      <c r="B269" s="353"/>
      <c r="C269" s="17" t="s">
        <v>17</v>
      </c>
      <c r="D269" s="49"/>
      <c r="E269" s="49"/>
      <c r="F269" s="685">
        <f>'Booked Dec 2017 Rev'!$T$269</f>
        <v>0</v>
      </c>
      <c r="G269" s="357">
        <f>HLOOKUP($G$8,RevenueScenarios,K269,FALSE)</f>
        <v>0</v>
      </c>
      <c r="H269" s="9"/>
      <c r="I269" s="357">
        <f>G269-F269</f>
        <v>0</v>
      </c>
      <c r="J269" s="9"/>
      <c r="K269" s="306">
        <f t="shared" si="4"/>
        <v>262</v>
      </c>
    </row>
    <row r="270" spans="1:11">
      <c r="A270" s="153"/>
      <c r="B270" s="353"/>
      <c r="C270" s="17" t="s">
        <v>18</v>
      </c>
      <c r="D270" s="49"/>
      <c r="E270" s="49"/>
      <c r="F270" s="689">
        <f>'Booked Dec 2017 Rev'!$T$270</f>
        <v>0</v>
      </c>
      <c r="G270" s="388">
        <f>HLOOKUP($G$8,RevenueScenarios,K270,FALSE)</f>
        <v>0</v>
      </c>
      <c r="H270" s="157"/>
      <c r="I270" s="388">
        <f>G270-F270</f>
        <v>0</v>
      </c>
      <c r="J270" s="9"/>
      <c r="K270" s="306">
        <f t="shared" si="4"/>
        <v>263</v>
      </c>
    </row>
    <row r="271" spans="1:11">
      <c r="A271" s="153"/>
      <c r="B271" s="353"/>
      <c r="C271" s="17"/>
      <c r="D271" s="49"/>
      <c r="E271" s="49"/>
      <c r="F271" s="685"/>
      <c r="G271" s="357"/>
      <c r="H271" s="9"/>
      <c r="I271" s="357"/>
      <c r="J271" s="9"/>
      <c r="K271" s="306">
        <f t="shared" si="4"/>
        <v>264</v>
      </c>
    </row>
    <row r="272" spans="1:11">
      <c r="A272" s="153"/>
      <c r="B272" s="353"/>
      <c r="C272" s="17" t="s">
        <v>19</v>
      </c>
      <c r="D272" s="49"/>
      <c r="E272" s="49"/>
      <c r="F272" s="685">
        <f>'Booked Dec 2017 Rev'!$T$272</f>
        <v>0</v>
      </c>
      <c r="G272" s="357">
        <f>HLOOKUP($G$8,RevenueScenarios,K272,FALSE)</f>
        <v>0</v>
      </c>
      <c r="H272" s="9"/>
      <c r="I272" s="357">
        <f>G272-F272</f>
        <v>0</v>
      </c>
      <c r="J272" s="9"/>
      <c r="K272" s="306">
        <f t="shared" si="4"/>
        <v>265</v>
      </c>
    </row>
    <row r="273" spans="1:11">
      <c r="A273" s="153"/>
      <c r="B273" s="353"/>
      <c r="C273" s="17"/>
      <c r="D273" s="49"/>
      <c r="E273" s="49"/>
      <c r="F273" s="685"/>
      <c r="G273" s="357"/>
      <c r="H273" s="9"/>
      <c r="I273" s="357"/>
      <c r="J273" s="9"/>
      <c r="K273" s="306">
        <f t="shared" si="4"/>
        <v>266</v>
      </c>
    </row>
    <row r="274" spans="1:11">
      <c r="A274" s="153"/>
      <c r="B274" s="353" t="s">
        <v>80</v>
      </c>
      <c r="C274" s="17" t="s">
        <v>15</v>
      </c>
      <c r="D274" s="49"/>
      <c r="E274" s="49"/>
      <c r="F274" s="685">
        <f>'Booked Dec 2017 Rev'!$T$274</f>
        <v>52514</v>
      </c>
      <c r="G274" s="357">
        <f>HLOOKUP($G$8,RevenueScenarios,K274,FALSE)</f>
        <v>52514</v>
      </c>
      <c r="H274" s="9"/>
      <c r="I274" s="357">
        <f t="shared" ref="I274:I317" si="5">G274-F274</f>
        <v>0</v>
      </c>
      <c r="J274" s="9"/>
      <c r="K274" s="306">
        <f t="shared" si="4"/>
        <v>267</v>
      </c>
    </row>
    <row r="275" spans="1:11">
      <c r="A275" s="153"/>
      <c r="B275" s="353"/>
      <c r="C275" s="17"/>
      <c r="D275" s="113" t="s">
        <v>452</v>
      </c>
      <c r="E275" s="113"/>
      <c r="F275" s="685"/>
      <c r="G275" s="357"/>
      <c r="H275" s="9"/>
      <c r="I275" s="357">
        <f t="shared" si="5"/>
        <v>0</v>
      </c>
      <c r="J275" s="9"/>
      <c r="K275" s="306">
        <f t="shared" si="4"/>
        <v>268</v>
      </c>
    </row>
    <row r="276" spans="1:11">
      <c r="A276" s="153"/>
      <c r="B276" s="353"/>
      <c r="C276" s="17" t="s">
        <v>16</v>
      </c>
      <c r="D276" s="49"/>
      <c r="E276" s="49"/>
      <c r="F276" s="685">
        <f>'Booked Dec 2017 Rev'!$T$276</f>
        <v>-36</v>
      </c>
      <c r="G276" s="357">
        <f>HLOOKUP($G$8,RevenueScenarios,K276,FALSE)</f>
        <v>-36</v>
      </c>
      <c r="H276" s="9"/>
      <c r="I276" s="357">
        <f t="shared" si="5"/>
        <v>0</v>
      </c>
      <c r="J276" s="9"/>
      <c r="K276" s="306">
        <f t="shared" si="4"/>
        <v>269</v>
      </c>
    </row>
    <row r="277" spans="1:11">
      <c r="A277" s="153"/>
      <c r="B277" s="353"/>
      <c r="C277" s="17"/>
      <c r="D277" s="49"/>
      <c r="E277" s="49"/>
      <c r="F277" s="685"/>
      <c r="G277" s="357"/>
      <c r="H277" s="9"/>
      <c r="I277" s="357">
        <f t="shared" si="5"/>
        <v>0</v>
      </c>
      <c r="J277" s="9"/>
      <c r="K277" s="306">
        <f t="shared" si="4"/>
        <v>270</v>
      </c>
    </row>
    <row r="278" spans="1:11">
      <c r="A278" s="153"/>
      <c r="B278" s="353"/>
      <c r="C278" s="17" t="s">
        <v>17</v>
      </c>
      <c r="D278" s="49"/>
      <c r="E278" s="49"/>
      <c r="F278" s="685">
        <f>'Booked Dec 2017 Rev'!$T$278</f>
        <v>775489</v>
      </c>
      <c r="G278" s="357">
        <f>HLOOKUP($G$8,RevenueScenarios,K278,FALSE)</f>
        <v>775489</v>
      </c>
      <c r="H278" s="9"/>
      <c r="I278" s="357">
        <f t="shared" si="5"/>
        <v>0</v>
      </c>
      <c r="J278" s="9"/>
      <c r="K278" s="306">
        <f t="shared" si="4"/>
        <v>271</v>
      </c>
    </row>
    <row r="279" spans="1:11">
      <c r="A279" s="153"/>
      <c r="B279" s="353"/>
      <c r="C279" s="17" t="s">
        <v>18</v>
      </c>
      <c r="D279" s="49"/>
      <c r="E279" s="49"/>
      <c r="F279" s="689">
        <f>'Booked Dec 2017 Rev'!$T$279</f>
        <v>827967</v>
      </c>
      <c r="G279" s="388">
        <f>HLOOKUP($G$8,RevenueScenarios,K279,FALSE)</f>
        <v>827967</v>
      </c>
      <c r="H279" s="157"/>
      <c r="I279" s="388">
        <f t="shared" si="5"/>
        <v>0</v>
      </c>
      <c r="J279" s="9"/>
      <c r="K279" s="306">
        <f t="shared" si="4"/>
        <v>272</v>
      </c>
    </row>
    <row r="280" spans="1:11">
      <c r="A280" s="153"/>
      <c r="B280" s="353"/>
      <c r="C280" s="17"/>
      <c r="D280" s="49"/>
      <c r="E280" s="49"/>
      <c r="F280" s="685"/>
      <c r="G280" s="357"/>
      <c r="H280" s="9"/>
      <c r="I280" s="357">
        <f t="shared" si="5"/>
        <v>0</v>
      </c>
      <c r="J280" s="9"/>
      <c r="K280" s="306">
        <f t="shared" si="4"/>
        <v>273</v>
      </c>
    </row>
    <row r="281" spans="1:11">
      <c r="A281" s="153"/>
      <c r="B281" s="353"/>
      <c r="C281" s="17" t="s">
        <v>19</v>
      </c>
      <c r="D281" s="49"/>
      <c r="E281" s="49"/>
      <c r="F281" s="685">
        <f>'Booked Dec 2017 Rev'!$T$281</f>
        <v>148998</v>
      </c>
      <c r="G281" s="357">
        <f>HLOOKUP($G$8,RevenueScenarios,K281,FALSE)</f>
        <v>148998</v>
      </c>
      <c r="H281" s="9"/>
      <c r="I281" s="357">
        <f t="shared" si="5"/>
        <v>0</v>
      </c>
      <c r="J281" s="9"/>
      <c r="K281" s="306">
        <f>+K280+1</f>
        <v>274</v>
      </c>
    </row>
    <row r="282" spans="1:11">
      <c r="A282" s="153"/>
      <c r="B282" s="353"/>
      <c r="C282" s="17"/>
      <c r="D282" s="49"/>
      <c r="E282" s="49"/>
      <c r="F282" s="685"/>
      <c r="G282" s="357"/>
      <c r="H282" s="9"/>
      <c r="I282" s="357">
        <f t="shared" si="5"/>
        <v>0</v>
      </c>
      <c r="J282" s="9"/>
      <c r="K282" s="306">
        <f t="shared" ref="K282:K347" si="6">+K281+1</f>
        <v>275</v>
      </c>
    </row>
    <row r="283" spans="1:11">
      <c r="A283" s="153"/>
      <c r="B283" s="353" t="s">
        <v>81</v>
      </c>
      <c r="C283" s="17" t="s">
        <v>15</v>
      </c>
      <c r="D283" s="49"/>
      <c r="E283" s="49"/>
      <c r="F283" s="685">
        <f>'Booked Dec 2017 Rev'!$T$283</f>
        <v>0</v>
      </c>
      <c r="G283" s="357">
        <f>HLOOKUP($G$8,RevenueScenarios,K283,FALSE)</f>
        <v>0</v>
      </c>
      <c r="H283" s="9"/>
      <c r="I283" s="357">
        <f t="shared" si="5"/>
        <v>0</v>
      </c>
      <c r="J283" s="9"/>
      <c r="K283" s="306">
        <f t="shared" si="6"/>
        <v>276</v>
      </c>
    </row>
    <row r="284" spans="1:11">
      <c r="A284" s="153"/>
      <c r="B284" s="353"/>
      <c r="C284" s="17"/>
      <c r="D284" s="113" t="s">
        <v>452</v>
      </c>
      <c r="E284" s="113"/>
      <c r="F284" s="685"/>
      <c r="G284" s="357"/>
      <c r="H284" s="9"/>
      <c r="I284" s="357">
        <f t="shared" si="5"/>
        <v>0</v>
      </c>
      <c r="J284" s="9"/>
      <c r="K284" s="306">
        <f t="shared" si="6"/>
        <v>277</v>
      </c>
    </row>
    <row r="285" spans="1:11">
      <c r="A285" s="153"/>
      <c r="B285" s="353"/>
      <c r="C285" s="17" t="s">
        <v>16</v>
      </c>
      <c r="D285" s="49"/>
      <c r="E285" s="49"/>
      <c r="F285" s="685">
        <f>'Booked Dec 2017 Rev'!$T$285</f>
        <v>0</v>
      </c>
      <c r="G285" s="357">
        <f>HLOOKUP($G$8,RevenueScenarios,K285,FALSE)</f>
        <v>0</v>
      </c>
      <c r="H285" s="9"/>
      <c r="I285" s="357">
        <f t="shared" si="5"/>
        <v>0</v>
      </c>
      <c r="J285" s="9"/>
      <c r="K285" s="306">
        <f t="shared" si="6"/>
        <v>278</v>
      </c>
    </row>
    <row r="286" spans="1:11">
      <c r="A286" s="153"/>
      <c r="B286" s="353"/>
      <c r="C286" s="17"/>
      <c r="D286" s="49"/>
      <c r="E286" s="49"/>
      <c r="F286" s="685"/>
      <c r="G286" s="357"/>
      <c r="H286" s="9"/>
      <c r="I286" s="357">
        <f t="shared" si="5"/>
        <v>0</v>
      </c>
      <c r="J286" s="9"/>
      <c r="K286" s="306">
        <f t="shared" si="6"/>
        <v>279</v>
      </c>
    </row>
    <row r="287" spans="1:11">
      <c r="A287" s="153"/>
      <c r="B287" s="353"/>
      <c r="C287" s="17" t="s">
        <v>17</v>
      </c>
      <c r="D287" s="49"/>
      <c r="E287" s="49"/>
      <c r="F287" s="685">
        <f>'Booked Dec 2017 Rev'!$T$287</f>
        <v>0</v>
      </c>
      <c r="G287" s="357">
        <f>HLOOKUP($G$8,RevenueScenarios,K287,FALSE)</f>
        <v>0</v>
      </c>
      <c r="H287" s="9"/>
      <c r="I287" s="357">
        <f t="shared" si="5"/>
        <v>0</v>
      </c>
      <c r="J287" s="9"/>
      <c r="K287" s="306">
        <f t="shared" si="6"/>
        <v>280</v>
      </c>
    </row>
    <row r="288" spans="1:11">
      <c r="A288" s="153"/>
      <c r="B288" s="353"/>
      <c r="C288" s="17" t="s">
        <v>18</v>
      </c>
      <c r="D288" s="49"/>
      <c r="E288" s="49"/>
      <c r="F288" s="689">
        <f>'Booked Dec 2017 Rev'!$T$288</f>
        <v>0</v>
      </c>
      <c r="G288" s="388">
        <f>HLOOKUP($G$8,RevenueScenarios,K288,FALSE)</f>
        <v>0</v>
      </c>
      <c r="H288" s="157"/>
      <c r="I288" s="388">
        <f t="shared" si="5"/>
        <v>0</v>
      </c>
      <c r="J288" s="9"/>
      <c r="K288" s="306">
        <f t="shared" si="6"/>
        <v>281</v>
      </c>
    </row>
    <row r="289" spans="1:11">
      <c r="A289" s="153"/>
      <c r="B289" s="353"/>
      <c r="C289" s="17"/>
      <c r="D289" s="49"/>
      <c r="E289" s="49"/>
      <c r="F289" s="685"/>
      <c r="G289" s="357"/>
      <c r="H289" s="9"/>
      <c r="I289" s="357">
        <f t="shared" si="5"/>
        <v>0</v>
      </c>
      <c r="J289" s="9"/>
      <c r="K289" s="306">
        <f t="shared" si="6"/>
        <v>282</v>
      </c>
    </row>
    <row r="290" spans="1:11">
      <c r="A290" s="153"/>
      <c r="B290" s="353"/>
      <c r="C290" s="17" t="s">
        <v>19</v>
      </c>
      <c r="D290" s="49"/>
      <c r="E290" s="49"/>
      <c r="F290" s="685">
        <f>'Booked Dec 2017 Rev'!$T$290</f>
        <v>0</v>
      </c>
      <c r="G290" s="357">
        <f>HLOOKUP($G$8,RevenueScenarios,K290,FALSE)</f>
        <v>0</v>
      </c>
      <c r="H290" s="9"/>
      <c r="I290" s="357">
        <f t="shared" si="5"/>
        <v>0</v>
      </c>
      <c r="J290" s="9"/>
      <c r="K290" s="306">
        <f t="shared" si="6"/>
        <v>283</v>
      </c>
    </row>
    <row r="291" spans="1:11">
      <c r="A291" s="153"/>
      <c r="B291" s="353"/>
      <c r="C291" s="17"/>
      <c r="D291" s="49"/>
      <c r="E291" s="49"/>
      <c r="F291" s="685"/>
      <c r="G291" s="357"/>
      <c r="H291" s="9"/>
      <c r="I291" s="357">
        <f t="shared" si="5"/>
        <v>0</v>
      </c>
      <c r="J291" s="9"/>
      <c r="K291" s="306">
        <f t="shared" si="6"/>
        <v>284</v>
      </c>
    </row>
    <row r="292" spans="1:11">
      <c r="A292" s="153"/>
      <c r="B292" s="353" t="s">
        <v>25</v>
      </c>
      <c r="C292" s="17" t="s">
        <v>15</v>
      </c>
      <c r="D292" s="49"/>
      <c r="E292" s="49"/>
      <c r="F292" s="685">
        <f>'Booked Dec 2017 Rev'!$T$292</f>
        <v>0</v>
      </c>
      <c r="G292" s="357">
        <f>HLOOKUP($G$8,RevenueScenarios,K292,FALSE)</f>
        <v>0</v>
      </c>
      <c r="H292" s="9"/>
      <c r="I292" s="357">
        <f t="shared" si="5"/>
        <v>0</v>
      </c>
      <c r="J292" s="9"/>
      <c r="K292" s="306">
        <f t="shared" si="6"/>
        <v>285</v>
      </c>
    </row>
    <row r="293" spans="1:11">
      <c r="A293" s="153"/>
      <c r="B293" s="354" t="s">
        <v>679</v>
      </c>
      <c r="C293" s="17"/>
      <c r="D293" s="113" t="s">
        <v>452</v>
      </c>
      <c r="E293" s="113"/>
      <c r="F293" s="685"/>
      <c r="G293" s="357"/>
      <c r="H293" s="9"/>
      <c r="I293" s="357">
        <f t="shared" si="5"/>
        <v>0</v>
      </c>
      <c r="J293" s="9"/>
      <c r="K293" s="306">
        <f t="shared" si="6"/>
        <v>286</v>
      </c>
    </row>
    <row r="294" spans="1:11">
      <c r="A294" s="153"/>
      <c r="B294" s="353"/>
      <c r="C294" s="17"/>
      <c r="D294" s="49"/>
      <c r="E294" s="49"/>
      <c r="F294" s="685"/>
      <c r="G294" s="357"/>
      <c r="H294" s="9"/>
      <c r="I294" s="357">
        <f t="shared" si="5"/>
        <v>0</v>
      </c>
      <c r="J294" s="9"/>
      <c r="K294" s="306">
        <f t="shared" si="6"/>
        <v>287</v>
      </c>
    </row>
    <row r="295" spans="1:11">
      <c r="A295" s="153"/>
      <c r="B295" s="353"/>
      <c r="C295" s="17"/>
      <c r="D295" s="49"/>
      <c r="E295" s="49"/>
      <c r="F295" s="685"/>
      <c r="G295" s="357"/>
      <c r="H295" s="9"/>
      <c r="I295" s="357">
        <f t="shared" si="5"/>
        <v>0</v>
      </c>
      <c r="J295" s="9"/>
      <c r="K295" s="306">
        <f t="shared" si="6"/>
        <v>288</v>
      </c>
    </row>
    <row r="296" spans="1:11">
      <c r="A296" s="153"/>
      <c r="B296" s="353"/>
      <c r="C296" s="17" t="s">
        <v>17</v>
      </c>
      <c r="D296" s="49"/>
      <c r="E296" s="49"/>
      <c r="F296" s="685">
        <f>'Booked Dec 2017 Rev'!$T$296</f>
        <v>0</v>
      </c>
      <c r="G296" s="357">
        <f>HLOOKUP($G$8,RevenueScenarios,K296,FALSE)</f>
        <v>0</v>
      </c>
      <c r="H296" s="9"/>
      <c r="I296" s="357">
        <f t="shared" si="5"/>
        <v>0</v>
      </c>
      <c r="J296" s="9"/>
      <c r="K296" s="306">
        <f t="shared" si="6"/>
        <v>289</v>
      </c>
    </row>
    <row r="297" spans="1:11">
      <c r="A297" s="153"/>
      <c r="B297" s="353"/>
      <c r="C297" s="17" t="s">
        <v>18</v>
      </c>
      <c r="D297" s="49"/>
      <c r="E297" s="49"/>
      <c r="F297" s="689">
        <f>'Booked Dec 2017 Rev'!$T$297</f>
        <v>0</v>
      </c>
      <c r="G297" s="388">
        <f>HLOOKUP($G$8,RevenueScenarios,K297,FALSE)</f>
        <v>0</v>
      </c>
      <c r="H297" s="157"/>
      <c r="I297" s="388">
        <f t="shared" si="5"/>
        <v>0</v>
      </c>
      <c r="J297" s="9"/>
      <c r="K297" s="306">
        <f t="shared" si="6"/>
        <v>290</v>
      </c>
    </row>
    <row r="298" spans="1:11">
      <c r="A298" s="153"/>
      <c r="B298" s="353"/>
      <c r="C298" s="17"/>
      <c r="D298" s="49"/>
      <c r="E298" s="49"/>
      <c r="F298" s="685"/>
      <c r="G298" s="357"/>
      <c r="H298" s="9"/>
      <c r="I298" s="357">
        <f t="shared" si="5"/>
        <v>0</v>
      </c>
      <c r="J298" s="9"/>
      <c r="K298" s="306">
        <f t="shared" si="6"/>
        <v>291</v>
      </c>
    </row>
    <row r="299" spans="1:11">
      <c r="A299" s="153"/>
      <c r="B299" s="353"/>
      <c r="C299" s="17" t="s">
        <v>19</v>
      </c>
      <c r="D299" s="49"/>
      <c r="E299" s="49"/>
      <c r="F299" s="685"/>
      <c r="G299" s="357">
        <f>HLOOKUP($G$8,RevenueScenarios,K299,FALSE)</f>
        <v>0</v>
      </c>
      <c r="H299" s="9"/>
      <c r="I299" s="357">
        <f t="shared" si="5"/>
        <v>0</v>
      </c>
      <c r="J299" s="9"/>
      <c r="K299" s="306">
        <f t="shared" si="6"/>
        <v>292</v>
      </c>
    </row>
    <row r="300" spans="1:11">
      <c r="A300" s="153"/>
      <c r="B300" s="353"/>
      <c r="C300" s="17"/>
      <c r="D300" s="49"/>
      <c r="E300" s="49"/>
      <c r="F300" s="685"/>
      <c r="G300" s="357"/>
      <c r="H300" s="9"/>
      <c r="I300" s="357">
        <f t="shared" si="5"/>
        <v>0</v>
      </c>
      <c r="J300" s="9"/>
      <c r="K300" s="306">
        <f t="shared" si="6"/>
        <v>293</v>
      </c>
    </row>
    <row r="301" spans="1:11">
      <c r="A301" s="153"/>
      <c r="B301" s="353" t="s">
        <v>26</v>
      </c>
      <c r="C301" s="17" t="s">
        <v>15</v>
      </c>
      <c r="D301" s="49"/>
      <c r="E301" s="49"/>
      <c r="F301" s="685">
        <f>'Booked Dec 2017 Rev'!$T$301</f>
        <v>80745</v>
      </c>
      <c r="G301" s="357">
        <f>HLOOKUP($G$8,RevenueScenarios,K301,FALSE)</f>
        <v>80745</v>
      </c>
      <c r="H301" s="9"/>
      <c r="I301" s="357">
        <f t="shared" si="5"/>
        <v>0</v>
      </c>
      <c r="J301" s="9"/>
      <c r="K301" s="306">
        <f t="shared" si="6"/>
        <v>294</v>
      </c>
    </row>
    <row r="302" spans="1:11">
      <c r="A302" s="153"/>
      <c r="B302" s="353"/>
      <c r="C302" s="17"/>
      <c r="D302" s="113" t="s">
        <v>452</v>
      </c>
      <c r="E302" s="113"/>
      <c r="F302" s="685"/>
      <c r="G302" s="357"/>
      <c r="H302" s="9"/>
      <c r="I302" s="357">
        <f t="shared" si="5"/>
        <v>0</v>
      </c>
      <c r="J302" s="9"/>
      <c r="K302" s="306">
        <f t="shared" si="6"/>
        <v>295</v>
      </c>
    </row>
    <row r="303" spans="1:11">
      <c r="A303" s="153"/>
      <c r="B303" s="353"/>
      <c r="C303" s="17"/>
      <c r="D303" s="49"/>
      <c r="E303" s="49"/>
      <c r="F303" s="685"/>
      <c r="G303" s="357"/>
      <c r="H303" s="9"/>
      <c r="I303" s="357">
        <f t="shared" si="5"/>
        <v>0</v>
      </c>
      <c r="J303" s="9"/>
      <c r="K303" s="306">
        <f t="shared" si="6"/>
        <v>296</v>
      </c>
    </row>
    <row r="304" spans="1:11">
      <c r="A304" s="153"/>
      <c r="B304" s="353"/>
      <c r="C304" s="17"/>
      <c r="D304" s="49"/>
      <c r="E304" s="49"/>
      <c r="F304" s="685"/>
      <c r="G304" s="357"/>
      <c r="H304" s="9"/>
      <c r="I304" s="357">
        <f t="shared" si="5"/>
        <v>0</v>
      </c>
      <c r="J304" s="9"/>
      <c r="K304" s="306">
        <f t="shared" si="6"/>
        <v>297</v>
      </c>
    </row>
    <row r="305" spans="1:11">
      <c r="A305" s="153"/>
      <c r="B305" s="353"/>
      <c r="C305" s="17" t="s">
        <v>17</v>
      </c>
      <c r="D305" s="49"/>
      <c r="E305" s="49"/>
      <c r="F305" s="685">
        <f>'Booked Dec 2017 Rev'!$T$305</f>
        <v>0</v>
      </c>
      <c r="G305" s="357">
        <f>HLOOKUP($G$8,RevenueScenarios,K305,FALSE)</f>
        <v>0</v>
      </c>
      <c r="H305" s="9"/>
      <c r="I305" s="357">
        <f t="shared" si="5"/>
        <v>0</v>
      </c>
      <c r="J305" s="9"/>
      <c r="K305" s="306">
        <f t="shared" si="6"/>
        <v>298</v>
      </c>
    </row>
    <row r="306" spans="1:11">
      <c r="A306" s="153"/>
      <c r="B306" s="353"/>
      <c r="C306" s="17" t="s">
        <v>18</v>
      </c>
      <c r="D306" s="49"/>
      <c r="E306" s="49"/>
      <c r="F306" s="689">
        <f>'Booked Dec 2017 Rev'!$T$306</f>
        <v>80745</v>
      </c>
      <c r="G306" s="388">
        <f>HLOOKUP($G$8,RevenueScenarios,K306,FALSE)</f>
        <v>80745</v>
      </c>
      <c r="H306" s="157"/>
      <c r="I306" s="388">
        <f t="shared" si="5"/>
        <v>0</v>
      </c>
      <c r="J306" s="9"/>
      <c r="K306" s="306">
        <f t="shared" si="6"/>
        <v>299</v>
      </c>
    </row>
    <row r="307" spans="1:11">
      <c r="A307" s="153"/>
      <c r="B307" s="353"/>
      <c r="C307" s="17"/>
      <c r="D307" s="49"/>
      <c r="E307" s="49"/>
      <c r="F307" s="685"/>
      <c r="G307" s="357"/>
      <c r="H307" s="9"/>
      <c r="I307" s="357">
        <f t="shared" si="5"/>
        <v>0</v>
      </c>
      <c r="J307" s="9"/>
      <c r="K307" s="306">
        <f t="shared" si="6"/>
        <v>300</v>
      </c>
    </row>
    <row r="308" spans="1:11">
      <c r="A308" s="153"/>
      <c r="B308" s="353"/>
      <c r="C308" s="17" t="s">
        <v>19</v>
      </c>
      <c r="D308" s="49"/>
      <c r="E308" s="49"/>
      <c r="F308" s="685">
        <f>'Booked Dec 2017 Rev'!$T$308</f>
        <v>146691</v>
      </c>
      <c r="G308" s="357">
        <f>HLOOKUP($G$8,RevenueScenarios,K308,FALSE)</f>
        <v>146691</v>
      </c>
      <c r="H308" s="9"/>
      <c r="I308" s="357">
        <f t="shared" si="5"/>
        <v>0</v>
      </c>
      <c r="J308" s="9"/>
      <c r="K308" s="306">
        <f t="shared" si="6"/>
        <v>301</v>
      </c>
    </row>
    <row r="309" spans="1:11">
      <c r="A309" s="153"/>
      <c r="B309" s="353"/>
      <c r="C309" s="17"/>
      <c r="D309" s="49"/>
      <c r="E309" s="49"/>
      <c r="F309" s="685"/>
      <c r="G309" s="357"/>
      <c r="H309" s="9"/>
      <c r="I309" s="357">
        <f t="shared" si="5"/>
        <v>0</v>
      </c>
      <c r="J309" s="9"/>
      <c r="K309" s="306">
        <f t="shared" si="6"/>
        <v>302</v>
      </c>
    </row>
    <row r="310" spans="1:11">
      <c r="A310" s="153"/>
      <c r="B310" s="353" t="s">
        <v>25</v>
      </c>
      <c r="C310" s="17" t="s">
        <v>15</v>
      </c>
      <c r="D310" s="49"/>
      <c r="E310" s="49"/>
      <c r="F310" s="685">
        <f>'Booked Dec 2017 Rev'!$T$310</f>
        <v>43701</v>
      </c>
      <c r="G310" s="357">
        <f>HLOOKUP($G$8,RevenueScenarios,K310,FALSE)</f>
        <v>43701</v>
      </c>
      <c r="H310" s="9"/>
      <c r="I310" s="357">
        <f t="shared" si="5"/>
        <v>0</v>
      </c>
      <c r="J310" s="9"/>
      <c r="K310" s="306">
        <f t="shared" si="6"/>
        <v>303</v>
      </c>
    </row>
    <row r="311" spans="1:11">
      <c r="A311" s="153"/>
      <c r="B311" s="354" t="s">
        <v>680</v>
      </c>
      <c r="C311" s="17"/>
      <c r="D311" s="113" t="s">
        <v>452</v>
      </c>
      <c r="E311" s="113"/>
      <c r="F311" s="685"/>
      <c r="G311" s="357"/>
      <c r="H311" s="9"/>
      <c r="I311" s="357">
        <f t="shared" si="5"/>
        <v>0</v>
      </c>
      <c r="J311" s="9"/>
      <c r="K311" s="306">
        <f t="shared" si="6"/>
        <v>304</v>
      </c>
    </row>
    <row r="312" spans="1:11">
      <c r="A312" s="153"/>
      <c r="B312" s="353"/>
      <c r="C312" s="17"/>
      <c r="D312" s="49"/>
      <c r="E312" s="49"/>
      <c r="F312" s="685"/>
      <c r="G312" s="357"/>
      <c r="H312" s="9"/>
      <c r="I312" s="357">
        <f t="shared" si="5"/>
        <v>0</v>
      </c>
      <c r="J312" s="9"/>
      <c r="K312" s="306">
        <f t="shared" si="6"/>
        <v>305</v>
      </c>
    </row>
    <row r="313" spans="1:11">
      <c r="A313" s="153"/>
      <c r="B313" s="353"/>
      <c r="C313" s="17"/>
      <c r="D313" s="49"/>
      <c r="E313" s="49"/>
      <c r="F313" s="685"/>
      <c r="G313" s="357"/>
      <c r="H313" s="9"/>
      <c r="I313" s="357">
        <f t="shared" si="5"/>
        <v>0</v>
      </c>
      <c r="J313" s="9"/>
      <c r="K313" s="306">
        <f t="shared" si="6"/>
        <v>306</v>
      </c>
    </row>
    <row r="314" spans="1:11">
      <c r="A314" s="153"/>
      <c r="B314" s="353"/>
      <c r="C314" s="17" t="s">
        <v>17</v>
      </c>
      <c r="D314" s="49"/>
      <c r="E314" s="49"/>
      <c r="F314" s="685">
        <f>'Booked Dec 2017 Rev'!$T$314</f>
        <v>0</v>
      </c>
      <c r="G314" s="357">
        <f>HLOOKUP($G$8,RevenueScenarios,K314,FALSE)</f>
        <v>0</v>
      </c>
      <c r="H314" s="9"/>
      <c r="I314" s="357">
        <f t="shared" si="5"/>
        <v>0</v>
      </c>
      <c r="J314" s="9"/>
      <c r="K314" s="306">
        <f t="shared" si="6"/>
        <v>307</v>
      </c>
    </row>
    <row r="315" spans="1:11">
      <c r="A315" s="153"/>
      <c r="B315" s="353"/>
      <c r="C315" s="17" t="s">
        <v>18</v>
      </c>
      <c r="D315" s="49"/>
      <c r="E315" s="49"/>
      <c r="F315" s="689">
        <f>'Booked Dec 2017 Rev'!$T$315</f>
        <v>43701</v>
      </c>
      <c r="G315" s="388">
        <f>HLOOKUP($G$8,RevenueScenarios,K315,FALSE)</f>
        <v>43701</v>
      </c>
      <c r="H315" s="157"/>
      <c r="I315" s="388">
        <f t="shared" si="5"/>
        <v>0</v>
      </c>
      <c r="J315" s="9"/>
      <c r="K315" s="306">
        <f t="shared" si="6"/>
        <v>308</v>
      </c>
    </row>
    <row r="316" spans="1:11">
      <c r="A316" s="153"/>
      <c r="B316" s="353"/>
      <c r="C316" s="17"/>
      <c r="D316" s="49"/>
      <c r="E316" s="49"/>
      <c r="F316" s="685"/>
      <c r="G316" s="357"/>
      <c r="H316" s="9"/>
      <c r="I316" s="357">
        <f t="shared" si="5"/>
        <v>0</v>
      </c>
      <c r="J316" s="9"/>
      <c r="K316" s="306">
        <f t="shared" si="6"/>
        <v>309</v>
      </c>
    </row>
    <row r="317" spans="1:11">
      <c r="A317" s="153"/>
      <c r="B317" s="353"/>
      <c r="C317" s="17" t="s">
        <v>19</v>
      </c>
      <c r="D317" s="49"/>
      <c r="E317" s="49"/>
      <c r="F317" s="685">
        <f>'Booked Dec 2017 Rev'!$T$317</f>
        <v>517921</v>
      </c>
      <c r="G317" s="357">
        <f>HLOOKUP($G$8,RevenueScenarios,K317,FALSE)</f>
        <v>517921</v>
      </c>
      <c r="H317" s="9"/>
      <c r="I317" s="357">
        <f t="shared" si="5"/>
        <v>0</v>
      </c>
      <c r="J317" s="9"/>
      <c r="K317" s="306">
        <f t="shared" si="6"/>
        <v>310</v>
      </c>
    </row>
    <row r="318" spans="1:11">
      <c r="A318" s="153"/>
      <c r="B318" s="353"/>
      <c r="C318" s="17"/>
      <c r="D318" s="49"/>
      <c r="E318" s="49"/>
      <c r="F318" s="685"/>
      <c r="G318" s="357"/>
      <c r="H318" s="9"/>
      <c r="I318" s="357"/>
      <c r="J318" s="9"/>
      <c r="K318" s="306">
        <f t="shared" si="6"/>
        <v>311</v>
      </c>
    </row>
    <row r="319" spans="1:11" s="742" customFormat="1">
      <c r="A319" s="752"/>
      <c r="B319" s="745" t="s">
        <v>676</v>
      </c>
      <c r="C319" s="754" t="s">
        <v>15</v>
      </c>
      <c r="D319" s="753"/>
      <c r="E319" s="753"/>
      <c r="F319" s="685">
        <f>'Booked Dec 2017 Rev'!$T$319</f>
        <v>340767.31000000006</v>
      </c>
      <c r="G319" s="755">
        <f>HLOOKUP($G$8,RevenueScenarios,K319,FALSE)</f>
        <v>340767.31000000006</v>
      </c>
      <c r="H319" s="755"/>
      <c r="I319" s="755">
        <f t="shared" ref="I319:I350" si="7">G319-F319</f>
        <v>0</v>
      </c>
      <c r="J319" s="751"/>
      <c r="K319" s="306">
        <f t="shared" si="6"/>
        <v>312</v>
      </c>
    </row>
    <row r="320" spans="1:11" s="742" customFormat="1" ht="13.5" thickBot="1">
      <c r="A320" s="752"/>
      <c r="B320" s="745" t="s">
        <v>107</v>
      </c>
      <c r="C320" s="754" t="s">
        <v>15</v>
      </c>
      <c r="D320" s="753"/>
      <c r="E320" s="753"/>
      <c r="F320" s="690">
        <f>'Booked Dec 2017 Rev'!$T$320</f>
        <v>165057.12000000002</v>
      </c>
      <c r="G320" s="756">
        <f>HLOOKUP($G$8,RevenueScenarios,K320,FALSE)</f>
        <v>165057.12000000002</v>
      </c>
      <c r="H320" s="756"/>
      <c r="I320" s="756">
        <f t="shared" si="7"/>
        <v>0</v>
      </c>
      <c r="J320" s="751"/>
      <c r="K320" s="306">
        <f t="shared" si="6"/>
        <v>313</v>
      </c>
    </row>
    <row r="321" spans="1:11" ht="13.5" thickTop="1">
      <c r="A321" s="153"/>
      <c r="B321" s="50" t="s">
        <v>534</v>
      </c>
      <c r="C321" s="17"/>
      <c r="D321" s="49"/>
      <c r="E321" s="49"/>
      <c r="F321" s="685"/>
      <c r="G321" s="755"/>
      <c r="H321" s="755"/>
      <c r="I321" s="755">
        <f t="shared" si="7"/>
        <v>0</v>
      </c>
      <c r="J321" s="9"/>
      <c r="K321" s="306">
        <f t="shared" si="6"/>
        <v>314</v>
      </c>
    </row>
    <row r="322" spans="1:11">
      <c r="A322" s="153"/>
      <c r="B322" s="50"/>
      <c r="C322" s="17" t="s">
        <v>15</v>
      </c>
      <c r="D322" s="49"/>
      <c r="E322" s="49"/>
      <c r="F322" s="694">
        <f>F238+F247+F256+F265+F274+F319+F320</f>
        <v>12988828.539690599</v>
      </c>
      <c r="G322" s="757">
        <f>HLOOKUP($G$8,RevenueScenarios,K322,FALSE)</f>
        <v>12988828.539690599</v>
      </c>
      <c r="H322" s="757"/>
      <c r="I322" s="757">
        <f t="shared" si="7"/>
        <v>0</v>
      </c>
      <c r="J322" s="11"/>
      <c r="K322" s="306">
        <f t="shared" si="6"/>
        <v>315</v>
      </c>
    </row>
    <row r="323" spans="1:11">
      <c r="A323" s="153"/>
      <c r="B323" s="50"/>
      <c r="C323" s="17" t="s">
        <v>16</v>
      </c>
      <c r="D323" s="49"/>
      <c r="E323" s="49"/>
      <c r="F323" s="694">
        <f>F276+F285</f>
        <v>-36</v>
      </c>
      <c r="G323" s="390">
        <f>HLOOKUP($G$8,RevenueScenarios,K323,FALSE)</f>
        <v>-36</v>
      </c>
      <c r="H323" s="11"/>
      <c r="I323" s="390">
        <f t="shared" si="7"/>
        <v>0</v>
      </c>
      <c r="J323" s="11"/>
      <c r="K323" s="306">
        <f t="shared" si="6"/>
        <v>316</v>
      </c>
    </row>
    <row r="324" spans="1:11">
      <c r="A324" s="153"/>
      <c r="B324" s="50"/>
      <c r="C324" s="17" t="s">
        <v>537</v>
      </c>
      <c r="D324" s="49"/>
      <c r="E324" s="49"/>
      <c r="F324" s="694">
        <f>F283+F292+F301+F310</f>
        <v>124446</v>
      </c>
      <c r="G324" s="390">
        <f>HLOOKUP($G$8,RevenueScenarios,K324,FALSE)</f>
        <v>124446</v>
      </c>
      <c r="H324" s="11"/>
      <c r="I324" s="390">
        <f t="shared" si="7"/>
        <v>0</v>
      </c>
      <c r="J324" s="11"/>
      <c r="K324" s="306">
        <f t="shared" si="6"/>
        <v>317</v>
      </c>
    </row>
    <row r="325" spans="1:11">
      <c r="A325" s="153"/>
      <c r="B325" s="50"/>
      <c r="C325" s="17" t="s">
        <v>17</v>
      </c>
      <c r="D325" s="49"/>
      <c r="E325" s="49"/>
      <c r="F325" s="694">
        <f>F242+F251+F260+F269+F278+F287+F296+F305+F314</f>
        <v>18791773.620309401</v>
      </c>
      <c r="G325" s="390">
        <f>HLOOKUP($G$8,RevenueScenarios,K325,FALSE)</f>
        <v>18791773.620309401</v>
      </c>
      <c r="H325" s="11"/>
      <c r="I325" s="390">
        <f t="shared" si="7"/>
        <v>0</v>
      </c>
      <c r="J325" s="11"/>
      <c r="K325" s="306">
        <f t="shared" si="6"/>
        <v>318</v>
      </c>
    </row>
    <row r="326" spans="1:11">
      <c r="A326" s="153"/>
      <c r="B326" s="353"/>
      <c r="C326" s="15" t="s">
        <v>27</v>
      </c>
      <c r="D326" s="49"/>
      <c r="E326" s="49"/>
      <c r="F326" s="695">
        <f>F243+F252+F261+F270+F279+F288+F297+F306+F315</f>
        <v>31399187.73</v>
      </c>
      <c r="G326" s="585">
        <f>HLOOKUP($G$8,RevenueScenarios,K326,FALSE)</f>
        <v>31399187.73</v>
      </c>
      <c r="H326" s="194"/>
      <c r="I326" s="585">
        <f t="shared" si="7"/>
        <v>0</v>
      </c>
      <c r="J326" s="11"/>
      <c r="K326" s="306">
        <f t="shared" si="6"/>
        <v>319</v>
      </c>
    </row>
    <row r="327" spans="1:11">
      <c r="A327" s="153"/>
      <c r="B327" s="353"/>
      <c r="C327" s="15"/>
      <c r="D327" s="49"/>
      <c r="E327" s="49"/>
      <c r="F327" s="694"/>
      <c r="G327" s="390"/>
      <c r="H327" s="11"/>
      <c r="I327" s="390">
        <f t="shared" si="7"/>
        <v>0</v>
      </c>
      <c r="J327" s="11"/>
      <c r="K327" s="306">
        <f t="shared" si="6"/>
        <v>320</v>
      </c>
    </row>
    <row r="328" spans="1:11">
      <c r="A328" s="153"/>
      <c r="B328" s="353"/>
      <c r="C328" s="27" t="s">
        <v>57</v>
      </c>
      <c r="D328" s="49"/>
      <c r="E328" s="49"/>
      <c r="F328" s="694">
        <f>F245+F254+F263+F272+F281+F290</f>
        <v>3722463.87</v>
      </c>
      <c r="G328" s="390">
        <f>HLOOKUP($G$8,RevenueScenarios,K328,FALSE)</f>
        <v>3722463.87</v>
      </c>
      <c r="H328" s="11"/>
      <c r="I328" s="390">
        <f t="shared" si="7"/>
        <v>0</v>
      </c>
      <c r="J328" s="11"/>
      <c r="K328" s="306">
        <f t="shared" si="6"/>
        <v>321</v>
      </c>
    </row>
    <row r="329" spans="1:11">
      <c r="A329" s="153"/>
      <c r="B329" s="50"/>
      <c r="C329" s="17" t="s">
        <v>58</v>
      </c>
      <c r="D329" s="49"/>
      <c r="E329" s="49"/>
      <c r="F329" s="694">
        <f>F308+F317+F299</f>
        <v>664612</v>
      </c>
      <c r="G329" s="390">
        <f>HLOOKUP($G$8,RevenueScenarios,K329,FALSE)</f>
        <v>664612</v>
      </c>
      <c r="H329" s="11"/>
      <c r="I329" s="390">
        <f t="shared" si="7"/>
        <v>0</v>
      </c>
      <c r="J329" s="11"/>
      <c r="K329" s="306">
        <f t="shared" si="6"/>
        <v>322</v>
      </c>
    </row>
    <row r="330" spans="1:11">
      <c r="A330" s="153"/>
      <c r="B330" s="353"/>
      <c r="C330" s="15" t="s">
        <v>28</v>
      </c>
      <c r="D330" s="49"/>
      <c r="E330" s="49"/>
      <c r="F330" s="695">
        <f>F245+F254+F263+F272+F281+F290+F299+F308+F317</f>
        <v>4387075.87</v>
      </c>
      <c r="G330" s="585">
        <f>HLOOKUP($G$8,RevenueScenarios,K330,FALSE)</f>
        <v>4387075.87</v>
      </c>
      <c r="H330" s="194"/>
      <c r="I330" s="585">
        <f t="shared" si="7"/>
        <v>0</v>
      </c>
      <c r="J330" s="11"/>
      <c r="K330" s="306">
        <f t="shared" si="6"/>
        <v>323</v>
      </c>
    </row>
    <row r="331" spans="1:11">
      <c r="A331" s="153"/>
      <c r="B331" s="353"/>
      <c r="C331" s="15"/>
      <c r="D331" s="49"/>
      <c r="E331" s="49"/>
      <c r="F331" s="685"/>
      <c r="G331" s="357"/>
      <c r="H331" s="9"/>
      <c r="I331" s="357">
        <f t="shared" si="7"/>
        <v>0</v>
      </c>
      <c r="J331" s="9"/>
      <c r="K331" s="306">
        <f t="shared" si="6"/>
        <v>324</v>
      </c>
    </row>
    <row r="332" spans="1:11">
      <c r="A332" s="130" t="s">
        <v>29</v>
      </c>
      <c r="B332" s="353"/>
      <c r="C332" s="17"/>
      <c r="D332" s="49"/>
      <c r="E332" s="49"/>
      <c r="F332" s="685"/>
      <c r="G332" s="357"/>
      <c r="H332" s="9"/>
      <c r="I332" s="357">
        <f t="shared" si="7"/>
        <v>0</v>
      </c>
      <c r="J332" s="9"/>
      <c r="K332" s="306">
        <f t="shared" si="6"/>
        <v>325</v>
      </c>
    </row>
    <row r="333" spans="1:11">
      <c r="A333" s="153"/>
      <c r="B333" s="353" t="s">
        <v>81</v>
      </c>
      <c r="C333" s="17" t="s">
        <v>15</v>
      </c>
      <c r="D333" s="49"/>
      <c r="E333" s="49"/>
      <c r="F333" s="685">
        <f>'Booked Dec 2017 Rev'!$T$335</f>
        <v>0</v>
      </c>
      <c r="G333" s="357">
        <f>HLOOKUP($G$8,RevenueScenarios,K333,FALSE)</f>
        <v>0</v>
      </c>
      <c r="H333" s="9"/>
      <c r="I333" s="357">
        <f t="shared" si="7"/>
        <v>0</v>
      </c>
      <c r="J333" s="9"/>
      <c r="K333" s="306">
        <f t="shared" si="6"/>
        <v>326</v>
      </c>
    </row>
    <row r="334" spans="1:11">
      <c r="A334" s="153"/>
      <c r="B334" s="353"/>
      <c r="C334" s="17"/>
      <c r="D334" s="49"/>
      <c r="E334" s="49"/>
      <c r="F334" s="685"/>
      <c r="G334" s="357"/>
      <c r="H334" s="9"/>
      <c r="I334" s="357">
        <f t="shared" si="7"/>
        <v>0</v>
      </c>
      <c r="J334" s="9"/>
      <c r="K334" s="306">
        <f t="shared" si="6"/>
        <v>327</v>
      </c>
    </row>
    <row r="335" spans="1:11">
      <c r="A335" s="153"/>
      <c r="B335" s="353"/>
      <c r="C335" s="17"/>
      <c r="D335" s="49"/>
      <c r="E335" s="49"/>
      <c r="F335" s="685"/>
      <c r="G335" s="357"/>
      <c r="H335" s="9"/>
      <c r="I335" s="357">
        <f t="shared" si="7"/>
        <v>0</v>
      </c>
      <c r="J335" s="9"/>
      <c r="K335" s="306">
        <f t="shared" si="6"/>
        <v>328</v>
      </c>
    </row>
    <row r="336" spans="1:11">
      <c r="A336" s="153"/>
      <c r="B336" s="353"/>
      <c r="C336" s="17"/>
      <c r="D336" s="49"/>
      <c r="E336" s="49"/>
      <c r="F336" s="685"/>
      <c r="G336" s="357"/>
      <c r="H336" s="9"/>
      <c r="I336" s="357">
        <f t="shared" si="7"/>
        <v>0</v>
      </c>
      <c r="J336" s="9"/>
      <c r="K336" s="306">
        <f t="shared" si="6"/>
        <v>329</v>
      </c>
    </row>
    <row r="337" spans="1:11">
      <c r="A337" s="153"/>
      <c r="B337" s="353"/>
      <c r="C337" s="17" t="s">
        <v>17</v>
      </c>
      <c r="D337" s="49"/>
      <c r="E337" s="49"/>
      <c r="F337" s="685">
        <f>'Booked Dec 2017 Rev'!$T$339</f>
        <v>0</v>
      </c>
      <c r="G337" s="357">
        <f>HLOOKUP($G$8,RevenueScenarios,K337,FALSE)</f>
        <v>0</v>
      </c>
      <c r="H337" s="9"/>
      <c r="I337" s="357">
        <f t="shared" si="7"/>
        <v>0</v>
      </c>
      <c r="J337" s="9"/>
      <c r="K337" s="306">
        <f t="shared" si="6"/>
        <v>330</v>
      </c>
    </row>
    <row r="338" spans="1:11">
      <c r="A338" s="153"/>
      <c r="B338" s="353"/>
      <c r="C338" s="17" t="s">
        <v>18</v>
      </c>
      <c r="D338" s="49"/>
      <c r="E338" s="49"/>
      <c r="F338" s="689">
        <f>SUM(F333:F337)</f>
        <v>0</v>
      </c>
      <c r="G338" s="388">
        <f>HLOOKUP($G$8,RevenueScenarios,K338,FALSE)</f>
        <v>0</v>
      </c>
      <c r="H338" s="157"/>
      <c r="I338" s="388">
        <f t="shared" si="7"/>
        <v>0</v>
      </c>
      <c r="J338" s="9"/>
      <c r="K338" s="306">
        <f t="shared" si="6"/>
        <v>331</v>
      </c>
    </row>
    <row r="339" spans="1:11">
      <c r="A339" s="153"/>
      <c r="B339" s="353"/>
      <c r="C339" s="17"/>
      <c r="D339" s="49"/>
      <c r="E339" s="49"/>
      <c r="F339" s="685"/>
      <c r="G339" s="357"/>
      <c r="H339" s="9"/>
      <c r="I339" s="357">
        <f t="shared" si="7"/>
        <v>0</v>
      </c>
      <c r="J339" s="9"/>
      <c r="K339" s="306">
        <f t="shared" si="6"/>
        <v>332</v>
      </c>
    </row>
    <row r="340" spans="1:11">
      <c r="A340" s="153"/>
      <c r="B340" s="353"/>
      <c r="C340" s="17" t="s">
        <v>19</v>
      </c>
      <c r="D340" s="49"/>
      <c r="E340" s="49"/>
      <c r="F340" s="685">
        <f>'Booked Dec 2017 Rev'!$T$342</f>
        <v>0</v>
      </c>
      <c r="G340" s="357">
        <f>HLOOKUP($G$8,RevenueScenarios,K340,FALSE)</f>
        <v>0</v>
      </c>
      <c r="H340" s="9"/>
      <c r="I340" s="357">
        <f t="shared" si="7"/>
        <v>0</v>
      </c>
      <c r="J340" s="9"/>
      <c r="K340" s="306">
        <f t="shared" si="6"/>
        <v>333</v>
      </c>
    </row>
    <row r="341" spans="1:11">
      <c r="A341" s="153"/>
      <c r="B341" s="353"/>
      <c r="C341" s="17"/>
      <c r="D341" s="49"/>
      <c r="E341" s="49"/>
      <c r="F341" s="685"/>
      <c r="G341" s="357"/>
      <c r="H341" s="9"/>
      <c r="I341" s="357">
        <f t="shared" si="7"/>
        <v>0</v>
      </c>
      <c r="J341" s="9"/>
      <c r="K341" s="306">
        <f t="shared" si="6"/>
        <v>334</v>
      </c>
    </row>
    <row r="342" spans="1:11">
      <c r="A342" s="153"/>
      <c r="B342" s="353" t="s">
        <v>25</v>
      </c>
      <c r="C342" s="17" t="s">
        <v>15</v>
      </c>
      <c r="D342" s="49"/>
      <c r="E342" s="49"/>
      <c r="F342" s="685">
        <f>'Booked Dec 2017 Rev'!$T$344</f>
        <v>0</v>
      </c>
      <c r="G342" s="357">
        <f>HLOOKUP($G$8,RevenueScenarios,K342,FALSE)</f>
        <v>0</v>
      </c>
      <c r="H342" s="9"/>
      <c r="I342" s="357">
        <f t="shared" si="7"/>
        <v>0</v>
      </c>
      <c r="J342" s="9"/>
      <c r="K342" s="306">
        <f t="shared" si="6"/>
        <v>335</v>
      </c>
    </row>
    <row r="343" spans="1:11">
      <c r="A343" s="153"/>
      <c r="B343" s="353"/>
      <c r="C343" s="17"/>
      <c r="D343" s="49"/>
      <c r="E343" s="49"/>
      <c r="F343" s="685"/>
      <c r="G343" s="357"/>
      <c r="H343" s="9"/>
      <c r="I343" s="357">
        <f t="shared" si="7"/>
        <v>0</v>
      </c>
      <c r="J343" s="9"/>
      <c r="K343" s="306">
        <f t="shared" si="6"/>
        <v>336</v>
      </c>
    </row>
    <row r="344" spans="1:11">
      <c r="A344" s="153"/>
      <c r="B344" s="353"/>
      <c r="C344" s="17"/>
      <c r="D344" s="49"/>
      <c r="E344" s="49"/>
      <c r="F344" s="685"/>
      <c r="G344" s="357"/>
      <c r="H344" s="9"/>
      <c r="I344" s="357">
        <f t="shared" si="7"/>
        <v>0</v>
      </c>
      <c r="J344" s="9"/>
      <c r="K344" s="306">
        <f t="shared" si="6"/>
        <v>337</v>
      </c>
    </row>
    <row r="345" spans="1:11">
      <c r="A345" s="153"/>
      <c r="B345" s="353"/>
      <c r="C345" s="17"/>
      <c r="D345" s="49"/>
      <c r="E345" s="49"/>
      <c r="F345" s="685"/>
      <c r="G345" s="357"/>
      <c r="H345" s="9"/>
      <c r="I345" s="357">
        <f t="shared" si="7"/>
        <v>0</v>
      </c>
      <c r="J345" s="9"/>
      <c r="K345" s="306">
        <f t="shared" si="6"/>
        <v>338</v>
      </c>
    </row>
    <row r="346" spans="1:11">
      <c r="A346" s="153"/>
      <c r="B346" s="353"/>
      <c r="C346" s="17" t="s">
        <v>17</v>
      </c>
      <c r="D346" s="49"/>
      <c r="E346" s="49"/>
      <c r="F346" s="685">
        <f>'Booked Dec 2017 Rev'!$T$348</f>
        <v>0</v>
      </c>
      <c r="G346" s="357">
        <f>HLOOKUP($G$8,RevenueScenarios,K346,FALSE)</f>
        <v>0</v>
      </c>
      <c r="H346" s="9"/>
      <c r="I346" s="357">
        <f t="shared" si="7"/>
        <v>0</v>
      </c>
      <c r="J346" s="9"/>
      <c r="K346" s="306">
        <f t="shared" si="6"/>
        <v>339</v>
      </c>
    </row>
    <row r="347" spans="1:11">
      <c r="A347" s="153"/>
      <c r="B347" s="353"/>
      <c r="C347" s="17" t="s">
        <v>18</v>
      </c>
      <c r="D347" s="49"/>
      <c r="E347" s="49"/>
      <c r="F347" s="689">
        <f>SUM(F342:F346)</f>
        <v>0</v>
      </c>
      <c r="G347" s="388">
        <f>HLOOKUP($G$8,RevenueScenarios,K347,FALSE)</f>
        <v>0</v>
      </c>
      <c r="H347" s="157"/>
      <c r="I347" s="388">
        <f t="shared" si="7"/>
        <v>0</v>
      </c>
      <c r="J347" s="9"/>
      <c r="K347" s="306">
        <f t="shared" si="6"/>
        <v>340</v>
      </c>
    </row>
    <row r="348" spans="1:11">
      <c r="A348" s="153"/>
      <c r="B348" s="353"/>
      <c r="C348" s="17"/>
      <c r="D348" s="49"/>
      <c r="E348" s="49"/>
      <c r="F348" s="685"/>
      <c r="G348" s="357"/>
      <c r="H348" s="9"/>
      <c r="I348" s="357">
        <f t="shared" si="7"/>
        <v>0</v>
      </c>
      <c r="J348" s="9"/>
      <c r="K348" s="306">
        <f t="shared" ref="K348:K411" si="8">+K347+1</f>
        <v>341</v>
      </c>
    </row>
    <row r="349" spans="1:11">
      <c r="A349" s="153"/>
      <c r="B349" s="353"/>
      <c r="C349" s="17" t="s">
        <v>19</v>
      </c>
      <c r="D349" s="49"/>
      <c r="E349" s="49"/>
      <c r="F349" s="685">
        <f>'Booked Dec 2017 Rev'!$T$351</f>
        <v>0</v>
      </c>
      <c r="G349" s="357">
        <f>HLOOKUP($G$8,RevenueScenarios,K349,FALSE)</f>
        <v>0</v>
      </c>
      <c r="H349" s="9"/>
      <c r="I349" s="357">
        <f t="shared" si="7"/>
        <v>0</v>
      </c>
      <c r="J349" s="9"/>
      <c r="K349" s="306">
        <f t="shared" si="8"/>
        <v>342</v>
      </c>
    </row>
    <row r="350" spans="1:11" ht="13.5" thickBot="1">
      <c r="A350" s="153"/>
      <c r="B350" s="353"/>
      <c r="C350" s="17"/>
      <c r="D350" s="49"/>
      <c r="E350" s="49"/>
      <c r="F350" s="690">
        <f>'Booked Dec 2017 Rev'!$T$350</f>
        <v>0</v>
      </c>
      <c r="G350" s="579"/>
      <c r="H350" s="26"/>
      <c r="I350" s="579">
        <f t="shared" si="7"/>
        <v>0</v>
      </c>
      <c r="J350" s="9"/>
      <c r="K350" s="306">
        <f t="shared" si="8"/>
        <v>343</v>
      </c>
    </row>
    <row r="351" spans="1:11" ht="13.5" thickTop="1">
      <c r="A351" s="153"/>
      <c r="B351" s="50" t="s">
        <v>536</v>
      </c>
      <c r="C351" s="17"/>
      <c r="D351" s="49"/>
      <c r="E351" s="49"/>
      <c r="F351" s="685"/>
      <c r="G351" s="357"/>
      <c r="H351" s="9"/>
      <c r="I351" s="357">
        <f t="shared" ref="I351:I371" si="9">G351-F351</f>
        <v>0</v>
      </c>
      <c r="J351" s="9"/>
      <c r="K351" s="306">
        <f t="shared" si="8"/>
        <v>344</v>
      </c>
    </row>
    <row r="352" spans="1:11">
      <c r="A352" s="153"/>
      <c r="B352" s="353"/>
      <c r="C352" s="17" t="s">
        <v>15</v>
      </c>
      <c r="D352" s="49"/>
      <c r="E352" s="49"/>
      <c r="F352" s="685">
        <f>F333+F342</f>
        <v>0</v>
      </c>
      <c r="G352" s="357">
        <f>HLOOKUP($G$8,RevenueScenarios,K352,FALSE)</f>
        <v>0</v>
      </c>
      <c r="H352" s="9"/>
      <c r="I352" s="357">
        <f t="shared" si="9"/>
        <v>0</v>
      </c>
      <c r="J352" s="9"/>
      <c r="K352" s="306">
        <f t="shared" si="8"/>
        <v>345</v>
      </c>
    </row>
    <row r="353" spans="1:11">
      <c r="A353" s="153"/>
      <c r="B353" s="353"/>
      <c r="C353" s="17" t="s">
        <v>17</v>
      </c>
      <c r="D353" s="49"/>
      <c r="E353" s="49"/>
      <c r="F353" s="685">
        <f>F336+F345</f>
        <v>0</v>
      </c>
      <c r="G353" s="357">
        <f>HLOOKUP($G$8,RevenueScenarios,K353,FALSE)</f>
        <v>0</v>
      </c>
      <c r="H353" s="9"/>
      <c r="I353" s="357">
        <f t="shared" si="9"/>
        <v>0</v>
      </c>
      <c r="J353" s="9"/>
      <c r="K353" s="306">
        <f t="shared" si="8"/>
        <v>346</v>
      </c>
    </row>
    <row r="354" spans="1:11">
      <c r="A354" s="153"/>
      <c r="B354" s="353"/>
      <c r="C354" s="15" t="s">
        <v>30</v>
      </c>
      <c r="D354" s="49"/>
      <c r="E354" s="49"/>
      <c r="F354" s="689">
        <f>F338+F347</f>
        <v>0</v>
      </c>
      <c r="G354" s="388">
        <f>HLOOKUP($G$8,RevenueScenarios,K354,FALSE)</f>
        <v>0</v>
      </c>
      <c r="H354" s="157"/>
      <c r="I354" s="388">
        <f t="shared" si="9"/>
        <v>0</v>
      </c>
      <c r="J354" s="9"/>
      <c r="K354" s="306">
        <f t="shared" si="8"/>
        <v>347</v>
      </c>
    </row>
    <row r="355" spans="1:11">
      <c r="A355" s="153"/>
      <c r="B355" s="353"/>
      <c r="C355" s="15"/>
      <c r="D355" s="49"/>
      <c r="E355" s="49"/>
      <c r="F355" s="685"/>
      <c r="G355" s="357"/>
      <c r="H355" s="9"/>
      <c r="I355" s="357">
        <f t="shared" si="9"/>
        <v>0</v>
      </c>
      <c r="J355" s="9"/>
      <c r="K355" s="306">
        <f t="shared" si="8"/>
        <v>348</v>
      </c>
    </row>
    <row r="356" spans="1:11">
      <c r="A356" s="153"/>
      <c r="B356" s="353"/>
      <c r="C356" s="27" t="s">
        <v>57</v>
      </c>
      <c r="D356" s="49"/>
      <c r="E356" s="49"/>
      <c r="F356" s="685">
        <f>F340</f>
        <v>0</v>
      </c>
      <c r="G356" s="357">
        <f>HLOOKUP($G$8,RevenueScenarios,K356,FALSE)</f>
        <v>0</v>
      </c>
      <c r="H356" s="9"/>
      <c r="I356" s="357">
        <f t="shared" si="9"/>
        <v>0</v>
      </c>
      <c r="J356" s="9"/>
      <c r="K356" s="306">
        <f t="shared" si="8"/>
        <v>349</v>
      </c>
    </row>
    <row r="357" spans="1:11">
      <c r="A357" s="153"/>
      <c r="B357" s="353"/>
      <c r="C357" s="17" t="s">
        <v>58</v>
      </c>
      <c r="D357" s="49"/>
      <c r="E357" s="49"/>
      <c r="F357" s="685">
        <f>F349</f>
        <v>0</v>
      </c>
      <c r="G357" s="357">
        <f>HLOOKUP($G$8,RevenueScenarios,K357,FALSE)</f>
        <v>0</v>
      </c>
      <c r="H357" s="9"/>
      <c r="I357" s="357">
        <f t="shared" si="9"/>
        <v>0</v>
      </c>
      <c r="J357" s="9"/>
      <c r="K357" s="306">
        <f t="shared" si="8"/>
        <v>350</v>
      </c>
    </row>
    <row r="358" spans="1:11">
      <c r="A358" s="153"/>
      <c r="B358" s="353"/>
      <c r="C358" s="15" t="s">
        <v>31</v>
      </c>
      <c r="D358" s="49"/>
      <c r="E358" s="49"/>
      <c r="F358" s="689">
        <f>F340+F349</f>
        <v>0</v>
      </c>
      <c r="G358" s="388">
        <f>HLOOKUP($G$8,RevenueScenarios,K358,FALSE)</f>
        <v>0</v>
      </c>
      <c r="H358" s="157"/>
      <c r="I358" s="388">
        <f t="shared" si="9"/>
        <v>0</v>
      </c>
      <c r="J358" s="9"/>
      <c r="K358" s="306">
        <f t="shared" si="8"/>
        <v>351</v>
      </c>
    </row>
    <row r="359" spans="1:11" ht="13.5" thickBot="1">
      <c r="A359" s="153"/>
      <c r="B359" s="353"/>
      <c r="C359" s="17"/>
      <c r="D359" s="49"/>
      <c r="E359" s="49"/>
      <c r="F359" s="690"/>
      <c r="G359" s="579"/>
      <c r="H359" s="26"/>
      <c r="I359" s="579">
        <f t="shared" si="9"/>
        <v>0</v>
      </c>
      <c r="J359" s="9"/>
      <c r="K359" s="306">
        <f t="shared" si="8"/>
        <v>352</v>
      </c>
    </row>
    <row r="360" spans="1:11" ht="13.5" thickTop="1">
      <c r="A360" s="130" t="s">
        <v>32</v>
      </c>
      <c r="B360" s="353"/>
      <c r="C360" s="17"/>
      <c r="D360" s="49"/>
      <c r="E360" s="49"/>
      <c r="F360" s="685"/>
      <c r="G360" s="357"/>
      <c r="H360" s="9"/>
      <c r="I360" s="357">
        <f t="shared" si="9"/>
        <v>0</v>
      </c>
      <c r="J360" s="9"/>
      <c r="K360" s="306">
        <f t="shared" si="8"/>
        <v>353</v>
      </c>
    </row>
    <row r="361" spans="1:11">
      <c r="A361" s="153"/>
      <c r="B361" s="50" t="s">
        <v>647</v>
      </c>
      <c r="C361" s="17"/>
      <c r="D361" s="49"/>
      <c r="E361" s="49"/>
      <c r="F361" s="305"/>
      <c r="G361" s="357"/>
      <c r="H361" s="305"/>
      <c r="I361" s="357">
        <f t="shared" si="9"/>
        <v>0</v>
      </c>
      <c r="J361" s="9"/>
      <c r="K361" s="306">
        <f t="shared" si="8"/>
        <v>354</v>
      </c>
    </row>
    <row r="362" spans="1:11">
      <c r="A362" s="153"/>
      <c r="B362" s="353"/>
      <c r="C362" s="17" t="s">
        <v>15</v>
      </c>
      <c r="D362" s="49"/>
      <c r="E362" s="49"/>
      <c r="F362" s="685">
        <f>F199+F228+F322+F352</f>
        <v>379431194.95652229</v>
      </c>
      <c r="G362" s="357">
        <f>HLOOKUP($G$8,RevenueScenarios,K362,FALSE)</f>
        <v>379431194.95652229</v>
      </c>
      <c r="H362" s="9"/>
      <c r="I362" s="357">
        <f t="shared" si="9"/>
        <v>0</v>
      </c>
      <c r="J362" s="9"/>
      <c r="K362" s="306">
        <f t="shared" si="8"/>
        <v>355</v>
      </c>
    </row>
    <row r="363" spans="1:11">
      <c r="A363" s="153"/>
      <c r="B363" s="353"/>
      <c r="C363" s="17" t="s">
        <v>16</v>
      </c>
      <c r="D363" s="49"/>
      <c r="E363" s="49"/>
      <c r="F363" s="685">
        <f>F200+F229+F323</f>
        <v>104646790.0980107</v>
      </c>
      <c r="G363" s="357">
        <f>HLOOKUP($G$8,RevenueScenarios,K363,FALSE)</f>
        <v>104646790.0980107</v>
      </c>
      <c r="H363" s="9"/>
      <c r="I363" s="357">
        <f t="shared" si="9"/>
        <v>0</v>
      </c>
      <c r="J363" s="9"/>
      <c r="K363" s="306">
        <f t="shared" si="8"/>
        <v>356</v>
      </c>
    </row>
    <row r="364" spans="1:11">
      <c r="A364" s="153"/>
      <c r="B364" s="353"/>
      <c r="C364" s="17" t="s">
        <v>755</v>
      </c>
      <c r="D364" s="49"/>
      <c r="E364" s="49"/>
      <c r="F364" s="685">
        <f>F324</f>
        <v>124446</v>
      </c>
      <c r="G364" s="357">
        <f>HLOOKUP($G$8,RevenueScenarios,K364,FALSE)</f>
        <v>124446</v>
      </c>
      <c r="H364" s="9"/>
      <c r="I364" s="357">
        <f t="shared" si="9"/>
        <v>0</v>
      </c>
      <c r="J364" s="9"/>
      <c r="K364" s="306">
        <f t="shared" si="8"/>
        <v>357</v>
      </c>
    </row>
    <row r="365" spans="1:11">
      <c r="A365" s="153"/>
      <c r="B365" s="353"/>
      <c r="C365" s="17" t="s">
        <v>17</v>
      </c>
      <c r="D365" s="49"/>
      <c r="E365" s="49"/>
      <c r="F365" s="685">
        <f>F201+F230+F325+F353</f>
        <v>431437243.065467</v>
      </c>
      <c r="G365" s="357">
        <f>HLOOKUP($G$8,RevenueScenarios,K365,FALSE)</f>
        <v>431437243.065467</v>
      </c>
      <c r="H365" s="9"/>
      <c r="I365" s="357">
        <f t="shared" si="9"/>
        <v>0</v>
      </c>
      <c r="J365" s="9"/>
      <c r="K365" s="306">
        <f t="shared" si="8"/>
        <v>358</v>
      </c>
    </row>
    <row r="366" spans="1:11" ht="13.5" thickBot="1">
      <c r="A366" s="153"/>
      <c r="B366" s="353"/>
      <c r="C366" s="17"/>
      <c r="D366" s="49">
        <f>+AW362+AW364</f>
        <v>0</v>
      </c>
      <c r="E366" s="49"/>
      <c r="F366" s="696"/>
      <c r="G366" s="580"/>
      <c r="H366" s="175"/>
      <c r="I366" s="580">
        <f t="shared" si="9"/>
        <v>0</v>
      </c>
      <c r="J366" s="9"/>
      <c r="K366" s="306">
        <f t="shared" si="8"/>
        <v>359</v>
      </c>
    </row>
    <row r="367" spans="1:11">
      <c r="A367" s="153"/>
      <c r="B367" s="353"/>
      <c r="C367" s="15" t="s">
        <v>647</v>
      </c>
      <c r="D367" s="49"/>
      <c r="E367" s="49"/>
      <c r="F367" s="685">
        <f>SUM(F362:F366)</f>
        <v>915639674.12</v>
      </c>
      <c r="G367" s="357">
        <f>HLOOKUP($G$8,RevenueScenarios,K367,FALSE)</f>
        <v>915639674.12</v>
      </c>
      <c r="H367" s="9"/>
      <c r="I367" s="357">
        <f t="shared" si="9"/>
        <v>0</v>
      </c>
      <c r="J367" s="9"/>
      <c r="K367" s="306">
        <f t="shared" si="8"/>
        <v>360</v>
      </c>
    </row>
    <row r="368" spans="1:11">
      <c r="A368" s="153"/>
      <c r="B368" s="50" t="s">
        <v>142</v>
      </c>
      <c r="C368" s="15"/>
      <c r="D368" s="49"/>
      <c r="E368" s="49"/>
      <c r="F368" s="685"/>
      <c r="G368" s="357"/>
      <c r="H368" s="9"/>
      <c r="I368" s="357">
        <f t="shared" si="9"/>
        <v>0</v>
      </c>
      <c r="J368" s="9"/>
      <c r="K368" s="306">
        <f t="shared" si="8"/>
        <v>361</v>
      </c>
    </row>
    <row r="369" spans="1:11">
      <c r="A369" s="153"/>
      <c r="B369" s="353"/>
      <c r="C369" s="27" t="s">
        <v>57</v>
      </c>
      <c r="D369" s="49"/>
      <c r="E369" s="49"/>
      <c r="F369" s="685">
        <f t="shared" ref="F369:F371" si="10">F204+F233+F328+F356</f>
        <v>105750543.48</v>
      </c>
      <c r="G369" s="357">
        <f>HLOOKUP($G$8,RevenueScenarios,K369,FALSE)</f>
        <v>105750543.48</v>
      </c>
      <c r="H369" s="9"/>
      <c r="I369" s="357">
        <f t="shared" si="9"/>
        <v>0</v>
      </c>
      <c r="J369" s="9"/>
      <c r="K369" s="306">
        <f t="shared" si="8"/>
        <v>362</v>
      </c>
    </row>
    <row r="370" spans="1:11">
      <c r="A370" s="153"/>
      <c r="B370" s="353"/>
      <c r="C370" s="17" t="s">
        <v>58</v>
      </c>
      <c r="D370" s="49"/>
      <c r="E370" s="49"/>
      <c r="F370" s="685">
        <f t="shared" si="10"/>
        <v>76744935</v>
      </c>
      <c r="G370" s="357">
        <f>HLOOKUP($G$8,RevenueScenarios,K370,FALSE)</f>
        <v>76744935</v>
      </c>
      <c r="H370" s="9"/>
      <c r="I370" s="357">
        <f t="shared" si="9"/>
        <v>0</v>
      </c>
      <c r="J370" s="9"/>
      <c r="K370" s="306">
        <f t="shared" si="8"/>
        <v>363</v>
      </c>
    </row>
    <row r="371" spans="1:11">
      <c r="A371" s="153"/>
      <c r="B371" s="46"/>
      <c r="C371" s="15"/>
      <c r="D371" s="49"/>
      <c r="E371" s="49"/>
      <c r="F371" s="689">
        <f t="shared" si="10"/>
        <v>182495478.48000002</v>
      </c>
      <c r="G371" s="388">
        <f>HLOOKUP($G$8,RevenueScenarios,K371,FALSE)</f>
        <v>182495478.48000002</v>
      </c>
      <c r="H371" s="157"/>
      <c r="I371" s="388">
        <f t="shared" si="9"/>
        <v>0</v>
      </c>
      <c r="J371" s="9"/>
      <c r="K371" s="306">
        <f t="shared" si="8"/>
        <v>364</v>
      </c>
    </row>
    <row r="372" spans="1:11">
      <c r="A372" s="2"/>
      <c r="B372" s="2"/>
      <c r="C372" s="2"/>
      <c r="D372" s="2"/>
      <c r="E372" s="2"/>
      <c r="G372" s="2"/>
      <c r="H372" s="2"/>
      <c r="I372" s="2"/>
      <c r="J372" s="2"/>
      <c r="K372" s="306">
        <f t="shared" si="8"/>
        <v>365</v>
      </c>
    </row>
    <row r="373" spans="1:11">
      <c r="A373" s="2"/>
      <c r="B373" s="2" t="s">
        <v>139</v>
      </c>
      <c r="C373" s="2" t="s">
        <v>14</v>
      </c>
      <c r="D373" s="2" t="s">
        <v>520</v>
      </c>
      <c r="E373" s="2"/>
      <c r="G373" s="357">
        <f t="shared" ref="G373:G405" si="11">HLOOKUP($G$8,RevenueScenarios,K373,FALSE)</f>
        <v>0</v>
      </c>
      <c r="H373" s="9"/>
      <c r="I373" s="357">
        <f t="shared" ref="I373:I405" si="12">G373-F373</f>
        <v>0</v>
      </c>
      <c r="J373" s="2"/>
      <c r="K373" s="306">
        <f t="shared" si="8"/>
        <v>366</v>
      </c>
    </row>
    <row r="374" spans="1:11">
      <c r="A374" s="2"/>
      <c r="B374" s="2" t="s">
        <v>139</v>
      </c>
      <c r="C374" s="2" t="s">
        <v>796</v>
      </c>
      <c r="D374" s="2" t="s">
        <v>520</v>
      </c>
      <c r="E374" s="2"/>
      <c r="G374" s="357">
        <f t="shared" si="11"/>
        <v>0</v>
      </c>
      <c r="H374" s="9"/>
      <c r="I374" s="357">
        <f t="shared" si="12"/>
        <v>0</v>
      </c>
      <c r="J374" s="2"/>
      <c r="K374" s="306">
        <f t="shared" si="8"/>
        <v>367</v>
      </c>
    </row>
    <row r="375" spans="1:11">
      <c r="A375" s="2"/>
      <c r="B375" s="2" t="s">
        <v>139</v>
      </c>
      <c r="C375" s="2" t="s">
        <v>887</v>
      </c>
      <c r="D375" s="2" t="s">
        <v>520</v>
      </c>
      <c r="E375" s="2"/>
      <c r="G375" s="357">
        <f t="shared" si="11"/>
        <v>0</v>
      </c>
      <c r="H375" s="9"/>
      <c r="I375" s="357">
        <f t="shared" si="12"/>
        <v>0</v>
      </c>
      <c r="J375" s="2"/>
      <c r="K375" s="306">
        <f t="shared" si="8"/>
        <v>368</v>
      </c>
    </row>
    <row r="376" spans="1:11">
      <c r="A376" s="2"/>
      <c r="B376" s="2" t="s">
        <v>139</v>
      </c>
      <c r="C376" s="2" t="s">
        <v>666</v>
      </c>
      <c r="D376" s="2" t="s">
        <v>520</v>
      </c>
      <c r="E376" s="2"/>
      <c r="G376" s="357">
        <f t="shared" si="11"/>
        <v>0</v>
      </c>
      <c r="H376" s="9"/>
      <c r="I376" s="357">
        <f t="shared" si="12"/>
        <v>0</v>
      </c>
      <c r="J376" s="2"/>
      <c r="K376" s="306">
        <f t="shared" si="8"/>
        <v>369</v>
      </c>
    </row>
    <row r="377" spans="1:11">
      <c r="A377" s="2"/>
      <c r="B377" s="2" t="s">
        <v>139</v>
      </c>
      <c r="C377" s="2" t="s">
        <v>798</v>
      </c>
      <c r="D377" s="2" t="s">
        <v>520</v>
      </c>
      <c r="E377" s="2"/>
      <c r="G377" s="357">
        <f t="shared" si="11"/>
        <v>0</v>
      </c>
      <c r="H377" s="9"/>
      <c r="I377" s="357">
        <f t="shared" si="12"/>
        <v>0</v>
      </c>
      <c r="J377" s="2"/>
      <c r="K377" s="306">
        <f t="shared" si="8"/>
        <v>370</v>
      </c>
    </row>
    <row r="378" spans="1:11">
      <c r="A378" s="2"/>
      <c r="B378" s="2" t="s">
        <v>139</v>
      </c>
      <c r="C378" s="2" t="s">
        <v>4</v>
      </c>
      <c r="D378" s="2" t="s">
        <v>520</v>
      </c>
      <c r="E378" s="2"/>
      <c r="G378" s="357">
        <f t="shared" si="11"/>
        <v>0</v>
      </c>
      <c r="H378" s="9"/>
      <c r="I378" s="357">
        <f t="shared" si="12"/>
        <v>0</v>
      </c>
      <c r="J378" s="2"/>
      <c r="K378" s="306">
        <f t="shared" si="8"/>
        <v>371</v>
      </c>
    </row>
    <row r="379" spans="1:11">
      <c r="A379" s="2"/>
      <c r="B379" s="2" t="s">
        <v>139</v>
      </c>
      <c r="C379" s="2" t="s">
        <v>80</v>
      </c>
      <c r="D379" s="2" t="s">
        <v>520</v>
      </c>
      <c r="E379" s="2"/>
      <c r="G379" s="357">
        <f t="shared" si="11"/>
        <v>0</v>
      </c>
      <c r="H379" s="9"/>
      <c r="I379" s="357">
        <f t="shared" si="12"/>
        <v>0</v>
      </c>
      <c r="J379" s="2"/>
      <c r="K379" s="306">
        <f t="shared" si="8"/>
        <v>372</v>
      </c>
    </row>
    <row r="380" spans="1:11">
      <c r="A380" s="2"/>
      <c r="B380" s="2" t="s">
        <v>139</v>
      </c>
      <c r="C380" s="2" t="s">
        <v>84</v>
      </c>
      <c r="D380" s="2" t="s">
        <v>520</v>
      </c>
      <c r="E380" s="2"/>
      <c r="G380" s="357">
        <f t="shared" si="11"/>
        <v>0</v>
      </c>
      <c r="H380" s="9"/>
      <c r="I380" s="357">
        <f t="shared" si="12"/>
        <v>0</v>
      </c>
      <c r="J380" s="2"/>
      <c r="K380" s="306">
        <f t="shared" si="8"/>
        <v>373</v>
      </c>
    </row>
    <row r="381" spans="1:11">
      <c r="A381" s="2"/>
      <c r="B381" s="2" t="s">
        <v>139</v>
      </c>
      <c r="C381" s="2" t="s">
        <v>556</v>
      </c>
      <c r="D381" s="2" t="s">
        <v>520</v>
      </c>
      <c r="E381" s="2"/>
      <c r="G381" s="357">
        <f t="shared" si="11"/>
        <v>0</v>
      </c>
      <c r="H381" s="9"/>
      <c r="I381" s="357">
        <f t="shared" si="12"/>
        <v>0</v>
      </c>
      <c r="J381" s="2"/>
      <c r="K381" s="306">
        <f t="shared" si="8"/>
        <v>374</v>
      </c>
    </row>
    <row r="382" spans="1:11">
      <c r="A382" s="2"/>
      <c r="B382" s="2" t="s">
        <v>139</v>
      </c>
      <c r="C382" s="2" t="s">
        <v>678</v>
      </c>
      <c r="D382" s="2" t="s">
        <v>520</v>
      </c>
      <c r="E382" s="2"/>
      <c r="G382" s="357">
        <f t="shared" si="11"/>
        <v>0</v>
      </c>
      <c r="H382" s="9"/>
      <c r="I382" s="357">
        <f t="shared" si="12"/>
        <v>0</v>
      </c>
      <c r="J382" s="2"/>
      <c r="K382" s="306">
        <f t="shared" si="8"/>
        <v>375</v>
      </c>
    </row>
    <row r="383" spans="1:11">
      <c r="A383" s="2"/>
      <c r="B383" s="2" t="s">
        <v>139</v>
      </c>
      <c r="C383" s="2" t="s">
        <v>10</v>
      </c>
      <c r="D383" s="2" t="s">
        <v>520</v>
      </c>
      <c r="E383" s="2"/>
      <c r="G383" s="357">
        <f t="shared" si="11"/>
        <v>0</v>
      </c>
      <c r="H383" s="9"/>
      <c r="I383" s="357">
        <f t="shared" si="12"/>
        <v>0</v>
      </c>
      <c r="J383" s="2"/>
      <c r="K383" s="306">
        <f t="shared" si="8"/>
        <v>376</v>
      </c>
    </row>
    <row r="384" spans="1:11">
      <c r="A384" s="2"/>
      <c r="B384" s="2" t="s">
        <v>139</v>
      </c>
      <c r="C384" s="2" t="s">
        <v>667</v>
      </c>
      <c r="D384" s="2" t="s">
        <v>520</v>
      </c>
      <c r="E384" s="2"/>
      <c r="G384" s="357">
        <f t="shared" si="11"/>
        <v>0</v>
      </c>
      <c r="H384" s="9"/>
      <c r="I384" s="357">
        <f t="shared" si="12"/>
        <v>0</v>
      </c>
      <c r="J384" s="2"/>
      <c r="K384" s="306">
        <f t="shared" si="8"/>
        <v>377</v>
      </c>
    </row>
    <row r="385" spans="1:11">
      <c r="A385" s="2"/>
      <c r="B385" s="2" t="s">
        <v>139</v>
      </c>
      <c r="C385" s="2" t="s">
        <v>83</v>
      </c>
      <c r="D385" s="2" t="s">
        <v>520</v>
      </c>
      <c r="E385" s="2"/>
      <c r="G385" s="357">
        <f t="shared" si="11"/>
        <v>0</v>
      </c>
      <c r="H385" s="9"/>
      <c r="I385" s="357">
        <f t="shared" si="12"/>
        <v>0</v>
      </c>
      <c r="J385" s="2"/>
      <c r="K385" s="306">
        <f t="shared" si="8"/>
        <v>378</v>
      </c>
    </row>
    <row r="386" spans="1:11">
      <c r="A386" s="2"/>
      <c r="B386" s="2" t="s">
        <v>139</v>
      </c>
      <c r="C386" s="2" t="s">
        <v>118</v>
      </c>
      <c r="D386" s="2" t="s">
        <v>520</v>
      </c>
      <c r="E386" s="2"/>
      <c r="G386" s="357">
        <f t="shared" si="11"/>
        <v>0</v>
      </c>
      <c r="H386" s="9"/>
      <c r="I386" s="357">
        <f t="shared" si="12"/>
        <v>0</v>
      </c>
      <c r="J386" s="2"/>
      <c r="K386" s="306">
        <f t="shared" si="8"/>
        <v>379</v>
      </c>
    </row>
    <row r="387" spans="1:11">
      <c r="A387" s="2"/>
      <c r="B387" s="2" t="s">
        <v>139</v>
      </c>
      <c r="C387" s="2" t="s">
        <v>76</v>
      </c>
      <c r="D387" s="2" t="s">
        <v>520</v>
      </c>
      <c r="E387" s="2"/>
      <c r="G387" s="357">
        <f t="shared" si="11"/>
        <v>0</v>
      </c>
      <c r="H387" s="9"/>
      <c r="I387" s="357">
        <f t="shared" si="12"/>
        <v>0</v>
      </c>
      <c r="J387" s="2"/>
      <c r="K387" s="306">
        <f t="shared" si="8"/>
        <v>380</v>
      </c>
    </row>
    <row r="388" spans="1:11">
      <c r="A388" s="2"/>
      <c r="B388" s="2" t="s">
        <v>139</v>
      </c>
      <c r="C388" s="2" t="s">
        <v>77</v>
      </c>
      <c r="D388" s="2" t="s">
        <v>520</v>
      </c>
      <c r="E388" s="2"/>
      <c r="G388" s="357">
        <f t="shared" si="11"/>
        <v>0</v>
      </c>
      <c r="H388" s="9"/>
      <c r="I388" s="357">
        <f t="shared" si="12"/>
        <v>0</v>
      </c>
      <c r="J388" s="2"/>
      <c r="K388" s="306">
        <f t="shared" si="8"/>
        <v>381</v>
      </c>
    </row>
    <row r="389" spans="1:11">
      <c r="A389" s="2"/>
      <c r="B389" s="2" t="s">
        <v>895</v>
      </c>
      <c r="C389" s="2"/>
      <c r="D389" s="2"/>
      <c r="E389" s="2"/>
      <c r="G389" s="357">
        <f t="shared" si="11"/>
        <v>0</v>
      </c>
      <c r="H389" s="9"/>
      <c r="I389" s="357">
        <f t="shared" si="12"/>
        <v>0</v>
      </c>
      <c r="J389" s="2"/>
      <c r="K389" s="306">
        <f t="shared" si="8"/>
        <v>382</v>
      </c>
    </row>
    <row r="390" spans="1:11">
      <c r="A390" s="2"/>
      <c r="B390" s="2" t="s">
        <v>896</v>
      </c>
      <c r="C390" s="2" t="s">
        <v>13</v>
      </c>
      <c r="D390" s="2" t="s">
        <v>520</v>
      </c>
      <c r="E390" s="2"/>
      <c r="G390" s="357">
        <f t="shared" si="11"/>
        <v>0</v>
      </c>
      <c r="H390" s="9"/>
      <c r="I390" s="357">
        <f t="shared" si="12"/>
        <v>0</v>
      </c>
      <c r="J390" s="2"/>
      <c r="K390" s="306">
        <f t="shared" si="8"/>
        <v>383</v>
      </c>
    </row>
    <row r="391" spans="1:11">
      <c r="A391" s="2"/>
      <c r="B391" s="2" t="s">
        <v>897</v>
      </c>
      <c r="C391" s="2"/>
      <c r="D391" s="2"/>
      <c r="E391" s="2"/>
      <c r="G391" s="357">
        <f t="shared" si="11"/>
        <v>0</v>
      </c>
      <c r="H391" s="9"/>
      <c r="I391" s="357">
        <f t="shared" si="12"/>
        <v>0</v>
      </c>
      <c r="J391" s="2"/>
      <c r="K391" s="306">
        <f t="shared" si="8"/>
        <v>384</v>
      </c>
    </row>
    <row r="392" spans="1:11">
      <c r="A392" s="2"/>
      <c r="B392" s="2"/>
      <c r="C392" s="2"/>
      <c r="D392" s="2"/>
      <c r="E392" s="2"/>
      <c r="G392" s="357">
        <f t="shared" si="11"/>
        <v>0</v>
      </c>
      <c r="H392" s="9"/>
      <c r="I392" s="357">
        <f t="shared" si="12"/>
        <v>0</v>
      </c>
      <c r="J392" s="2"/>
      <c r="K392" s="306">
        <f t="shared" si="8"/>
        <v>385</v>
      </c>
    </row>
    <row r="393" spans="1:11">
      <c r="A393" s="2"/>
      <c r="B393" s="2" t="s">
        <v>898</v>
      </c>
      <c r="C393" s="2" t="s">
        <v>14</v>
      </c>
      <c r="D393" s="2" t="s">
        <v>520</v>
      </c>
      <c r="E393" s="2"/>
      <c r="G393" s="357">
        <f t="shared" si="11"/>
        <v>0</v>
      </c>
      <c r="H393" s="9"/>
      <c r="I393" s="357">
        <f t="shared" si="12"/>
        <v>0</v>
      </c>
      <c r="J393" s="2"/>
      <c r="K393" s="306">
        <f t="shared" si="8"/>
        <v>386</v>
      </c>
    </row>
    <row r="394" spans="1:11">
      <c r="A394" s="2"/>
      <c r="B394" s="2" t="s">
        <v>898</v>
      </c>
      <c r="C394" s="2" t="s">
        <v>798</v>
      </c>
      <c r="D394" s="2" t="s">
        <v>520</v>
      </c>
      <c r="E394" s="2"/>
      <c r="G394" s="357">
        <f t="shared" si="11"/>
        <v>0</v>
      </c>
      <c r="H394" s="9"/>
      <c r="I394" s="357">
        <f t="shared" si="12"/>
        <v>0</v>
      </c>
      <c r="J394" s="2"/>
      <c r="K394" s="306">
        <f t="shared" si="8"/>
        <v>387</v>
      </c>
    </row>
    <row r="395" spans="1:11">
      <c r="A395" s="2"/>
      <c r="B395" s="2" t="s">
        <v>898</v>
      </c>
      <c r="C395" s="2" t="s">
        <v>752</v>
      </c>
      <c r="D395" s="2" t="s">
        <v>520</v>
      </c>
      <c r="E395" s="2"/>
      <c r="G395" s="357">
        <f t="shared" si="11"/>
        <v>0</v>
      </c>
      <c r="H395" s="9"/>
      <c r="I395" s="357">
        <f t="shared" si="12"/>
        <v>0</v>
      </c>
      <c r="J395" s="2"/>
      <c r="K395" s="306">
        <f t="shared" si="8"/>
        <v>388</v>
      </c>
    </row>
    <row r="396" spans="1:11">
      <c r="A396" s="2"/>
      <c r="B396" s="2" t="s">
        <v>898</v>
      </c>
      <c r="C396" s="2" t="s">
        <v>80</v>
      </c>
      <c r="D396" s="2" t="s">
        <v>520</v>
      </c>
      <c r="E396" s="2"/>
      <c r="G396" s="357">
        <f t="shared" si="11"/>
        <v>0</v>
      </c>
      <c r="H396" s="9"/>
      <c r="I396" s="357">
        <f t="shared" si="12"/>
        <v>0</v>
      </c>
      <c r="J396" s="2"/>
      <c r="K396" s="306">
        <f t="shared" si="8"/>
        <v>389</v>
      </c>
    </row>
    <row r="397" spans="1:11">
      <c r="A397" s="2"/>
      <c r="B397" s="2" t="s">
        <v>898</v>
      </c>
      <c r="C397" s="2" t="s">
        <v>81</v>
      </c>
      <c r="D397" s="2" t="s">
        <v>520</v>
      </c>
      <c r="E397" s="2"/>
      <c r="G397" s="357">
        <f t="shared" si="11"/>
        <v>0</v>
      </c>
      <c r="H397" s="9"/>
      <c r="I397" s="357">
        <f t="shared" si="12"/>
        <v>0</v>
      </c>
      <c r="J397" s="2"/>
      <c r="K397" s="306">
        <f t="shared" si="8"/>
        <v>390</v>
      </c>
    </row>
    <row r="398" spans="1:11">
      <c r="A398" s="2"/>
      <c r="B398" s="2" t="s">
        <v>898</v>
      </c>
      <c r="C398" s="2" t="s">
        <v>25</v>
      </c>
      <c r="D398" s="2" t="s">
        <v>520</v>
      </c>
      <c r="E398" s="2"/>
      <c r="G398" s="357">
        <f t="shared" si="11"/>
        <v>0</v>
      </c>
      <c r="H398" s="9"/>
      <c r="I398" s="357">
        <f t="shared" si="12"/>
        <v>0</v>
      </c>
      <c r="J398" s="2"/>
      <c r="K398" s="306">
        <f t="shared" si="8"/>
        <v>391</v>
      </c>
    </row>
    <row r="399" spans="1:11">
      <c r="A399" s="2"/>
      <c r="B399" s="2" t="s">
        <v>898</v>
      </c>
      <c r="C399" s="2" t="s">
        <v>26</v>
      </c>
      <c r="D399" s="2" t="s">
        <v>520</v>
      </c>
      <c r="E399" s="2"/>
      <c r="G399" s="357">
        <f t="shared" si="11"/>
        <v>0</v>
      </c>
      <c r="H399" s="9"/>
      <c r="I399" s="357">
        <f t="shared" si="12"/>
        <v>0</v>
      </c>
      <c r="J399" s="2"/>
      <c r="K399" s="306">
        <f t="shared" si="8"/>
        <v>392</v>
      </c>
    </row>
    <row r="400" spans="1:11">
      <c r="A400" s="2"/>
      <c r="B400" s="2" t="s">
        <v>898</v>
      </c>
      <c r="C400" s="2" t="s">
        <v>534</v>
      </c>
      <c r="D400" s="2" t="s">
        <v>520</v>
      </c>
      <c r="E400" s="2"/>
      <c r="G400" s="357">
        <f t="shared" si="11"/>
        <v>0</v>
      </c>
      <c r="H400" s="9"/>
      <c r="I400" s="357">
        <f t="shared" si="12"/>
        <v>0</v>
      </c>
      <c r="J400" s="2"/>
      <c r="K400" s="306">
        <f t="shared" si="8"/>
        <v>393</v>
      </c>
    </row>
    <row r="401" spans="1:11">
      <c r="A401" s="2"/>
      <c r="B401" s="2"/>
      <c r="C401" s="2"/>
      <c r="D401" s="2"/>
      <c r="E401" s="2"/>
      <c r="G401" s="357">
        <f t="shared" si="11"/>
        <v>0</v>
      </c>
      <c r="H401" s="9"/>
      <c r="I401" s="357">
        <f t="shared" si="12"/>
        <v>0</v>
      </c>
      <c r="J401" s="2"/>
      <c r="K401" s="306">
        <f t="shared" si="8"/>
        <v>394</v>
      </c>
    </row>
    <row r="402" spans="1:11">
      <c r="A402" s="2"/>
      <c r="B402" s="2" t="s">
        <v>449</v>
      </c>
      <c r="C402" s="2" t="s">
        <v>81</v>
      </c>
      <c r="D402" s="2" t="s">
        <v>520</v>
      </c>
      <c r="E402" s="2"/>
      <c r="G402" s="357">
        <f t="shared" si="11"/>
        <v>0</v>
      </c>
      <c r="H402" s="9"/>
      <c r="I402" s="357">
        <f t="shared" si="12"/>
        <v>0</v>
      </c>
      <c r="J402" s="2"/>
      <c r="K402" s="306">
        <f t="shared" si="8"/>
        <v>395</v>
      </c>
    </row>
    <row r="403" spans="1:11">
      <c r="A403" s="2"/>
      <c r="B403" s="2" t="s">
        <v>449</v>
      </c>
      <c r="C403" s="2" t="s">
        <v>25</v>
      </c>
      <c r="D403" s="2" t="s">
        <v>520</v>
      </c>
      <c r="E403" s="2"/>
      <c r="G403" s="357">
        <f t="shared" si="11"/>
        <v>0</v>
      </c>
      <c r="H403" s="9"/>
      <c r="I403" s="357">
        <f t="shared" si="12"/>
        <v>0</v>
      </c>
      <c r="J403" s="2"/>
      <c r="K403" s="306">
        <f t="shared" si="8"/>
        <v>396</v>
      </c>
    </row>
    <row r="404" spans="1:11">
      <c r="A404" s="2"/>
      <c r="B404" s="2" t="s">
        <v>449</v>
      </c>
      <c r="C404" s="2" t="s">
        <v>536</v>
      </c>
      <c r="D404" s="2" t="s">
        <v>520</v>
      </c>
      <c r="E404" s="2"/>
      <c r="G404" s="357">
        <f t="shared" si="11"/>
        <v>0</v>
      </c>
      <c r="H404" s="9"/>
      <c r="I404" s="357">
        <f t="shared" si="12"/>
        <v>0</v>
      </c>
      <c r="J404" s="2"/>
      <c r="K404" s="306">
        <f t="shared" si="8"/>
        <v>397</v>
      </c>
    </row>
    <row r="405" spans="1:11">
      <c r="A405" s="2"/>
      <c r="B405" s="2"/>
      <c r="C405" s="2" t="s">
        <v>536</v>
      </c>
      <c r="D405" s="2" t="s">
        <v>520</v>
      </c>
      <c r="E405" s="2"/>
      <c r="G405" s="357">
        <f t="shared" si="11"/>
        <v>0</v>
      </c>
      <c r="H405" s="9"/>
      <c r="I405" s="357">
        <f t="shared" si="12"/>
        <v>0</v>
      </c>
      <c r="J405" s="2"/>
      <c r="K405" s="306">
        <f t="shared" si="8"/>
        <v>398</v>
      </c>
    </row>
    <row r="406" spans="1:11">
      <c r="A406" s="2"/>
      <c r="B406" s="2"/>
      <c r="C406" s="2"/>
      <c r="D406" s="2"/>
      <c r="E406" s="2"/>
      <c r="G406" s="2"/>
      <c r="H406" s="2"/>
      <c r="I406" s="2"/>
      <c r="J406" s="2"/>
      <c r="K406" s="306">
        <f t="shared" si="8"/>
        <v>399</v>
      </c>
    </row>
    <row r="407" spans="1:11">
      <c r="A407" s="2"/>
      <c r="B407" s="2"/>
      <c r="C407" s="2"/>
      <c r="D407" s="2"/>
      <c r="E407" s="2"/>
      <c r="G407" s="2"/>
      <c r="H407" s="2"/>
      <c r="I407" s="2"/>
      <c r="J407" s="2"/>
      <c r="K407" s="306">
        <f t="shared" si="8"/>
        <v>400</v>
      </c>
    </row>
    <row r="408" spans="1:11">
      <c r="A408" s="2"/>
      <c r="B408" s="2"/>
      <c r="C408" s="2"/>
      <c r="D408" s="2"/>
      <c r="E408" s="2"/>
      <c r="G408" s="2"/>
      <c r="H408" s="2"/>
      <c r="I408" s="2"/>
      <c r="J408" s="2"/>
      <c r="K408" s="306">
        <f t="shared" si="8"/>
        <v>401</v>
      </c>
    </row>
    <row r="409" spans="1:11" ht="13.5" thickBot="1">
      <c r="A409" s="2"/>
      <c r="B409" s="2"/>
      <c r="C409" s="2"/>
      <c r="D409" s="2"/>
      <c r="E409" s="2"/>
      <c r="G409" s="2"/>
      <c r="H409" s="2"/>
      <c r="I409" s="2"/>
      <c r="J409" s="2"/>
      <c r="K409" s="306">
        <f t="shared" si="8"/>
        <v>402</v>
      </c>
    </row>
    <row r="410" spans="1:11">
      <c r="A410" s="2"/>
      <c r="B410" s="2"/>
      <c r="C410" s="271"/>
      <c r="D410" s="272"/>
      <c r="E410" s="272"/>
      <c r="F410" s="272"/>
      <c r="G410" s="272"/>
      <c r="H410" s="272"/>
      <c r="I410" s="128"/>
      <c r="J410" s="2"/>
      <c r="K410" s="306">
        <f t="shared" si="8"/>
        <v>403</v>
      </c>
    </row>
    <row r="411" spans="1:11">
      <c r="A411" s="2"/>
      <c r="B411" s="2"/>
      <c r="C411" s="557" t="s">
        <v>15</v>
      </c>
      <c r="D411" s="558"/>
      <c r="E411" s="55"/>
      <c r="F411" s="57">
        <f>+F362</f>
        <v>379431194.95652229</v>
      </c>
      <c r="G411" s="57">
        <f>+G362</f>
        <v>379431194.95652229</v>
      </c>
      <c r="H411" s="57"/>
      <c r="I411" s="266">
        <f>G411-F411</f>
        <v>0</v>
      </c>
      <c r="J411" s="57"/>
      <c r="K411" s="306">
        <f t="shared" si="8"/>
        <v>404</v>
      </c>
    </row>
    <row r="412" spans="1:11">
      <c r="A412" s="2"/>
      <c r="B412" s="2"/>
      <c r="C412" s="557" t="s">
        <v>755</v>
      </c>
      <c r="D412" s="558"/>
      <c r="E412" s="55"/>
      <c r="F412" s="57">
        <f>+F364</f>
        <v>124446</v>
      </c>
      <c r="G412" s="57">
        <f>+G364</f>
        <v>124446</v>
      </c>
      <c r="H412" s="57"/>
      <c r="I412" s="266">
        <f>G412-F412</f>
        <v>0</v>
      </c>
      <c r="J412" s="57"/>
      <c r="K412" s="306">
        <f t="shared" ref="K412:K421" si="13">+K411+1</f>
        <v>405</v>
      </c>
    </row>
    <row r="413" spans="1:11">
      <c r="A413" s="2"/>
      <c r="B413" s="2"/>
      <c r="C413" s="559" t="s">
        <v>869</v>
      </c>
      <c r="D413" s="558"/>
      <c r="E413" s="55"/>
      <c r="F413" s="57">
        <f>SUM(F411:F412)</f>
        <v>379555640.95652229</v>
      </c>
      <c r="G413" s="57">
        <f>SUM(G411:G412)</f>
        <v>379555640.95652229</v>
      </c>
      <c r="H413" s="57"/>
      <c r="I413" s="266">
        <f>G413-F413</f>
        <v>0</v>
      </c>
      <c r="J413" s="57"/>
      <c r="K413" s="306">
        <f t="shared" si="13"/>
        <v>406</v>
      </c>
    </row>
    <row r="414" spans="1:11">
      <c r="A414" s="2"/>
      <c r="B414" s="2"/>
      <c r="C414" s="559"/>
      <c r="D414" s="558"/>
      <c r="E414" s="55"/>
      <c r="F414" s="57"/>
      <c r="G414" s="57"/>
      <c r="H414" s="57"/>
      <c r="I414" s="266"/>
      <c r="J414" s="57"/>
      <c r="K414" s="306">
        <f t="shared" si="13"/>
        <v>407</v>
      </c>
    </row>
    <row r="415" spans="1:11">
      <c r="A415" s="2"/>
      <c r="B415" s="2"/>
      <c r="C415" s="557" t="s">
        <v>16</v>
      </c>
      <c r="D415" s="55"/>
      <c r="E415" s="55"/>
      <c r="F415" s="57">
        <f>+F363</f>
        <v>104646790.0980107</v>
      </c>
      <c r="G415" s="57">
        <f>+G363</f>
        <v>104646790.0980107</v>
      </c>
      <c r="H415" s="55"/>
      <c r="I415" s="266">
        <f>G415-F415</f>
        <v>0</v>
      </c>
      <c r="J415" s="2"/>
      <c r="K415" s="306">
        <f t="shared" si="13"/>
        <v>408</v>
      </c>
    </row>
    <row r="416" spans="1:11">
      <c r="A416" s="2"/>
      <c r="B416" s="2"/>
      <c r="C416" s="557"/>
      <c r="D416" s="55"/>
      <c r="E416" s="55"/>
      <c r="F416" s="57"/>
      <c r="G416" s="57"/>
      <c r="H416" s="55"/>
      <c r="I416" s="266"/>
      <c r="J416" s="2"/>
      <c r="K416" s="306">
        <f t="shared" si="13"/>
        <v>409</v>
      </c>
    </row>
    <row r="417" spans="1:11">
      <c r="A417" s="2"/>
      <c r="B417" s="2"/>
      <c r="C417" s="557" t="s">
        <v>17</v>
      </c>
      <c r="D417" s="55"/>
      <c r="E417" s="55"/>
      <c r="F417" s="57">
        <f>+F200</f>
        <v>104646826.0980107</v>
      </c>
      <c r="G417" s="57">
        <f>+G200</f>
        <v>104646826.0980107</v>
      </c>
      <c r="H417" s="55"/>
      <c r="I417" s="266">
        <f>G417-F417</f>
        <v>0</v>
      </c>
      <c r="J417" s="2"/>
      <c r="K417" s="306">
        <f t="shared" si="13"/>
        <v>410</v>
      </c>
    </row>
    <row r="418" spans="1:11">
      <c r="A418" s="2"/>
      <c r="B418" s="2"/>
      <c r="C418" s="124"/>
      <c r="D418" s="55"/>
      <c r="E418" s="55"/>
      <c r="F418" s="57">
        <f>+F415-F417</f>
        <v>-36</v>
      </c>
      <c r="G418" s="57">
        <f>+G415-G417</f>
        <v>-36</v>
      </c>
      <c r="H418" s="55"/>
      <c r="I418" s="266">
        <f>G418-F418</f>
        <v>0</v>
      </c>
      <c r="J418" s="2"/>
      <c r="K418" s="306">
        <f t="shared" si="13"/>
        <v>411</v>
      </c>
    </row>
    <row r="419" spans="1:11">
      <c r="A419" s="2"/>
      <c r="B419" s="2"/>
      <c r="C419" s="559" t="s">
        <v>870</v>
      </c>
      <c r="D419" s="55"/>
      <c r="E419" s="55"/>
      <c r="F419" s="57">
        <f>SUM(F417:F418)</f>
        <v>104646790.0980107</v>
      </c>
      <c r="G419" s="57">
        <f>SUM(G417:G418)</f>
        <v>104646790.0980107</v>
      </c>
      <c r="H419" s="55"/>
      <c r="I419" s="266">
        <f>G419-F419</f>
        <v>0</v>
      </c>
      <c r="J419" s="2"/>
      <c r="K419" s="306">
        <f t="shared" si="13"/>
        <v>412</v>
      </c>
    </row>
    <row r="420" spans="1:11" ht="13.5" thickBot="1">
      <c r="A420" s="2"/>
      <c r="B420" s="2"/>
      <c r="C420" s="127"/>
      <c r="D420" s="82"/>
      <c r="E420" s="82"/>
      <c r="F420" s="82"/>
      <c r="G420" s="82"/>
      <c r="H420" s="82"/>
      <c r="I420" s="268"/>
      <c r="J420" s="2"/>
      <c r="K420" s="306">
        <f t="shared" si="13"/>
        <v>413</v>
      </c>
    </row>
    <row r="421" spans="1:11">
      <c r="A421" s="2"/>
      <c r="B421" s="2"/>
      <c r="C421" s="2"/>
      <c r="D421" s="2"/>
      <c r="E421" s="2"/>
      <c r="G421" s="2"/>
      <c r="H421" s="2"/>
      <c r="I421" s="2"/>
      <c r="J421" s="2"/>
      <c r="K421" s="306">
        <f t="shared" si="13"/>
        <v>414</v>
      </c>
    </row>
    <row r="422" spans="1:11">
      <c r="A422" s="2"/>
      <c r="B422" s="2"/>
      <c r="C422" s="2"/>
      <c r="D422" s="2"/>
      <c r="E422" s="2"/>
      <c r="G422" s="2"/>
      <c r="H422" s="2"/>
      <c r="I422" s="2"/>
      <c r="J422" s="2"/>
      <c r="K422" s="306"/>
    </row>
    <row r="621" ht="62.25" customHeight="1"/>
  </sheetData>
  <mergeCells count="3">
    <mergeCell ref="C9:D9"/>
    <mergeCell ref="A11:D11"/>
    <mergeCell ref="A12:D12"/>
  </mergeCells>
  <phoneticPr fontId="0" type="noConversion"/>
  <dataValidations count="1">
    <dataValidation type="list" showInputMessage="1" showErrorMessage="1" sqref="F6">
      <formula1>"Rev booked JUNE 2010,BOOKED REV LESS DSM JUNE 2010,Energy Efficiency Services Adjustment"</formula1>
    </dataValidation>
  </dataValidations>
  <pageMargins left="0.2" right="0.2" top="0.28000000000000003" bottom="0.37" header="0.21" footer="0.24"/>
  <pageSetup scale="48" fitToWidth="0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523"/>
  <sheetViews>
    <sheetView topLeftCell="K346" zoomScale="70" zoomScaleNormal="70" workbookViewId="0">
      <selection activeCell="T15" sqref="T15:T372"/>
    </sheetView>
  </sheetViews>
  <sheetFormatPr defaultColWidth="16.42578125" defaultRowHeight="12.75"/>
  <cols>
    <col min="1" max="1" width="48.7109375" style="2" bestFit="1" customWidth="1"/>
    <col min="2" max="2" width="28.7109375" style="2" customWidth="1"/>
    <col min="3" max="3" width="42.7109375" style="2" bestFit="1" customWidth="1"/>
    <col min="4" max="4" width="12.140625" style="2" customWidth="1"/>
    <col min="5" max="6" width="3.5703125" style="2" customWidth="1"/>
    <col min="7" max="7" width="3.5703125" style="2" hidden="1" customWidth="1"/>
    <col min="8" max="10" width="19.140625" style="2" bestFit="1" customWidth="1"/>
    <col min="11" max="11" width="17.42578125" style="2" bestFit="1" customWidth="1"/>
    <col min="12" max="18" width="19.85546875" style="2" bestFit="1" customWidth="1"/>
    <col min="19" max="19" width="19.85546875" style="2" customWidth="1"/>
    <col min="20" max="20" width="19.85546875" style="2" bestFit="1" customWidth="1"/>
    <col min="21" max="21" width="18.28515625" style="2" customWidth="1"/>
    <col min="22" max="22" width="13.7109375" style="2" customWidth="1"/>
    <col min="23" max="23" width="47" style="2" bestFit="1" customWidth="1"/>
    <col min="24" max="24" width="17.5703125" style="2" customWidth="1"/>
    <col min="25" max="28" width="21" style="2" bestFit="1" customWidth="1"/>
    <col min="29" max="29" width="21.5703125" style="2" bestFit="1" customWidth="1"/>
    <col min="30" max="30" width="22.140625" style="2" bestFit="1" customWidth="1"/>
    <col min="31" max="31" width="13.85546875" style="2" customWidth="1"/>
    <col min="32" max="32" width="16.42578125" style="2"/>
    <col min="33" max="33" width="12.7109375" style="2" bestFit="1" customWidth="1"/>
    <col min="34" max="42" width="16.42578125" style="2"/>
    <col min="43" max="74" width="16.42578125" style="2" customWidth="1"/>
    <col min="75" max="256" width="16.42578125" style="2"/>
    <col min="257" max="257" width="29.7109375" style="2" customWidth="1"/>
    <col min="258" max="258" width="23" style="2" customWidth="1"/>
    <col min="259" max="259" width="42.7109375" style="2" bestFit="1" customWidth="1"/>
    <col min="260" max="260" width="12.140625" style="2" customWidth="1"/>
    <col min="261" max="263" width="3.5703125" style="2" customWidth="1"/>
    <col min="264" max="276" width="19.85546875" style="2" bestFit="1" customWidth="1"/>
    <col min="277" max="277" width="18.28515625" style="2" customWidth="1"/>
    <col min="278" max="278" width="13.7109375" style="2" customWidth="1"/>
    <col min="279" max="279" width="47" style="2" bestFit="1" customWidth="1"/>
    <col min="280" max="280" width="17.5703125" style="2" customWidth="1"/>
    <col min="281" max="284" width="21" style="2" bestFit="1" customWidth="1"/>
    <col min="285" max="285" width="21.5703125" style="2" bestFit="1" customWidth="1"/>
    <col min="286" max="286" width="22.140625" style="2" bestFit="1" customWidth="1"/>
    <col min="287" max="287" width="13.85546875" style="2" customWidth="1"/>
    <col min="288" max="288" width="16.42578125" style="2"/>
    <col min="289" max="289" width="12.7109375" style="2" bestFit="1" customWidth="1"/>
    <col min="290" max="298" width="16.42578125" style="2"/>
    <col min="299" max="330" width="16.42578125" style="2" customWidth="1"/>
    <col min="331" max="512" width="16.42578125" style="2"/>
    <col min="513" max="513" width="29.7109375" style="2" customWidth="1"/>
    <col min="514" max="514" width="23" style="2" customWidth="1"/>
    <col min="515" max="515" width="42.7109375" style="2" bestFit="1" customWidth="1"/>
    <col min="516" max="516" width="12.140625" style="2" customWidth="1"/>
    <col min="517" max="519" width="3.5703125" style="2" customWidth="1"/>
    <col min="520" max="532" width="19.85546875" style="2" bestFit="1" customWidth="1"/>
    <col min="533" max="533" width="18.28515625" style="2" customWidth="1"/>
    <col min="534" max="534" width="13.7109375" style="2" customWidth="1"/>
    <col min="535" max="535" width="47" style="2" bestFit="1" customWidth="1"/>
    <col min="536" max="536" width="17.5703125" style="2" customWidth="1"/>
    <col min="537" max="540" width="21" style="2" bestFit="1" customWidth="1"/>
    <col min="541" max="541" width="21.5703125" style="2" bestFit="1" customWidth="1"/>
    <col min="542" max="542" width="22.140625" style="2" bestFit="1" customWidth="1"/>
    <col min="543" max="543" width="13.85546875" style="2" customWidth="1"/>
    <col min="544" max="544" width="16.42578125" style="2"/>
    <col min="545" max="545" width="12.7109375" style="2" bestFit="1" customWidth="1"/>
    <col min="546" max="554" width="16.42578125" style="2"/>
    <col min="555" max="586" width="16.42578125" style="2" customWidth="1"/>
    <col min="587" max="768" width="16.42578125" style="2"/>
    <col min="769" max="769" width="29.7109375" style="2" customWidth="1"/>
    <col min="770" max="770" width="23" style="2" customWidth="1"/>
    <col min="771" max="771" width="42.7109375" style="2" bestFit="1" customWidth="1"/>
    <col min="772" max="772" width="12.140625" style="2" customWidth="1"/>
    <col min="773" max="775" width="3.5703125" style="2" customWidth="1"/>
    <col min="776" max="788" width="19.85546875" style="2" bestFit="1" customWidth="1"/>
    <col min="789" max="789" width="18.28515625" style="2" customWidth="1"/>
    <col min="790" max="790" width="13.7109375" style="2" customWidth="1"/>
    <col min="791" max="791" width="47" style="2" bestFit="1" customWidth="1"/>
    <col min="792" max="792" width="17.5703125" style="2" customWidth="1"/>
    <col min="793" max="796" width="21" style="2" bestFit="1" customWidth="1"/>
    <col min="797" max="797" width="21.5703125" style="2" bestFit="1" customWidth="1"/>
    <col min="798" max="798" width="22.140625" style="2" bestFit="1" customWidth="1"/>
    <col min="799" max="799" width="13.85546875" style="2" customWidth="1"/>
    <col min="800" max="800" width="16.42578125" style="2"/>
    <col min="801" max="801" width="12.7109375" style="2" bestFit="1" customWidth="1"/>
    <col min="802" max="810" width="16.42578125" style="2"/>
    <col min="811" max="842" width="16.42578125" style="2" customWidth="1"/>
    <col min="843" max="1024" width="16.42578125" style="2"/>
    <col min="1025" max="1025" width="29.7109375" style="2" customWidth="1"/>
    <col min="1026" max="1026" width="23" style="2" customWidth="1"/>
    <col min="1027" max="1027" width="42.7109375" style="2" bestFit="1" customWidth="1"/>
    <col min="1028" max="1028" width="12.140625" style="2" customWidth="1"/>
    <col min="1029" max="1031" width="3.5703125" style="2" customWidth="1"/>
    <col min="1032" max="1044" width="19.85546875" style="2" bestFit="1" customWidth="1"/>
    <col min="1045" max="1045" width="18.28515625" style="2" customWidth="1"/>
    <col min="1046" max="1046" width="13.7109375" style="2" customWidth="1"/>
    <col min="1047" max="1047" width="47" style="2" bestFit="1" customWidth="1"/>
    <col min="1048" max="1048" width="17.5703125" style="2" customWidth="1"/>
    <col min="1049" max="1052" width="21" style="2" bestFit="1" customWidth="1"/>
    <col min="1053" max="1053" width="21.5703125" style="2" bestFit="1" customWidth="1"/>
    <col min="1054" max="1054" width="22.140625" style="2" bestFit="1" customWidth="1"/>
    <col min="1055" max="1055" width="13.85546875" style="2" customWidth="1"/>
    <col min="1056" max="1056" width="16.42578125" style="2"/>
    <col min="1057" max="1057" width="12.7109375" style="2" bestFit="1" customWidth="1"/>
    <col min="1058" max="1066" width="16.42578125" style="2"/>
    <col min="1067" max="1098" width="16.42578125" style="2" customWidth="1"/>
    <col min="1099" max="1280" width="16.42578125" style="2"/>
    <col min="1281" max="1281" width="29.7109375" style="2" customWidth="1"/>
    <col min="1282" max="1282" width="23" style="2" customWidth="1"/>
    <col min="1283" max="1283" width="42.7109375" style="2" bestFit="1" customWidth="1"/>
    <col min="1284" max="1284" width="12.140625" style="2" customWidth="1"/>
    <col min="1285" max="1287" width="3.5703125" style="2" customWidth="1"/>
    <col min="1288" max="1300" width="19.85546875" style="2" bestFit="1" customWidth="1"/>
    <col min="1301" max="1301" width="18.28515625" style="2" customWidth="1"/>
    <col min="1302" max="1302" width="13.7109375" style="2" customWidth="1"/>
    <col min="1303" max="1303" width="47" style="2" bestFit="1" customWidth="1"/>
    <col min="1304" max="1304" width="17.5703125" style="2" customWidth="1"/>
    <col min="1305" max="1308" width="21" style="2" bestFit="1" customWidth="1"/>
    <col min="1309" max="1309" width="21.5703125" style="2" bestFit="1" customWidth="1"/>
    <col min="1310" max="1310" width="22.140625" style="2" bestFit="1" customWidth="1"/>
    <col min="1311" max="1311" width="13.85546875" style="2" customWidth="1"/>
    <col min="1312" max="1312" width="16.42578125" style="2"/>
    <col min="1313" max="1313" width="12.7109375" style="2" bestFit="1" customWidth="1"/>
    <col min="1314" max="1322" width="16.42578125" style="2"/>
    <col min="1323" max="1354" width="16.42578125" style="2" customWidth="1"/>
    <col min="1355" max="1536" width="16.42578125" style="2"/>
    <col min="1537" max="1537" width="29.7109375" style="2" customWidth="1"/>
    <col min="1538" max="1538" width="23" style="2" customWidth="1"/>
    <col min="1539" max="1539" width="42.7109375" style="2" bestFit="1" customWidth="1"/>
    <col min="1540" max="1540" width="12.140625" style="2" customWidth="1"/>
    <col min="1541" max="1543" width="3.5703125" style="2" customWidth="1"/>
    <col min="1544" max="1556" width="19.85546875" style="2" bestFit="1" customWidth="1"/>
    <col min="1557" max="1557" width="18.28515625" style="2" customWidth="1"/>
    <col min="1558" max="1558" width="13.7109375" style="2" customWidth="1"/>
    <col min="1559" max="1559" width="47" style="2" bestFit="1" customWidth="1"/>
    <col min="1560" max="1560" width="17.5703125" style="2" customWidth="1"/>
    <col min="1561" max="1564" width="21" style="2" bestFit="1" customWidth="1"/>
    <col min="1565" max="1565" width="21.5703125" style="2" bestFit="1" customWidth="1"/>
    <col min="1566" max="1566" width="22.140625" style="2" bestFit="1" customWidth="1"/>
    <col min="1567" max="1567" width="13.85546875" style="2" customWidth="1"/>
    <col min="1568" max="1568" width="16.42578125" style="2"/>
    <col min="1569" max="1569" width="12.7109375" style="2" bestFit="1" customWidth="1"/>
    <col min="1570" max="1578" width="16.42578125" style="2"/>
    <col min="1579" max="1610" width="16.42578125" style="2" customWidth="1"/>
    <col min="1611" max="1792" width="16.42578125" style="2"/>
    <col min="1793" max="1793" width="29.7109375" style="2" customWidth="1"/>
    <col min="1794" max="1794" width="23" style="2" customWidth="1"/>
    <col min="1795" max="1795" width="42.7109375" style="2" bestFit="1" customWidth="1"/>
    <col min="1796" max="1796" width="12.140625" style="2" customWidth="1"/>
    <col min="1797" max="1799" width="3.5703125" style="2" customWidth="1"/>
    <col min="1800" max="1812" width="19.85546875" style="2" bestFit="1" customWidth="1"/>
    <col min="1813" max="1813" width="18.28515625" style="2" customWidth="1"/>
    <col min="1814" max="1814" width="13.7109375" style="2" customWidth="1"/>
    <col min="1815" max="1815" width="47" style="2" bestFit="1" customWidth="1"/>
    <col min="1816" max="1816" width="17.5703125" style="2" customWidth="1"/>
    <col min="1817" max="1820" width="21" style="2" bestFit="1" customWidth="1"/>
    <col min="1821" max="1821" width="21.5703125" style="2" bestFit="1" customWidth="1"/>
    <col min="1822" max="1822" width="22.140625" style="2" bestFit="1" customWidth="1"/>
    <col min="1823" max="1823" width="13.85546875" style="2" customWidth="1"/>
    <col min="1824" max="1824" width="16.42578125" style="2"/>
    <col min="1825" max="1825" width="12.7109375" style="2" bestFit="1" customWidth="1"/>
    <col min="1826" max="1834" width="16.42578125" style="2"/>
    <col min="1835" max="1866" width="16.42578125" style="2" customWidth="1"/>
    <col min="1867" max="2048" width="16.42578125" style="2"/>
    <col min="2049" max="2049" width="29.7109375" style="2" customWidth="1"/>
    <col min="2050" max="2050" width="23" style="2" customWidth="1"/>
    <col min="2051" max="2051" width="42.7109375" style="2" bestFit="1" customWidth="1"/>
    <col min="2052" max="2052" width="12.140625" style="2" customWidth="1"/>
    <col min="2053" max="2055" width="3.5703125" style="2" customWidth="1"/>
    <col min="2056" max="2068" width="19.85546875" style="2" bestFit="1" customWidth="1"/>
    <col min="2069" max="2069" width="18.28515625" style="2" customWidth="1"/>
    <col min="2070" max="2070" width="13.7109375" style="2" customWidth="1"/>
    <col min="2071" max="2071" width="47" style="2" bestFit="1" customWidth="1"/>
    <col min="2072" max="2072" width="17.5703125" style="2" customWidth="1"/>
    <col min="2073" max="2076" width="21" style="2" bestFit="1" customWidth="1"/>
    <col min="2077" max="2077" width="21.5703125" style="2" bestFit="1" customWidth="1"/>
    <col min="2078" max="2078" width="22.140625" style="2" bestFit="1" customWidth="1"/>
    <col min="2079" max="2079" width="13.85546875" style="2" customWidth="1"/>
    <col min="2080" max="2080" width="16.42578125" style="2"/>
    <col min="2081" max="2081" width="12.7109375" style="2" bestFit="1" customWidth="1"/>
    <col min="2082" max="2090" width="16.42578125" style="2"/>
    <col min="2091" max="2122" width="16.42578125" style="2" customWidth="1"/>
    <col min="2123" max="2304" width="16.42578125" style="2"/>
    <col min="2305" max="2305" width="29.7109375" style="2" customWidth="1"/>
    <col min="2306" max="2306" width="23" style="2" customWidth="1"/>
    <col min="2307" max="2307" width="42.7109375" style="2" bestFit="1" customWidth="1"/>
    <col min="2308" max="2308" width="12.140625" style="2" customWidth="1"/>
    <col min="2309" max="2311" width="3.5703125" style="2" customWidth="1"/>
    <col min="2312" max="2324" width="19.85546875" style="2" bestFit="1" customWidth="1"/>
    <col min="2325" max="2325" width="18.28515625" style="2" customWidth="1"/>
    <col min="2326" max="2326" width="13.7109375" style="2" customWidth="1"/>
    <col min="2327" max="2327" width="47" style="2" bestFit="1" customWidth="1"/>
    <col min="2328" max="2328" width="17.5703125" style="2" customWidth="1"/>
    <col min="2329" max="2332" width="21" style="2" bestFit="1" customWidth="1"/>
    <col min="2333" max="2333" width="21.5703125" style="2" bestFit="1" customWidth="1"/>
    <col min="2334" max="2334" width="22.140625" style="2" bestFit="1" customWidth="1"/>
    <col min="2335" max="2335" width="13.85546875" style="2" customWidth="1"/>
    <col min="2336" max="2336" width="16.42578125" style="2"/>
    <col min="2337" max="2337" width="12.7109375" style="2" bestFit="1" customWidth="1"/>
    <col min="2338" max="2346" width="16.42578125" style="2"/>
    <col min="2347" max="2378" width="16.42578125" style="2" customWidth="1"/>
    <col min="2379" max="2560" width="16.42578125" style="2"/>
    <col min="2561" max="2561" width="29.7109375" style="2" customWidth="1"/>
    <col min="2562" max="2562" width="23" style="2" customWidth="1"/>
    <col min="2563" max="2563" width="42.7109375" style="2" bestFit="1" customWidth="1"/>
    <col min="2564" max="2564" width="12.140625" style="2" customWidth="1"/>
    <col min="2565" max="2567" width="3.5703125" style="2" customWidth="1"/>
    <col min="2568" max="2580" width="19.85546875" style="2" bestFit="1" customWidth="1"/>
    <col min="2581" max="2581" width="18.28515625" style="2" customWidth="1"/>
    <col min="2582" max="2582" width="13.7109375" style="2" customWidth="1"/>
    <col min="2583" max="2583" width="47" style="2" bestFit="1" customWidth="1"/>
    <col min="2584" max="2584" width="17.5703125" style="2" customWidth="1"/>
    <col min="2585" max="2588" width="21" style="2" bestFit="1" customWidth="1"/>
    <col min="2589" max="2589" width="21.5703125" style="2" bestFit="1" customWidth="1"/>
    <col min="2590" max="2590" width="22.140625" style="2" bestFit="1" customWidth="1"/>
    <col min="2591" max="2591" width="13.85546875" style="2" customWidth="1"/>
    <col min="2592" max="2592" width="16.42578125" style="2"/>
    <col min="2593" max="2593" width="12.7109375" style="2" bestFit="1" customWidth="1"/>
    <col min="2594" max="2602" width="16.42578125" style="2"/>
    <col min="2603" max="2634" width="16.42578125" style="2" customWidth="1"/>
    <col min="2635" max="2816" width="16.42578125" style="2"/>
    <col min="2817" max="2817" width="29.7109375" style="2" customWidth="1"/>
    <col min="2818" max="2818" width="23" style="2" customWidth="1"/>
    <col min="2819" max="2819" width="42.7109375" style="2" bestFit="1" customWidth="1"/>
    <col min="2820" max="2820" width="12.140625" style="2" customWidth="1"/>
    <col min="2821" max="2823" width="3.5703125" style="2" customWidth="1"/>
    <col min="2824" max="2836" width="19.85546875" style="2" bestFit="1" customWidth="1"/>
    <col min="2837" max="2837" width="18.28515625" style="2" customWidth="1"/>
    <col min="2838" max="2838" width="13.7109375" style="2" customWidth="1"/>
    <col min="2839" max="2839" width="47" style="2" bestFit="1" customWidth="1"/>
    <col min="2840" max="2840" width="17.5703125" style="2" customWidth="1"/>
    <col min="2841" max="2844" width="21" style="2" bestFit="1" customWidth="1"/>
    <col min="2845" max="2845" width="21.5703125" style="2" bestFit="1" customWidth="1"/>
    <col min="2846" max="2846" width="22.140625" style="2" bestFit="1" customWidth="1"/>
    <col min="2847" max="2847" width="13.85546875" style="2" customWidth="1"/>
    <col min="2848" max="2848" width="16.42578125" style="2"/>
    <col min="2849" max="2849" width="12.7109375" style="2" bestFit="1" customWidth="1"/>
    <col min="2850" max="2858" width="16.42578125" style="2"/>
    <col min="2859" max="2890" width="16.42578125" style="2" customWidth="1"/>
    <col min="2891" max="3072" width="16.42578125" style="2"/>
    <col min="3073" max="3073" width="29.7109375" style="2" customWidth="1"/>
    <col min="3074" max="3074" width="23" style="2" customWidth="1"/>
    <col min="3075" max="3075" width="42.7109375" style="2" bestFit="1" customWidth="1"/>
    <col min="3076" max="3076" width="12.140625" style="2" customWidth="1"/>
    <col min="3077" max="3079" width="3.5703125" style="2" customWidth="1"/>
    <col min="3080" max="3092" width="19.85546875" style="2" bestFit="1" customWidth="1"/>
    <col min="3093" max="3093" width="18.28515625" style="2" customWidth="1"/>
    <col min="3094" max="3094" width="13.7109375" style="2" customWidth="1"/>
    <col min="3095" max="3095" width="47" style="2" bestFit="1" customWidth="1"/>
    <col min="3096" max="3096" width="17.5703125" style="2" customWidth="1"/>
    <col min="3097" max="3100" width="21" style="2" bestFit="1" customWidth="1"/>
    <col min="3101" max="3101" width="21.5703125" style="2" bestFit="1" customWidth="1"/>
    <col min="3102" max="3102" width="22.140625" style="2" bestFit="1" customWidth="1"/>
    <col min="3103" max="3103" width="13.85546875" style="2" customWidth="1"/>
    <col min="3104" max="3104" width="16.42578125" style="2"/>
    <col min="3105" max="3105" width="12.7109375" style="2" bestFit="1" customWidth="1"/>
    <col min="3106" max="3114" width="16.42578125" style="2"/>
    <col min="3115" max="3146" width="16.42578125" style="2" customWidth="1"/>
    <col min="3147" max="3328" width="16.42578125" style="2"/>
    <col min="3329" max="3329" width="29.7109375" style="2" customWidth="1"/>
    <col min="3330" max="3330" width="23" style="2" customWidth="1"/>
    <col min="3331" max="3331" width="42.7109375" style="2" bestFit="1" customWidth="1"/>
    <col min="3332" max="3332" width="12.140625" style="2" customWidth="1"/>
    <col min="3333" max="3335" width="3.5703125" style="2" customWidth="1"/>
    <col min="3336" max="3348" width="19.85546875" style="2" bestFit="1" customWidth="1"/>
    <col min="3349" max="3349" width="18.28515625" style="2" customWidth="1"/>
    <col min="3350" max="3350" width="13.7109375" style="2" customWidth="1"/>
    <col min="3351" max="3351" width="47" style="2" bestFit="1" customWidth="1"/>
    <col min="3352" max="3352" width="17.5703125" style="2" customWidth="1"/>
    <col min="3353" max="3356" width="21" style="2" bestFit="1" customWidth="1"/>
    <col min="3357" max="3357" width="21.5703125" style="2" bestFit="1" customWidth="1"/>
    <col min="3358" max="3358" width="22.140625" style="2" bestFit="1" customWidth="1"/>
    <col min="3359" max="3359" width="13.85546875" style="2" customWidth="1"/>
    <col min="3360" max="3360" width="16.42578125" style="2"/>
    <col min="3361" max="3361" width="12.7109375" style="2" bestFit="1" customWidth="1"/>
    <col min="3362" max="3370" width="16.42578125" style="2"/>
    <col min="3371" max="3402" width="16.42578125" style="2" customWidth="1"/>
    <col min="3403" max="3584" width="16.42578125" style="2"/>
    <col min="3585" max="3585" width="29.7109375" style="2" customWidth="1"/>
    <col min="3586" max="3586" width="23" style="2" customWidth="1"/>
    <col min="3587" max="3587" width="42.7109375" style="2" bestFit="1" customWidth="1"/>
    <col min="3588" max="3588" width="12.140625" style="2" customWidth="1"/>
    <col min="3589" max="3591" width="3.5703125" style="2" customWidth="1"/>
    <col min="3592" max="3604" width="19.85546875" style="2" bestFit="1" customWidth="1"/>
    <col min="3605" max="3605" width="18.28515625" style="2" customWidth="1"/>
    <col min="3606" max="3606" width="13.7109375" style="2" customWidth="1"/>
    <col min="3607" max="3607" width="47" style="2" bestFit="1" customWidth="1"/>
    <col min="3608" max="3608" width="17.5703125" style="2" customWidth="1"/>
    <col min="3609" max="3612" width="21" style="2" bestFit="1" customWidth="1"/>
    <col min="3613" max="3613" width="21.5703125" style="2" bestFit="1" customWidth="1"/>
    <col min="3614" max="3614" width="22.140625" style="2" bestFit="1" customWidth="1"/>
    <col min="3615" max="3615" width="13.85546875" style="2" customWidth="1"/>
    <col min="3616" max="3616" width="16.42578125" style="2"/>
    <col min="3617" max="3617" width="12.7109375" style="2" bestFit="1" customWidth="1"/>
    <col min="3618" max="3626" width="16.42578125" style="2"/>
    <col min="3627" max="3658" width="16.42578125" style="2" customWidth="1"/>
    <col min="3659" max="3840" width="16.42578125" style="2"/>
    <col min="3841" max="3841" width="29.7109375" style="2" customWidth="1"/>
    <col min="3842" max="3842" width="23" style="2" customWidth="1"/>
    <col min="3843" max="3843" width="42.7109375" style="2" bestFit="1" customWidth="1"/>
    <col min="3844" max="3844" width="12.140625" style="2" customWidth="1"/>
    <col min="3845" max="3847" width="3.5703125" style="2" customWidth="1"/>
    <col min="3848" max="3860" width="19.85546875" style="2" bestFit="1" customWidth="1"/>
    <col min="3861" max="3861" width="18.28515625" style="2" customWidth="1"/>
    <col min="3862" max="3862" width="13.7109375" style="2" customWidth="1"/>
    <col min="3863" max="3863" width="47" style="2" bestFit="1" customWidth="1"/>
    <col min="3864" max="3864" width="17.5703125" style="2" customWidth="1"/>
    <col min="3865" max="3868" width="21" style="2" bestFit="1" customWidth="1"/>
    <col min="3869" max="3869" width="21.5703125" style="2" bestFit="1" customWidth="1"/>
    <col min="3870" max="3870" width="22.140625" style="2" bestFit="1" customWidth="1"/>
    <col min="3871" max="3871" width="13.85546875" style="2" customWidth="1"/>
    <col min="3872" max="3872" width="16.42578125" style="2"/>
    <col min="3873" max="3873" width="12.7109375" style="2" bestFit="1" customWidth="1"/>
    <col min="3874" max="3882" width="16.42578125" style="2"/>
    <col min="3883" max="3914" width="16.42578125" style="2" customWidth="1"/>
    <col min="3915" max="4096" width="16.42578125" style="2"/>
    <col min="4097" max="4097" width="29.7109375" style="2" customWidth="1"/>
    <col min="4098" max="4098" width="23" style="2" customWidth="1"/>
    <col min="4099" max="4099" width="42.7109375" style="2" bestFit="1" customWidth="1"/>
    <col min="4100" max="4100" width="12.140625" style="2" customWidth="1"/>
    <col min="4101" max="4103" width="3.5703125" style="2" customWidth="1"/>
    <col min="4104" max="4116" width="19.85546875" style="2" bestFit="1" customWidth="1"/>
    <col min="4117" max="4117" width="18.28515625" style="2" customWidth="1"/>
    <col min="4118" max="4118" width="13.7109375" style="2" customWidth="1"/>
    <col min="4119" max="4119" width="47" style="2" bestFit="1" customWidth="1"/>
    <col min="4120" max="4120" width="17.5703125" style="2" customWidth="1"/>
    <col min="4121" max="4124" width="21" style="2" bestFit="1" customWidth="1"/>
    <col min="4125" max="4125" width="21.5703125" style="2" bestFit="1" customWidth="1"/>
    <col min="4126" max="4126" width="22.140625" style="2" bestFit="1" customWidth="1"/>
    <col min="4127" max="4127" width="13.85546875" style="2" customWidth="1"/>
    <col min="4128" max="4128" width="16.42578125" style="2"/>
    <col min="4129" max="4129" width="12.7109375" style="2" bestFit="1" customWidth="1"/>
    <col min="4130" max="4138" width="16.42578125" style="2"/>
    <col min="4139" max="4170" width="16.42578125" style="2" customWidth="1"/>
    <col min="4171" max="4352" width="16.42578125" style="2"/>
    <col min="4353" max="4353" width="29.7109375" style="2" customWidth="1"/>
    <col min="4354" max="4354" width="23" style="2" customWidth="1"/>
    <col min="4355" max="4355" width="42.7109375" style="2" bestFit="1" customWidth="1"/>
    <col min="4356" max="4356" width="12.140625" style="2" customWidth="1"/>
    <col min="4357" max="4359" width="3.5703125" style="2" customWidth="1"/>
    <col min="4360" max="4372" width="19.85546875" style="2" bestFit="1" customWidth="1"/>
    <col min="4373" max="4373" width="18.28515625" style="2" customWidth="1"/>
    <col min="4374" max="4374" width="13.7109375" style="2" customWidth="1"/>
    <col min="4375" max="4375" width="47" style="2" bestFit="1" customWidth="1"/>
    <col min="4376" max="4376" width="17.5703125" style="2" customWidth="1"/>
    <col min="4377" max="4380" width="21" style="2" bestFit="1" customWidth="1"/>
    <col min="4381" max="4381" width="21.5703125" style="2" bestFit="1" customWidth="1"/>
    <col min="4382" max="4382" width="22.140625" style="2" bestFit="1" customWidth="1"/>
    <col min="4383" max="4383" width="13.85546875" style="2" customWidth="1"/>
    <col min="4384" max="4384" width="16.42578125" style="2"/>
    <col min="4385" max="4385" width="12.7109375" style="2" bestFit="1" customWidth="1"/>
    <col min="4386" max="4394" width="16.42578125" style="2"/>
    <col min="4395" max="4426" width="16.42578125" style="2" customWidth="1"/>
    <col min="4427" max="4608" width="16.42578125" style="2"/>
    <col min="4609" max="4609" width="29.7109375" style="2" customWidth="1"/>
    <col min="4610" max="4610" width="23" style="2" customWidth="1"/>
    <col min="4611" max="4611" width="42.7109375" style="2" bestFit="1" customWidth="1"/>
    <col min="4612" max="4612" width="12.140625" style="2" customWidth="1"/>
    <col min="4613" max="4615" width="3.5703125" style="2" customWidth="1"/>
    <col min="4616" max="4628" width="19.85546875" style="2" bestFit="1" customWidth="1"/>
    <col min="4629" max="4629" width="18.28515625" style="2" customWidth="1"/>
    <col min="4630" max="4630" width="13.7109375" style="2" customWidth="1"/>
    <col min="4631" max="4631" width="47" style="2" bestFit="1" customWidth="1"/>
    <col min="4632" max="4632" width="17.5703125" style="2" customWidth="1"/>
    <col min="4633" max="4636" width="21" style="2" bestFit="1" customWidth="1"/>
    <col min="4637" max="4637" width="21.5703125" style="2" bestFit="1" customWidth="1"/>
    <col min="4638" max="4638" width="22.140625" style="2" bestFit="1" customWidth="1"/>
    <col min="4639" max="4639" width="13.85546875" style="2" customWidth="1"/>
    <col min="4640" max="4640" width="16.42578125" style="2"/>
    <col min="4641" max="4641" width="12.7109375" style="2" bestFit="1" customWidth="1"/>
    <col min="4642" max="4650" width="16.42578125" style="2"/>
    <col min="4651" max="4682" width="16.42578125" style="2" customWidth="1"/>
    <col min="4683" max="4864" width="16.42578125" style="2"/>
    <col min="4865" max="4865" width="29.7109375" style="2" customWidth="1"/>
    <col min="4866" max="4866" width="23" style="2" customWidth="1"/>
    <col min="4867" max="4867" width="42.7109375" style="2" bestFit="1" customWidth="1"/>
    <col min="4868" max="4868" width="12.140625" style="2" customWidth="1"/>
    <col min="4869" max="4871" width="3.5703125" style="2" customWidth="1"/>
    <col min="4872" max="4884" width="19.85546875" style="2" bestFit="1" customWidth="1"/>
    <col min="4885" max="4885" width="18.28515625" style="2" customWidth="1"/>
    <col min="4886" max="4886" width="13.7109375" style="2" customWidth="1"/>
    <col min="4887" max="4887" width="47" style="2" bestFit="1" customWidth="1"/>
    <col min="4888" max="4888" width="17.5703125" style="2" customWidth="1"/>
    <col min="4889" max="4892" width="21" style="2" bestFit="1" customWidth="1"/>
    <col min="4893" max="4893" width="21.5703125" style="2" bestFit="1" customWidth="1"/>
    <col min="4894" max="4894" width="22.140625" style="2" bestFit="1" customWidth="1"/>
    <col min="4895" max="4895" width="13.85546875" style="2" customWidth="1"/>
    <col min="4896" max="4896" width="16.42578125" style="2"/>
    <col min="4897" max="4897" width="12.7109375" style="2" bestFit="1" customWidth="1"/>
    <col min="4898" max="4906" width="16.42578125" style="2"/>
    <col min="4907" max="4938" width="16.42578125" style="2" customWidth="1"/>
    <col min="4939" max="5120" width="16.42578125" style="2"/>
    <col min="5121" max="5121" width="29.7109375" style="2" customWidth="1"/>
    <col min="5122" max="5122" width="23" style="2" customWidth="1"/>
    <col min="5123" max="5123" width="42.7109375" style="2" bestFit="1" customWidth="1"/>
    <col min="5124" max="5124" width="12.140625" style="2" customWidth="1"/>
    <col min="5125" max="5127" width="3.5703125" style="2" customWidth="1"/>
    <col min="5128" max="5140" width="19.85546875" style="2" bestFit="1" customWidth="1"/>
    <col min="5141" max="5141" width="18.28515625" style="2" customWidth="1"/>
    <col min="5142" max="5142" width="13.7109375" style="2" customWidth="1"/>
    <col min="5143" max="5143" width="47" style="2" bestFit="1" customWidth="1"/>
    <col min="5144" max="5144" width="17.5703125" style="2" customWidth="1"/>
    <col min="5145" max="5148" width="21" style="2" bestFit="1" customWidth="1"/>
    <col min="5149" max="5149" width="21.5703125" style="2" bestFit="1" customWidth="1"/>
    <col min="5150" max="5150" width="22.140625" style="2" bestFit="1" customWidth="1"/>
    <col min="5151" max="5151" width="13.85546875" style="2" customWidth="1"/>
    <col min="5152" max="5152" width="16.42578125" style="2"/>
    <col min="5153" max="5153" width="12.7109375" style="2" bestFit="1" customWidth="1"/>
    <col min="5154" max="5162" width="16.42578125" style="2"/>
    <col min="5163" max="5194" width="16.42578125" style="2" customWidth="1"/>
    <col min="5195" max="5376" width="16.42578125" style="2"/>
    <col min="5377" max="5377" width="29.7109375" style="2" customWidth="1"/>
    <col min="5378" max="5378" width="23" style="2" customWidth="1"/>
    <col min="5379" max="5379" width="42.7109375" style="2" bestFit="1" customWidth="1"/>
    <col min="5380" max="5380" width="12.140625" style="2" customWidth="1"/>
    <col min="5381" max="5383" width="3.5703125" style="2" customWidth="1"/>
    <col min="5384" max="5396" width="19.85546875" style="2" bestFit="1" customWidth="1"/>
    <col min="5397" max="5397" width="18.28515625" style="2" customWidth="1"/>
    <col min="5398" max="5398" width="13.7109375" style="2" customWidth="1"/>
    <col min="5399" max="5399" width="47" style="2" bestFit="1" customWidth="1"/>
    <col min="5400" max="5400" width="17.5703125" style="2" customWidth="1"/>
    <col min="5401" max="5404" width="21" style="2" bestFit="1" customWidth="1"/>
    <col min="5405" max="5405" width="21.5703125" style="2" bestFit="1" customWidth="1"/>
    <col min="5406" max="5406" width="22.140625" style="2" bestFit="1" customWidth="1"/>
    <col min="5407" max="5407" width="13.85546875" style="2" customWidth="1"/>
    <col min="5408" max="5408" width="16.42578125" style="2"/>
    <col min="5409" max="5409" width="12.7109375" style="2" bestFit="1" customWidth="1"/>
    <col min="5410" max="5418" width="16.42578125" style="2"/>
    <col min="5419" max="5450" width="16.42578125" style="2" customWidth="1"/>
    <col min="5451" max="5632" width="16.42578125" style="2"/>
    <col min="5633" max="5633" width="29.7109375" style="2" customWidth="1"/>
    <col min="5634" max="5634" width="23" style="2" customWidth="1"/>
    <col min="5635" max="5635" width="42.7109375" style="2" bestFit="1" customWidth="1"/>
    <col min="5636" max="5636" width="12.140625" style="2" customWidth="1"/>
    <col min="5637" max="5639" width="3.5703125" style="2" customWidth="1"/>
    <col min="5640" max="5652" width="19.85546875" style="2" bestFit="1" customWidth="1"/>
    <col min="5653" max="5653" width="18.28515625" style="2" customWidth="1"/>
    <col min="5654" max="5654" width="13.7109375" style="2" customWidth="1"/>
    <col min="5655" max="5655" width="47" style="2" bestFit="1" customWidth="1"/>
    <col min="5656" max="5656" width="17.5703125" style="2" customWidth="1"/>
    <col min="5657" max="5660" width="21" style="2" bestFit="1" customWidth="1"/>
    <col min="5661" max="5661" width="21.5703125" style="2" bestFit="1" customWidth="1"/>
    <col min="5662" max="5662" width="22.140625" style="2" bestFit="1" customWidth="1"/>
    <col min="5663" max="5663" width="13.85546875" style="2" customWidth="1"/>
    <col min="5664" max="5664" width="16.42578125" style="2"/>
    <col min="5665" max="5665" width="12.7109375" style="2" bestFit="1" customWidth="1"/>
    <col min="5666" max="5674" width="16.42578125" style="2"/>
    <col min="5675" max="5706" width="16.42578125" style="2" customWidth="1"/>
    <col min="5707" max="5888" width="16.42578125" style="2"/>
    <col min="5889" max="5889" width="29.7109375" style="2" customWidth="1"/>
    <col min="5890" max="5890" width="23" style="2" customWidth="1"/>
    <col min="5891" max="5891" width="42.7109375" style="2" bestFit="1" customWidth="1"/>
    <col min="5892" max="5892" width="12.140625" style="2" customWidth="1"/>
    <col min="5893" max="5895" width="3.5703125" style="2" customWidth="1"/>
    <col min="5896" max="5908" width="19.85546875" style="2" bestFit="1" customWidth="1"/>
    <col min="5909" max="5909" width="18.28515625" style="2" customWidth="1"/>
    <col min="5910" max="5910" width="13.7109375" style="2" customWidth="1"/>
    <col min="5911" max="5911" width="47" style="2" bestFit="1" customWidth="1"/>
    <col min="5912" max="5912" width="17.5703125" style="2" customWidth="1"/>
    <col min="5913" max="5916" width="21" style="2" bestFit="1" customWidth="1"/>
    <col min="5917" max="5917" width="21.5703125" style="2" bestFit="1" customWidth="1"/>
    <col min="5918" max="5918" width="22.140625" style="2" bestFit="1" customWidth="1"/>
    <col min="5919" max="5919" width="13.85546875" style="2" customWidth="1"/>
    <col min="5920" max="5920" width="16.42578125" style="2"/>
    <col min="5921" max="5921" width="12.7109375" style="2" bestFit="1" customWidth="1"/>
    <col min="5922" max="5930" width="16.42578125" style="2"/>
    <col min="5931" max="5962" width="16.42578125" style="2" customWidth="1"/>
    <col min="5963" max="6144" width="16.42578125" style="2"/>
    <col min="6145" max="6145" width="29.7109375" style="2" customWidth="1"/>
    <col min="6146" max="6146" width="23" style="2" customWidth="1"/>
    <col min="6147" max="6147" width="42.7109375" style="2" bestFit="1" customWidth="1"/>
    <col min="6148" max="6148" width="12.140625" style="2" customWidth="1"/>
    <col min="6149" max="6151" width="3.5703125" style="2" customWidth="1"/>
    <col min="6152" max="6164" width="19.85546875" style="2" bestFit="1" customWidth="1"/>
    <col min="6165" max="6165" width="18.28515625" style="2" customWidth="1"/>
    <col min="6166" max="6166" width="13.7109375" style="2" customWidth="1"/>
    <col min="6167" max="6167" width="47" style="2" bestFit="1" customWidth="1"/>
    <col min="6168" max="6168" width="17.5703125" style="2" customWidth="1"/>
    <col min="6169" max="6172" width="21" style="2" bestFit="1" customWidth="1"/>
    <col min="6173" max="6173" width="21.5703125" style="2" bestFit="1" customWidth="1"/>
    <col min="6174" max="6174" width="22.140625" style="2" bestFit="1" customWidth="1"/>
    <col min="6175" max="6175" width="13.85546875" style="2" customWidth="1"/>
    <col min="6176" max="6176" width="16.42578125" style="2"/>
    <col min="6177" max="6177" width="12.7109375" style="2" bestFit="1" customWidth="1"/>
    <col min="6178" max="6186" width="16.42578125" style="2"/>
    <col min="6187" max="6218" width="16.42578125" style="2" customWidth="1"/>
    <col min="6219" max="6400" width="16.42578125" style="2"/>
    <col min="6401" max="6401" width="29.7109375" style="2" customWidth="1"/>
    <col min="6402" max="6402" width="23" style="2" customWidth="1"/>
    <col min="6403" max="6403" width="42.7109375" style="2" bestFit="1" customWidth="1"/>
    <col min="6404" max="6404" width="12.140625" style="2" customWidth="1"/>
    <col min="6405" max="6407" width="3.5703125" style="2" customWidth="1"/>
    <col min="6408" max="6420" width="19.85546875" style="2" bestFit="1" customWidth="1"/>
    <col min="6421" max="6421" width="18.28515625" style="2" customWidth="1"/>
    <col min="6422" max="6422" width="13.7109375" style="2" customWidth="1"/>
    <col min="6423" max="6423" width="47" style="2" bestFit="1" customWidth="1"/>
    <col min="6424" max="6424" width="17.5703125" style="2" customWidth="1"/>
    <col min="6425" max="6428" width="21" style="2" bestFit="1" customWidth="1"/>
    <col min="6429" max="6429" width="21.5703125" style="2" bestFit="1" customWidth="1"/>
    <col min="6430" max="6430" width="22.140625" style="2" bestFit="1" customWidth="1"/>
    <col min="6431" max="6431" width="13.85546875" style="2" customWidth="1"/>
    <col min="6432" max="6432" width="16.42578125" style="2"/>
    <col min="6433" max="6433" width="12.7109375" style="2" bestFit="1" customWidth="1"/>
    <col min="6434" max="6442" width="16.42578125" style="2"/>
    <col min="6443" max="6474" width="16.42578125" style="2" customWidth="1"/>
    <col min="6475" max="6656" width="16.42578125" style="2"/>
    <col min="6657" max="6657" width="29.7109375" style="2" customWidth="1"/>
    <col min="6658" max="6658" width="23" style="2" customWidth="1"/>
    <col min="6659" max="6659" width="42.7109375" style="2" bestFit="1" customWidth="1"/>
    <col min="6660" max="6660" width="12.140625" style="2" customWidth="1"/>
    <col min="6661" max="6663" width="3.5703125" style="2" customWidth="1"/>
    <col min="6664" max="6676" width="19.85546875" style="2" bestFit="1" customWidth="1"/>
    <col min="6677" max="6677" width="18.28515625" style="2" customWidth="1"/>
    <col min="6678" max="6678" width="13.7109375" style="2" customWidth="1"/>
    <col min="6679" max="6679" width="47" style="2" bestFit="1" customWidth="1"/>
    <col min="6680" max="6680" width="17.5703125" style="2" customWidth="1"/>
    <col min="6681" max="6684" width="21" style="2" bestFit="1" customWidth="1"/>
    <col min="6685" max="6685" width="21.5703125" style="2" bestFit="1" customWidth="1"/>
    <col min="6686" max="6686" width="22.140625" style="2" bestFit="1" customWidth="1"/>
    <col min="6687" max="6687" width="13.85546875" style="2" customWidth="1"/>
    <col min="6688" max="6688" width="16.42578125" style="2"/>
    <col min="6689" max="6689" width="12.7109375" style="2" bestFit="1" customWidth="1"/>
    <col min="6690" max="6698" width="16.42578125" style="2"/>
    <col min="6699" max="6730" width="16.42578125" style="2" customWidth="1"/>
    <col min="6731" max="6912" width="16.42578125" style="2"/>
    <col min="6913" max="6913" width="29.7109375" style="2" customWidth="1"/>
    <col min="6914" max="6914" width="23" style="2" customWidth="1"/>
    <col min="6915" max="6915" width="42.7109375" style="2" bestFit="1" customWidth="1"/>
    <col min="6916" max="6916" width="12.140625" style="2" customWidth="1"/>
    <col min="6917" max="6919" width="3.5703125" style="2" customWidth="1"/>
    <col min="6920" max="6932" width="19.85546875" style="2" bestFit="1" customWidth="1"/>
    <col min="6933" max="6933" width="18.28515625" style="2" customWidth="1"/>
    <col min="6934" max="6934" width="13.7109375" style="2" customWidth="1"/>
    <col min="6935" max="6935" width="47" style="2" bestFit="1" customWidth="1"/>
    <col min="6936" max="6936" width="17.5703125" style="2" customWidth="1"/>
    <col min="6937" max="6940" width="21" style="2" bestFit="1" customWidth="1"/>
    <col min="6941" max="6941" width="21.5703125" style="2" bestFit="1" customWidth="1"/>
    <col min="6942" max="6942" width="22.140625" style="2" bestFit="1" customWidth="1"/>
    <col min="6943" max="6943" width="13.85546875" style="2" customWidth="1"/>
    <col min="6944" max="6944" width="16.42578125" style="2"/>
    <col min="6945" max="6945" width="12.7109375" style="2" bestFit="1" customWidth="1"/>
    <col min="6946" max="6954" width="16.42578125" style="2"/>
    <col min="6955" max="6986" width="16.42578125" style="2" customWidth="1"/>
    <col min="6987" max="7168" width="16.42578125" style="2"/>
    <col min="7169" max="7169" width="29.7109375" style="2" customWidth="1"/>
    <col min="7170" max="7170" width="23" style="2" customWidth="1"/>
    <col min="7171" max="7171" width="42.7109375" style="2" bestFit="1" customWidth="1"/>
    <col min="7172" max="7172" width="12.140625" style="2" customWidth="1"/>
    <col min="7173" max="7175" width="3.5703125" style="2" customWidth="1"/>
    <col min="7176" max="7188" width="19.85546875" style="2" bestFit="1" customWidth="1"/>
    <col min="7189" max="7189" width="18.28515625" style="2" customWidth="1"/>
    <col min="7190" max="7190" width="13.7109375" style="2" customWidth="1"/>
    <col min="7191" max="7191" width="47" style="2" bestFit="1" customWidth="1"/>
    <col min="7192" max="7192" width="17.5703125" style="2" customWidth="1"/>
    <col min="7193" max="7196" width="21" style="2" bestFit="1" customWidth="1"/>
    <col min="7197" max="7197" width="21.5703125" style="2" bestFit="1" customWidth="1"/>
    <col min="7198" max="7198" width="22.140625" style="2" bestFit="1" customWidth="1"/>
    <col min="7199" max="7199" width="13.85546875" style="2" customWidth="1"/>
    <col min="7200" max="7200" width="16.42578125" style="2"/>
    <col min="7201" max="7201" width="12.7109375" style="2" bestFit="1" customWidth="1"/>
    <col min="7202" max="7210" width="16.42578125" style="2"/>
    <col min="7211" max="7242" width="16.42578125" style="2" customWidth="1"/>
    <col min="7243" max="7424" width="16.42578125" style="2"/>
    <col min="7425" max="7425" width="29.7109375" style="2" customWidth="1"/>
    <col min="7426" max="7426" width="23" style="2" customWidth="1"/>
    <col min="7427" max="7427" width="42.7109375" style="2" bestFit="1" customWidth="1"/>
    <col min="7428" max="7428" width="12.140625" style="2" customWidth="1"/>
    <col min="7429" max="7431" width="3.5703125" style="2" customWidth="1"/>
    <col min="7432" max="7444" width="19.85546875" style="2" bestFit="1" customWidth="1"/>
    <col min="7445" max="7445" width="18.28515625" style="2" customWidth="1"/>
    <col min="7446" max="7446" width="13.7109375" style="2" customWidth="1"/>
    <col min="7447" max="7447" width="47" style="2" bestFit="1" customWidth="1"/>
    <col min="7448" max="7448" width="17.5703125" style="2" customWidth="1"/>
    <col min="7449" max="7452" width="21" style="2" bestFit="1" customWidth="1"/>
    <col min="7453" max="7453" width="21.5703125" style="2" bestFit="1" customWidth="1"/>
    <col min="7454" max="7454" width="22.140625" style="2" bestFit="1" customWidth="1"/>
    <col min="7455" max="7455" width="13.85546875" style="2" customWidth="1"/>
    <col min="7456" max="7456" width="16.42578125" style="2"/>
    <col min="7457" max="7457" width="12.7109375" style="2" bestFit="1" customWidth="1"/>
    <col min="7458" max="7466" width="16.42578125" style="2"/>
    <col min="7467" max="7498" width="16.42578125" style="2" customWidth="1"/>
    <col min="7499" max="7680" width="16.42578125" style="2"/>
    <col min="7681" max="7681" width="29.7109375" style="2" customWidth="1"/>
    <col min="7682" max="7682" width="23" style="2" customWidth="1"/>
    <col min="7683" max="7683" width="42.7109375" style="2" bestFit="1" customWidth="1"/>
    <col min="7684" max="7684" width="12.140625" style="2" customWidth="1"/>
    <col min="7685" max="7687" width="3.5703125" style="2" customWidth="1"/>
    <col min="7688" max="7700" width="19.85546875" style="2" bestFit="1" customWidth="1"/>
    <col min="7701" max="7701" width="18.28515625" style="2" customWidth="1"/>
    <col min="7702" max="7702" width="13.7109375" style="2" customWidth="1"/>
    <col min="7703" max="7703" width="47" style="2" bestFit="1" customWidth="1"/>
    <col min="7704" max="7704" width="17.5703125" style="2" customWidth="1"/>
    <col min="7705" max="7708" width="21" style="2" bestFit="1" customWidth="1"/>
    <col min="7709" max="7709" width="21.5703125" style="2" bestFit="1" customWidth="1"/>
    <col min="7710" max="7710" width="22.140625" style="2" bestFit="1" customWidth="1"/>
    <col min="7711" max="7711" width="13.85546875" style="2" customWidth="1"/>
    <col min="7712" max="7712" width="16.42578125" style="2"/>
    <col min="7713" max="7713" width="12.7109375" style="2" bestFit="1" customWidth="1"/>
    <col min="7714" max="7722" width="16.42578125" style="2"/>
    <col min="7723" max="7754" width="16.42578125" style="2" customWidth="1"/>
    <col min="7755" max="7936" width="16.42578125" style="2"/>
    <col min="7937" max="7937" width="29.7109375" style="2" customWidth="1"/>
    <col min="7938" max="7938" width="23" style="2" customWidth="1"/>
    <col min="7939" max="7939" width="42.7109375" style="2" bestFit="1" customWidth="1"/>
    <col min="7940" max="7940" width="12.140625" style="2" customWidth="1"/>
    <col min="7941" max="7943" width="3.5703125" style="2" customWidth="1"/>
    <col min="7944" max="7956" width="19.85546875" style="2" bestFit="1" customWidth="1"/>
    <col min="7957" max="7957" width="18.28515625" style="2" customWidth="1"/>
    <col min="7958" max="7958" width="13.7109375" style="2" customWidth="1"/>
    <col min="7959" max="7959" width="47" style="2" bestFit="1" customWidth="1"/>
    <col min="7960" max="7960" width="17.5703125" style="2" customWidth="1"/>
    <col min="7961" max="7964" width="21" style="2" bestFit="1" customWidth="1"/>
    <col min="7965" max="7965" width="21.5703125" style="2" bestFit="1" customWidth="1"/>
    <col min="7966" max="7966" width="22.140625" style="2" bestFit="1" customWidth="1"/>
    <col min="7967" max="7967" width="13.85546875" style="2" customWidth="1"/>
    <col min="7968" max="7968" width="16.42578125" style="2"/>
    <col min="7969" max="7969" width="12.7109375" style="2" bestFit="1" customWidth="1"/>
    <col min="7970" max="7978" width="16.42578125" style="2"/>
    <col min="7979" max="8010" width="16.42578125" style="2" customWidth="1"/>
    <col min="8011" max="8192" width="16.42578125" style="2"/>
    <col min="8193" max="8193" width="29.7109375" style="2" customWidth="1"/>
    <col min="8194" max="8194" width="23" style="2" customWidth="1"/>
    <col min="8195" max="8195" width="42.7109375" style="2" bestFit="1" customWidth="1"/>
    <col min="8196" max="8196" width="12.140625" style="2" customWidth="1"/>
    <col min="8197" max="8199" width="3.5703125" style="2" customWidth="1"/>
    <col min="8200" max="8212" width="19.85546875" style="2" bestFit="1" customWidth="1"/>
    <col min="8213" max="8213" width="18.28515625" style="2" customWidth="1"/>
    <col min="8214" max="8214" width="13.7109375" style="2" customWidth="1"/>
    <col min="8215" max="8215" width="47" style="2" bestFit="1" customWidth="1"/>
    <col min="8216" max="8216" width="17.5703125" style="2" customWidth="1"/>
    <col min="8217" max="8220" width="21" style="2" bestFit="1" customWidth="1"/>
    <col min="8221" max="8221" width="21.5703125" style="2" bestFit="1" customWidth="1"/>
    <col min="8222" max="8222" width="22.140625" style="2" bestFit="1" customWidth="1"/>
    <col min="8223" max="8223" width="13.85546875" style="2" customWidth="1"/>
    <col min="8224" max="8224" width="16.42578125" style="2"/>
    <col min="8225" max="8225" width="12.7109375" style="2" bestFit="1" customWidth="1"/>
    <col min="8226" max="8234" width="16.42578125" style="2"/>
    <col min="8235" max="8266" width="16.42578125" style="2" customWidth="1"/>
    <col min="8267" max="8448" width="16.42578125" style="2"/>
    <col min="8449" max="8449" width="29.7109375" style="2" customWidth="1"/>
    <col min="8450" max="8450" width="23" style="2" customWidth="1"/>
    <col min="8451" max="8451" width="42.7109375" style="2" bestFit="1" customWidth="1"/>
    <col min="8452" max="8452" width="12.140625" style="2" customWidth="1"/>
    <col min="8453" max="8455" width="3.5703125" style="2" customWidth="1"/>
    <col min="8456" max="8468" width="19.85546875" style="2" bestFit="1" customWidth="1"/>
    <col min="8469" max="8469" width="18.28515625" style="2" customWidth="1"/>
    <col min="8470" max="8470" width="13.7109375" style="2" customWidth="1"/>
    <col min="8471" max="8471" width="47" style="2" bestFit="1" customWidth="1"/>
    <col min="8472" max="8472" width="17.5703125" style="2" customWidth="1"/>
    <col min="8473" max="8476" width="21" style="2" bestFit="1" customWidth="1"/>
    <col min="8477" max="8477" width="21.5703125" style="2" bestFit="1" customWidth="1"/>
    <col min="8478" max="8478" width="22.140625" style="2" bestFit="1" customWidth="1"/>
    <col min="8479" max="8479" width="13.85546875" style="2" customWidth="1"/>
    <col min="8480" max="8480" width="16.42578125" style="2"/>
    <col min="8481" max="8481" width="12.7109375" style="2" bestFit="1" customWidth="1"/>
    <col min="8482" max="8490" width="16.42578125" style="2"/>
    <col min="8491" max="8522" width="16.42578125" style="2" customWidth="1"/>
    <col min="8523" max="8704" width="16.42578125" style="2"/>
    <col min="8705" max="8705" width="29.7109375" style="2" customWidth="1"/>
    <col min="8706" max="8706" width="23" style="2" customWidth="1"/>
    <col min="8707" max="8707" width="42.7109375" style="2" bestFit="1" customWidth="1"/>
    <col min="8708" max="8708" width="12.140625" style="2" customWidth="1"/>
    <col min="8709" max="8711" width="3.5703125" style="2" customWidth="1"/>
    <col min="8712" max="8724" width="19.85546875" style="2" bestFit="1" customWidth="1"/>
    <col min="8725" max="8725" width="18.28515625" style="2" customWidth="1"/>
    <col min="8726" max="8726" width="13.7109375" style="2" customWidth="1"/>
    <col min="8727" max="8727" width="47" style="2" bestFit="1" customWidth="1"/>
    <col min="8728" max="8728" width="17.5703125" style="2" customWidth="1"/>
    <col min="8729" max="8732" width="21" style="2" bestFit="1" customWidth="1"/>
    <col min="8733" max="8733" width="21.5703125" style="2" bestFit="1" customWidth="1"/>
    <col min="8734" max="8734" width="22.140625" style="2" bestFit="1" customWidth="1"/>
    <col min="8735" max="8735" width="13.85546875" style="2" customWidth="1"/>
    <col min="8736" max="8736" width="16.42578125" style="2"/>
    <col min="8737" max="8737" width="12.7109375" style="2" bestFit="1" customWidth="1"/>
    <col min="8738" max="8746" width="16.42578125" style="2"/>
    <col min="8747" max="8778" width="16.42578125" style="2" customWidth="1"/>
    <col min="8779" max="8960" width="16.42578125" style="2"/>
    <col min="8961" max="8961" width="29.7109375" style="2" customWidth="1"/>
    <col min="8962" max="8962" width="23" style="2" customWidth="1"/>
    <col min="8963" max="8963" width="42.7109375" style="2" bestFit="1" customWidth="1"/>
    <col min="8964" max="8964" width="12.140625" style="2" customWidth="1"/>
    <col min="8965" max="8967" width="3.5703125" style="2" customWidth="1"/>
    <col min="8968" max="8980" width="19.85546875" style="2" bestFit="1" customWidth="1"/>
    <col min="8981" max="8981" width="18.28515625" style="2" customWidth="1"/>
    <col min="8982" max="8982" width="13.7109375" style="2" customWidth="1"/>
    <col min="8983" max="8983" width="47" style="2" bestFit="1" customWidth="1"/>
    <col min="8984" max="8984" width="17.5703125" style="2" customWidth="1"/>
    <col min="8985" max="8988" width="21" style="2" bestFit="1" customWidth="1"/>
    <col min="8989" max="8989" width="21.5703125" style="2" bestFit="1" customWidth="1"/>
    <col min="8990" max="8990" width="22.140625" style="2" bestFit="1" customWidth="1"/>
    <col min="8991" max="8991" width="13.85546875" style="2" customWidth="1"/>
    <col min="8992" max="8992" width="16.42578125" style="2"/>
    <col min="8993" max="8993" width="12.7109375" style="2" bestFit="1" customWidth="1"/>
    <col min="8994" max="9002" width="16.42578125" style="2"/>
    <col min="9003" max="9034" width="16.42578125" style="2" customWidth="1"/>
    <col min="9035" max="9216" width="16.42578125" style="2"/>
    <col min="9217" max="9217" width="29.7109375" style="2" customWidth="1"/>
    <col min="9218" max="9218" width="23" style="2" customWidth="1"/>
    <col min="9219" max="9219" width="42.7109375" style="2" bestFit="1" customWidth="1"/>
    <col min="9220" max="9220" width="12.140625" style="2" customWidth="1"/>
    <col min="9221" max="9223" width="3.5703125" style="2" customWidth="1"/>
    <col min="9224" max="9236" width="19.85546875" style="2" bestFit="1" customWidth="1"/>
    <col min="9237" max="9237" width="18.28515625" style="2" customWidth="1"/>
    <col min="9238" max="9238" width="13.7109375" style="2" customWidth="1"/>
    <col min="9239" max="9239" width="47" style="2" bestFit="1" customWidth="1"/>
    <col min="9240" max="9240" width="17.5703125" style="2" customWidth="1"/>
    <col min="9241" max="9244" width="21" style="2" bestFit="1" customWidth="1"/>
    <col min="9245" max="9245" width="21.5703125" style="2" bestFit="1" customWidth="1"/>
    <col min="9246" max="9246" width="22.140625" style="2" bestFit="1" customWidth="1"/>
    <col min="9247" max="9247" width="13.85546875" style="2" customWidth="1"/>
    <col min="9248" max="9248" width="16.42578125" style="2"/>
    <col min="9249" max="9249" width="12.7109375" style="2" bestFit="1" customWidth="1"/>
    <col min="9250" max="9258" width="16.42578125" style="2"/>
    <col min="9259" max="9290" width="16.42578125" style="2" customWidth="1"/>
    <col min="9291" max="9472" width="16.42578125" style="2"/>
    <col min="9473" max="9473" width="29.7109375" style="2" customWidth="1"/>
    <col min="9474" max="9474" width="23" style="2" customWidth="1"/>
    <col min="9475" max="9475" width="42.7109375" style="2" bestFit="1" customWidth="1"/>
    <col min="9476" max="9476" width="12.140625" style="2" customWidth="1"/>
    <col min="9477" max="9479" width="3.5703125" style="2" customWidth="1"/>
    <col min="9480" max="9492" width="19.85546875" style="2" bestFit="1" customWidth="1"/>
    <col min="9493" max="9493" width="18.28515625" style="2" customWidth="1"/>
    <col min="9494" max="9494" width="13.7109375" style="2" customWidth="1"/>
    <col min="9495" max="9495" width="47" style="2" bestFit="1" customWidth="1"/>
    <col min="9496" max="9496" width="17.5703125" style="2" customWidth="1"/>
    <col min="9497" max="9500" width="21" style="2" bestFit="1" customWidth="1"/>
    <col min="9501" max="9501" width="21.5703125" style="2" bestFit="1" customWidth="1"/>
    <col min="9502" max="9502" width="22.140625" style="2" bestFit="1" customWidth="1"/>
    <col min="9503" max="9503" width="13.85546875" style="2" customWidth="1"/>
    <col min="9504" max="9504" width="16.42578125" style="2"/>
    <col min="9505" max="9505" width="12.7109375" style="2" bestFit="1" customWidth="1"/>
    <col min="9506" max="9514" width="16.42578125" style="2"/>
    <col min="9515" max="9546" width="16.42578125" style="2" customWidth="1"/>
    <col min="9547" max="9728" width="16.42578125" style="2"/>
    <col min="9729" max="9729" width="29.7109375" style="2" customWidth="1"/>
    <col min="9730" max="9730" width="23" style="2" customWidth="1"/>
    <col min="9731" max="9731" width="42.7109375" style="2" bestFit="1" customWidth="1"/>
    <col min="9732" max="9732" width="12.140625" style="2" customWidth="1"/>
    <col min="9733" max="9735" width="3.5703125" style="2" customWidth="1"/>
    <col min="9736" max="9748" width="19.85546875" style="2" bestFit="1" customWidth="1"/>
    <col min="9749" max="9749" width="18.28515625" style="2" customWidth="1"/>
    <col min="9750" max="9750" width="13.7109375" style="2" customWidth="1"/>
    <col min="9751" max="9751" width="47" style="2" bestFit="1" customWidth="1"/>
    <col min="9752" max="9752" width="17.5703125" style="2" customWidth="1"/>
    <col min="9753" max="9756" width="21" style="2" bestFit="1" customWidth="1"/>
    <col min="9757" max="9757" width="21.5703125" style="2" bestFit="1" customWidth="1"/>
    <col min="9758" max="9758" width="22.140625" style="2" bestFit="1" customWidth="1"/>
    <col min="9759" max="9759" width="13.85546875" style="2" customWidth="1"/>
    <col min="9760" max="9760" width="16.42578125" style="2"/>
    <col min="9761" max="9761" width="12.7109375" style="2" bestFit="1" customWidth="1"/>
    <col min="9762" max="9770" width="16.42578125" style="2"/>
    <col min="9771" max="9802" width="16.42578125" style="2" customWidth="1"/>
    <col min="9803" max="9984" width="16.42578125" style="2"/>
    <col min="9985" max="9985" width="29.7109375" style="2" customWidth="1"/>
    <col min="9986" max="9986" width="23" style="2" customWidth="1"/>
    <col min="9987" max="9987" width="42.7109375" style="2" bestFit="1" customWidth="1"/>
    <col min="9988" max="9988" width="12.140625" style="2" customWidth="1"/>
    <col min="9989" max="9991" width="3.5703125" style="2" customWidth="1"/>
    <col min="9992" max="10004" width="19.85546875" style="2" bestFit="1" customWidth="1"/>
    <col min="10005" max="10005" width="18.28515625" style="2" customWidth="1"/>
    <col min="10006" max="10006" width="13.7109375" style="2" customWidth="1"/>
    <col min="10007" max="10007" width="47" style="2" bestFit="1" customWidth="1"/>
    <col min="10008" max="10008" width="17.5703125" style="2" customWidth="1"/>
    <col min="10009" max="10012" width="21" style="2" bestFit="1" customWidth="1"/>
    <col min="10013" max="10013" width="21.5703125" style="2" bestFit="1" customWidth="1"/>
    <col min="10014" max="10014" width="22.140625" style="2" bestFit="1" customWidth="1"/>
    <col min="10015" max="10015" width="13.85546875" style="2" customWidth="1"/>
    <col min="10016" max="10016" width="16.42578125" style="2"/>
    <col min="10017" max="10017" width="12.7109375" style="2" bestFit="1" customWidth="1"/>
    <col min="10018" max="10026" width="16.42578125" style="2"/>
    <col min="10027" max="10058" width="16.42578125" style="2" customWidth="1"/>
    <col min="10059" max="10240" width="16.42578125" style="2"/>
    <col min="10241" max="10241" width="29.7109375" style="2" customWidth="1"/>
    <col min="10242" max="10242" width="23" style="2" customWidth="1"/>
    <col min="10243" max="10243" width="42.7109375" style="2" bestFit="1" customWidth="1"/>
    <col min="10244" max="10244" width="12.140625" style="2" customWidth="1"/>
    <col min="10245" max="10247" width="3.5703125" style="2" customWidth="1"/>
    <col min="10248" max="10260" width="19.85546875" style="2" bestFit="1" customWidth="1"/>
    <col min="10261" max="10261" width="18.28515625" style="2" customWidth="1"/>
    <col min="10262" max="10262" width="13.7109375" style="2" customWidth="1"/>
    <col min="10263" max="10263" width="47" style="2" bestFit="1" customWidth="1"/>
    <col min="10264" max="10264" width="17.5703125" style="2" customWidth="1"/>
    <col min="10265" max="10268" width="21" style="2" bestFit="1" customWidth="1"/>
    <col min="10269" max="10269" width="21.5703125" style="2" bestFit="1" customWidth="1"/>
    <col min="10270" max="10270" width="22.140625" style="2" bestFit="1" customWidth="1"/>
    <col min="10271" max="10271" width="13.85546875" style="2" customWidth="1"/>
    <col min="10272" max="10272" width="16.42578125" style="2"/>
    <col min="10273" max="10273" width="12.7109375" style="2" bestFit="1" customWidth="1"/>
    <col min="10274" max="10282" width="16.42578125" style="2"/>
    <col min="10283" max="10314" width="16.42578125" style="2" customWidth="1"/>
    <col min="10315" max="10496" width="16.42578125" style="2"/>
    <col min="10497" max="10497" width="29.7109375" style="2" customWidth="1"/>
    <col min="10498" max="10498" width="23" style="2" customWidth="1"/>
    <col min="10499" max="10499" width="42.7109375" style="2" bestFit="1" customWidth="1"/>
    <col min="10500" max="10500" width="12.140625" style="2" customWidth="1"/>
    <col min="10501" max="10503" width="3.5703125" style="2" customWidth="1"/>
    <col min="10504" max="10516" width="19.85546875" style="2" bestFit="1" customWidth="1"/>
    <col min="10517" max="10517" width="18.28515625" style="2" customWidth="1"/>
    <col min="10518" max="10518" width="13.7109375" style="2" customWidth="1"/>
    <col min="10519" max="10519" width="47" style="2" bestFit="1" customWidth="1"/>
    <col min="10520" max="10520" width="17.5703125" style="2" customWidth="1"/>
    <col min="10521" max="10524" width="21" style="2" bestFit="1" customWidth="1"/>
    <col min="10525" max="10525" width="21.5703125" style="2" bestFit="1" customWidth="1"/>
    <col min="10526" max="10526" width="22.140625" style="2" bestFit="1" customWidth="1"/>
    <col min="10527" max="10527" width="13.85546875" style="2" customWidth="1"/>
    <col min="10528" max="10528" width="16.42578125" style="2"/>
    <col min="10529" max="10529" width="12.7109375" style="2" bestFit="1" customWidth="1"/>
    <col min="10530" max="10538" width="16.42578125" style="2"/>
    <col min="10539" max="10570" width="16.42578125" style="2" customWidth="1"/>
    <col min="10571" max="10752" width="16.42578125" style="2"/>
    <col min="10753" max="10753" width="29.7109375" style="2" customWidth="1"/>
    <col min="10754" max="10754" width="23" style="2" customWidth="1"/>
    <col min="10755" max="10755" width="42.7109375" style="2" bestFit="1" customWidth="1"/>
    <col min="10756" max="10756" width="12.140625" style="2" customWidth="1"/>
    <col min="10757" max="10759" width="3.5703125" style="2" customWidth="1"/>
    <col min="10760" max="10772" width="19.85546875" style="2" bestFit="1" customWidth="1"/>
    <col min="10773" max="10773" width="18.28515625" style="2" customWidth="1"/>
    <col min="10774" max="10774" width="13.7109375" style="2" customWidth="1"/>
    <col min="10775" max="10775" width="47" style="2" bestFit="1" customWidth="1"/>
    <col min="10776" max="10776" width="17.5703125" style="2" customWidth="1"/>
    <col min="10777" max="10780" width="21" style="2" bestFit="1" customWidth="1"/>
    <col min="10781" max="10781" width="21.5703125" style="2" bestFit="1" customWidth="1"/>
    <col min="10782" max="10782" width="22.140625" style="2" bestFit="1" customWidth="1"/>
    <col min="10783" max="10783" width="13.85546875" style="2" customWidth="1"/>
    <col min="10784" max="10784" width="16.42578125" style="2"/>
    <col min="10785" max="10785" width="12.7109375" style="2" bestFit="1" customWidth="1"/>
    <col min="10786" max="10794" width="16.42578125" style="2"/>
    <col min="10795" max="10826" width="16.42578125" style="2" customWidth="1"/>
    <col min="10827" max="11008" width="16.42578125" style="2"/>
    <col min="11009" max="11009" width="29.7109375" style="2" customWidth="1"/>
    <col min="11010" max="11010" width="23" style="2" customWidth="1"/>
    <col min="11011" max="11011" width="42.7109375" style="2" bestFit="1" customWidth="1"/>
    <col min="11012" max="11012" width="12.140625" style="2" customWidth="1"/>
    <col min="11013" max="11015" width="3.5703125" style="2" customWidth="1"/>
    <col min="11016" max="11028" width="19.85546875" style="2" bestFit="1" customWidth="1"/>
    <col min="11029" max="11029" width="18.28515625" style="2" customWidth="1"/>
    <col min="11030" max="11030" width="13.7109375" style="2" customWidth="1"/>
    <col min="11031" max="11031" width="47" style="2" bestFit="1" customWidth="1"/>
    <col min="11032" max="11032" width="17.5703125" style="2" customWidth="1"/>
    <col min="11033" max="11036" width="21" style="2" bestFit="1" customWidth="1"/>
    <col min="11037" max="11037" width="21.5703125" style="2" bestFit="1" customWidth="1"/>
    <col min="11038" max="11038" width="22.140625" style="2" bestFit="1" customWidth="1"/>
    <col min="11039" max="11039" width="13.85546875" style="2" customWidth="1"/>
    <col min="11040" max="11040" width="16.42578125" style="2"/>
    <col min="11041" max="11041" width="12.7109375" style="2" bestFit="1" customWidth="1"/>
    <col min="11042" max="11050" width="16.42578125" style="2"/>
    <col min="11051" max="11082" width="16.42578125" style="2" customWidth="1"/>
    <col min="11083" max="11264" width="16.42578125" style="2"/>
    <col min="11265" max="11265" width="29.7109375" style="2" customWidth="1"/>
    <col min="11266" max="11266" width="23" style="2" customWidth="1"/>
    <col min="11267" max="11267" width="42.7109375" style="2" bestFit="1" customWidth="1"/>
    <col min="11268" max="11268" width="12.140625" style="2" customWidth="1"/>
    <col min="11269" max="11271" width="3.5703125" style="2" customWidth="1"/>
    <col min="11272" max="11284" width="19.85546875" style="2" bestFit="1" customWidth="1"/>
    <col min="11285" max="11285" width="18.28515625" style="2" customWidth="1"/>
    <col min="11286" max="11286" width="13.7109375" style="2" customWidth="1"/>
    <col min="11287" max="11287" width="47" style="2" bestFit="1" customWidth="1"/>
    <col min="11288" max="11288" width="17.5703125" style="2" customWidth="1"/>
    <col min="11289" max="11292" width="21" style="2" bestFit="1" customWidth="1"/>
    <col min="11293" max="11293" width="21.5703125" style="2" bestFit="1" customWidth="1"/>
    <col min="11294" max="11294" width="22.140625" style="2" bestFit="1" customWidth="1"/>
    <col min="11295" max="11295" width="13.85546875" style="2" customWidth="1"/>
    <col min="11296" max="11296" width="16.42578125" style="2"/>
    <col min="11297" max="11297" width="12.7109375" style="2" bestFit="1" customWidth="1"/>
    <col min="11298" max="11306" width="16.42578125" style="2"/>
    <col min="11307" max="11338" width="16.42578125" style="2" customWidth="1"/>
    <col min="11339" max="11520" width="16.42578125" style="2"/>
    <col min="11521" max="11521" width="29.7109375" style="2" customWidth="1"/>
    <col min="11522" max="11522" width="23" style="2" customWidth="1"/>
    <col min="11523" max="11523" width="42.7109375" style="2" bestFit="1" customWidth="1"/>
    <col min="11524" max="11524" width="12.140625" style="2" customWidth="1"/>
    <col min="11525" max="11527" width="3.5703125" style="2" customWidth="1"/>
    <col min="11528" max="11540" width="19.85546875" style="2" bestFit="1" customWidth="1"/>
    <col min="11541" max="11541" width="18.28515625" style="2" customWidth="1"/>
    <col min="11542" max="11542" width="13.7109375" style="2" customWidth="1"/>
    <col min="11543" max="11543" width="47" style="2" bestFit="1" customWidth="1"/>
    <col min="11544" max="11544" width="17.5703125" style="2" customWidth="1"/>
    <col min="11545" max="11548" width="21" style="2" bestFit="1" customWidth="1"/>
    <col min="11549" max="11549" width="21.5703125" style="2" bestFit="1" customWidth="1"/>
    <col min="11550" max="11550" width="22.140625" style="2" bestFit="1" customWidth="1"/>
    <col min="11551" max="11551" width="13.85546875" style="2" customWidth="1"/>
    <col min="11552" max="11552" width="16.42578125" style="2"/>
    <col min="11553" max="11553" width="12.7109375" style="2" bestFit="1" customWidth="1"/>
    <col min="11554" max="11562" width="16.42578125" style="2"/>
    <col min="11563" max="11594" width="16.42578125" style="2" customWidth="1"/>
    <col min="11595" max="11776" width="16.42578125" style="2"/>
    <col min="11777" max="11777" width="29.7109375" style="2" customWidth="1"/>
    <col min="11778" max="11778" width="23" style="2" customWidth="1"/>
    <col min="11779" max="11779" width="42.7109375" style="2" bestFit="1" customWidth="1"/>
    <col min="11780" max="11780" width="12.140625" style="2" customWidth="1"/>
    <col min="11781" max="11783" width="3.5703125" style="2" customWidth="1"/>
    <col min="11784" max="11796" width="19.85546875" style="2" bestFit="1" customWidth="1"/>
    <col min="11797" max="11797" width="18.28515625" style="2" customWidth="1"/>
    <col min="11798" max="11798" width="13.7109375" style="2" customWidth="1"/>
    <col min="11799" max="11799" width="47" style="2" bestFit="1" customWidth="1"/>
    <col min="11800" max="11800" width="17.5703125" style="2" customWidth="1"/>
    <col min="11801" max="11804" width="21" style="2" bestFit="1" customWidth="1"/>
    <col min="11805" max="11805" width="21.5703125" style="2" bestFit="1" customWidth="1"/>
    <col min="11806" max="11806" width="22.140625" style="2" bestFit="1" customWidth="1"/>
    <col min="11807" max="11807" width="13.85546875" style="2" customWidth="1"/>
    <col min="11808" max="11808" width="16.42578125" style="2"/>
    <col min="11809" max="11809" width="12.7109375" style="2" bestFit="1" customWidth="1"/>
    <col min="11810" max="11818" width="16.42578125" style="2"/>
    <col min="11819" max="11850" width="16.42578125" style="2" customWidth="1"/>
    <col min="11851" max="12032" width="16.42578125" style="2"/>
    <col min="12033" max="12033" width="29.7109375" style="2" customWidth="1"/>
    <col min="12034" max="12034" width="23" style="2" customWidth="1"/>
    <col min="12035" max="12035" width="42.7109375" style="2" bestFit="1" customWidth="1"/>
    <col min="12036" max="12036" width="12.140625" style="2" customWidth="1"/>
    <col min="12037" max="12039" width="3.5703125" style="2" customWidth="1"/>
    <col min="12040" max="12052" width="19.85546875" style="2" bestFit="1" customWidth="1"/>
    <col min="12053" max="12053" width="18.28515625" style="2" customWidth="1"/>
    <col min="12054" max="12054" width="13.7109375" style="2" customWidth="1"/>
    <col min="12055" max="12055" width="47" style="2" bestFit="1" customWidth="1"/>
    <col min="12056" max="12056" width="17.5703125" style="2" customWidth="1"/>
    <col min="12057" max="12060" width="21" style="2" bestFit="1" customWidth="1"/>
    <col min="12061" max="12061" width="21.5703125" style="2" bestFit="1" customWidth="1"/>
    <col min="12062" max="12062" width="22.140625" style="2" bestFit="1" customWidth="1"/>
    <col min="12063" max="12063" width="13.85546875" style="2" customWidth="1"/>
    <col min="12064" max="12064" width="16.42578125" style="2"/>
    <col min="12065" max="12065" width="12.7109375" style="2" bestFit="1" customWidth="1"/>
    <col min="12066" max="12074" width="16.42578125" style="2"/>
    <col min="12075" max="12106" width="16.42578125" style="2" customWidth="1"/>
    <col min="12107" max="12288" width="16.42578125" style="2"/>
    <col min="12289" max="12289" width="29.7109375" style="2" customWidth="1"/>
    <col min="12290" max="12290" width="23" style="2" customWidth="1"/>
    <col min="12291" max="12291" width="42.7109375" style="2" bestFit="1" customWidth="1"/>
    <col min="12292" max="12292" width="12.140625" style="2" customWidth="1"/>
    <col min="12293" max="12295" width="3.5703125" style="2" customWidth="1"/>
    <col min="12296" max="12308" width="19.85546875" style="2" bestFit="1" customWidth="1"/>
    <col min="12309" max="12309" width="18.28515625" style="2" customWidth="1"/>
    <col min="12310" max="12310" width="13.7109375" style="2" customWidth="1"/>
    <col min="12311" max="12311" width="47" style="2" bestFit="1" customWidth="1"/>
    <col min="12312" max="12312" width="17.5703125" style="2" customWidth="1"/>
    <col min="12313" max="12316" width="21" style="2" bestFit="1" customWidth="1"/>
    <col min="12317" max="12317" width="21.5703125" style="2" bestFit="1" customWidth="1"/>
    <col min="12318" max="12318" width="22.140625" style="2" bestFit="1" customWidth="1"/>
    <col min="12319" max="12319" width="13.85546875" style="2" customWidth="1"/>
    <col min="12320" max="12320" width="16.42578125" style="2"/>
    <col min="12321" max="12321" width="12.7109375" style="2" bestFit="1" customWidth="1"/>
    <col min="12322" max="12330" width="16.42578125" style="2"/>
    <col min="12331" max="12362" width="16.42578125" style="2" customWidth="1"/>
    <col min="12363" max="12544" width="16.42578125" style="2"/>
    <col min="12545" max="12545" width="29.7109375" style="2" customWidth="1"/>
    <col min="12546" max="12546" width="23" style="2" customWidth="1"/>
    <col min="12547" max="12547" width="42.7109375" style="2" bestFit="1" customWidth="1"/>
    <col min="12548" max="12548" width="12.140625" style="2" customWidth="1"/>
    <col min="12549" max="12551" width="3.5703125" style="2" customWidth="1"/>
    <col min="12552" max="12564" width="19.85546875" style="2" bestFit="1" customWidth="1"/>
    <col min="12565" max="12565" width="18.28515625" style="2" customWidth="1"/>
    <col min="12566" max="12566" width="13.7109375" style="2" customWidth="1"/>
    <col min="12567" max="12567" width="47" style="2" bestFit="1" customWidth="1"/>
    <col min="12568" max="12568" width="17.5703125" style="2" customWidth="1"/>
    <col min="12569" max="12572" width="21" style="2" bestFit="1" customWidth="1"/>
    <col min="12573" max="12573" width="21.5703125" style="2" bestFit="1" customWidth="1"/>
    <col min="12574" max="12574" width="22.140625" style="2" bestFit="1" customWidth="1"/>
    <col min="12575" max="12575" width="13.85546875" style="2" customWidth="1"/>
    <col min="12576" max="12576" width="16.42578125" style="2"/>
    <col min="12577" max="12577" width="12.7109375" style="2" bestFit="1" customWidth="1"/>
    <col min="12578" max="12586" width="16.42578125" style="2"/>
    <col min="12587" max="12618" width="16.42578125" style="2" customWidth="1"/>
    <col min="12619" max="12800" width="16.42578125" style="2"/>
    <col min="12801" max="12801" width="29.7109375" style="2" customWidth="1"/>
    <col min="12802" max="12802" width="23" style="2" customWidth="1"/>
    <col min="12803" max="12803" width="42.7109375" style="2" bestFit="1" customWidth="1"/>
    <col min="12804" max="12804" width="12.140625" style="2" customWidth="1"/>
    <col min="12805" max="12807" width="3.5703125" style="2" customWidth="1"/>
    <col min="12808" max="12820" width="19.85546875" style="2" bestFit="1" customWidth="1"/>
    <col min="12821" max="12821" width="18.28515625" style="2" customWidth="1"/>
    <col min="12822" max="12822" width="13.7109375" style="2" customWidth="1"/>
    <col min="12823" max="12823" width="47" style="2" bestFit="1" customWidth="1"/>
    <col min="12824" max="12824" width="17.5703125" style="2" customWidth="1"/>
    <col min="12825" max="12828" width="21" style="2" bestFit="1" customWidth="1"/>
    <col min="12829" max="12829" width="21.5703125" style="2" bestFit="1" customWidth="1"/>
    <col min="12830" max="12830" width="22.140625" style="2" bestFit="1" customWidth="1"/>
    <col min="12831" max="12831" width="13.85546875" style="2" customWidth="1"/>
    <col min="12832" max="12832" width="16.42578125" style="2"/>
    <col min="12833" max="12833" width="12.7109375" style="2" bestFit="1" customWidth="1"/>
    <col min="12834" max="12842" width="16.42578125" style="2"/>
    <col min="12843" max="12874" width="16.42578125" style="2" customWidth="1"/>
    <col min="12875" max="13056" width="16.42578125" style="2"/>
    <col min="13057" max="13057" width="29.7109375" style="2" customWidth="1"/>
    <col min="13058" max="13058" width="23" style="2" customWidth="1"/>
    <col min="13059" max="13059" width="42.7109375" style="2" bestFit="1" customWidth="1"/>
    <col min="13060" max="13060" width="12.140625" style="2" customWidth="1"/>
    <col min="13061" max="13063" width="3.5703125" style="2" customWidth="1"/>
    <col min="13064" max="13076" width="19.85546875" style="2" bestFit="1" customWidth="1"/>
    <col min="13077" max="13077" width="18.28515625" style="2" customWidth="1"/>
    <col min="13078" max="13078" width="13.7109375" style="2" customWidth="1"/>
    <col min="13079" max="13079" width="47" style="2" bestFit="1" customWidth="1"/>
    <col min="13080" max="13080" width="17.5703125" style="2" customWidth="1"/>
    <col min="13081" max="13084" width="21" style="2" bestFit="1" customWidth="1"/>
    <col min="13085" max="13085" width="21.5703125" style="2" bestFit="1" customWidth="1"/>
    <col min="13086" max="13086" width="22.140625" style="2" bestFit="1" customWidth="1"/>
    <col min="13087" max="13087" width="13.85546875" style="2" customWidth="1"/>
    <col min="13088" max="13088" width="16.42578125" style="2"/>
    <col min="13089" max="13089" width="12.7109375" style="2" bestFit="1" customWidth="1"/>
    <col min="13090" max="13098" width="16.42578125" style="2"/>
    <col min="13099" max="13130" width="16.42578125" style="2" customWidth="1"/>
    <col min="13131" max="13312" width="16.42578125" style="2"/>
    <col min="13313" max="13313" width="29.7109375" style="2" customWidth="1"/>
    <col min="13314" max="13314" width="23" style="2" customWidth="1"/>
    <col min="13315" max="13315" width="42.7109375" style="2" bestFit="1" customWidth="1"/>
    <col min="13316" max="13316" width="12.140625" style="2" customWidth="1"/>
    <col min="13317" max="13319" width="3.5703125" style="2" customWidth="1"/>
    <col min="13320" max="13332" width="19.85546875" style="2" bestFit="1" customWidth="1"/>
    <col min="13333" max="13333" width="18.28515625" style="2" customWidth="1"/>
    <col min="13334" max="13334" width="13.7109375" style="2" customWidth="1"/>
    <col min="13335" max="13335" width="47" style="2" bestFit="1" customWidth="1"/>
    <col min="13336" max="13336" width="17.5703125" style="2" customWidth="1"/>
    <col min="13337" max="13340" width="21" style="2" bestFit="1" customWidth="1"/>
    <col min="13341" max="13341" width="21.5703125" style="2" bestFit="1" customWidth="1"/>
    <col min="13342" max="13342" width="22.140625" style="2" bestFit="1" customWidth="1"/>
    <col min="13343" max="13343" width="13.85546875" style="2" customWidth="1"/>
    <col min="13344" max="13344" width="16.42578125" style="2"/>
    <col min="13345" max="13345" width="12.7109375" style="2" bestFit="1" customWidth="1"/>
    <col min="13346" max="13354" width="16.42578125" style="2"/>
    <col min="13355" max="13386" width="16.42578125" style="2" customWidth="1"/>
    <col min="13387" max="13568" width="16.42578125" style="2"/>
    <col min="13569" max="13569" width="29.7109375" style="2" customWidth="1"/>
    <col min="13570" max="13570" width="23" style="2" customWidth="1"/>
    <col min="13571" max="13571" width="42.7109375" style="2" bestFit="1" customWidth="1"/>
    <col min="13572" max="13572" width="12.140625" style="2" customWidth="1"/>
    <col min="13573" max="13575" width="3.5703125" style="2" customWidth="1"/>
    <col min="13576" max="13588" width="19.85546875" style="2" bestFit="1" customWidth="1"/>
    <col min="13589" max="13589" width="18.28515625" style="2" customWidth="1"/>
    <col min="13590" max="13590" width="13.7109375" style="2" customWidth="1"/>
    <col min="13591" max="13591" width="47" style="2" bestFit="1" customWidth="1"/>
    <col min="13592" max="13592" width="17.5703125" style="2" customWidth="1"/>
    <col min="13593" max="13596" width="21" style="2" bestFit="1" customWidth="1"/>
    <col min="13597" max="13597" width="21.5703125" style="2" bestFit="1" customWidth="1"/>
    <col min="13598" max="13598" width="22.140625" style="2" bestFit="1" customWidth="1"/>
    <col min="13599" max="13599" width="13.85546875" style="2" customWidth="1"/>
    <col min="13600" max="13600" width="16.42578125" style="2"/>
    <col min="13601" max="13601" width="12.7109375" style="2" bestFit="1" customWidth="1"/>
    <col min="13602" max="13610" width="16.42578125" style="2"/>
    <col min="13611" max="13642" width="16.42578125" style="2" customWidth="1"/>
    <col min="13643" max="13824" width="16.42578125" style="2"/>
    <col min="13825" max="13825" width="29.7109375" style="2" customWidth="1"/>
    <col min="13826" max="13826" width="23" style="2" customWidth="1"/>
    <col min="13827" max="13827" width="42.7109375" style="2" bestFit="1" customWidth="1"/>
    <col min="13828" max="13828" width="12.140625" style="2" customWidth="1"/>
    <col min="13829" max="13831" width="3.5703125" style="2" customWidth="1"/>
    <col min="13832" max="13844" width="19.85546875" style="2" bestFit="1" customWidth="1"/>
    <col min="13845" max="13845" width="18.28515625" style="2" customWidth="1"/>
    <col min="13846" max="13846" width="13.7109375" style="2" customWidth="1"/>
    <col min="13847" max="13847" width="47" style="2" bestFit="1" customWidth="1"/>
    <col min="13848" max="13848" width="17.5703125" style="2" customWidth="1"/>
    <col min="13849" max="13852" width="21" style="2" bestFit="1" customWidth="1"/>
    <col min="13853" max="13853" width="21.5703125" style="2" bestFit="1" customWidth="1"/>
    <col min="13854" max="13854" width="22.140625" style="2" bestFit="1" customWidth="1"/>
    <col min="13855" max="13855" width="13.85546875" style="2" customWidth="1"/>
    <col min="13856" max="13856" width="16.42578125" style="2"/>
    <col min="13857" max="13857" width="12.7109375" style="2" bestFit="1" customWidth="1"/>
    <col min="13858" max="13866" width="16.42578125" style="2"/>
    <col min="13867" max="13898" width="16.42578125" style="2" customWidth="1"/>
    <col min="13899" max="14080" width="16.42578125" style="2"/>
    <col min="14081" max="14081" width="29.7109375" style="2" customWidth="1"/>
    <col min="14082" max="14082" width="23" style="2" customWidth="1"/>
    <col min="14083" max="14083" width="42.7109375" style="2" bestFit="1" customWidth="1"/>
    <col min="14084" max="14084" width="12.140625" style="2" customWidth="1"/>
    <col min="14085" max="14087" width="3.5703125" style="2" customWidth="1"/>
    <col min="14088" max="14100" width="19.85546875" style="2" bestFit="1" customWidth="1"/>
    <col min="14101" max="14101" width="18.28515625" style="2" customWidth="1"/>
    <col min="14102" max="14102" width="13.7109375" style="2" customWidth="1"/>
    <col min="14103" max="14103" width="47" style="2" bestFit="1" customWidth="1"/>
    <col min="14104" max="14104" width="17.5703125" style="2" customWidth="1"/>
    <col min="14105" max="14108" width="21" style="2" bestFit="1" customWidth="1"/>
    <col min="14109" max="14109" width="21.5703125" style="2" bestFit="1" customWidth="1"/>
    <col min="14110" max="14110" width="22.140625" style="2" bestFit="1" customWidth="1"/>
    <col min="14111" max="14111" width="13.85546875" style="2" customWidth="1"/>
    <col min="14112" max="14112" width="16.42578125" style="2"/>
    <col min="14113" max="14113" width="12.7109375" style="2" bestFit="1" customWidth="1"/>
    <col min="14114" max="14122" width="16.42578125" style="2"/>
    <col min="14123" max="14154" width="16.42578125" style="2" customWidth="1"/>
    <col min="14155" max="14336" width="16.42578125" style="2"/>
    <col min="14337" max="14337" width="29.7109375" style="2" customWidth="1"/>
    <col min="14338" max="14338" width="23" style="2" customWidth="1"/>
    <col min="14339" max="14339" width="42.7109375" style="2" bestFit="1" customWidth="1"/>
    <col min="14340" max="14340" width="12.140625" style="2" customWidth="1"/>
    <col min="14341" max="14343" width="3.5703125" style="2" customWidth="1"/>
    <col min="14344" max="14356" width="19.85546875" style="2" bestFit="1" customWidth="1"/>
    <col min="14357" max="14357" width="18.28515625" style="2" customWidth="1"/>
    <col min="14358" max="14358" width="13.7109375" style="2" customWidth="1"/>
    <col min="14359" max="14359" width="47" style="2" bestFit="1" customWidth="1"/>
    <col min="14360" max="14360" width="17.5703125" style="2" customWidth="1"/>
    <col min="14361" max="14364" width="21" style="2" bestFit="1" customWidth="1"/>
    <col min="14365" max="14365" width="21.5703125" style="2" bestFit="1" customWidth="1"/>
    <col min="14366" max="14366" width="22.140625" style="2" bestFit="1" customWidth="1"/>
    <col min="14367" max="14367" width="13.85546875" style="2" customWidth="1"/>
    <col min="14368" max="14368" width="16.42578125" style="2"/>
    <col min="14369" max="14369" width="12.7109375" style="2" bestFit="1" customWidth="1"/>
    <col min="14370" max="14378" width="16.42578125" style="2"/>
    <col min="14379" max="14410" width="16.42578125" style="2" customWidth="1"/>
    <col min="14411" max="14592" width="16.42578125" style="2"/>
    <col min="14593" max="14593" width="29.7109375" style="2" customWidth="1"/>
    <col min="14594" max="14594" width="23" style="2" customWidth="1"/>
    <col min="14595" max="14595" width="42.7109375" style="2" bestFit="1" customWidth="1"/>
    <col min="14596" max="14596" width="12.140625" style="2" customWidth="1"/>
    <col min="14597" max="14599" width="3.5703125" style="2" customWidth="1"/>
    <col min="14600" max="14612" width="19.85546875" style="2" bestFit="1" customWidth="1"/>
    <col min="14613" max="14613" width="18.28515625" style="2" customWidth="1"/>
    <col min="14614" max="14614" width="13.7109375" style="2" customWidth="1"/>
    <col min="14615" max="14615" width="47" style="2" bestFit="1" customWidth="1"/>
    <col min="14616" max="14616" width="17.5703125" style="2" customWidth="1"/>
    <col min="14617" max="14620" width="21" style="2" bestFit="1" customWidth="1"/>
    <col min="14621" max="14621" width="21.5703125" style="2" bestFit="1" customWidth="1"/>
    <col min="14622" max="14622" width="22.140625" style="2" bestFit="1" customWidth="1"/>
    <col min="14623" max="14623" width="13.85546875" style="2" customWidth="1"/>
    <col min="14624" max="14624" width="16.42578125" style="2"/>
    <col min="14625" max="14625" width="12.7109375" style="2" bestFit="1" customWidth="1"/>
    <col min="14626" max="14634" width="16.42578125" style="2"/>
    <col min="14635" max="14666" width="16.42578125" style="2" customWidth="1"/>
    <col min="14667" max="14848" width="16.42578125" style="2"/>
    <col min="14849" max="14849" width="29.7109375" style="2" customWidth="1"/>
    <col min="14850" max="14850" width="23" style="2" customWidth="1"/>
    <col min="14851" max="14851" width="42.7109375" style="2" bestFit="1" customWidth="1"/>
    <col min="14852" max="14852" width="12.140625" style="2" customWidth="1"/>
    <col min="14853" max="14855" width="3.5703125" style="2" customWidth="1"/>
    <col min="14856" max="14868" width="19.85546875" style="2" bestFit="1" customWidth="1"/>
    <col min="14869" max="14869" width="18.28515625" style="2" customWidth="1"/>
    <col min="14870" max="14870" width="13.7109375" style="2" customWidth="1"/>
    <col min="14871" max="14871" width="47" style="2" bestFit="1" customWidth="1"/>
    <col min="14872" max="14872" width="17.5703125" style="2" customWidth="1"/>
    <col min="14873" max="14876" width="21" style="2" bestFit="1" customWidth="1"/>
    <col min="14877" max="14877" width="21.5703125" style="2" bestFit="1" customWidth="1"/>
    <col min="14878" max="14878" width="22.140625" style="2" bestFit="1" customWidth="1"/>
    <col min="14879" max="14879" width="13.85546875" style="2" customWidth="1"/>
    <col min="14880" max="14880" width="16.42578125" style="2"/>
    <col min="14881" max="14881" width="12.7109375" style="2" bestFit="1" customWidth="1"/>
    <col min="14882" max="14890" width="16.42578125" style="2"/>
    <col min="14891" max="14922" width="16.42578125" style="2" customWidth="1"/>
    <col min="14923" max="15104" width="16.42578125" style="2"/>
    <col min="15105" max="15105" width="29.7109375" style="2" customWidth="1"/>
    <col min="15106" max="15106" width="23" style="2" customWidth="1"/>
    <col min="15107" max="15107" width="42.7109375" style="2" bestFit="1" customWidth="1"/>
    <col min="15108" max="15108" width="12.140625" style="2" customWidth="1"/>
    <col min="15109" max="15111" width="3.5703125" style="2" customWidth="1"/>
    <col min="15112" max="15124" width="19.85546875" style="2" bestFit="1" customWidth="1"/>
    <col min="15125" max="15125" width="18.28515625" style="2" customWidth="1"/>
    <col min="15126" max="15126" width="13.7109375" style="2" customWidth="1"/>
    <col min="15127" max="15127" width="47" style="2" bestFit="1" customWidth="1"/>
    <col min="15128" max="15128" width="17.5703125" style="2" customWidth="1"/>
    <col min="15129" max="15132" width="21" style="2" bestFit="1" customWidth="1"/>
    <col min="15133" max="15133" width="21.5703125" style="2" bestFit="1" customWidth="1"/>
    <col min="15134" max="15134" width="22.140625" style="2" bestFit="1" customWidth="1"/>
    <col min="15135" max="15135" width="13.85546875" style="2" customWidth="1"/>
    <col min="15136" max="15136" width="16.42578125" style="2"/>
    <col min="15137" max="15137" width="12.7109375" style="2" bestFit="1" customWidth="1"/>
    <col min="15138" max="15146" width="16.42578125" style="2"/>
    <col min="15147" max="15178" width="16.42578125" style="2" customWidth="1"/>
    <col min="15179" max="15360" width="16.42578125" style="2"/>
    <col min="15361" max="15361" width="29.7109375" style="2" customWidth="1"/>
    <col min="15362" max="15362" width="23" style="2" customWidth="1"/>
    <col min="15363" max="15363" width="42.7109375" style="2" bestFit="1" customWidth="1"/>
    <col min="15364" max="15364" width="12.140625" style="2" customWidth="1"/>
    <col min="15365" max="15367" width="3.5703125" style="2" customWidth="1"/>
    <col min="15368" max="15380" width="19.85546875" style="2" bestFit="1" customWidth="1"/>
    <col min="15381" max="15381" width="18.28515625" style="2" customWidth="1"/>
    <col min="15382" max="15382" width="13.7109375" style="2" customWidth="1"/>
    <col min="15383" max="15383" width="47" style="2" bestFit="1" customWidth="1"/>
    <col min="15384" max="15384" width="17.5703125" style="2" customWidth="1"/>
    <col min="15385" max="15388" width="21" style="2" bestFit="1" customWidth="1"/>
    <col min="15389" max="15389" width="21.5703125" style="2" bestFit="1" customWidth="1"/>
    <col min="15390" max="15390" width="22.140625" style="2" bestFit="1" customWidth="1"/>
    <col min="15391" max="15391" width="13.85546875" style="2" customWidth="1"/>
    <col min="15392" max="15392" width="16.42578125" style="2"/>
    <col min="15393" max="15393" width="12.7109375" style="2" bestFit="1" customWidth="1"/>
    <col min="15394" max="15402" width="16.42578125" style="2"/>
    <col min="15403" max="15434" width="16.42578125" style="2" customWidth="1"/>
    <col min="15435" max="15616" width="16.42578125" style="2"/>
    <col min="15617" max="15617" width="29.7109375" style="2" customWidth="1"/>
    <col min="15618" max="15618" width="23" style="2" customWidth="1"/>
    <col min="15619" max="15619" width="42.7109375" style="2" bestFit="1" customWidth="1"/>
    <col min="15620" max="15620" width="12.140625" style="2" customWidth="1"/>
    <col min="15621" max="15623" width="3.5703125" style="2" customWidth="1"/>
    <col min="15624" max="15636" width="19.85546875" style="2" bestFit="1" customWidth="1"/>
    <col min="15637" max="15637" width="18.28515625" style="2" customWidth="1"/>
    <col min="15638" max="15638" width="13.7109375" style="2" customWidth="1"/>
    <col min="15639" max="15639" width="47" style="2" bestFit="1" customWidth="1"/>
    <col min="15640" max="15640" width="17.5703125" style="2" customWidth="1"/>
    <col min="15641" max="15644" width="21" style="2" bestFit="1" customWidth="1"/>
    <col min="15645" max="15645" width="21.5703125" style="2" bestFit="1" customWidth="1"/>
    <col min="15646" max="15646" width="22.140625" style="2" bestFit="1" customWidth="1"/>
    <col min="15647" max="15647" width="13.85546875" style="2" customWidth="1"/>
    <col min="15648" max="15648" width="16.42578125" style="2"/>
    <col min="15649" max="15649" width="12.7109375" style="2" bestFit="1" customWidth="1"/>
    <col min="15650" max="15658" width="16.42578125" style="2"/>
    <col min="15659" max="15690" width="16.42578125" style="2" customWidth="1"/>
    <col min="15691" max="15872" width="16.42578125" style="2"/>
    <col min="15873" max="15873" width="29.7109375" style="2" customWidth="1"/>
    <col min="15874" max="15874" width="23" style="2" customWidth="1"/>
    <col min="15875" max="15875" width="42.7109375" style="2" bestFit="1" customWidth="1"/>
    <col min="15876" max="15876" width="12.140625" style="2" customWidth="1"/>
    <col min="15877" max="15879" width="3.5703125" style="2" customWidth="1"/>
    <col min="15880" max="15892" width="19.85546875" style="2" bestFit="1" customWidth="1"/>
    <col min="15893" max="15893" width="18.28515625" style="2" customWidth="1"/>
    <col min="15894" max="15894" width="13.7109375" style="2" customWidth="1"/>
    <col min="15895" max="15895" width="47" style="2" bestFit="1" customWidth="1"/>
    <col min="15896" max="15896" width="17.5703125" style="2" customWidth="1"/>
    <col min="15897" max="15900" width="21" style="2" bestFit="1" customWidth="1"/>
    <col min="15901" max="15901" width="21.5703125" style="2" bestFit="1" customWidth="1"/>
    <col min="15902" max="15902" width="22.140625" style="2" bestFit="1" customWidth="1"/>
    <col min="15903" max="15903" width="13.85546875" style="2" customWidth="1"/>
    <col min="15904" max="15904" width="16.42578125" style="2"/>
    <col min="15905" max="15905" width="12.7109375" style="2" bestFit="1" customWidth="1"/>
    <col min="15906" max="15914" width="16.42578125" style="2"/>
    <col min="15915" max="15946" width="16.42578125" style="2" customWidth="1"/>
    <col min="15947" max="16128" width="16.42578125" style="2"/>
    <col min="16129" max="16129" width="29.7109375" style="2" customWidth="1"/>
    <col min="16130" max="16130" width="23" style="2" customWidth="1"/>
    <col min="16131" max="16131" width="42.7109375" style="2" bestFit="1" customWidth="1"/>
    <col min="16132" max="16132" width="12.140625" style="2" customWidth="1"/>
    <col min="16133" max="16135" width="3.5703125" style="2" customWidth="1"/>
    <col min="16136" max="16148" width="19.85546875" style="2" bestFit="1" customWidth="1"/>
    <col min="16149" max="16149" width="18.28515625" style="2" customWidth="1"/>
    <col min="16150" max="16150" width="13.7109375" style="2" customWidth="1"/>
    <col min="16151" max="16151" width="47" style="2" bestFit="1" customWidth="1"/>
    <col min="16152" max="16152" width="17.5703125" style="2" customWidth="1"/>
    <col min="16153" max="16156" width="21" style="2" bestFit="1" customWidth="1"/>
    <col min="16157" max="16157" width="21.5703125" style="2" bestFit="1" customWidth="1"/>
    <col min="16158" max="16158" width="22.140625" style="2" bestFit="1" customWidth="1"/>
    <col min="16159" max="16159" width="13.85546875" style="2" customWidth="1"/>
    <col min="16160" max="16160" width="16.42578125" style="2"/>
    <col min="16161" max="16161" width="12.7109375" style="2" bestFit="1" customWidth="1"/>
    <col min="16162" max="16170" width="16.42578125" style="2"/>
    <col min="16171" max="16202" width="16.42578125" style="2" customWidth="1"/>
    <col min="16203" max="16384" width="16.42578125" style="2"/>
  </cols>
  <sheetData>
    <row r="1" spans="1:30" ht="18">
      <c r="A1" s="1051"/>
      <c r="B1" s="1052"/>
      <c r="C1" s="1053"/>
      <c r="D1" s="1051"/>
      <c r="E1" s="1051"/>
      <c r="F1" s="1051"/>
      <c r="G1" s="1051"/>
      <c r="H1" s="1051"/>
      <c r="I1" s="1051"/>
      <c r="J1" s="1051"/>
      <c r="K1" s="1051"/>
      <c r="L1" s="1051"/>
      <c r="M1" s="1051"/>
      <c r="N1" s="1051"/>
      <c r="O1" s="1051"/>
      <c r="P1" s="1051"/>
      <c r="Q1" s="1051"/>
      <c r="R1" s="1051"/>
      <c r="S1" s="1051"/>
      <c r="T1" s="1051"/>
    </row>
    <row r="2" spans="1:30" ht="18">
      <c r="A2" s="1051"/>
      <c r="B2" s="1052"/>
      <c r="C2" s="1053"/>
      <c r="D2" s="1051"/>
      <c r="E2" s="1051"/>
      <c r="F2" s="1051"/>
      <c r="G2" s="1051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</row>
    <row r="3" spans="1:30" ht="18">
      <c r="A3" s="1051"/>
      <c r="B3" s="1055"/>
      <c r="C3" s="1056"/>
      <c r="D3" s="1057"/>
      <c r="E3" s="1051"/>
      <c r="F3" s="1051"/>
      <c r="G3" s="1051"/>
      <c r="H3" s="1054"/>
      <c r="I3" s="1054"/>
      <c r="J3" s="1054"/>
      <c r="K3" s="1054"/>
      <c r="L3" s="1054"/>
      <c r="M3" s="1054"/>
      <c r="N3" s="1054"/>
      <c r="O3" s="1054"/>
      <c r="P3" s="1054"/>
      <c r="Q3" s="1054"/>
      <c r="R3" s="1054"/>
      <c r="S3" s="1054"/>
      <c r="T3" s="1054"/>
    </row>
    <row r="4" spans="1:30" ht="18">
      <c r="A4" s="1058"/>
      <c r="B4" s="1055"/>
      <c r="C4" s="1059"/>
      <c r="D4" s="1057"/>
      <c r="E4" s="1051"/>
      <c r="F4" s="1051"/>
      <c r="G4" s="1051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V4" s="930"/>
    </row>
    <row r="5" spans="1:30" ht="18">
      <c r="A5" s="1058"/>
      <c r="B5" s="1059"/>
      <c r="C5" s="1059"/>
      <c r="D5" s="1060"/>
      <c r="E5" s="1051"/>
      <c r="F5" s="1051"/>
      <c r="G5" s="1051"/>
      <c r="H5" s="1054"/>
      <c r="I5" s="1054"/>
      <c r="J5" s="1054"/>
      <c r="K5" s="1054"/>
      <c r="L5" s="1054"/>
      <c r="M5" s="1054"/>
      <c r="N5" s="1054"/>
      <c r="O5" s="1054"/>
      <c r="P5" s="1054"/>
      <c r="Q5" s="1054"/>
      <c r="R5" s="1054"/>
      <c r="S5" s="1054"/>
      <c r="T5" s="1054"/>
      <c r="V5" s="930"/>
    </row>
    <row r="6" spans="1:30" ht="18">
      <c r="A6" s="1061"/>
      <c r="B6" s="1062"/>
      <c r="C6" s="1062"/>
      <c r="D6" s="1051"/>
      <c r="E6" s="1051"/>
      <c r="F6" s="1051"/>
      <c r="G6" s="1051"/>
      <c r="H6" s="1054"/>
      <c r="I6" s="1054"/>
      <c r="J6" s="1054"/>
      <c r="K6" s="1054"/>
      <c r="L6" s="1054"/>
      <c r="M6" s="1054"/>
      <c r="N6" s="1054"/>
      <c r="O6" s="1054"/>
      <c r="P6" s="1054"/>
      <c r="Q6" s="1054"/>
      <c r="R6" s="1054"/>
      <c r="S6" s="1054"/>
      <c r="T6" s="1054"/>
      <c r="V6" s="931"/>
    </row>
    <row r="7" spans="1:30" ht="18">
      <c r="A7" s="1063"/>
      <c r="B7" s="1064"/>
      <c r="C7" s="1064"/>
      <c r="D7" s="1065"/>
      <c r="E7" s="1066"/>
      <c r="F7" s="1066"/>
      <c r="G7" s="1066"/>
      <c r="H7" s="1067"/>
      <c r="I7" s="1067"/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54" t="s">
        <v>1031</v>
      </c>
      <c r="U7" s="719"/>
    </row>
    <row r="8" spans="1:30" ht="18">
      <c r="A8" s="1068"/>
      <c r="B8" s="1069"/>
      <c r="C8" s="1069"/>
      <c r="D8" s="1051"/>
      <c r="E8" s="1051"/>
      <c r="F8" s="1051"/>
      <c r="G8" s="1051"/>
      <c r="H8" s="1067"/>
      <c r="I8" s="1067"/>
      <c r="J8" s="1067"/>
      <c r="K8" s="1067"/>
      <c r="L8" s="1067"/>
      <c r="M8" s="1067"/>
      <c r="N8" s="1067"/>
      <c r="O8" s="1067"/>
      <c r="P8" s="1067"/>
      <c r="Q8" s="1067"/>
      <c r="R8" s="1067"/>
      <c r="S8" s="1067"/>
      <c r="T8" s="1067" t="s">
        <v>1032</v>
      </c>
    </row>
    <row r="9" spans="1:30" ht="18.75" thickBot="1">
      <c r="A9" s="1070" t="s">
        <v>823</v>
      </c>
      <c r="B9" s="1071"/>
      <c r="C9" s="1070" t="s">
        <v>829</v>
      </c>
      <c r="D9" s="1070"/>
      <c r="E9" s="1070"/>
      <c r="F9" s="1072"/>
      <c r="G9" s="1073">
        <v>40543</v>
      </c>
      <c r="H9" s="1073">
        <v>42766</v>
      </c>
      <c r="I9" s="1073">
        <v>42794</v>
      </c>
      <c r="J9" s="1073">
        <v>42825</v>
      </c>
      <c r="K9" s="1073">
        <v>42855</v>
      </c>
      <c r="L9" s="1073">
        <v>42886</v>
      </c>
      <c r="M9" s="1073">
        <v>42916</v>
      </c>
      <c r="N9" s="1073">
        <v>42947</v>
      </c>
      <c r="O9" s="1073">
        <v>42978</v>
      </c>
      <c r="P9" s="1073">
        <v>43008</v>
      </c>
      <c r="Q9" s="1073">
        <v>43039</v>
      </c>
      <c r="R9" s="1073">
        <v>43069</v>
      </c>
      <c r="S9" s="1073">
        <v>43100</v>
      </c>
      <c r="T9" s="1073">
        <v>42916</v>
      </c>
      <c r="Y9" s="12"/>
      <c r="Z9" s="12"/>
      <c r="AA9" s="12"/>
    </row>
    <row r="10" spans="1:30" ht="18.75" thickBot="1">
      <c r="A10" s="1074" t="s">
        <v>830</v>
      </c>
      <c r="B10" s="1062"/>
      <c r="C10" s="1062"/>
      <c r="D10" s="1060"/>
      <c r="E10" s="1051"/>
      <c r="F10" s="1051"/>
      <c r="G10" s="1051"/>
      <c r="H10" s="1075"/>
      <c r="I10" s="1075"/>
      <c r="J10" s="1075"/>
      <c r="K10" s="1075"/>
      <c r="L10" s="1075"/>
      <c r="M10" s="1075"/>
      <c r="N10" s="1075"/>
      <c r="O10" s="1075"/>
      <c r="P10" s="1075"/>
      <c r="Q10" s="1075"/>
      <c r="R10" s="1075"/>
      <c r="S10" s="1075"/>
      <c r="T10" s="1075"/>
      <c r="V10" s="271"/>
      <c r="W10" s="272"/>
      <c r="X10" s="947" t="s">
        <v>1014</v>
      </c>
      <c r="Y10" s="947" t="s">
        <v>1030</v>
      </c>
      <c r="Z10" s="947" t="s">
        <v>103</v>
      </c>
      <c r="AA10" s="947" t="s">
        <v>94</v>
      </c>
      <c r="AB10" s="947" t="s">
        <v>95</v>
      </c>
      <c r="AC10" s="947" t="s">
        <v>883</v>
      </c>
      <c r="AD10" s="948" t="s">
        <v>1033</v>
      </c>
    </row>
    <row r="11" spans="1:30" ht="18.75" thickBot="1">
      <c r="A11" s="1076" t="s">
        <v>12</v>
      </c>
      <c r="B11" s="1060"/>
      <c r="C11" s="1060"/>
      <c r="D11" s="1077"/>
      <c r="E11" s="1051"/>
      <c r="F11" s="1051"/>
      <c r="G11" s="1051"/>
      <c r="H11" s="1078"/>
      <c r="I11" s="1078"/>
      <c r="J11" s="1078"/>
      <c r="K11" s="1078"/>
      <c r="L11" s="1078"/>
      <c r="M11" s="1078"/>
      <c r="N11" s="1078"/>
      <c r="O11" s="1078"/>
      <c r="P11" s="1078"/>
      <c r="Q11" s="1078"/>
      <c r="R11" s="1078"/>
      <c r="S11" s="1078"/>
      <c r="T11" s="1078"/>
      <c r="V11" s="932" t="s">
        <v>139</v>
      </c>
      <c r="W11" s="949"/>
      <c r="X11" s="272"/>
      <c r="Y11" s="272"/>
      <c r="Z11" s="272"/>
      <c r="AA11" s="272"/>
      <c r="AB11" s="272"/>
      <c r="AC11" s="272"/>
      <c r="AD11" s="128"/>
    </row>
    <row r="12" spans="1:30" ht="18">
      <c r="A12" s="1076"/>
      <c r="B12" s="1077"/>
      <c r="C12" s="1077"/>
      <c r="D12" s="1077"/>
      <c r="E12" s="1051"/>
      <c r="F12" s="1051"/>
      <c r="G12" s="1051"/>
      <c r="H12" s="1078"/>
      <c r="I12" s="1078"/>
      <c r="J12" s="1078"/>
      <c r="K12" s="1078"/>
      <c r="L12" s="1078"/>
      <c r="M12" s="1078"/>
      <c r="N12" s="1078"/>
      <c r="O12" s="1078"/>
      <c r="P12" s="1078"/>
      <c r="Q12" s="1078"/>
      <c r="R12" s="1078"/>
      <c r="S12" s="1078"/>
      <c r="T12" s="1078"/>
      <c r="V12" s="934" t="s">
        <v>994</v>
      </c>
      <c r="W12" s="950"/>
      <c r="X12" s="55"/>
      <c r="Y12" s="55"/>
      <c r="Z12" s="55"/>
      <c r="AA12" s="55"/>
      <c r="AB12" s="55"/>
      <c r="AC12" s="55"/>
      <c r="AD12" s="125"/>
    </row>
    <row r="13" spans="1:30" ht="18">
      <c r="A13" s="1079"/>
      <c r="B13" s="1062"/>
      <c r="C13" s="1062"/>
      <c r="D13" s="1080"/>
      <c r="E13" s="1080"/>
      <c r="F13" s="1080"/>
      <c r="G13" s="1080"/>
      <c r="H13" s="1078"/>
      <c r="I13" s="1078"/>
      <c r="J13" s="1078"/>
      <c r="K13" s="1078"/>
      <c r="L13" s="1078"/>
      <c r="M13" s="1078"/>
      <c r="N13" s="1078"/>
      <c r="O13" s="1078"/>
      <c r="P13" s="1078"/>
      <c r="Q13" s="1078"/>
      <c r="R13" s="1078"/>
      <c r="S13" s="1078"/>
      <c r="T13" s="1078"/>
      <c r="V13" s="936"/>
      <c r="W13" s="951" t="s">
        <v>308</v>
      </c>
      <c r="X13" s="540">
        <f>+$S$21+$S$30+$S$39</f>
        <v>1002147</v>
      </c>
      <c r="Y13" s="540">
        <f>+$T$21+$T$30+$T$39</f>
        <v>992105.25</v>
      </c>
      <c r="Z13" s="540">
        <f>+$T$22</f>
        <v>97193727</v>
      </c>
      <c r="AA13" s="540">
        <f>+$T$15</f>
        <v>316199223</v>
      </c>
      <c r="AB13" s="540">
        <f>+$T$17</f>
        <v>100235379</v>
      </c>
      <c r="AC13" s="540">
        <f>+$T$19</f>
        <v>393060780</v>
      </c>
      <c r="AD13" s="952">
        <f>SUM(AA13:AC13)</f>
        <v>809495382</v>
      </c>
    </row>
    <row r="14" spans="1:30" ht="18">
      <c r="A14" s="1076" t="s">
        <v>13</v>
      </c>
      <c r="B14" s="1051"/>
      <c r="C14" s="1051"/>
      <c r="D14" s="1051"/>
      <c r="E14" s="1051"/>
      <c r="F14" s="1051"/>
      <c r="G14" s="1051"/>
      <c r="H14" s="1078"/>
      <c r="I14" s="1078"/>
      <c r="J14" s="1078"/>
      <c r="K14" s="1078"/>
      <c r="L14" s="1078"/>
      <c r="M14" s="1078"/>
      <c r="N14" s="1078"/>
      <c r="O14" s="1078"/>
      <c r="P14" s="1078"/>
      <c r="Q14" s="1078"/>
      <c r="R14" s="1078"/>
      <c r="S14" s="1078"/>
      <c r="T14" s="1078"/>
      <c r="V14" s="936"/>
      <c r="W14" s="951" t="s">
        <v>496</v>
      </c>
      <c r="X14" s="540">
        <f>+$S$48</f>
        <v>493</v>
      </c>
      <c r="Y14" s="540">
        <f>+$T$48</f>
        <v>529.91666666666663</v>
      </c>
      <c r="Z14" s="540">
        <f>+$T$49</f>
        <v>3917177</v>
      </c>
      <c r="AA14" s="540">
        <f>+$T$42</f>
        <v>3357867</v>
      </c>
      <c r="AB14" s="540">
        <f>+$T$44</f>
        <v>3463902</v>
      </c>
      <c r="AC14" s="540">
        <f>+$T$46</f>
        <v>15794370</v>
      </c>
      <c r="AD14" s="952">
        <f>SUM(AA14:AC14)</f>
        <v>22616139</v>
      </c>
    </row>
    <row r="15" spans="1:30" ht="18.75" thickBot="1">
      <c r="A15" s="1074" t="s">
        <v>994</v>
      </c>
      <c r="B15" s="1060" t="s">
        <v>14</v>
      </c>
      <c r="C15" s="1060" t="s">
        <v>15</v>
      </c>
      <c r="D15" s="1060" t="s">
        <v>995</v>
      </c>
      <c r="E15" s="1051"/>
      <c r="F15" s="1051"/>
      <c r="G15" s="1051"/>
      <c r="H15" s="1078">
        <v>50572247</v>
      </c>
      <c r="I15" s="1078">
        <v>45285666</v>
      </c>
      <c r="J15" s="1078">
        <v>33369229</v>
      </c>
      <c r="K15" s="1078">
        <v>20488344</v>
      </c>
      <c r="L15" s="1078">
        <v>15264653</v>
      </c>
      <c r="M15" s="1078">
        <v>11882163</v>
      </c>
      <c r="N15" s="1078">
        <v>11057536</v>
      </c>
      <c r="O15" s="1078">
        <v>10876082</v>
      </c>
      <c r="P15" s="1078">
        <v>11781393</v>
      </c>
      <c r="Q15" s="1078">
        <v>17975369</v>
      </c>
      <c r="R15" s="1078">
        <v>35298140</v>
      </c>
      <c r="S15" s="1078">
        <v>52348401</v>
      </c>
      <c r="T15" s="1078">
        <v>316199223</v>
      </c>
      <c r="V15" s="938"/>
      <c r="W15" s="953" t="s">
        <v>798</v>
      </c>
      <c r="X15" s="954">
        <f>+$S$66</f>
        <v>1</v>
      </c>
      <c r="Y15" s="954">
        <f>+$T$66</f>
        <v>1</v>
      </c>
      <c r="Z15" s="954">
        <f>+$T$67</f>
        <v>297834.61000000004</v>
      </c>
      <c r="AA15" s="954">
        <f>+$T$60</f>
        <v>1777126.4168316997</v>
      </c>
      <c r="AB15" s="954">
        <f>+$T$62</f>
        <v>265317.09801070008</v>
      </c>
      <c r="AC15" s="954">
        <f>+$T$64</f>
        <v>1200610.4451576001</v>
      </c>
      <c r="AD15" s="955">
        <f>SUM(AA15:AC15)</f>
        <v>3243053.96</v>
      </c>
    </row>
    <row r="16" spans="1:30" ht="18">
      <c r="A16" s="1074" t="s">
        <v>994</v>
      </c>
      <c r="B16" s="1060"/>
      <c r="C16" s="1060"/>
      <c r="D16" s="1060" t="s">
        <v>995</v>
      </c>
      <c r="E16" s="1051"/>
      <c r="F16" s="1051"/>
      <c r="G16" s="1051"/>
      <c r="H16" s="1078"/>
      <c r="I16" s="1078"/>
      <c r="J16" s="1078"/>
      <c r="K16" s="1078"/>
      <c r="L16" s="1078"/>
      <c r="M16" s="1078"/>
      <c r="N16" s="1078"/>
      <c r="O16" s="1078"/>
      <c r="P16" s="1078"/>
      <c r="Q16" s="1078"/>
      <c r="R16" s="1078"/>
      <c r="S16" s="1078"/>
      <c r="T16" s="1078"/>
      <c r="V16" s="936"/>
      <c r="W16" s="951" t="s">
        <v>96</v>
      </c>
      <c r="X16" s="540">
        <f t="shared" ref="X16:AD16" si="0">SUM(X13:X15)</f>
        <v>1002641</v>
      </c>
      <c r="Y16" s="540">
        <f>SUM(Y13:Y15)</f>
        <v>992636.16666666663</v>
      </c>
      <c r="Z16" s="540">
        <f>SUM(Z13:Z15)</f>
        <v>101408738.61</v>
      </c>
      <c r="AA16" s="540">
        <f>SUM(AA13:AA15)</f>
        <v>321334216.41683167</v>
      </c>
      <c r="AB16" s="540">
        <f t="shared" si="0"/>
        <v>103964598.0980107</v>
      </c>
      <c r="AC16" s="540">
        <f t="shared" si="0"/>
        <v>410055760.44515759</v>
      </c>
      <c r="AD16" s="952">
        <f t="shared" si="0"/>
        <v>835354574.96000004</v>
      </c>
    </row>
    <row r="17" spans="1:30" ht="18">
      <c r="A17" s="1074" t="s">
        <v>994</v>
      </c>
      <c r="B17" s="1060"/>
      <c r="C17" s="1060" t="s">
        <v>16</v>
      </c>
      <c r="D17" s="1060" t="s">
        <v>995</v>
      </c>
      <c r="E17" s="1051"/>
      <c r="F17" s="1051"/>
      <c r="G17" s="1051"/>
      <c r="H17" s="1078">
        <v>23670076</v>
      </c>
      <c r="I17" s="1078">
        <v>16116116</v>
      </c>
      <c r="J17" s="1078">
        <v>11028369</v>
      </c>
      <c r="K17" s="1078">
        <v>4098186</v>
      </c>
      <c r="L17" s="1078">
        <v>2190789</v>
      </c>
      <c r="M17" s="1078">
        <v>1347594</v>
      </c>
      <c r="N17" s="1078">
        <v>1342142</v>
      </c>
      <c r="O17" s="1078">
        <v>1252270</v>
      </c>
      <c r="P17" s="1078">
        <v>1587014</v>
      </c>
      <c r="Q17" s="1078">
        <v>4182980</v>
      </c>
      <c r="R17" s="1078">
        <v>11405954</v>
      </c>
      <c r="S17" s="1078">
        <v>22013889</v>
      </c>
      <c r="T17" s="1078">
        <v>100235379</v>
      </c>
      <c r="V17" s="936"/>
      <c r="W17" s="951"/>
      <c r="X17" s="540"/>
      <c r="Y17" s="540"/>
      <c r="Z17" s="540"/>
      <c r="AA17" s="540"/>
      <c r="AB17" s="540"/>
      <c r="AC17" s="540"/>
      <c r="AD17" s="952"/>
    </row>
    <row r="18" spans="1:30" ht="18">
      <c r="A18" s="1074" t="s">
        <v>994</v>
      </c>
      <c r="B18" s="1060"/>
      <c r="C18" s="1060"/>
      <c r="D18" s="1060" t="s">
        <v>995</v>
      </c>
      <c r="E18" s="1051"/>
      <c r="F18" s="1051"/>
      <c r="G18" s="1051"/>
      <c r="H18" s="1078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V18" s="934" t="s">
        <v>998</v>
      </c>
      <c r="W18" s="950"/>
      <c r="X18" s="55"/>
      <c r="Y18" s="55"/>
      <c r="Z18" s="55"/>
      <c r="AA18" s="55"/>
      <c r="AB18" s="55"/>
      <c r="AC18" s="55"/>
      <c r="AD18" s="125"/>
    </row>
    <row r="19" spans="1:30" ht="18.75" thickBot="1">
      <c r="A19" s="1074" t="s">
        <v>994</v>
      </c>
      <c r="B19" s="1060"/>
      <c r="C19" s="1060" t="s">
        <v>17</v>
      </c>
      <c r="D19" s="1060" t="s">
        <v>995</v>
      </c>
      <c r="E19" s="1051"/>
      <c r="F19" s="1051"/>
      <c r="G19" s="1051"/>
      <c r="H19" s="1081">
        <v>79220721</v>
      </c>
      <c r="I19" s="1081">
        <v>53938774</v>
      </c>
      <c r="J19" s="1081">
        <v>36920603</v>
      </c>
      <c r="K19" s="1081">
        <v>29858858</v>
      </c>
      <c r="L19" s="1081">
        <v>15622653</v>
      </c>
      <c r="M19" s="1081">
        <v>9136338</v>
      </c>
      <c r="N19" s="1081">
        <v>9111966</v>
      </c>
      <c r="O19" s="1081">
        <v>8504646</v>
      </c>
      <c r="P19" s="1081">
        <v>10769498</v>
      </c>
      <c r="Q19" s="1081">
        <v>28384746</v>
      </c>
      <c r="R19" s="1081">
        <v>39181554</v>
      </c>
      <c r="S19" s="1081">
        <v>72410423</v>
      </c>
      <c r="T19" s="1081">
        <v>393060780</v>
      </c>
      <c r="V19" s="938"/>
      <c r="W19" s="953" t="s">
        <v>666</v>
      </c>
      <c r="X19" s="954">
        <f>+$S$102</f>
        <v>35</v>
      </c>
      <c r="Y19" s="954">
        <f>+$T$102</f>
        <v>40.833333333333336</v>
      </c>
      <c r="Z19" s="954">
        <f>+$T$103</f>
        <v>619341</v>
      </c>
      <c r="AA19" s="954">
        <f>+$T$96</f>
        <v>373983</v>
      </c>
      <c r="AB19" s="954">
        <f>+$T$98</f>
        <v>111250</v>
      </c>
      <c r="AC19" s="954">
        <f>+$T$100</f>
        <v>2493346</v>
      </c>
      <c r="AD19" s="955">
        <f>SUM(AA19:AC19)</f>
        <v>2978579</v>
      </c>
    </row>
    <row r="20" spans="1:30" ht="18">
      <c r="A20" s="1074" t="s">
        <v>994</v>
      </c>
      <c r="B20" s="1060"/>
      <c r="C20" s="1060" t="s">
        <v>18</v>
      </c>
      <c r="D20" s="1060" t="s">
        <v>995</v>
      </c>
      <c r="E20" s="1051"/>
      <c r="F20" s="1051"/>
      <c r="G20" s="1051"/>
      <c r="H20" s="1078">
        <v>153463044</v>
      </c>
      <c r="I20" s="1078">
        <v>115340556</v>
      </c>
      <c r="J20" s="1078">
        <v>81318201</v>
      </c>
      <c r="K20" s="1078">
        <v>54445388</v>
      </c>
      <c r="L20" s="1078">
        <v>33078095</v>
      </c>
      <c r="M20" s="1078">
        <v>22366095</v>
      </c>
      <c r="N20" s="1078">
        <v>21511644</v>
      </c>
      <c r="O20" s="1078">
        <v>20632998</v>
      </c>
      <c r="P20" s="1078">
        <v>24137905</v>
      </c>
      <c r="Q20" s="1078">
        <v>50543095</v>
      </c>
      <c r="R20" s="1078">
        <v>85885648</v>
      </c>
      <c r="S20" s="1078">
        <v>146772713</v>
      </c>
      <c r="T20" s="1078">
        <v>809495382</v>
      </c>
      <c r="V20" s="936"/>
      <c r="W20" s="951" t="s">
        <v>97</v>
      </c>
      <c r="X20" s="540">
        <f t="shared" ref="X20:AD20" si="1">SUM(X19:X19)</f>
        <v>35</v>
      </c>
      <c r="Y20" s="540">
        <f>SUM(Y19:Y19)</f>
        <v>40.833333333333336</v>
      </c>
      <c r="Z20" s="540">
        <f>SUM(Z19:Z19)</f>
        <v>619341</v>
      </c>
      <c r="AA20" s="540">
        <f t="shared" si="1"/>
        <v>373983</v>
      </c>
      <c r="AB20" s="540">
        <f t="shared" si="1"/>
        <v>111250</v>
      </c>
      <c r="AC20" s="540">
        <f t="shared" si="1"/>
        <v>2493346</v>
      </c>
      <c r="AD20" s="952">
        <f t="shared" si="1"/>
        <v>2978579</v>
      </c>
    </row>
    <row r="21" spans="1:30" ht="18">
      <c r="A21" s="1074" t="s">
        <v>994</v>
      </c>
      <c r="B21" s="1060"/>
      <c r="C21" s="1060" t="s">
        <v>996</v>
      </c>
      <c r="D21" s="1060" t="s">
        <v>995</v>
      </c>
      <c r="E21" s="1051"/>
      <c r="F21" s="1051"/>
      <c r="G21" s="1051"/>
      <c r="H21" s="1078">
        <v>983933</v>
      </c>
      <c r="I21" s="1078">
        <v>984422</v>
      </c>
      <c r="J21" s="1078">
        <v>987133</v>
      </c>
      <c r="K21" s="1078">
        <v>988850</v>
      </c>
      <c r="L21" s="1078">
        <v>989991</v>
      </c>
      <c r="M21" s="1078">
        <v>992771</v>
      </c>
      <c r="N21" s="1078">
        <v>992158</v>
      </c>
      <c r="O21" s="1078">
        <v>992777</v>
      </c>
      <c r="P21" s="1078">
        <v>995642</v>
      </c>
      <c r="Q21" s="1078">
        <v>996263</v>
      </c>
      <c r="R21" s="1078">
        <v>999176</v>
      </c>
      <c r="S21" s="1078">
        <v>1002147</v>
      </c>
      <c r="T21" s="1078">
        <v>992105.25</v>
      </c>
      <c r="V21" s="936"/>
      <c r="W21" s="951"/>
      <c r="X21" s="540"/>
      <c r="Y21" s="540"/>
      <c r="Z21" s="540"/>
      <c r="AA21" s="540"/>
      <c r="AB21" s="540"/>
      <c r="AC21" s="540"/>
      <c r="AD21" s="952"/>
    </row>
    <row r="22" spans="1:30" ht="18">
      <c r="A22" s="1074" t="s">
        <v>994</v>
      </c>
      <c r="B22" s="1060"/>
      <c r="C22" s="1060" t="s">
        <v>19</v>
      </c>
      <c r="D22" s="1060" t="s">
        <v>995</v>
      </c>
      <c r="E22" s="1051"/>
      <c r="F22" s="1051"/>
      <c r="G22" s="1051"/>
      <c r="H22" s="1078">
        <v>19966763</v>
      </c>
      <c r="I22" s="1078">
        <v>13594715</v>
      </c>
      <c r="J22" s="1078">
        <v>9305272</v>
      </c>
      <c r="K22" s="1078">
        <v>7525631</v>
      </c>
      <c r="L22" s="1078">
        <v>3937724</v>
      </c>
      <c r="M22" s="1078">
        <v>2270003</v>
      </c>
      <c r="N22" s="1078">
        <v>2267146</v>
      </c>
      <c r="O22" s="1078">
        <v>2115860</v>
      </c>
      <c r="P22" s="1078">
        <v>2679403</v>
      </c>
      <c r="Q22" s="1078">
        <v>7062006</v>
      </c>
      <c r="R22" s="1078">
        <v>9318658</v>
      </c>
      <c r="S22" s="1078">
        <v>17150546</v>
      </c>
      <c r="T22" s="1078">
        <v>97193727</v>
      </c>
      <c r="V22" s="934"/>
      <c r="W22" s="951" t="s">
        <v>676</v>
      </c>
      <c r="X22" s="540"/>
      <c r="Y22" s="540"/>
      <c r="Z22" s="540"/>
      <c r="AA22" s="540">
        <f>+$T$195</f>
        <v>-1433989</v>
      </c>
      <c r="AB22" s="540"/>
      <c r="AC22" s="540"/>
      <c r="AD22" s="952">
        <f>SUM(AA22:AC22)</f>
        <v>-1433989</v>
      </c>
    </row>
    <row r="23" spans="1:30" ht="18.75" thickBot="1">
      <c r="A23" s="1074" t="s">
        <v>994</v>
      </c>
      <c r="B23" s="1082"/>
      <c r="C23" s="1060"/>
      <c r="D23" s="1060"/>
      <c r="E23" s="1051"/>
      <c r="F23" s="1051"/>
      <c r="G23" s="1051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V23" s="934"/>
      <c r="W23" s="953" t="s">
        <v>107</v>
      </c>
      <c r="X23" s="954"/>
      <c r="Y23" s="954"/>
      <c r="Z23" s="954"/>
      <c r="AA23" s="954">
        <f>+$T$196</f>
        <v>20806992</v>
      </c>
      <c r="AB23" s="954"/>
      <c r="AC23" s="954"/>
      <c r="AD23" s="955">
        <f>SUM(AA23:AC23)</f>
        <v>20806992</v>
      </c>
    </row>
    <row r="24" spans="1:30" ht="18">
      <c r="A24" s="1074" t="s">
        <v>994</v>
      </c>
      <c r="B24" s="1060" t="s">
        <v>233</v>
      </c>
      <c r="C24" s="1060" t="s">
        <v>15</v>
      </c>
      <c r="D24" s="1060" t="s">
        <v>995</v>
      </c>
      <c r="E24" s="1051"/>
      <c r="F24" s="1051"/>
      <c r="G24" s="1051"/>
      <c r="H24" s="1078"/>
      <c r="I24" s="1078"/>
      <c r="J24" s="1078"/>
      <c r="K24" s="1078"/>
      <c r="L24" s="1078"/>
      <c r="M24" s="1078"/>
      <c r="N24" s="1078"/>
      <c r="O24" s="1078"/>
      <c r="P24" s="1078"/>
      <c r="Q24" s="1078"/>
      <c r="R24" s="1078"/>
      <c r="S24" s="1078"/>
      <c r="T24" s="1078">
        <v>0</v>
      </c>
      <c r="V24" s="940"/>
      <c r="W24" s="951" t="s">
        <v>1015</v>
      </c>
      <c r="X24" s="540"/>
      <c r="Y24" s="540"/>
      <c r="Z24" s="540"/>
      <c r="AA24" s="540">
        <f>SUM(AA22:AA23)</f>
        <v>19373003</v>
      </c>
      <c r="AB24" s="540"/>
      <c r="AC24" s="540"/>
      <c r="AD24" s="952">
        <f>SUM(AD22:AD23)</f>
        <v>19373003</v>
      </c>
    </row>
    <row r="25" spans="1:30" ht="18">
      <c r="A25" s="1074" t="s">
        <v>994</v>
      </c>
      <c r="B25" s="1060"/>
      <c r="C25" s="1060"/>
      <c r="D25" s="1060" t="s">
        <v>995</v>
      </c>
      <c r="E25" s="1051"/>
      <c r="F25" s="1051"/>
      <c r="G25" s="1051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078"/>
      <c r="V25" s="934"/>
      <c r="W25" s="950"/>
      <c r="X25" s="55"/>
      <c r="Y25" s="55"/>
      <c r="Z25" s="55"/>
      <c r="AA25" s="55"/>
      <c r="AB25" s="55"/>
      <c r="AC25" s="55"/>
      <c r="AD25" s="125"/>
    </row>
    <row r="26" spans="1:30" ht="18">
      <c r="A26" s="1074" t="s">
        <v>994</v>
      </c>
      <c r="B26" s="1060"/>
      <c r="C26" s="1060" t="s">
        <v>16</v>
      </c>
      <c r="D26" s="1060" t="s">
        <v>995</v>
      </c>
      <c r="E26" s="1051"/>
      <c r="F26" s="1051"/>
      <c r="G26" s="1051"/>
      <c r="H26" s="1078"/>
      <c r="I26" s="1078"/>
      <c r="J26" s="1078"/>
      <c r="K26" s="1078"/>
      <c r="L26" s="1078"/>
      <c r="M26" s="1078"/>
      <c r="N26" s="1078"/>
      <c r="O26" s="1078"/>
      <c r="P26" s="1078"/>
      <c r="Q26" s="1078"/>
      <c r="R26" s="1078"/>
      <c r="S26" s="1078"/>
      <c r="T26" s="1078">
        <v>0</v>
      </c>
      <c r="V26" s="934" t="s">
        <v>1002</v>
      </c>
      <c r="W26" s="950"/>
      <c r="X26" s="55"/>
      <c r="Y26" s="55"/>
      <c r="Z26" s="55"/>
      <c r="AA26" s="55"/>
      <c r="AB26" s="55"/>
      <c r="AC26" s="55"/>
      <c r="AD26" s="125"/>
    </row>
    <row r="27" spans="1:30" ht="18">
      <c r="A27" s="1074" t="s">
        <v>994</v>
      </c>
      <c r="B27" s="1060"/>
      <c r="C27" s="1060"/>
      <c r="D27" s="1060" t="s">
        <v>995</v>
      </c>
      <c r="E27" s="1051"/>
      <c r="F27" s="1051"/>
      <c r="G27" s="1051"/>
      <c r="H27" s="1078"/>
      <c r="I27" s="1078"/>
      <c r="J27" s="1078"/>
      <c r="K27" s="1078"/>
      <c r="L27" s="1078"/>
      <c r="M27" s="1078"/>
      <c r="N27" s="1078"/>
      <c r="O27" s="1078"/>
      <c r="P27" s="1078"/>
      <c r="Q27" s="1078"/>
      <c r="R27" s="1078"/>
      <c r="S27" s="1078"/>
      <c r="T27" s="1078"/>
      <c r="V27" s="934"/>
      <c r="W27" s="950" t="s">
        <v>899</v>
      </c>
      <c r="X27" s="540">
        <f>+$S$129</f>
        <v>9</v>
      </c>
      <c r="Y27" s="540">
        <f>+$T$129</f>
        <v>9</v>
      </c>
      <c r="Z27" s="540">
        <f>+$T$130</f>
        <v>31275505</v>
      </c>
      <c r="AA27" s="540">
        <f>+$T$123</f>
        <v>5148837</v>
      </c>
      <c r="AB27" s="540">
        <f>+$T$125</f>
        <v>0</v>
      </c>
      <c r="AC27" s="540">
        <f>+$T$127</f>
        <v>0</v>
      </c>
      <c r="AD27" s="952">
        <f t="shared" ref="AD27:AD33" si="2">SUM(AA27:AC27)</f>
        <v>5148837</v>
      </c>
    </row>
    <row r="28" spans="1:30" ht="18">
      <c r="A28" s="1074" t="s">
        <v>994</v>
      </c>
      <c r="B28" s="1060"/>
      <c r="C28" s="1060" t="s">
        <v>17</v>
      </c>
      <c r="D28" s="1060" t="s">
        <v>995</v>
      </c>
      <c r="E28" s="1051"/>
      <c r="F28" s="1051"/>
      <c r="G28" s="105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>
        <v>0</v>
      </c>
      <c r="V28" s="934"/>
      <c r="W28" s="950" t="s">
        <v>1005</v>
      </c>
      <c r="X28" s="540">
        <f>+$S$138</f>
        <v>0</v>
      </c>
      <c r="Y28" s="540">
        <f>+$T$138</f>
        <v>0</v>
      </c>
      <c r="Z28" s="540">
        <f>+$T$139</f>
        <v>0</v>
      </c>
      <c r="AA28" s="540">
        <f>+$T$132</f>
        <v>0</v>
      </c>
      <c r="AB28" s="540">
        <f>+$T$134</f>
        <v>0</v>
      </c>
      <c r="AC28" s="540">
        <f>+$T$136</f>
        <v>0</v>
      </c>
      <c r="AD28" s="952">
        <f t="shared" si="2"/>
        <v>0</v>
      </c>
    </row>
    <row r="29" spans="1:30" ht="18">
      <c r="A29" s="1074" t="s">
        <v>994</v>
      </c>
      <c r="B29" s="1060"/>
      <c r="C29" s="1060" t="s">
        <v>18</v>
      </c>
      <c r="D29" s="1060" t="s">
        <v>995</v>
      </c>
      <c r="E29" s="1051"/>
      <c r="F29" s="1051"/>
      <c r="G29" s="1051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>
        <v>0</v>
      </c>
      <c r="V29" s="934"/>
      <c r="W29" s="950" t="s">
        <v>556</v>
      </c>
      <c r="X29" s="540">
        <f>+$S$156</f>
        <v>0</v>
      </c>
      <c r="Y29" s="540">
        <f>+$T$156</f>
        <v>0</v>
      </c>
      <c r="Z29" s="540">
        <f>+$T$157</f>
        <v>0</v>
      </c>
      <c r="AA29" s="540">
        <f>+$T$150</f>
        <v>0</v>
      </c>
      <c r="AB29" s="540">
        <f>+$T$152</f>
        <v>0</v>
      </c>
      <c r="AC29" s="540">
        <f>+$T$154</f>
        <v>0</v>
      </c>
      <c r="AD29" s="952">
        <f t="shared" si="2"/>
        <v>0</v>
      </c>
    </row>
    <row r="30" spans="1:30" ht="18">
      <c r="A30" s="1074" t="s">
        <v>994</v>
      </c>
      <c r="B30" s="1060"/>
      <c r="C30" s="1060" t="s">
        <v>996</v>
      </c>
      <c r="D30" s="1060" t="s">
        <v>995</v>
      </c>
      <c r="E30" s="1051"/>
      <c r="F30" s="1051"/>
      <c r="G30" s="1051"/>
      <c r="H30" s="1078"/>
      <c r="I30" s="1078"/>
      <c r="J30" s="1078"/>
      <c r="K30" s="1078"/>
      <c r="L30" s="1078"/>
      <c r="M30" s="1078"/>
      <c r="N30" s="1078"/>
      <c r="O30" s="1078"/>
      <c r="P30" s="1078"/>
      <c r="Q30" s="1078"/>
      <c r="R30" s="1078"/>
      <c r="S30" s="1078"/>
      <c r="T30" s="1078"/>
      <c r="V30" s="934"/>
      <c r="W30" s="950" t="s">
        <v>555</v>
      </c>
      <c r="X30" s="540">
        <f>+$S$183</f>
        <v>0</v>
      </c>
      <c r="Y30" s="540">
        <f>+$T$183</f>
        <v>0</v>
      </c>
      <c r="Z30" s="540">
        <f>+$T$184</f>
        <v>0</v>
      </c>
      <c r="AA30" s="540">
        <f>+$T$177</f>
        <v>0</v>
      </c>
      <c r="AB30" s="540">
        <f>+$T$179</f>
        <v>0</v>
      </c>
      <c r="AC30" s="540">
        <f>+$T$181</f>
        <v>0</v>
      </c>
      <c r="AD30" s="952">
        <f t="shared" si="2"/>
        <v>0</v>
      </c>
    </row>
    <row r="31" spans="1:30" ht="18">
      <c r="A31" s="1074" t="s">
        <v>994</v>
      </c>
      <c r="B31" s="1060"/>
      <c r="C31" s="1060" t="s">
        <v>19</v>
      </c>
      <c r="D31" s="1060" t="s">
        <v>995</v>
      </c>
      <c r="E31" s="1051"/>
      <c r="F31" s="1051"/>
      <c r="G31" s="1051"/>
      <c r="H31" s="1078"/>
      <c r="I31" s="1078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>
        <v>0</v>
      </c>
      <c r="V31" s="934"/>
      <c r="W31" s="950" t="s">
        <v>678</v>
      </c>
      <c r="X31" s="540">
        <f>+$S$147</f>
        <v>1</v>
      </c>
      <c r="Y31" s="540">
        <f>+$T$147</f>
        <v>1</v>
      </c>
      <c r="Z31" s="540">
        <f>+$T$148</f>
        <v>21165</v>
      </c>
      <c r="AA31" s="540">
        <f>+$T$141</f>
        <v>24214</v>
      </c>
      <c r="AB31" s="540">
        <f>+$T$143</f>
        <v>2090</v>
      </c>
      <c r="AC31" s="540">
        <f>+$T$145</f>
        <v>0</v>
      </c>
      <c r="AD31" s="952">
        <f t="shared" si="2"/>
        <v>26304</v>
      </c>
    </row>
    <row r="32" spans="1:30" ht="18">
      <c r="A32" s="1074" t="s">
        <v>994</v>
      </c>
      <c r="B32" s="1082"/>
      <c r="C32" s="1082"/>
      <c r="D32" s="1082"/>
      <c r="E32" s="1051"/>
      <c r="F32" s="1051"/>
      <c r="G32" s="1051"/>
      <c r="H32" s="1078"/>
      <c r="I32" s="1078"/>
      <c r="J32" s="1078"/>
      <c r="K32" s="1078"/>
      <c r="L32" s="1078"/>
      <c r="M32" s="1078"/>
      <c r="N32" s="1078"/>
      <c r="O32" s="1078"/>
      <c r="P32" s="1078"/>
      <c r="Q32" s="1078"/>
      <c r="R32" s="1078"/>
      <c r="S32" s="1078"/>
      <c r="T32" s="1078"/>
      <c r="V32" s="934"/>
      <c r="W32" s="950" t="s">
        <v>667</v>
      </c>
      <c r="X32" s="540">
        <f>+$S$165</f>
        <v>700</v>
      </c>
      <c r="Y32" s="540">
        <f>+$T$165</f>
        <v>618.08333333333337</v>
      </c>
      <c r="Z32" s="540">
        <f>+$T$166</f>
        <v>44783653</v>
      </c>
      <c r="AA32" s="540">
        <f>+$T$159</f>
        <v>20188113</v>
      </c>
      <c r="AB32" s="540">
        <f>+$T$161</f>
        <v>568888</v>
      </c>
      <c r="AC32" s="540">
        <f>+$T$163</f>
        <v>96363</v>
      </c>
      <c r="AD32" s="952">
        <f t="shared" si="2"/>
        <v>20853364</v>
      </c>
    </row>
    <row r="33" spans="1:30" ht="18.75" thickBot="1">
      <c r="A33" s="1074" t="s">
        <v>994</v>
      </c>
      <c r="B33" s="1060" t="s">
        <v>796</v>
      </c>
      <c r="C33" s="1060" t="s">
        <v>15</v>
      </c>
      <c r="D33" s="1060" t="s">
        <v>995</v>
      </c>
      <c r="E33" s="1051"/>
      <c r="F33" s="1051"/>
      <c r="G33" s="1051"/>
      <c r="H33" s="1078">
        <v>0</v>
      </c>
      <c r="I33" s="1078">
        <v>0</v>
      </c>
      <c r="J33" s="1078">
        <v>0</v>
      </c>
      <c r="K33" s="1078">
        <v>0</v>
      </c>
      <c r="L33" s="1078">
        <v>0</v>
      </c>
      <c r="M33" s="1078">
        <v>0</v>
      </c>
      <c r="N33" s="1078">
        <v>0</v>
      </c>
      <c r="O33" s="1078">
        <v>0</v>
      </c>
      <c r="P33" s="1078">
        <v>0</v>
      </c>
      <c r="Q33" s="1078">
        <v>0</v>
      </c>
      <c r="R33" s="1078">
        <v>0</v>
      </c>
      <c r="S33" s="1078">
        <v>0</v>
      </c>
      <c r="T33" s="1078">
        <v>0</v>
      </c>
      <c r="V33" s="941"/>
      <c r="W33" s="956" t="s">
        <v>909</v>
      </c>
      <c r="X33" s="954">
        <f>+$S$174</f>
        <v>0</v>
      </c>
      <c r="Y33" s="954">
        <f>+$T$174</f>
        <v>0</v>
      </c>
      <c r="Z33" s="954">
        <f>+$T$175</f>
        <v>0</v>
      </c>
      <c r="AA33" s="954">
        <f>+$T$168</f>
        <v>0</v>
      </c>
      <c r="AB33" s="954">
        <f>+$T$170</f>
        <v>0</v>
      </c>
      <c r="AC33" s="954">
        <f>+$T$172</f>
        <v>0</v>
      </c>
      <c r="AD33" s="955">
        <f t="shared" si="2"/>
        <v>0</v>
      </c>
    </row>
    <row r="34" spans="1:30" ht="18">
      <c r="A34" s="1074" t="s">
        <v>994</v>
      </c>
      <c r="B34" s="1060"/>
      <c r="C34" s="1060"/>
      <c r="D34" s="1060" t="s">
        <v>995</v>
      </c>
      <c r="E34" s="1051"/>
      <c r="F34" s="1051"/>
      <c r="G34" s="1051"/>
      <c r="H34" s="1078">
        <v>0</v>
      </c>
      <c r="I34" s="1078">
        <v>0</v>
      </c>
      <c r="J34" s="1078">
        <v>0</v>
      </c>
      <c r="K34" s="1078">
        <v>0</v>
      </c>
      <c r="L34" s="1078">
        <v>0</v>
      </c>
      <c r="M34" s="1078">
        <v>0</v>
      </c>
      <c r="N34" s="1078">
        <v>0</v>
      </c>
      <c r="O34" s="1078">
        <v>0</v>
      </c>
      <c r="P34" s="1078">
        <v>0</v>
      </c>
      <c r="Q34" s="1078">
        <v>0</v>
      </c>
      <c r="R34" s="1078">
        <v>0</v>
      </c>
      <c r="S34" s="1078">
        <v>0</v>
      </c>
      <c r="T34" s="1078"/>
      <c r="V34" s="936"/>
      <c r="W34" s="951" t="s">
        <v>98</v>
      </c>
      <c r="X34" s="540">
        <f t="shared" ref="X34:AD34" si="3">SUM(X27:X33)</f>
        <v>710</v>
      </c>
      <c r="Y34" s="540">
        <f>SUM(Y27:Y33)</f>
        <v>628.08333333333337</v>
      </c>
      <c r="Z34" s="540">
        <f t="shared" si="3"/>
        <v>76080323</v>
      </c>
      <c r="AA34" s="540">
        <f t="shared" si="3"/>
        <v>25361164</v>
      </c>
      <c r="AB34" s="540">
        <f t="shared" si="3"/>
        <v>570978</v>
      </c>
      <c r="AC34" s="540">
        <f t="shared" si="3"/>
        <v>96363</v>
      </c>
      <c r="AD34" s="952">
        <f t="shared" si="3"/>
        <v>26028505</v>
      </c>
    </row>
    <row r="35" spans="1:30" ht="18">
      <c r="A35" s="1074" t="s">
        <v>994</v>
      </c>
      <c r="B35" s="1060"/>
      <c r="C35" s="1060" t="s">
        <v>16</v>
      </c>
      <c r="D35" s="1060" t="s">
        <v>995</v>
      </c>
      <c r="E35" s="1051"/>
      <c r="F35" s="1051"/>
      <c r="G35" s="1051"/>
      <c r="H35" s="1078">
        <v>0</v>
      </c>
      <c r="I35" s="1078">
        <v>0</v>
      </c>
      <c r="J35" s="1078">
        <v>0</v>
      </c>
      <c r="K35" s="1078">
        <v>0</v>
      </c>
      <c r="L35" s="1078">
        <v>0</v>
      </c>
      <c r="M35" s="1078">
        <v>0</v>
      </c>
      <c r="N35" s="1078">
        <v>0</v>
      </c>
      <c r="O35" s="1078">
        <v>0</v>
      </c>
      <c r="P35" s="1078">
        <v>0</v>
      </c>
      <c r="Q35" s="1078">
        <v>0</v>
      </c>
      <c r="R35" s="1078">
        <v>0</v>
      </c>
      <c r="S35" s="1078">
        <v>0</v>
      </c>
      <c r="T35" s="1078">
        <v>0</v>
      </c>
      <c r="V35" s="934"/>
      <c r="W35" s="950"/>
      <c r="X35" s="55"/>
      <c r="Y35" s="55"/>
      <c r="Z35" s="55"/>
      <c r="AA35" s="55"/>
      <c r="AB35" s="55"/>
      <c r="AC35" s="55"/>
      <c r="AD35" s="125"/>
    </row>
    <row r="36" spans="1:30" ht="18">
      <c r="A36" s="1074" t="s">
        <v>994</v>
      </c>
      <c r="B36" s="1060"/>
      <c r="C36" s="1060"/>
      <c r="D36" s="1060" t="s">
        <v>995</v>
      </c>
      <c r="E36" s="1051"/>
      <c r="F36" s="1051"/>
      <c r="G36" s="1051"/>
      <c r="H36" s="1078">
        <v>0</v>
      </c>
      <c r="I36" s="1078">
        <v>0</v>
      </c>
      <c r="J36" s="1078">
        <v>0</v>
      </c>
      <c r="K36" s="1078">
        <v>0</v>
      </c>
      <c r="L36" s="1078">
        <v>0</v>
      </c>
      <c r="M36" s="1078">
        <v>0</v>
      </c>
      <c r="N36" s="1078">
        <v>0</v>
      </c>
      <c r="O36" s="1078">
        <v>0</v>
      </c>
      <c r="P36" s="1078">
        <v>0</v>
      </c>
      <c r="Q36" s="1078">
        <v>0</v>
      </c>
      <c r="R36" s="1078">
        <v>0</v>
      </c>
      <c r="S36" s="1078">
        <v>0</v>
      </c>
      <c r="T36" s="1078"/>
      <c r="V36" s="936"/>
      <c r="W36" s="951" t="s">
        <v>1016</v>
      </c>
      <c r="X36" s="957">
        <f t="shared" ref="X36:AD36" si="4">+X34+X24+X16+X20</f>
        <v>1003386</v>
      </c>
      <c r="Y36" s="957">
        <f>+Y34+Y24+Y16+Y20</f>
        <v>993305.08333333337</v>
      </c>
      <c r="Z36" s="957">
        <f t="shared" si="4"/>
        <v>178108402.61000001</v>
      </c>
      <c r="AA36" s="957">
        <f t="shared" si="4"/>
        <v>366442366.41683167</v>
      </c>
      <c r="AB36" s="957">
        <f>+AB34+AB24+AB16+AB20</f>
        <v>104646826.0980107</v>
      </c>
      <c r="AC36" s="957">
        <f t="shared" si="4"/>
        <v>412645469.44515759</v>
      </c>
      <c r="AD36" s="958">
        <f t="shared" si="4"/>
        <v>883734661.96000004</v>
      </c>
    </row>
    <row r="37" spans="1:30" ht="18.75" thickBot="1">
      <c r="A37" s="1074" t="s">
        <v>994</v>
      </c>
      <c r="B37" s="1060"/>
      <c r="C37" s="1060" t="s">
        <v>17</v>
      </c>
      <c r="D37" s="1060" t="s">
        <v>995</v>
      </c>
      <c r="E37" s="1051"/>
      <c r="F37" s="1051"/>
      <c r="G37" s="1051"/>
      <c r="H37" s="1081">
        <v>0</v>
      </c>
      <c r="I37" s="1081">
        <v>0</v>
      </c>
      <c r="J37" s="1081">
        <v>0</v>
      </c>
      <c r="K37" s="1081">
        <v>0</v>
      </c>
      <c r="L37" s="1081">
        <v>0</v>
      </c>
      <c r="M37" s="1081">
        <v>0</v>
      </c>
      <c r="N37" s="1081">
        <v>0</v>
      </c>
      <c r="O37" s="1081">
        <v>0</v>
      </c>
      <c r="P37" s="1081">
        <v>0</v>
      </c>
      <c r="Q37" s="1081">
        <v>0</v>
      </c>
      <c r="R37" s="1081">
        <v>0</v>
      </c>
      <c r="S37" s="1081">
        <v>0</v>
      </c>
      <c r="T37" s="1081">
        <v>0</v>
      </c>
      <c r="V37" s="941"/>
      <c r="W37" s="956"/>
      <c r="X37" s="82"/>
      <c r="Y37" s="82"/>
      <c r="Z37" s="82"/>
      <c r="AA37" s="82"/>
      <c r="AB37" s="82"/>
      <c r="AC37" s="82"/>
      <c r="AD37" s="268"/>
    </row>
    <row r="38" spans="1:30" ht="18.75" thickBot="1">
      <c r="A38" s="1074" t="s">
        <v>994</v>
      </c>
      <c r="B38" s="1060"/>
      <c r="C38" s="1060" t="s">
        <v>18</v>
      </c>
      <c r="D38" s="1060" t="s">
        <v>995</v>
      </c>
      <c r="E38" s="1051"/>
      <c r="F38" s="1051"/>
      <c r="G38" s="1051"/>
      <c r="H38" s="1078">
        <v>0</v>
      </c>
      <c r="I38" s="1078">
        <v>0</v>
      </c>
      <c r="J38" s="1078">
        <v>0</v>
      </c>
      <c r="K38" s="1078">
        <v>0</v>
      </c>
      <c r="L38" s="1078">
        <v>0</v>
      </c>
      <c r="M38" s="1078">
        <v>0</v>
      </c>
      <c r="N38" s="1078">
        <v>0</v>
      </c>
      <c r="O38" s="1078">
        <v>0</v>
      </c>
      <c r="P38" s="1078">
        <v>0</v>
      </c>
      <c r="Q38" s="1078">
        <v>0</v>
      </c>
      <c r="R38" s="1078">
        <v>0</v>
      </c>
      <c r="S38" s="1078">
        <v>0</v>
      </c>
      <c r="T38" s="1078">
        <v>0</v>
      </c>
      <c r="V38" s="936"/>
      <c r="W38" s="951"/>
      <c r="X38" s="957"/>
      <c r="Y38" s="957"/>
      <c r="Z38" s="957"/>
      <c r="AA38" s="957"/>
      <c r="AB38" s="957"/>
      <c r="AC38" s="957"/>
      <c r="AD38" s="958"/>
    </row>
    <row r="39" spans="1:30" ht="18">
      <c r="A39" s="1074" t="s">
        <v>994</v>
      </c>
      <c r="B39" s="1060"/>
      <c r="C39" s="1060" t="s">
        <v>996</v>
      </c>
      <c r="D39" s="1060" t="s">
        <v>995</v>
      </c>
      <c r="E39" s="1051"/>
      <c r="F39" s="1051"/>
      <c r="G39" s="1051"/>
      <c r="H39" s="1078">
        <v>0</v>
      </c>
      <c r="I39" s="1078">
        <v>0</v>
      </c>
      <c r="J39" s="1078">
        <v>0</v>
      </c>
      <c r="K39" s="1078">
        <v>0</v>
      </c>
      <c r="L39" s="1078">
        <v>0</v>
      </c>
      <c r="M39" s="1078">
        <v>0</v>
      </c>
      <c r="N39" s="1078">
        <v>0</v>
      </c>
      <c r="O39" s="1078">
        <v>0</v>
      </c>
      <c r="P39" s="1078">
        <v>0</v>
      </c>
      <c r="Q39" s="1078">
        <v>0</v>
      </c>
      <c r="R39" s="1078">
        <v>0</v>
      </c>
      <c r="S39" s="1078">
        <v>0</v>
      </c>
      <c r="T39" s="1078">
        <v>0</v>
      </c>
      <c r="V39" s="943" t="s">
        <v>1017</v>
      </c>
      <c r="W39" s="959"/>
      <c r="X39" s="272"/>
      <c r="Y39" s="272"/>
      <c r="Z39" s="272"/>
      <c r="AA39" s="272"/>
      <c r="AB39" s="272"/>
      <c r="AC39" s="272"/>
      <c r="AD39" s="128"/>
    </row>
    <row r="40" spans="1:30" ht="18.75" thickBot="1">
      <c r="A40" s="1074" t="s">
        <v>994</v>
      </c>
      <c r="B40" s="1060"/>
      <c r="C40" s="1060" t="s">
        <v>19</v>
      </c>
      <c r="D40" s="1060" t="s">
        <v>995</v>
      </c>
      <c r="E40" s="1051"/>
      <c r="F40" s="1051"/>
      <c r="G40" s="1051"/>
      <c r="H40" s="1078">
        <v>0</v>
      </c>
      <c r="I40" s="1078">
        <v>0</v>
      </c>
      <c r="J40" s="1078">
        <v>0</v>
      </c>
      <c r="K40" s="1078">
        <v>0</v>
      </c>
      <c r="L40" s="1078">
        <v>0</v>
      </c>
      <c r="M40" s="1078">
        <v>0</v>
      </c>
      <c r="N40" s="1078">
        <v>0</v>
      </c>
      <c r="O40" s="1078">
        <v>0</v>
      </c>
      <c r="P40" s="1078">
        <v>0</v>
      </c>
      <c r="Q40" s="1078">
        <v>0</v>
      </c>
      <c r="R40" s="1078">
        <v>0</v>
      </c>
      <c r="S40" s="1078">
        <v>0</v>
      </c>
      <c r="T40" s="1078">
        <v>0</v>
      </c>
      <c r="V40" s="945" t="s">
        <v>994</v>
      </c>
      <c r="W40" s="960"/>
      <c r="X40" s="55"/>
      <c r="Y40" s="55"/>
      <c r="Z40" s="55"/>
      <c r="AA40" s="55"/>
      <c r="AB40" s="55"/>
      <c r="AC40" s="55"/>
      <c r="AD40" s="125"/>
    </row>
    <row r="41" spans="1:30" ht="18">
      <c r="A41" s="1074" t="s">
        <v>994</v>
      </c>
      <c r="B41" s="1082"/>
      <c r="C41" s="1082"/>
      <c r="D41" s="1060"/>
      <c r="E41" s="1051"/>
      <c r="F41" s="1051"/>
      <c r="G41" s="1051"/>
      <c r="H41" s="1078"/>
      <c r="I41" s="1078"/>
      <c r="J41" s="1078"/>
      <c r="K41" s="1078"/>
      <c r="L41" s="1078"/>
      <c r="M41" s="1078"/>
      <c r="N41" s="1078"/>
      <c r="O41" s="1078"/>
      <c r="P41" s="1078"/>
      <c r="Q41" s="1078"/>
      <c r="R41" s="1078"/>
      <c r="S41" s="1078"/>
      <c r="T41" s="1078"/>
      <c r="V41" s="936"/>
      <c r="W41" s="951" t="s">
        <v>1018</v>
      </c>
      <c r="X41" s="540">
        <f>+$S$244</f>
        <v>27703</v>
      </c>
      <c r="Y41" s="540">
        <f>+$T$244</f>
        <v>27583.166666666668</v>
      </c>
      <c r="Z41" s="540">
        <f>+$T$245</f>
        <v>3395528</v>
      </c>
      <c r="AA41" s="540">
        <f>+$T$238</f>
        <v>12201566</v>
      </c>
      <c r="AB41" s="540">
        <v>0</v>
      </c>
      <c r="AC41" s="540">
        <f>+$T$242</f>
        <v>17122316</v>
      </c>
      <c r="AD41" s="952">
        <f>SUM(AA41:AC41)</f>
        <v>29323882</v>
      </c>
    </row>
    <row r="42" spans="1:30" ht="18">
      <c r="A42" s="1074" t="s">
        <v>994</v>
      </c>
      <c r="B42" s="1060" t="s">
        <v>997</v>
      </c>
      <c r="C42" s="1060" t="s">
        <v>15</v>
      </c>
      <c r="D42" s="1060" t="s">
        <v>995</v>
      </c>
      <c r="E42" s="1051"/>
      <c r="F42" s="1051"/>
      <c r="G42" s="1051"/>
      <c r="H42" s="1078">
        <v>442695</v>
      </c>
      <c r="I42" s="1078">
        <v>416960</v>
      </c>
      <c r="J42" s="1078">
        <v>408200</v>
      </c>
      <c r="K42" s="1078">
        <v>223472</v>
      </c>
      <c r="L42" s="1078">
        <v>208165</v>
      </c>
      <c r="M42" s="1078">
        <v>183130</v>
      </c>
      <c r="N42" s="1078">
        <v>179682</v>
      </c>
      <c r="O42" s="1078">
        <v>163641</v>
      </c>
      <c r="P42" s="1078">
        <v>173646</v>
      </c>
      <c r="Q42" s="1078">
        <v>199819</v>
      </c>
      <c r="R42" s="1078">
        <v>361174</v>
      </c>
      <c r="S42" s="1078">
        <v>397283</v>
      </c>
      <c r="T42" s="1078">
        <v>3357867</v>
      </c>
      <c r="V42" s="936"/>
      <c r="W42" s="951" t="s">
        <v>496</v>
      </c>
      <c r="X42" s="540">
        <f>+$S$253</f>
        <v>24</v>
      </c>
      <c r="Y42" s="540">
        <f>+$T$253</f>
        <v>24.416666666666668</v>
      </c>
      <c r="Z42" s="540">
        <f>+$T$254</f>
        <v>171161</v>
      </c>
      <c r="AA42" s="540">
        <f>+$T$247</f>
        <v>167408</v>
      </c>
      <c r="AB42" s="540">
        <v>0</v>
      </c>
      <c r="AC42" s="540">
        <f>+$T$251</f>
        <v>859949</v>
      </c>
      <c r="AD42" s="952">
        <f>SUM(AA42:AC42)</f>
        <v>1027357</v>
      </c>
    </row>
    <row r="43" spans="1:30" ht="18.75" thickBot="1">
      <c r="A43" s="1074" t="s">
        <v>994</v>
      </c>
      <c r="B43" s="1060"/>
      <c r="C43" s="1060"/>
      <c r="D43" s="1060" t="s">
        <v>995</v>
      </c>
      <c r="E43" s="1051"/>
      <c r="F43" s="1051"/>
      <c r="G43" s="1051"/>
      <c r="H43" s="1078"/>
      <c r="I43" s="1078"/>
      <c r="J43" s="1078"/>
      <c r="K43" s="1078"/>
      <c r="L43" s="1078"/>
      <c r="M43" s="1078"/>
      <c r="N43" s="1078"/>
      <c r="O43" s="1078"/>
      <c r="P43" s="1078"/>
      <c r="Q43" s="1078"/>
      <c r="R43" s="1078"/>
      <c r="S43" s="1078"/>
      <c r="T43" s="1078"/>
      <c r="V43" s="938"/>
      <c r="W43" s="953" t="s">
        <v>798</v>
      </c>
      <c r="X43" s="954">
        <f>+$S$262</f>
        <v>1</v>
      </c>
      <c r="Y43" s="954">
        <f>+$T$262</f>
        <v>1</v>
      </c>
      <c r="Z43" s="954">
        <f>+$T$263</f>
        <v>6776.8700000000008</v>
      </c>
      <c r="AA43" s="954">
        <f>+$T$256</f>
        <v>61516.109690600002</v>
      </c>
      <c r="AB43" s="954">
        <v>0</v>
      </c>
      <c r="AC43" s="954">
        <f>+$T$260</f>
        <v>34019.620309400001</v>
      </c>
      <c r="AD43" s="955">
        <f>SUM(AA43:AC43)</f>
        <v>95535.73000000001</v>
      </c>
    </row>
    <row r="44" spans="1:30" ht="18">
      <c r="A44" s="1074" t="s">
        <v>994</v>
      </c>
      <c r="B44" s="1082"/>
      <c r="C44" s="1060" t="s">
        <v>16</v>
      </c>
      <c r="D44" s="1060" t="s">
        <v>995</v>
      </c>
      <c r="E44" s="1051"/>
      <c r="F44" s="1051"/>
      <c r="G44" s="1051"/>
      <c r="H44" s="1078">
        <v>501210</v>
      </c>
      <c r="I44" s="1078">
        <v>445432</v>
      </c>
      <c r="J44" s="1078">
        <v>454778</v>
      </c>
      <c r="K44" s="1078">
        <v>203035</v>
      </c>
      <c r="L44" s="1078">
        <v>176255</v>
      </c>
      <c r="M44" s="1078">
        <v>155666</v>
      </c>
      <c r="N44" s="1078">
        <v>160334</v>
      </c>
      <c r="O44" s="1078">
        <v>125756</v>
      </c>
      <c r="P44" s="1078">
        <v>160344</v>
      </c>
      <c r="Q44" s="1078">
        <v>185227</v>
      </c>
      <c r="R44" s="1078">
        <v>405090</v>
      </c>
      <c r="S44" s="1078">
        <v>490775</v>
      </c>
      <c r="T44" s="1078">
        <v>3463902</v>
      </c>
      <c r="V44" s="936"/>
      <c r="W44" s="951" t="s">
        <v>99</v>
      </c>
      <c r="X44" s="540">
        <f t="shared" ref="X44:AD44" si="5">SUM(X41:X43)</f>
        <v>27728</v>
      </c>
      <c r="Y44" s="540">
        <f>SUM(Y41:Y43)</f>
        <v>27608.583333333336</v>
      </c>
      <c r="Z44" s="540">
        <f t="shared" si="5"/>
        <v>3573465.87</v>
      </c>
      <c r="AA44" s="540">
        <f t="shared" si="5"/>
        <v>12430490.109690599</v>
      </c>
      <c r="AB44" s="540">
        <f t="shared" si="5"/>
        <v>0</v>
      </c>
      <c r="AC44" s="540">
        <f t="shared" si="5"/>
        <v>18016284.620309401</v>
      </c>
      <c r="AD44" s="952">
        <f t="shared" si="5"/>
        <v>30446774.73</v>
      </c>
    </row>
    <row r="45" spans="1:30" ht="18">
      <c r="A45" s="1074" t="s">
        <v>994</v>
      </c>
      <c r="B45" s="1060"/>
      <c r="C45" s="1060"/>
      <c r="D45" s="1060" t="s">
        <v>995</v>
      </c>
      <c r="E45" s="1051"/>
      <c r="F45" s="1051"/>
      <c r="G45" s="1051"/>
      <c r="H45" s="1078"/>
      <c r="I45" s="1078"/>
      <c r="J45" s="1078"/>
      <c r="K45" s="1078"/>
      <c r="L45" s="1078"/>
      <c r="M45" s="1078"/>
      <c r="N45" s="1078"/>
      <c r="O45" s="1078"/>
      <c r="P45" s="1078"/>
      <c r="Q45" s="1078"/>
      <c r="R45" s="1078"/>
      <c r="S45" s="1078"/>
      <c r="T45" s="1078"/>
      <c r="V45" s="936"/>
      <c r="W45" s="951"/>
      <c r="X45" s="540"/>
      <c r="Y45" s="540"/>
      <c r="Z45" s="540"/>
      <c r="AA45" s="540"/>
      <c r="AB45" s="540"/>
      <c r="AC45" s="540"/>
      <c r="AD45" s="952"/>
    </row>
    <row r="46" spans="1:30" ht="18">
      <c r="A46" s="1074" t="s">
        <v>994</v>
      </c>
      <c r="B46" s="1082"/>
      <c r="C46" s="1082" t="s">
        <v>17</v>
      </c>
      <c r="D46" s="1060" t="s">
        <v>995</v>
      </c>
      <c r="E46" s="1051"/>
      <c r="F46" s="1051"/>
      <c r="G46" s="1051"/>
      <c r="H46" s="1081">
        <v>1722366</v>
      </c>
      <c r="I46" s="1081">
        <v>1530690</v>
      </c>
      <c r="J46" s="1081">
        <v>1562807</v>
      </c>
      <c r="K46" s="1081">
        <v>1439022</v>
      </c>
      <c r="L46" s="1081">
        <v>1211759</v>
      </c>
      <c r="M46" s="1081">
        <v>1059169</v>
      </c>
      <c r="N46" s="1081">
        <v>1051933</v>
      </c>
      <c r="O46" s="1081">
        <v>853293</v>
      </c>
      <c r="P46" s="1081">
        <v>1088101</v>
      </c>
      <c r="Q46" s="1081">
        <v>1260331</v>
      </c>
      <c r="R46" s="1081">
        <v>1351351</v>
      </c>
      <c r="S46" s="1081">
        <v>1663548</v>
      </c>
      <c r="T46" s="1081">
        <v>15794370</v>
      </c>
      <c r="V46" s="934"/>
      <c r="W46" s="951" t="s">
        <v>676</v>
      </c>
      <c r="X46" s="540"/>
      <c r="Y46" s="540"/>
      <c r="Z46" s="540"/>
      <c r="AA46" s="540">
        <f>+$T$319</f>
        <v>340767.31000000006</v>
      </c>
      <c r="AB46" s="540"/>
      <c r="AC46" s="540"/>
      <c r="AD46" s="952">
        <f>SUM(AA46:AC46)</f>
        <v>340767.31000000006</v>
      </c>
    </row>
    <row r="47" spans="1:30" ht="18.75" thickBot="1">
      <c r="A47" s="1074" t="s">
        <v>994</v>
      </c>
      <c r="B47" s="1082"/>
      <c r="C47" s="1060" t="s">
        <v>18</v>
      </c>
      <c r="D47" s="1060" t="s">
        <v>995</v>
      </c>
      <c r="E47" s="1051"/>
      <c r="F47" s="1051"/>
      <c r="G47" s="1051"/>
      <c r="H47" s="1078">
        <v>2666271</v>
      </c>
      <c r="I47" s="1078">
        <v>2393082</v>
      </c>
      <c r="J47" s="1078">
        <v>2425785</v>
      </c>
      <c r="K47" s="1078">
        <v>1865529</v>
      </c>
      <c r="L47" s="1078">
        <v>1596179</v>
      </c>
      <c r="M47" s="1078">
        <v>1397965</v>
      </c>
      <c r="N47" s="1078">
        <v>1391949</v>
      </c>
      <c r="O47" s="1078">
        <v>1142690</v>
      </c>
      <c r="P47" s="1078">
        <v>1422091</v>
      </c>
      <c r="Q47" s="1078">
        <v>1645377</v>
      </c>
      <c r="R47" s="1078">
        <v>2117615</v>
      </c>
      <c r="S47" s="1078">
        <v>2551606</v>
      </c>
      <c r="T47" s="1078">
        <v>22616139</v>
      </c>
      <c r="V47" s="934"/>
      <c r="W47" s="953" t="s">
        <v>107</v>
      </c>
      <c r="X47" s="954"/>
      <c r="Y47" s="954"/>
      <c r="Z47" s="954"/>
      <c r="AA47" s="954">
        <f>+$T$320</f>
        <v>165057.12000000002</v>
      </c>
      <c r="AB47" s="954"/>
      <c r="AC47" s="954"/>
      <c r="AD47" s="955">
        <f>SUM(AA47:AC47)</f>
        <v>165057.12000000002</v>
      </c>
    </row>
    <row r="48" spans="1:30" ht="18">
      <c r="A48" s="1074" t="s">
        <v>994</v>
      </c>
      <c r="B48" s="1082"/>
      <c r="C48" s="1060" t="s">
        <v>996</v>
      </c>
      <c r="D48" s="1060" t="s">
        <v>995</v>
      </c>
      <c r="E48" s="1051"/>
      <c r="F48" s="1051"/>
      <c r="G48" s="1051"/>
      <c r="H48" s="1078">
        <v>548</v>
      </c>
      <c r="I48" s="1078">
        <v>552</v>
      </c>
      <c r="J48" s="1078">
        <v>553</v>
      </c>
      <c r="K48" s="1078">
        <v>553</v>
      </c>
      <c r="L48" s="1078">
        <v>553</v>
      </c>
      <c r="M48" s="1078">
        <v>548</v>
      </c>
      <c r="N48" s="1078">
        <v>535</v>
      </c>
      <c r="O48" s="1078">
        <v>514</v>
      </c>
      <c r="P48" s="1078">
        <v>506</v>
      </c>
      <c r="Q48" s="1078">
        <v>506</v>
      </c>
      <c r="R48" s="1078">
        <v>498</v>
      </c>
      <c r="S48" s="1078">
        <v>493</v>
      </c>
      <c r="T48" s="1078">
        <v>529.91666666666663</v>
      </c>
      <c r="V48" s="940"/>
      <c r="W48" s="951" t="s">
        <v>1015</v>
      </c>
      <c r="X48" s="540"/>
      <c r="Y48" s="540"/>
      <c r="Z48" s="540"/>
      <c r="AA48" s="540">
        <f>SUM(AA46:AA47)</f>
        <v>505824.43000000005</v>
      </c>
      <c r="AB48" s="540"/>
      <c r="AC48" s="540"/>
      <c r="AD48" s="952">
        <f>SUM(AD46:AD47)</f>
        <v>505824.43000000005</v>
      </c>
    </row>
    <row r="49" spans="1:30" ht="18">
      <c r="A49" s="1074" t="s">
        <v>994</v>
      </c>
      <c r="B49" s="1082"/>
      <c r="C49" s="1082" t="s">
        <v>19</v>
      </c>
      <c r="D49" s="1060" t="s">
        <v>995</v>
      </c>
      <c r="E49" s="1051"/>
      <c r="F49" s="1051"/>
      <c r="G49" s="1051"/>
      <c r="H49" s="1078">
        <v>433905</v>
      </c>
      <c r="I49" s="1078">
        <v>385595</v>
      </c>
      <c r="J49" s="1078">
        <v>393690</v>
      </c>
      <c r="K49" s="1078">
        <v>362691</v>
      </c>
      <c r="L49" s="1078">
        <v>305412</v>
      </c>
      <c r="M49" s="1078">
        <v>263559</v>
      </c>
      <c r="N49" s="1078">
        <v>261922</v>
      </c>
      <c r="O49" s="1078">
        <v>212296</v>
      </c>
      <c r="P49" s="1078">
        <v>270722</v>
      </c>
      <c r="Q49" s="1078">
        <v>313563</v>
      </c>
      <c r="R49" s="1078">
        <v>319668</v>
      </c>
      <c r="S49" s="1078">
        <v>394154</v>
      </c>
      <c r="T49" s="1078">
        <v>3917177</v>
      </c>
      <c r="V49" s="934"/>
      <c r="W49" s="950"/>
      <c r="X49" s="55"/>
      <c r="Y49" s="55"/>
      <c r="Z49" s="55"/>
      <c r="AA49" s="55"/>
      <c r="AB49" s="55"/>
      <c r="AC49" s="55"/>
      <c r="AD49" s="125"/>
    </row>
    <row r="50" spans="1:30" ht="18">
      <c r="A50" s="1074" t="s">
        <v>994</v>
      </c>
      <c r="B50" s="1082"/>
      <c r="C50" s="1082"/>
      <c r="D50" s="1082"/>
      <c r="E50" s="1051"/>
      <c r="F50" s="1051"/>
      <c r="G50" s="1051"/>
      <c r="H50" s="1078"/>
      <c r="I50" s="1078"/>
      <c r="J50" s="1078"/>
      <c r="K50" s="1078"/>
      <c r="L50" s="1078"/>
      <c r="M50" s="1078"/>
      <c r="N50" s="1078"/>
      <c r="O50" s="1078"/>
      <c r="P50" s="1078"/>
      <c r="Q50" s="1078"/>
      <c r="R50" s="1078"/>
      <c r="S50" s="1078"/>
      <c r="T50" s="1078"/>
      <c r="V50" s="934"/>
      <c r="W50" s="950"/>
      <c r="X50" s="55"/>
      <c r="Y50" s="55"/>
      <c r="Z50" s="55"/>
      <c r="AA50" s="55"/>
      <c r="AB50" s="55"/>
      <c r="AC50" s="55"/>
      <c r="AD50" s="125"/>
    </row>
    <row r="51" spans="1:30" ht="18">
      <c r="A51" s="1074" t="s">
        <v>994</v>
      </c>
      <c r="B51" s="1060" t="s">
        <v>799</v>
      </c>
      <c r="C51" s="1060" t="s">
        <v>15</v>
      </c>
      <c r="D51" s="1060" t="s">
        <v>995</v>
      </c>
      <c r="E51" s="1051"/>
      <c r="F51" s="1051"/>
      <c r="G51" s="1051"/>
      <c r="H51" s="1078">
        <v>0</v>
      </c>
      <c r="I51" s="1078">
        <v>0</v>
      </c>
      <c r="J51" s="1078">
        <v>0</v>
      </c>
      <c r="K51" s="1078">
        <v>0</v>
      </c>
      <c r="L51" s="1078">
        <v>0</v>
      </c>
      <c r="M51" s="1078">
        <v>0</v>
      </c>
      <c r="N51" s="1078">
        <v>0</v>
      </c>
      <c r="O51" s="1078">
        <v>0</v>
      </c>
      <c r="P51" s="1078">
        <v>0</v>
      </c>
      <c r="Q51" s="1078">
        <v>0</v>
      </c>
      <c r="R51" s="1078">
        <v>0</v>
      </c>
      <c r="S51" s="1078">
        <v>0</v>
      </c>
      <c r="T51" s="1078">
        <v>0</v>
      </c>
      <c r="V51" s="934" t="s">
        <v>998</v>
      </c>
      <c r="W51" s="950"/>
      <c r="X51" s="55"/>
      <c r="Y51" s="55"/>
      <c r="Z51" s="55"/>
      <c r="AA51" s="55"/>
      <c r="AB51" s="55"/>
      <c r="AC51" s="55"/>
      <c r="AD51" s="125"/>
    </row>
    <row r="52" spans="1:30" ht="18">
      <c r="A52" s="1074" t="s">
        <v>994</v>
      </c>
      <c r="B52" s="1060"/>
      <c r="C52" s="1060" t="s">
        <v>16</v>
      </c>
      <c r="D52" s="1060" t="s">
        <v>995</v>
      </c>
      <c r="E52" s="1051"/>
      <c r="F52" s="1051"/>
      <c r="G52" s="1051"/>
      <c r="H52" s="1078"/>
      <c r="I52" s="1078"/>
      <c r="J52" s="1078"/>
      <c r="K52" s="1078"/>
      <c r="L52" s="1078"/>
      <c r="M52" s="1078"/>
      <c r="N52" s="1078"/>
      <c r="O52" s="1078"/>
      <c r="P52" s="1078"/>
      <c r="Q52" s="1078"/>
      <c r="R52" s="1078"/>
      <c r="S52" s="1078"/>
      <c r="T52" s="1078"/>
      <c r="V52" s="934"/>
      <c r="W52" s="951" t="s">
        <v>1019</v>
      </c>
      <c r="X52" s="540">
        <f>+$S$289</f>
        <v>0</v>
      </c>
      <c r="Y52" s="540">
        <f>+$T$289</f>
        <v>0</v>
      </c>
      <c r="Z52" s="540">
        <f>+$T$290</f>
        <v>0</v>
      </c>
      <c r="AA52" s="540">
        <f>+$T$283</f>
        <v>0</v>
      </c>
      <c r="AB52" s="540">
        <f>+$T$285</f>
        <v>0</v>
      </c>
      <c r="AC52" s="540">
        <f>+$T$287</f>
        <v>0</v>
      </c>
      <c r="AD52" s="952">
        <f>SUM(AA52:AC52)</f>
        <v>0</v>
      </c>
    </row>
    <row r="53" spans="1:30" ht="18.75" thickBot="1">
      <c r="A53" s="1074" t="s">
        <v>994</v>
      </c>
      <c r="B53" s="1060"/>
      <c r="C53" s="1060" t="s">
        <v>800</v>
      </c>
      <c r="D53" s="1060" t="s">
        <v>995</v>
      </c>
      <c r="E53" s="1051"/>
      <c r="F53" s="1051"/>
      <c r="G53" s="1051"/>
      <c r="H53" s="1078">
        <v>0</v>
      </c>
      <c r="I53" s="1078">
        <v>0</v>
      </c>
      <c r="J53" s="1078">
        <v>0</v>
      </c>
      <c r="K53" s="1078">
        <v>0</v>
      </c>
      <c r="L53" s="1078">
        <v>0</v>
      </c>
      <c r="M53" s="1078">
        <v>0</v>
      </c>
      <c r="N53" s="1078">
        <v>0</v>
      </c>
      <c r="O53" s="1078">
        <v>0</v>
      </c>
      <c r="P53" s="1078">
        <v>0</v>
      </c>
      <c r="Q53" s="1078">
        <v>0</v>
      </c>
      <c r="R53" s="1078">
        <v>0</v>
      </c>
      <c r="S53" s="1078">
        <v>0</v>
      </c>
      <c r="T53" s="1078">
        <v>0</v>
      </c>
      <c r="V53" s="938"/>
      <c r="W53" s="953" t="s">
        <v>666</v>
      </c>
      <c r="X53" s="954">
        <f>+$S$280</f>
        <v>4</v>
      </c>
      <c r="Y53" s="954">
        <f>+$T$280</f>
        <v>4.833333333333333</v>
      </c>
      <c r="Z53" s="954">
        <f>+$T$281</f>
        <v>148998</v>
      </c>
      <c r="AA53" s="954">
        <f>+$T$274</f>
        <v>52514</v>
      </c>
      <c r="AB53" s="954">
        <f>+$T$276</f>
        <v>-36</v>
      </c>
      <c r="AC53" s="954">
        <f>+$T$278</f>
        <v>775489</v>
      </c>
      <c r="AD53" s="955">
        <f>SUM(AA53:AC53)</f>
        <v>827967</v>
      </c>
    </row>
    <row r="54" spans="1:30" ht="18">
      <c r="A54" s="1074" t="s">
        <v>994</v>
      </c>
      <c r="B54" s="1060"/>
      <c r="C54" s="1060" t="s">
        <v>801</v>
      </c>
      <c r="D54" s="1060" t="s">
        <v>995</v>
      </c>
      <c r="E54" s="1051"/>
      <c r="F54" s="1051"/>
      <c r="G54" s="1051"/>
      <c r="H54" s="1078"/>
      <c r="I54" s="1078"/>
      <c r="J54" s="1078"/>
      <c r="K54" s="1078"/>
      <c r="L54" s="1078"/>
      <c r="M54" s="1078"/>
      <c r="N54" s="1078"/>
      <c r="O54" s="1078"/>
      <c r="P54" s="1078"/>
      <c r="Q54" s="1078"/>
      <c r="R54" s="1078"/>
      <c r="S54" s="1078"/>
      <c r="T54" s="1078"/>
      <c r="V54" s="936"/>
      <c r="W54" s="951" t="s">
        <v>100</v>
      </c>
      <c r="X54" s="540">
        <f t="shared" ref="X54:AD54" si="6">SUM(X52:X53)</f>
        <v>4</v>
      </c>
      <c r="Y54" s="540">
        <f>SUM(Y52:Y53)</f>
        <v>4.833333333333333</v>
      </c>
      <c r="Z54" s="540">
        <f t="shared" si="6"/>
        <v>148998</v>
      </c>
      <c r="AA54" s="540">
        <f t="shared" si="6"/>
        <v>52514</v>
      </c>
      <c r="AB54" s="540">
        <f t="shared" si="6"/>
        <v>-36</v>
      </c>
      <c r="AC54" s="540">
        <f t="shared" si="6"/>
        <v>775489</v>
      </c>
      <c r="AD54" s="952">
        <f t="shared" si="6"/>
        <v>827967</v>
      </c>
    </row>
    <row r="55" spans="1:30" ht="18">
      <c r="A55" s="1074" t="s">
        <v>994</v>
      </c>
      <c r="B55" s="1060"/>
      <c r="C55" s="1060" t="s">
        <v>802</v>
      </c>
      <c r="D55" s="1060" t="s">
        <v>995</v>
      </c>
      <c r="E55" s="1051"/>
      <c r="F55" s="1051"/>
      <c r="G55" s="1051"/>
      <c r="H55" s="1081">
        <v>0</v>
      </c>
      <c r="I55" s="1081">
        <v>0</v>
      </c>
      <c r="J55" s="1081">
        <v>0</v>
      </c>
      <c r="K55" s="1081">
        <v>0</v>
      </c>
      <c r="L55" s="1081">
        <v>0</v>
      </c>
      <c r="M55" s="1081">
        <v>0</v>
      </c>
      <c r="N55" s="1081">
        <v>0</v>
      </c>
      <c r="O55" s="1081">
        <v>0</v>
      </c>
      <c r="P55" s="1081">
        <v>0</v>
      </c>
      <c r="Q55" s="1081">
        <v>0</v>
      </c>
      <c r="R55" s="1081">
        <v>0</v>
      </c>
      <c r="S55" s="1081">
        <v>0</v>
      </c>
      <c r="T55" s="1081">
        <v>0</v>
      </c>
      <c r="V55" s="936"/>
      <c r="W55" s="951"/>
      <c r="X55" s="540"/>
      <c r="Y55" s="540"/>
      <c r="Z55" s="540"/>
      <c r="AA55" s="540"/>
      <c r="AB55" s="540"/>
      <c r="AC55" s="540"/>
      <c r="AD55" s="952"/>
    </row>
    <row r="56" spans="1:30" ht="18">
      <c r="A56" s="1074" t="s">
        <v>994</v>
      </c>
      <c r="B56" s="1060"/>
      <c r="C56" s="1060" t="s">
        <v>18</v>
      </c>
      <c r="D56" s="1060" t="s">
        <v>995</v>
      </c>
      <c r="E56" s="1051"/>
      <c r="F56" s="1051"/>
      <c r="G56" s="1051"/>
      <c r="H56" s="1078">
        <v>0</v>
      </c>
      <c r="I56" s="1078">
        <v>0</v>
      </c>
      <c r="J56" s="1078">
        <v>0</v>
      </c>
      <c r="K56" s="1078">
        <v>0</v>
      </c>
      <c r="L56" s="1078">
        <v>0</v>
      </c>
      <c r="M56" s="1078">
        <v>0</v>
      </c>
      <c r="N56" s="1078">
        <v>0</v>
      </c>
      <c r="O56" s="1078">
        <v>0</v>
      </c>
      <c r="P56" s="1078">
        <v>0</v>
      </c>
      <c r="Q56" s="1078">
        <v>0</v>
      </c>
      <c r="R56" s="1078">
        <v>0</v>
      </c>
      <c r="S56" s="1078">
        <v>0</v>
      </c>
      <c r="T56" s="1078">
        <v>0</v>
      </c>
      <c r="V56" s="934" t="s">
        <v>1002</v>
      </c>
      <c r="W56" s="950"/>
      <c r="X56" s="55"/>
      <c r="Y56" s="55"/>
      <c r="Z56" s="55"/>
      <c r="AA56" s="55"/>
      <c r="AB56" s="55"/>
      <c r="AC56" s="55"/>
      <c r="AD56" s="125"/>
    </row>
    <row r="57" spans="1:30" ht="18">
      <c r="A57" s="1074" t="s">
        <v>994</v>
      </c>
      <c r="B57" s="1060"/>
      <c r="C57" s="1060" t="s">
        <v>996</v>
      </c>
      <c r="D57" s="1060" t="s">
        <v>995</v>
      </c>
      <c r="E57" s="1051"/>
      <c r="F57" s="1051"/>
      <c r="G57" s="1051"/>
      <c r="H57" s="1078">
        <v>0</v>
      </c>
      <c r="I57" s="1078">
        <v>0</v>
      </c>
      <c r="J57" s="1078">
        <v>0</v>
      </c>
      <c r="K57" s="1078">
        <v>0</v>
      </c>
      <c r="L57" s="1078">
        <v>0</v>
      </c>
      <c r="M57" s="1078">
        <v>0</v>
      </c>
      <c r="N57" s="1078">
        <v>0</v>
      </c>
      <c r="O57" s="1078">
        <v>0</v>
      </c>
      <c r="P57" s="1078">
        <v>0</v>
      </c>
      <c r="Q57" s="1078">
        <v>0</v>
      </c>
      <c r="R57" s="1078">
        <v>0</v>
      </c>
      <c r="S57" s="1078">
        <v>0</v>
      </c>
      <c r="T57" s="1078">
        <v>0</v>
      </c>
      <c r="V57" s="934"/>
      <c r="W57" s="950" t="s">
        <v>1020</v>
      </c>
      <c r="X57" s="540">
        <f>+$S$316</f>
        <v>2</v>
      </c>
      <c r="Y57" s="540">
        <f>+$T$316</f>
        <v>2</v>
      </c>
      <c r="Z57" s="540">
        <f>+$T$317</f>
        <v>517921</v>
      </c>
      <c r="AA57" s="540">
        <f>+$T$310</f>
        <v>43701</v>
      </c>
      <c r="AB57" s="540">
        <v>0</v>
      </c>
      <c r="AC57" s="540">
        <f>+$T$314</f>
        <v>0</v>
      </c>
      <c r="AD57" s="952">
        <f>SUM(AA57:AC57)</f>
        <v>43701</v>
      </c>
    </row>
    <row r="58" spans="1:30" ht="18.75" thickBot="1">
      <c r="A58" s="1074" t="s">
        <v>994</v>
      </c>
      <c r="B58" s="1060"/>
      <c r="C58" s="1060" t="s">
        <v>75</v>
      </c>
      <c r="D58" s="1060" t="s">
        <v>995</v>
      </c>
      <c r="E58" s="1051"/>
      <c r="F58" s="1051"/>
      <c r="G58" s="1051"/>
      <c r="H58" s="1078">
        <v>0</v>
      </c>
      <c r="I58" s="1078">
        <v>0</v>
      </c>
      <c r="J58" s="1078">
        <v>0</v>
      </c>
      <c r="K58" s="1078">
        <v>0</v>
      </c>
      <c r="L58" s="1078">
        <v>0</v>
      </c>
      <c r="M58" s="1078">
        <v>0</v>
      </c>
      <c r="N58" s="1078">
        <v>0</v>
      </c>
      <c r="O58" s="1078">
        <v>0</v>
      </c>
      <c r="P58" s="1078">
        <v>0</v>
      </c>
      <c r="Q58" s="1078">
        <v>0</v>
      </c>
      <c r="R58" s="1078">
        <v>0</v>
      </c>
      <c r="S58" s="1078">
        <v>0</v>
      </c>
      <c r="T58" s="1078">
        <v>0</v>
      </c>
      <c r="V58" s="941"/>
      <c r="W58" s="956" t="s">
        <v>82</v>
      </c>
      <c r="X58" s="954">
        <f>+$S$307</f>
        <v>3</v>
      </c>
      <c r="Y58" s="954">
        <f>+$T$307</f>
        <v>3</v>
      </c>
      <c r="Z58" s="954">
        <f>+$T$308</f>
        <v>146691</v>
      </c>
      <c r="AA58" s="954">
        <f>+$T$301</f>
        <v>80745</v>
      </c>
      <c r="AB58" s="954">
        <v>0</v>
      </c>
      <c r="AC58" s="954">
        <f>+$T$305</f>
        <v>0</v>
      </c>
      <c r="AD58" s="955">
        <f>SUM(AA58:AC58)</f>
        <v>80745</v>
      </c>
    </row>
    <row r="59" spans="1:30" ht="18">
      <c r="A59" s="1074" t="s">
        <v>994</v>
      </c>
      <c r="B59" s="1082"/>
      <c r="C59" s="1082"/>
      <c r="D59" s="1060"/>
      <c r="E59" s="1051"/>
      <c r="F59" s="1051"/>
      <c r="G59" s="1051"/>
      <c r="H59" s="1078"/>
      <c r="I59" s="1078"/>
      <c r="J59" s="1078"/>
      <c r="K59" s="1078"/>
      <c r="L59" s="1078"/>
      <c r="M59" s="1078"/>
      <c r="N59" s="1078"/>
      <c r="O59" s="1078"/>
      <c r="P59" s="1078"/>
      <c r="Q59" s="1078"/>
      <c r="R59" s="1078"/>
      <c r="S59" s="1078"/>
      <c r="T59" s="1078"/>
      <c r="V59" s="934"/>
      <c r="W59" s="950" t="s">
        <v>101</v>
      </c>
      <c r="X59" s="540">
        <f t="shared" ref="X59:AD59" si="7">SUM(X57:X58)</f>
        <v>5</v>
      </c>
      <c r="Y59" s="540">
        <f>SUM(Y57:Y58)</f>
        <v>5</v>
      </c>
      <c r="Z59" s="540">
        <f t="shared" si="7"/>
        <v>664612</v>
      </c>
      <c r="AA59" s="540">
        <f t="shared" si="7"/>
        <v>124446</v>
      </c>
      <c r="AB59" s="540">
        <f t="shared" si="7"/>
        <v>0</v>
      </c>
      <c r="AC59" s="540">
        <f t="shared" si="7"/>
        <v>0</v>
      </c>
      <c r="AD59" s="952">
        <f t="shared" si="7"/>
        <v>124446</v>
      </c>
    </row>
    <row r="60" spans="1:30" ht="18">
      <c r="A60" s="1074" t="s">
        <v>994</v>
      </c>
      <c r="B60" s="1060" t="s">
        <v>798</v>
      </c>
      <c r="C60" s="1060" t="s">
        <v>15</v>
      </c>
      <c r="D60" s="1060" t="s">
        <v>995</v>
      </c>
      <c r="E60" s="1051"/>
      <c r="F60" s="1051"/>
      <c r="G60" s="1051"/>
      <c r="H60" s="1078">
        <v>93977.250398500037</v>
      </c>
      <c r="I60" s="1078">
        <v>140304.49284880009</v>
      </c>
      <c r="J60" s="1078">
        <v>156863.77036039997</v>
      </c>
      <c r="K60" s="1078">
        <v>145313.10485969961</v>
      </c>
      <c r="L60" s="1078">
        <v>156912.84887360001</v>
      </c>
      <c r="M60" s="1078">
        <v>157712.24562340017</v>
      </c>
      <c r="N60" s="1078">
        <v>146990.05987900004</v>
      </c>
      <c r="O60" s="1078">
        <v>151131.92810340005</v>
      </c>
      <c r="P60" s="1078">
        <v>156235.64311559987</v>
      </c>
      <c r="Q60" s="1078">
        <v>160369.92596779997</v>
      </c>
      <c r="R60" s="1078">
        <v>166333.1575731</v>
      </c>
      <c r="S60" s="1078">
        <v>144981.98922839994</v>
      </c>
      <c r="T60" s="1078">
        <v>1777126.4168316997</v>
      </c>
      <c r="V60" s="934"/>
      <c r="W60" s="950"/>
      <c r="X60" s="55"/>
      <c r="Y60" s="55"/>
      <c r="Z60" s="55"/>
      <c r="AA60" s="55"/>
      <c r="AB60" s="55"/>
      <c r="AC60" s="55"/>
      <c r="AD60" s="125"/>
    </row>
    <row r="61" spans="1:30" ht="18">
      <c r="A61" s="1074" t="s">
        <v>994</v>
      </c>
      <c r="B61" s="1060"/>
      <c r="C61" s="1060"/>
      <c r="D61" s="1060" t="s">
        <v>995</v>
      </c>
      <c r="E61" s="1051"/>
      <c r="F61" s="1051"/>
      <c r="G61" s="1051"/>
      <c r="H61" s="1078"/>
      <c r="I61" s="1078"/>
      <c r="J61" s="1078"/>
      <c r="K61" s="1078"/>
      <c r="L61" s="1078"/>
      <c r="M61" s="1078"/>
      <c r="N61" s="1078"/>
      <c r="O61" s="1078"/>
      <c r="P61" s="1078"/>
      <c r="Q61" s="1078"/>
      <c r="R61" s="1078"/>
      <c r="S61" s="1078"/>
      <c r="T61" s="1078"/>
      <c r="V61" s="936"/>
      <c r="W61" s="951" t="s">
        <v>1021</v>
      </c>
      <c r="X61" s="957">
        <f t="shared" ref="X61:AD61" si="8">+X59+X54+X44+X48</f>
        <v>27737</v>
      </c>
      <c r="Y61" s="957">
        <f>+Y59+Y54+Y44+Y48</f>
        <v>27618.416666666668</v>
      </c>
      <c r="Z61" s="957">
        <f t="shared" si="8"/>
        <v>4387075.87</v>
      </c>
      <c r="AA61" s="957">
        <f t="shared" si="8"/>
        <v>13113274.539690599</v>
      </c>
      <c r="AB61" s="957">
        <f t="shared" si="8"/>
        <v>-36</v>
      </c>
      <c r="AC61" s="957">
        <f t="shared" si="8"/>
        <v>18791773.620309401</v>
      </c>
      <c r="AD61" s="958">
        <f t="shared" si="8"/>
        <v>31905012.16</v>
      </c>
    </row>
    <row r="62" spans="1:30" ht="18.75" thickBot="1">
      <c r="A62" s="1074" t="s">
        <v>994</v>
      </c>
      <c r="B62" s="1060"/>
      <c r="C62" s="1060" t="s">
        <v>16</v>
      </c>
      <c r="D62" s="1060" t="s">
        <v>995</v>
      </c>
      <c r="E62" s="1051"/>
      <c r="F62" s="1051"/>
      <c r="G62" s="1051"/>
      <c r="H62" s="1078">
        <v>15780.015652500002</v>
      </c>
      <c r="I62" s="1078">
        <v>20426.571972000009</v>
      </c>
      <c r="J62" s="1078">
        <v>22818.512826000002</v>
      </c>
      <c r="K62" s="1078">
        <v>21159.803830500008</v>
      </c>
      <c r="L62" s="1078">
        <v>22805.886383999998</v>
      </c>
      <c r="M62" s="1078">
        <v>24509.844717399999</v>
      </c>
      <c r="N62" s="1078">
        <v>22919.322768999995</v>
      </c>
      <c r="O62" s="1078">
        <v>23402.7739974</v>
      </c>
      <c r="P62" s="1078">
        <v>24186.199511600007</v>
      </c>
      <c r="Q62" s="1078">
        <v>22850.167265799999</v>
      </c>
      <c r="R62" s="1078">
        <v>23979.743991300002</v>
      </c>
      <c r="S62" s="1078">
        <v>20478.255093200001</v>
      </c>
      <c r="T62" s="1078">
        <v>265317.09801070008</v>
      </c>
      <c r="V62" s="938"/>
      <c r="W62" s="953"/>
      <c r="X62" s="1165"/>
      <c r="Y62" s="1165"/>
      <c r="Z62" s="1165"/>
      <c r="AA62" s="1165"/>
      <c r="AB62" s="1165"/>
      <c r="AC62" s="1165"/>
      <c r="AD62" s="1166"/>
    </row>
    <row r="63" spans="1:30" ht="18">
      <c r="A63" s="1074" t="s">
        <v>994</v>
      </c>
      <c r="B63" s="1060"/>
      <c r="C63" s="1060"/>
      <c r="D63" s="1060" t="s">
        <v>995</v>
      </c>
      <c r="E63" s="1051"/>
      <c r="F63" s="1051"/>
      <c r="G63" s="1051"/>
      <c r="H63" s="1078"/>
      <c r="I63" s="1078"/>
      <c r="J63" s="1078"/>
      <c r="K63" s="1078"/>
      <c r="L63" s="1078"/>
      <c r="M63" s="1078"/>
      <c r="N63" s="1078"/>
      <c r="O63" s="1078"/>
      <c r="P63" s="1078"/>
      <c r="Q63" s="1078"/>
      <c r="R63" s="1078"/>
      <c r="S63" s="1078"/>
      <c r="T63" s="1078"/>
      <c r="V63" s="936"/>
      <c r="W63" s="951"/>
      <c r="X63" s="957"/>
      <c r="Y63" s="957"/>
      <c r="Z63" s="957"/>
      <c r="AA63" s="957"/>
      <c r="AB63" s="957"/>
      <c r="AC63" s="957"/>
      <c r="AD63" s="958"/>
    </row>
    <row r="64" spans="1:30" ht="18">
      <c r="A64" s="1074" t="s">
        <v>994</v>
      </c>
      <c r="B64" s="1060"/>
      <c r="C64" s="1060" t="s">
        <v>17</v>
      </c>
      <c r="D64" s="1060" t="s">
        <v>995</v>
      </c>
      <c r="E64" s="1051"/>
      <c r="F64" s="1051"/>
      <c r="G64" s="1051"/>
      <c r="H64" s="1081">
        <v>73188.503949000005</v>
      </c>
      <c r="I64" s="1081">
        <v>94739.465179200037</v>
      </c>
      <c r="J64" s="1081">
        <v>105833.4068136</v>
      </c>
      <c r="K64" s="1081">
        <v>98140.23130980003</v>
      </c>
      <c r="L64" s="1081">
        <v>105774.84474239999</v>
      </c>
      <c r="M64" s="1081">
        <v>108207.07965919998</v>
      </c>
      <c r="N64" s="1081">
        <v>101185.17735199997</v>
      </c>
      <c r="O64" s="1081">
        <v>103319.5378992</v>
      </c>
      <c r="P64" s="1081">
        <v>106778.23737280002</v>
      </c>
      <c r="Q64" s="1081">
        <v>100879.86676639998</v>
      </c>
      <c r="R64" s="1081">
        <v>109258.96843559999</v>
      </c>
      <c r="S64" s="1081">
        <v>93305.1256784</v>
      </c>
      <c r="T64" s="1081">
        <v>1200610.4451576001</v>
      </c>
      <c r="V64" s="934" t="s">
        <v>1022</v>
      </c>
      <c r="W64" s="950"/>
      <c r="X64" s="540">
        <f t="shared" ref="X64:AD64" si="9">+X59+X54+X44+X34+X16</f>
        <v>1031088</v>
      </c>
      <c r="Y64" s="540">
        <f>+Y59+Y54+Y44+Y34+Y16</f>
        <v>1020882.6666666666</v>
      </c>
      <c r="Z64" s="540">
        <f t="shared" si="9"/>
        <v>181876137.48000002</v>
      </c>
      <c r="AA64" s="540">
        <f t="shared" si="9"/>
        <v>359302830.52652228</v>
      </c>
      <c r="AB64" s="540">
        <f t="shared" si="9"/>
        <v>104535540.0980107</v>
      </c>
      <c r="AC64" s="540">
        <f t="shared" si="9"/>
        <v>428943897.065467</v>
      </c>
      <c r="AD64" s="952">
        <f t="shared" si="9"/>
        <v>892782267.69000006</v>
      </c>
    </row>
    <row r="65" spans="1:30" ht="18">
      <c r="A65" s="1074" t="s">
        <v>994</v>
      </c>
      <c r="B65" s="1060"/>
      <c r="C65" s="1060" t="s">
        <v>18</v>
      </c>
      <c r="D65" s="1060" t="s">
        <v>995</v>
      </c>
      <c r="E65" s="1051"/>
      <c r="F65" s="1051"/>
      <c r="G65" s="1051"/>
      <c r="H65" s="1078">
        <v>182945.77000000005</v>
      </c>
      <c r="I65" s="1078">
        <v>255470.53000000012</v>
      </c>
      <c r="J65" s="1078">
        <v>285515.68999999994</v>
      </c>
      <c r="K65" s="1078">
        <v>264613.13999999966</v>
      </c>
      <c r="L65" s="1078">
        <v>285493.58</v>
      </c>
      <c r="M65" s="1078">
        <v>290429.17000000016</v>
      </c>
      <c r="N65" s="1078">
        <v>271094.56</v>
      </c>
      <c r="O65" s="1078">
        <v>277854.24000000005</v>
      </c>
      <c r="P65" s="1078">
        <v>287200.0799999999</v>
      </c>
      <c r="Q65" s="1078">
        <v>284099.95999999996</v>
      </c>
      <c r="R65" s="1078">
        <v>299571.87</v>
      </c>
      <c r="S65" s="1078">
        <v>258765.36999999997</v>
      </c>
      <c r="T65" s="1078">
        <v>3243053.96</v>
      </c>
      <c r="V65" s="934" t="s">
        <v>1023</v>
      </c>
      <c r="W65" s="950"/>
      <c r="X65" s="540">
        <f t="shared" ref="X65:AD65" si="10">+X41+X13</f>
        <v>1029850</v>
      </c>
      <c r="Y65" s="540">
        <f>+Y41+Y13</f>
        <v>1019688.4166666666</v>
      </c>
      <c r="Z65" s="540">
        <f t="shared" si="10"/>
        <v>100589255</v>
      </c>
      <c r="AA65" s="540">
        <f t="shared" si="10"/>
        <v>328400789</v>
      </c>
      <c r="AB65" s="540">
        <f t="shared" si="10"/>
        <v>100235379</v>
      </c>
      <c r="AC65" s="540">
        <f t="shared" si="10"/>
        <v>410183096</v>
      </c>
      <c r="AD65" s="952">
        <f t="shared" si="10"/>
        <v>838819264</v>
      </c>
    </row>
    <row r="66" spans="1:30" ht="18">
      <c r="A66" s="1074" t="s">
        <v>994</v>
      </c>
      <c r="B66" s="1060"/>
      <c r="C66" s="1060" t="s">
        <v>996</v>
      </c>
      <c r="D66" s="1060" t="s">
        <v>995</v>
      </c>
      <c r="E66" s="1051"/>
      <c r="F66" s="1051"/>
      <c r="G66" s="1051"/>
      <c r="H66" s="1078">
        <v>1</v>
      </c>
      <c r="I66" s="1078">
        <v>1</v>
      </c>
      <c r="J66" s="1078">
        <v>1</v>
      </c>
      <c r="K66" s="1078">
        <v>1</v>
      </c>
      <c r="L66" s="1078">
        <v>1</v>
      </c>
      <c r="M66" s="1078">
        <v>1</v>
      </c>
      <c r="N66" s="1078">
        <v>1</v>
      </c>
      <c r="O66" s="1078">
        <v>1</v>
      </c>
      <c r="P66" s="1078">
        <v>1</v>
      </c>
      <c r="Q66" s="1078">
        <v>1</v>
      </c>
      <c r="R66" s="1078">
        <v>1</v>
      </c>
      <c r="S66" s="1078">
        <v>1</v>
      </c>
      <c r="T66" s="1078">
        <v>1</v>
      </c>
      <c r="V66" s="934" t="s">
        <v>884</v>
      </c>
      <c r="W66" s="950"/>
      <c r="X66" s="540">
        <f t="shared" ref="X66:AD66" si="11">+X77-X65</f>
        <v>1273</v>
      </c>
      <c r="Y66" s="540">
        <f>+Y77-Y65</f>
        <v>1235.0833333333721</v>
      </c>
      <c r="Z66" s="540">
        <f t="shared" si="11"/>
        <v>81906223.480000019</v>
      </c>
      <c r="AA66" s="540">
        <f t="shared" si="11"/>
        <v>51154851.956522286</v>
      </c>
      <c r="AB66" s="540">
        <f t="shared" si="11"/>
        <v>4411411.0980107039</v>
      </c>
      <c r="AC66" s="540">
        <f t="shared" si="11"/>
        <v>21254147.065467</v>
      </c>
      <c r="AD66" s="952">
        <f t="shared" si="11"/>
        <v>76820410.120000005</v>
      </c>
    </row>
    <row r="67" spans="1:30" ht="18">
      <c r="A67" s="1074" t="s">
        <v>994</v>
      </c>
      <c r="B67" s="1060"/>
      <c r="C67" s="1060" t="s">
        <v>19</v>
      </c>
      <c r="D67" s="1060" t="s">
        <v>995</v>
      </c>
      <c r="E67" s="1051"/>
      <c r="F67" s="1051"/>
      <c r="G67" s="1051"/>
      <c r="H67" s="1078">
        <v>18446.45</v>
      </c>
      <c r="I67" s="1078">
        <v>23878.160000000007</v>
      </c>
      <c r="J67" s="1078">
        <v>26674.28</v>
      </c>
      <c r="K67" s="1078">
        <v>24735.290000000008</v>
      </c>
      <c r="L67" s="1078">
        <v>26659.519999999997</v>
      </c>
      <c r="M67" s="1078">
        <v>26921.469999999998</v>
      </c>
      <c r="N67" s="1078">
        <v>25174.449999999993</v>
      </c>
      <c r="O67" s="1078">
        <v>25705.47</v>
      </c>
      <c r="P67" s="1078">
        <v>26565.980000000007</v>
      </c>
      <c r="Q67" s="1078">
        <v>25098.489999999998</v>
      </c>
      <c r="R67" s="1078">
        <v>25876.77</v>
      </c>
      <c r="S67" s="1078">
        <v>22098.280000000002</v>
      </c>
      <c r="T67" s="1078">
        <v>297834.61000000004</v>
      </c>
      <c r="V67" s="934" t="s">
        <v>885</v>
      </c>
      <c r="W67" s="950"/>
      <c r="X67" s="540">
        <f t="shared" ref="X67:AD67" si="12">+X16+X44</f>
        <v>1030369</v>
      </c>
      <c r="Y67" s="540">
        <f>+Y16+Y44</f>
        <v>1020244.75</v>
      </c>
      <c r="Z67" s="540">
        <f t="shared" si="12"/>
        <v>104982204.48</v>
      </c>
      <c r="AA67" s="540">
        <f t="shared" si="12"/>
        <v>333764706.52652228</v>
      </c>
      <c r="AB67" s="540">
        <f t="shared" si="12"/>
        <v>103964598.0980107</v>
      </c>
      <c r="AC67" s="540">
        <f t="shared" si="12"/>
        <v>428072045.065467</v>
      </c>
      <c r="AD67" s="952">
        <f t="shared" si="12"/>
        <v>865801349.69000006</v>
      </c>
    </row>
    <row r="68" spans="1:30" ht="21.75" customHeight="1">
      <c r="A68" s="1074" t="s">
        <v>994</v>
      </c>
      <c r="B68" s="1051"/>
      <c r="C68" s="1051"/>
      <c r="D68" s="1051"/>
      <c r="E68" s="1051"/>
      <c r="F68" s="1051"/>
      <c r="G68" s="1051"/>
      <c r="H68" s="1078"/>
      <c r="I68" s="1078"/>
      <c r="J68" s="1078"/>
      <c r="K68" s="1078"/>
      <c r="L68" s="1078"/>
      <c r="M68" s="1078"/>
      <c r="N68" s="1078"/>
      <c r="O68" s="1078"/>
      <c r="P68" s="1078"/>
      <c r="Q68" s="1078"/>
      <c r="R68" s="1078"/>
      <c r="S68" s="1078"/>
      <c r="T68" s="1078"/>
      <c r="V68" s="934" t="s">
        <v>1024</v>
      </c>
      <c r="W68" s="950"/>
      <c r="X68" s="540">
        <f t="shared" ref="X68:AD68" si="13">+X54+X20</f>
        <v>39</v>
      </c>
      <c r="Y68" s="540">
        <f>+Y54+Y20</f>
        <v>45.666666666666671</v>
      </c>
      <c r="Z68" s="540">
        <f t="shared" si="13"/>
        <v>768339</v>
      </c>
      <c r="AA68" s="540">
        <f t="shared" si="13"/>
        <v>426497</v>
      </c>
      <c r="AB68" s="540">
        <f t="shared" si="13"/>
        <v>111214</v>
      </c>
      <c r="AC68" s="540">
        <f t="shared" si="13"/>
        <v>3268835</v>
      </c>
      <c r="AD68" s="952">
        <f t="shared" si="13"/>
        <v>3806546</v>
      </c>
    </row>
    <row r="69" spans="1:30" ht="18">
      <c r="A69" s="1074" t="s">
        <v>994</v>
      </c>
      <c r="B69" s="1060" t="s">
        <v>4</v>
      </c>
      <c r="C69" s="1060" t="s">
        <v>15</v>
      </c>
      <c r="D69" s="1060" t="s">
        <v>995</v>
      </c>
      <c r="E69" s="1051"/>
      <c r="F69" s="1051"/>
      <c r="G69" s="1051"/>
      <c r="H69" s="1078">
        <v>0</v>
      </c>
      <c r="I69" s="1078">
        <v>0</v>
      </c>
      <c r="J69" s="1078">
        <v>0</v>
      </c>
      <c r="K69" s="1078">
        <v>0</v>
      </c>
      <c r="L69" s="1078">
        <v>0</v>
      </c>
      <c r="M69" s="1078">
        <v>0</v>
      </c>
      <c r="N69" s="1078">
        <v>0</v>
      </c>
      <c r="O69" s="1078">
        <v>0</v>
      </c>
      <c r="P69" s="1078">
        <v>0</v>
      </c>
      <c r="Q69" s="1078">
        <v>0</v>
      </c>
      <c r="R69" s="1078">
        <v>0</v>
      </c>
      <c r="S69" s="1078">
        <v>0</v>
      </c>
      <c r="T69" s="1078">
        <v>0</v>
      </c>
      <c r="V69" s="934" t="s">
        <v>886</v>
      </c>
      <c r="W69" s="950"/>
      <c r="X69" s="540">
        <f t="shared" ref="X69:AD69" si="14">+X59+X34</f>
        <v>715</v>
      </c>
      <c r="Y69" s="540">
        <f>+Y59+Y34</f>
        <v>633.08333333333337</v>
      </c>
      <c r="Z69" s="540">
        <f t="shared" si="14"/>
        <v>76744935</v>
      </c>
      <c r="AA69" s="540">
        <f t="shared" si="14"/>
        <v>25485610</v>
      </c>
      <c r="AB69" s="540">
        <f t="shared" si="14"/>
        <v>570978</v>
      </c>
      <c r="AC69" s="540">
        <f t="shared" si="14"/>
        <v>96363</v>
      </c>
      <c r="AD69" s="952">
        <f t="shared" si="14"/>
        <v>26152951</v>
      </c>
    </row>
    <row r="70" spans="1:30" ht="18">
      <c r="A70" s="1074" t="s">
        <v>994</v>
      </c>
      <c r="B70" s="1060"/>
      <c r="C70" s="1060"/>
      <c r="D70" s="1060" t="s">
        <v>995</v>
      </c>
      <c r="E70" s="1051"/>
      <c r="F70" s="1051"/>
      <c r="G70" s="1051"/>
      <c r="H70" s="1078"/>
      <c r="I70" s="1078"/>
      <c r="J70" s="1078"/>
      <c r="K70" s="1078"/>
      <c r="L70" s="1078"/>
      <c r="M70" s="1078"/>
      <c r="N70" s="1078"/>
      <c r="O70" s="1078"/>
      <c r="P70" s="1078"/>
      <c r="Q70" s="1078"/>
      <c r="R70" s="1078"/>
      <c r="S70" s="1078"/>
      <c r="T70" s="1078"/>
      <c r="V70" s="934" t="s">
        <v>1025</v>
      </c>
      <c r="W70" s="950"/>
      <c r="X70" s="540"/>
      <c r="Y70" s="540"/>
      <c r="Z70" s="540"/>
      <c r="AA70" s="540"/>
      <c r="AB70" s="540"/>
      <c r="AC70" s="540"/>
      <c r="AD70" s="952"/>
    </row>
    <row r="71" spans="1:30" ht="18">
      <c r="A71" s="1074" t="s">
        <v>994</v>
      </c>
      <c r="B71" s="1060"/>
      <c r="C71" s="1060" t="s">
        <v>16</v>
      </c>
      <c r="D71" s="1060" t="s">
        <v>995</v>
      </c>
      <c r="E71" s="1051"/>
      <c r="F71" s="1051"/>
      <c r="G71" s="1051"/>
      <c r="H71" s="1078">
        <v>0</v>
      </c>
      <c r="I71" s="1078">
        <v>0</v>
      </c>
      <c r="J71" s="1078">
        <v>0</v>
      </c>
      <c r="K71" s="1078">
        <v>0</v>
      </c>
      <c r="L71" s="1078">
        <v>0</v>
      </c>
      <c r="M71" s="1078">
        <v>0</v>
      </c>
      <c r="N71" s="1078">
        <v>0</v>
      </c>
      <c r="O71" s="1078">
        <v>0</v>
      </c>
      <c r="P71" s="1078">
        <v>0</v>
      </c>
      <c r="Q71" s="1078">
        <v>0</v>
      </c>
      <c r="R71" s="1078">
        <v>0</v>
      </c>
      <c r="S71" s="1078">
        <v>0</v>
      </c>
      <c r="T71" s="1078">
        <v>0</v>
      </c>
      <c r="V71" s="934" t="s">
        <v>1026</v>
      </c>
      <c r="W71" s="950"/>
      <c r="X71" s="540"/>
      <c r="Y71" s="540"/>
      <c r="Z71" s="540"/>
      <c r="AA71" s="540"/>
      <c r="AB71" s="540"/>
      <c r="AC71" s="540"/>
      <c r="AD71" s="952"/>
    </row>
    <row r="72" spans="1:30" ht="18">
      <c r="A72" s="1074" t="s">
        <v>994</v>
      </c>
      <c r="B72" s="1060"/>
      <c r="C72" s="1060"/>
      <c r="D72" s="1060" t="s">
        <v>995</v>
      </c>
      <c r="E72" s="1051"/>
      <c r="F72" s="1051"/>
      <c r="G72" s="1051"/>
      <c r="H72" s="1078"/>
      <c r="I72" s="1078"/>
      <c r="J72" s="1078"/>
      <c r="K72" s="1078"/>
      <c r="L72" s="1078"/>
      <c r="M72" s="1078"/>
      <c r="N72" s="1078"/>
      <c r="O72" s="1078"/>
      <c r="P72" s="1078"/>
      <c r="Q72" s="1078"/>
      <c r="R72" s="1078"/>
      <c r="S72" s="1078"/>
      <c r="T72" s="1078"/>
      <c r="V72" s="934"/>
      <c r="W72" s="950"/>
      <c r="X72" s="540"/>
      <c r="Y72" s="540"/>
      <c r="Z72" s="540"/>
      <c r="AA72" s="540"/>
      <c r="AB72" s="540"/>
      <c r="AC72" s="540"/>
      <c r="AD72" s="952"/>
    </row>
    <row r="73" spans="1:30" ht="18">
      <c r="A73" s="1074" t="s">
        <v>994</v>
      </c>
      <c r="B73" s="1060"/>
      <c r="C73" s="1060" t="s">
        <v>17</v>
      </c>
      <c r="D73" s="1060" t="s">
        <v>995</v>
      </c>
      <c r="E73" s="1051"/>
      <c r="F73" s="1051"/>
      <c r="G73" s="1051"/>
      <c r="H73" s="1081">
        <v>0</v>
      </c>
      <c r="I73" s="1081">
        <v>0</v>
      </c>
      <c r="J73" s="1081">
        <v>0</v>
      </c>
      <c r="K73" s="1081">
        <v>0</v>
      </c>
      <c r="L73" s="1081">
        <v>0</v>
      </c>
      <c r="M73" s="1081">
        <v>0</v>
      </c>
      <c r="N73" s="1081">
        <v>0</v>
      </c>
      <c r="O73" s="1081">
        <v>0</v>
      </c>
      <c r="P73" s="1081">
        <v>0</v>
      </c>
      <c r="Q73" s="1081">
        <v>0</v>
      </c>
      <c r="R73" s="1081">
        <v>0</v>
      </c>
      <c r="S73" s="1081">
        <v>0</v>
      </c>
      <c r="T73" s="1081">
        <v>0</v>
      </c>
      <c r="V73" s="934"/>
      <c r="W73" s="950"/>
      <c r="X73" s="55"/>
      <c r="Y73" s="55"/>
      <c r="Z73" s="55"/>
      <c r="AA73" s="55"/>
      <c r="AB73" s="55"/>
      <c r="AC73" s="55"/>
      <c r="AD73" s="125"/>
    </row>
    <row r="74" spans="1:30" ht="18">
      <c r="A74" s="1074" t="s">
        <v>994</v>
      </c>
      <c r="B74" s="1060"/>
      <c r="C74" s="1060" t="s">
        <v>18</v>
      </c>
      <c r="D74" s="1060" t="s">
        <v>995</v>
      </c>
      <c r="E74" s="1051"/>
      <c r="F74" s="1051"/>
      <c r="G74" s="1051"/>
      <c r="H74" s="1078">
        <v>0</v>
      </c>
      <c r="I74" s="1078">
        <v>0</v>
      </c>
      <c r="J74" s="1078">
        <v>0</v>
      </c>
      <c r="K74" s="1078">
        <v>0</v>
      </c>
      <c r="L74" s="1078">
        <v>0</v>
      </c>
      <c r="M74" s="1078">
        <v>0</v>
      </c>
      <c r="N74" s="1078">
        <v>0</v>
      </c>
      <c r="O74" s="1078">
        <v>0</v>
      </c>
      <c r="P74" s="1078">
        <v>0</v>
      </c>
      <c r="Q74" s="1078">
        <v>0</v>
      </c>
      <c r="R74" s="1078">
        <v>0</v>
      </c>
      <c r="S74" s="1078">
        <v>0</v>
      </c>
      <c r="T74" s="1078">
        <v>0</v>
      </c>
      <c r="V74" s="934" t="s">
        <v>1027</v>
      </c>
      <c r="W74" s="950"/>
      <c r="X74" s="540">
        <f t="shared" ref="X74:AD74" si="15">+X36</f>
        <v>1003386</v>
      </c>
      <c r="Y74" s="540">
        <f t="shared" si="15"/>
        <v>993305.08333333337</v>
      </c>
      <c r="Z74" s="540">
        <f t="shared" si="15"/>
        <v>178108402.61000001</v>
      </c>
      <c r="AA74" s="540">
        <f t="shared" si="15"/>
        <v>366442366.41683167</v>
      </c>
      <c r="AB74" s="540">
        <f t="shared" si="15"/>
        <v>104646826.0980107</v>
      </c>
      <c r="AC74" s="540">
        <f t="shared" si="15"/>
        <v>412645469.44515759</v>
      </c>
      <c r="AD74" s="952">
        <f t="shared" si="15"/>
        <v>883734661.96000004</v>
      </c>
    </row>
    <row r="75" spans="1:30" ht="18">
      <c r="A75" s="1074" t="s">
        <v>994</v>
      </c>
      <c r="B75" s="1060"/>
      <c r="C75" s="1060" t="s">
        <v>996</v>
      </c>
      <c r="D75" s="1060" t="s">
        <v>995</v>
      </c>
      <c r="E75" s="1051"/>
      <c r="F75" s="1051"/>
      <c r="G75" s="1051"/>
      <c r="H75" s="1078">
        <v>0</v>
      </c>
      <c r="I75" s="1078">
        <v>0</v>
      </c>
      <c r="J75" s="1078">
        <v>0</v>
      </c>
      <c r="K75" s="1078">
        <v>0</v>
      </c>
      <c r="L75" s="1078">
        <v>0</v>
      </c>
      <c r="M75" s="1078">
        <v>0</v>
      </c>
      <c r="N75" s="1078">
        <v>0</v>
      </c>
      <c r="O75" s="1078">
        <v>0</v>
      </c>
      <c r="P75" s="1078">
        <v>0</v>
      </c>
      <c r="Q75" s="1078">
        <v>0</v>
      </c>
      <c r="R75" s="1078">
        <v>0</v>
      </c>
      <c r="S75" s="1078">
        <v>0</v>
      </c>
      <c r="T75" s="1078">
        <v>0</v>
      </c>
      <c r="V75" s="934" t="s">
        <v>1028</v>
      </c>
      <c r="W75" s="950"/>
      <c r="X75" s="540">
        <f t="shared" ref="X75:AD75" si="16">+X61</f>
        <v>27737</v>
      </c>
      <c r="Y75" s="540">
        <f>+Y61</f>
        <v>27618.416666666668</v>
      </c>
      <c r="Z75" s="540">
        <f t="shared" si="16"/>
        <v>4387075.87</v>
      </c>
      <c r="AA75" s="540">
        <f t="shared" si="16"/>
        <v>13113274.539690599</v>
      </c>
      <c r="AB75" s="540">
        <f t="shared" si="16"/>
        <v>-36</v>
      </c>
      <c r="AC75" s="540">
        <f t="shared" si="16"/>
        <v>18791773.620309401</v>
      </c>
      <c r="AD75" s="952">
        <f t="shared" si="16"/>
        <v>31905012.16</v>
      </c>
    </row>
    <row r="76" spans="1:30" ht="18">
      <c r="A76" s="1074" t="s">
        <v>994</v>
      </c>
      <c r="B76" s="1060"/>
      <c r="C76" s="1060" t="s">
        <v>19</v>
      </c>
      <c r="D76" s="1060" t="s">
        <v>995</v>
      </c>
      <c r="E76" s="1051"/>
      <c r="F76" s="1051"/>
      <c r="G76" s="1051"/>
      <c r="H76" s="1078">
        <v>0</v>
      </c>
      <c r="I76" s="1078">
        <v>0</v>
      </c>
      <c r="J76" s="1078">
        <v>0</v>
      </c>
      <c r="K76" s="1078">
        <v>0</v>
      </c>
      <c r="L76" s="1078">
        <v>0</v>
      </c>
      <c r="M76" s="1078">
        <v>0</v>
      </c>
      <c r="N76" s="1078">
        <v>0</v>
      </c>
      <c r="O76" s="1078">
        <v>0</v>
      </c>
      <c r="P76" s="1078">
        <v>0</v>
      </c>
      <c r="Q76" s="1078">
        <v>0</v>
      </c>
      <c r="R76" s="1078">
        <v>0</v>
      </c>
      <c r="S76" s="1078">
        <v>0</v>
      </c>
      <c r="T76" s="1078">
        <v>0</v>
      </c>
      <c r="V76" s="934"/>
      <c r="W76" s="950"/>
      <c r="X76" s="55"/>
      <c r="Y76" s="55"/>
      <c r="Z76" s="55"/>
      <c r="AA76" s="55"/>
      <c r="AB76" s="55"/>
      <c r="AC76" s="55"/>
      <c r="AD76" s="125"/>
    </row>
    <row r="77" spans="1:30" ht="18">
      <c r="A77" s="1083"/>
      <c r="B77" s="1060"/>
      <c r="C77" s="1060"/>
      <c r="D77" s="1060"/>
      <c r="E77" s="1051"/>
      <c r="F77" s="1051"/>
      <c r="G77" s="1051"/>
      <c r="H77" s="1078"/>
      <c r="I77" s="1078"/>
      <c r="J77" s="1078"/>
      <c r="K77" s="1078"/>
      <c r="L77" s="1078"/>
      <c r="M77" s="1078"/>
      <c r="N77" s="1078"/>
      <c r="O77" s="1078"/>
      <c r="P77" s="1078"/>
      <c r="Q77" s="1078"/>
      <c r="R77" s="1078"/>
      <c r="S77" s="1078"/>
      <c r="T77" s="1078"/>
      <c r="V77" s="936" t="s">
        <v>1029</v>
      </c>
      <c r="W77" s="951"/>
      <c r="X77" s="957">
        <f t="shared" ref="X77:AD77" si="17">SUM(X74:X76)</f>
        <v>1031123</v>
      </c>
      <c r="Y77" s="957">
        <f t="shared" si="17"/>
        <v>1020923.5</v>
      </c>
      <c r="Z77" s="957">
        <f t="shared" si="17"/>
        <v>182495478.48000002</v>
      </c>
      <c r="AA77" s="957">
        <f t="shared" si="17"/>
        <v>379555640.95652229</v>
      </c>
      <c r="AB77" s="957">
        <f t="shared" si="17"/>
        <v>104646790.0980107</v>
      </c>
      <c r="AC77" s="957">
        <f t="shared" si="17"/>
        <v>431437243.065467</v>
      </c>
      <c r="AD77" s="958">
        <f t="shared" si="17"/>
        <v>915639674.12</v>
      </c>
    </row>
    <row r="78" spans="1:30" ht="18.75" thickBot="1">
      <c r="A78" s="1083" t="s">
        <v>998</v>
      </c>
      <c r="B78" s="1060" t="s">
        <v>80</v>
      </c>
      <c r="C78" s="1060" t="s">
        <v>15</v>
      </c>
      <c r="D78" s="1060" t="s">
        <v>995</v>
      </c>
      <c r="E78" s="1051"/>
      <c r="F78" s="1051"/>
      <c r="G78" s="1051"/>
      <c r="H78" s="1078">
        <v>0</v>
      </c>
      <c r="I78" s="1078">
        <v>0</v>
      </c>
      <c r="J78" s="1078">
        <v>0</v>
      </c>
      <c r="K78" s="1078">
        <v>0</v>
      </c>
      <c r="L78" s="1078">
        <v>0</v>
      </c>
      <c r="M78" s="1078">
        <v>0</v>
      </c>
      <c r="N78" s="1078">
        <v>0</v>
      </c>
      <c r="O78" s="1078">
        <v>0</v>
      </c>
      <c r="P78" s="1078">
        <v>0</v>
      </c>
      <c r="Q78" s="1078">
        <v>0</v>
      </c>
      <c r="R78" s="1078">
        <v>0</v>
      </c>
      <c r="S78" s="1078">
        <v>0</v>
      </c>
      <c r="T78" s="1078">
        <v>0</v>
      </c>
      <c r="V78" s="941"/>
      <c r="W78" s="956"/>
      <c r="X78" s="82"/>
      <c r="Y78" s="82"/>
      <c r="Z78" s="82"/>
      <c r="AA78" s="82"/>
      <c r="AB78" s="82"/>
      <c r="AC78" s="82"/>
      <c r="AD78" s="268"/>
    </row>
    <row r="79" spans="1:30" ht="18">
      <c r="A79" s="1083" t="s">
        <v>998</v>
      </c>
      <c r="B79" s="1060"/>
      <c r="C79" s="1060"/>
      <c r="D79" s="1060" t="s">
        <v>995</v>
      </c>
      <c r="E79" s="1051"/>
      <c r="F79" s="1051"/>
      <c r="G79" s="1051"/>
      <c r="H79" s="1078"/>
      <c r="I79" s="1078"/>
      <c r="J79" s="1078"/>
      <c r="K79" s="1078"/>
      <c r="L79" s="1078"/>
      <c r="M79" s="1078"/>
      <c r="N79" s="1078"/>
      <c r="O79" s="1078"/>
      <c r="P79" s="1078"/>
      <c r="Q79" s="1078"/>
      <c r="R79" s="1078"/>
      <c r="S79" s="1078"/>
      <c r="T79" s="1078"/>
      <c r="V79" s="943"/>
      <c r="W79" s="959"/>
      <c r="X79" s="959"/>
      <c r="Y79" s="959"/>
      <c r="Z79" s="959"/>
      <c r="AA79" s="959"/>
      <c r="AB79" s="959"/>
      <c r="AC79" s="959"/>
      <c r="AD79" s="944"/>
    </row>
    <row r="80" spans="1:30" ht="18">
      <c r="A80" s="1083" t="s">
        <v>998</v>
      </c>
      <c r="B80" s="1060"/>
      <c r="C80" s="1060" t="s">
        <v>16</v>
      </c>
      <c r="D80" s="1060" t="s">
        <v>995</v>
      </c>
      <c r="E80" s="1051"/>
      <c r="F80" s="1051"/>
      <c r="G80" s="1051"/>
      <c r="H80" s="1078">
        <v>0</v>
      </c>
      <c r="I80" s="1078">
        <v>0</v>
      </c>
      <c r="J80" s="1078">
        <v>0</v>
      </c>
      <c r="K80" s="1078">
        <v>0</v>
      </c>
      <c r="L80" s="1078">
        <v>0</v>
      </c>
      <c r="M80" s="1078">
        <v>0</v>
      </c>
      <c r="N80" s="1078">
        <v>0</v>
      </c>
      <c r="O80" s="1078">
        <v>0</v>
      </c>
      <c r="P80" s="1078">
        <v>0</v>
      </c>
      <c r="Q80" s="1078">
        <v>0</v>
      </c>
      <c r="R80" s="1078">
        <v>0</v>
      </c>
      <c r="S80" s="1078">
        <v>0</v>
      </c>
      <c r="T80" s="1078">
        <v>0</v>
      </c>
      <c r="V80" s="934" t="s">
        <v>892</v>
      </c>
      <c r="W80" s="950"/>
      <c r="X80" s="961">
        <f>+X77-T440</f>
        <v>0</v>
      </c>
      <c r="Y80" s="974">
        <f>+Y77-T508</f>
        <v>0</v>
      </c>
      <c r="Z80" s="961">
        <f>+Z77-$T$371</f>
        <v>0</v>
      </c>
      <c r="AA80" s="961">
        <f>+AA77-$T$362-$T$364</f>
        <v>0</v>
      </c>
      <c r="AB80" s="961">
        <f>+AB77-$T$363</f>
        <v>0</v>
      </c>
      <c r="AC80" s="961">
        <f>+AC77-$T$365</f>
        <v>0</v>
      </c>
      <c r="AD80" s="962">
        <f>+AD77-$T$367</f>
        <v>0</v>
      </c>
    </row>
    <row r="81" spans="1:30" ht="18.75" thickBot="1">
      <c r="A81" s="1083" t="s">
        <v>998</v>
      </c>
      <c r="B81" s="1060"/>
      <c r="C81" s="1060"/>
      <c r="D81" s="1060" t="s">
        <v>995</v>
      </c>
      <c r="E81" s="1051"/>
      <c r="F81" s="1051"/>
      <c r="G81" s="1051"/>
      <c r="H81" s="1078"/>
      <c r="I81" s="1078"/>
      <c r="J81" s="1078"/>
      <c r="K81" s="1078"/>
      <c r="L81" s="1078"/>
      <c r="M81" s="1078"/>
      <c r="N81" s="1078"/>
      <c r="O81" s="1078"/>
      <c r="P81" s="1078"/>
      <c r="Q81" s="1078"/>
      <c r="R81" s="1078"/>
      <c r="S81" s="1078"/>
      <c r="T81" s="1078"/>
      <c r="V81" s="941"/>
      <c r="W81" s="956"/>
      <c r="X81" s="956"/>
      <c r="Y81" s="956"/>
      <c r="Z81" s="956"/>
      <c r="AA81" s="956"/>
      <c r="AB81" s="956"/>
      <c r="AC81" s="956"/>
      <c r="AD81" s="942"/>
    </row>
    <row r="82" spans="1:30" ht="18">
      <c r="A82" s="1083" t="s">
        <v>998</v>
      </c>
      <c r="B82" s="1060"/>
      <c r="C82" s="1060" t="s">
        <v>17</v>
      </c>
      <c r="D82" s="1060" t="s">
        <v>995</v>
      </c>
      <c r="E82" s="1051"/>
      <c r="F82" s="1051"/>
      <c r="G82" s="1051"/>
      <c r="H82" s="1081">
        <v>0</v>
      </c>
      <c r="I82" s="1081">
        <v>0</v>
      </c>
      <c r="J82" s="1081">
        <v>0</v>
      </c>
      <c r="K82" s="1081">
        <v>0</v>
      </c>
      <c r="L82" s="1081">
        <v>0</v>
      </c>
      <c r="M82" s="1081">
        <v>0</v>
      </c>
      <c r="N82" s="1081">
        <v>0</v>
      </c>
      <c r="O82" s="1081">
        <v>0</v>
      </c>
      <c r="P82" s="1081">
        <v>0</v>
      </c>
      <c r="Q82" s="1081">
        <v>0</v>
      </c>
      <c r="R82" s="1081">
        <v>0</v>
      </c>
      <c r="S82" s="1081">
        <v>0</v>
      </c>
      <c r="T82" s="1081">
        <v>0</v>
      </c>
    </row>
    <row r="83" spans="1:30" ht="18">
      <c r="A83" s="1083" t="s">
        <v>998</v>
      </c>
      <c r="B83" s="1060"/>
      <c r="C83" s="1060" t="s">
        <v>18</v>
      </c>
      <c r="D83" s="1060" t="s">
        <v>995</v>
      </c>
      <c r="E83" s="1051"/>
      <c r="F83" s="1051"/>
      <c r="G83" s="1051"/>
      <c r="H83" s="1078">
        <v>0</v>
      </c>
      <c r="I83" s="1078">
        <v>0</v>
      </c>
      <c r="J83" s="1078">
        <v>0</v>
      </c>
      <c r="K83" s="1078">
        <v>0</v>
      </c>
      <c r="L83" s="1078">
        <v>0</v>
      </c>
      <c r="M83" s="1078">
        <v>0</v>
      </c>
      <c r="N83" s="1078">
        <v>0</v>
      </c>
      <c r="O83" s="1078">
        <v>0</v>
      </c>
      <c r="P83" s="1078">
        <v>0</v>
      </c>
      <c r="Q83" s="1078">
        <v>0</v>
      </c>
      <c r="R83" s="1078">
        <v>0</v>
      </c>
      <c r="S83" s="1078">
        <v>0</v>
      </c>
      <c r="T83" s="1078">
        <v>0</v>
      </c>
      <c r="X83" s="7"/>
    </row>
    <row r="84" spans="1:30" ht="18">
      <c r="A84" s="1083" t="s">
        <v>998</v>
      </c>
      <c r="B84" s="1060"/>
      <c r="C84" s="1060" t="s">
        <v>996</v>
      </c>
      <c r="D84" s="1060" t="s">
        <v>995</v>
      </c>
      <c r="E84" s="1051"/>
      <c r="F84" s="1051"/>
      <c r="G84" s="1051"/>
      <c r="H84" s="1078"/>
      <c r="I84" s="1078"/>
      <c r="J84" s="1078"/>
      <c r="K84" s="1078"/>
      <c r="L84" s="1078"/>
      <c r="M84" s="1078"/>
      <c r="N84" s="1078"/>
      <c r="O84" s="1078"/>
      <c r="P84" s="1078"/>
      <c r="Q84" s="1078"/>
      <c r="R84" s="1078"/>
      <c r="S84" s="1078"/>
      <c r="T84" s="1078"/>
    </row>
    <row r="85" spans="1:30" ht="18">
      <c r="A85" s="1083" t="s">
        <v>998</v>
      </c>
      <c r="B85" s="1060"/>
      <c r="C85" s="1060" t="s">
        <v>19</v>
      </c>
      <c r="D85" s="1060" t="s">
        <v>995</v>
      </c>
      <c r="E85" s="1051"/>
      <c r="F85" s="1051"/>
      <c r="G85" s="1051"/>
      <c r="H85" s="1078">
        <v>0</v>
      </c>
      <c r="I85" s="1078">
        <v>0</v>
      </c>
      <c r="J85" s="1078">
        <v>0</v>
      </c>
      <c r="K85" s="1078">
        <v>0</v>
      </c>
      <c r="L85" s="1078">
        <v>0</v>
      </c>
      <c r="M85" s="1078">
        <v>0</v>
      </c>
      <c r="N85" s="1078">
        <v>0</v>
      </c>
      <c r="O85" s="1078">
        <v>0</v>
      </c>
      <c r="P85" s="1078">
        <v>0</v>
      </c>
      <c r="Q85" s="1078">
        <v>0</v>
      </c>
      <c r="R85" s="1078">
        <v>0</v>
      </c>
      <c r="S85" s="1078">
        <v>0</v>
      </c>
      <c r="T85" s="1078">
        <v>0</v>
      </c>
    </row>
    <row r="86" spans="1:30" ht="18">
      <c r="A86" s="1083" t="s">
        <v>998</v>
      </c>
      <c r="B86" s="1060"/>
      <c r="C86" s="1060"/>
      <c r="D86" s="1060"/>
      <c r="E86" s="1051"/>
      <c r="F86" s="1051"/>
      <c r="G86" s="1051"/>
      <c r="H86" s="1078"/>
      <c r="I86" s="1078"/>
      <c r="J86" s="1078"/>
      <c r="K86" s="1078"/>
      <c r="L86" s="1078"/>
      <c r="M86" s="1078"/>
      <c r="N86" s="1078"/>
      <c r="O86" s="1078"/>
      <c r="P86" s="1078"/>
      <c r="Q86" s="1078"/>
      <c r="R86" s="1078"/>
      <c r="S86" s="1078"/>
      <c r="T86" s="1078"/>
    </row>
    <row r="87" spans="1:30" ht="18">
      <c r="A87" s="1083" t="s">
        <v>998</v>
      </c>
      <c r="B87" s="1060" t="s">
        <v>999</v>
      </c>
      <c r="C87" s="1060" t="s">
        <v>15</v>
      </c>
      <c r="D87" s="1060" t="s">
        <v>995</v>
      </c>
      <c r="E87" s="1051"/>
      <c r="F87" s="1051"/>
      <c r="G87" s="1051"/>
      <c r="H87" s="1078">
        <v>0</v>
      </c>
      <c r="I87" s="1078">
        <v>0</v>
      </c>
      <c r="J87" s="1078">
        <v>0</v>
      </c>
      <c r="K87" s="1078">
        <v>0</v>
      </c>
      <c r="L87" s="1078">
        <v>0</v>
      </c>
      <c r="M87" s="1078">
        <v>0</v>
      </c>
      <c r="N87" s="1078">
        <v>0</v>
      </c>
      <c r="O87" s="1078">
        <v>0</v>
      </c>
      <c r="P87" s="1078">
        <v>0</v>
      </c>
      <c r="Q87" s="1078">
        <v>0</v>
      </c>
      <c r="R87" s="1078">
        <v>0</v>
      </c>
      <c r="S87" s="1078">
        <v>0</v>
      </c>
      <c r="T87" s="1078">
        <v>0</v>
      </c>
    </row>
    <row r="88" spans="1:30" ht="18">
      <c r="A88" s="1083" t="s">
        <v>998</v>
      </c>
      <c r="B88" s="1060"/>
      <c r="C88" s="1060"/>
      <c r="D88" s="1060" t="s">
        <v>995</v>
      </c>
      <c r="E88" s="1051"/>
      <c r="F88" s="1051"/>
      <c r="G88" s="1051"/>
      <c r="H88" s="1078"/>
      <c r="I88" s="1078"/>
      <c r="J88" s="1078"/>
      <c r="K88" s="1078"/>
      <c r="L88" s="1078"/>
      <c r="M88" s="1078"/>
      <c r="N88" s="1078"/>
      <c r="O88" s="1078"/>
      <c r="P88" s="1078"/>
      <c r="Q88" s="1078"/>
      <c r="R88" s="1078"/>
      <c r="S88" s="1078"/>
      <c r="T88" s="1078"/>
    </row>
    <row r="89" spans="1:30" ht="18">
      <c r="A89" s="1083" t="s">
        <v>998</v>
      </c>
      <c r="B89" s="1060"/>
      <c r="C89" s="1060" t="s">
        <v>16</v>
      </c>
      <c r="D89" s="1060" t="s">
        <v>995</v>
      </c>
      <c r="E89" s="1051"/>
      <c r="F89" s="1051"/>
      <c r="G89" s="1051"/>
      <c r="H89" s="1078">
        <v>0</v>
      </c>
      <c r="I89" s="1078">
        <v>0</v>
      </c>
      <c r="J89" s="1078">
        <v>0</v>
      </c>
      <c r="K89" s="1078">
        <v>0</v>
      </c>
      <c r="L89" s="1078">
        <v>0</v>
      </c>
      <c r="M89" s="1078">
        <v>0</v>
      </c>
      <c r="N89" s="1078">
        <v>0</v>
      </c>
      <c r="O89" s="1078">
        <v>0</v>
      </c>
      <c r="P89" s="1078">
        <v>0</v>
      </c>
      <c r="Q89" s="1078">
        <v>0</v>
      </c>
      <c r="R89" s="1078">
        <v>0</v>
      </c>
      <c r="S89" s="1078">
        <v>0</v>
      </c>
      <c r="T89" s="1078">
        <v>0</v>
      </c>
    </row>
    <row r="90" spans="1:30" ht="18">
      <c r="A90" s="1083" t="s">
        <v>998</v>
      </c>
      <c r="B90" s="1060"/>
      <c r="C90" s="1060"/>
      <c r="D90" s="1060" t="s">
        <v>995</v>
      </c>
      <c r="E90" s="1051"/>
      <c r="F90" s="1051"/>
      <c r="G90" s="1051"/>
      <c r="H90" s="1078"/>
      <c r="I90" s="1078"/>
      <c r="J90" s="1078"/>
      <c r="K90" s="1078"/>
      <c r="L90" s="1078"/>
      <c r="M90" s="1078"/>
      <c r="N90" s="1078"/>
      <c r="O90" s="1078"/>
      <c r="P90" s="1078"/>
      <c r="Q90" s="1078"/>
      <c r="R90" s="1078"/>
      <c r="S90" s="1078"/>
      <c r="T90" s="1078"/>
    </row>
    <row r="91" spans="1:30" ht="18">
      <c r="A91" s="1083" t="s">
        <v>998</v>
      </c>
      <c r="B91" s="1060"/>
      <c r="C91" s="1060" t="s">
        <v>17</v>
      </c>
      <c r="D91" s="1060" t="s">
        <v>995</v>
      </c>
      <c r="E91" s="1051"/>
      <c r="F91" s="1051"/>
      <c r="G91" s="1051"/>
      <c r="H91" s="1081">
        <v>0</v>
      </c>
      <c r="I91" s="1081">
        <v>0</v>
      </c>
      <c r="J91" s="1081">
        <v>0</v>
      </c>
      <c r="K91" s="1081">
        <v>0</v>
      </c>
      <c r="L91" s="1081">
        <v>0</v>
      </c>
      <c r="M91" s="1081">
        <v>0</v>
      </c>
      <c r="N91" s="1081">
        <v>0</v>
      </c>
      <c r="O91" s="1081">
        <v>0</v>
      </c>
      <c r="P91" s="1081">
        <v>0</v>
      </c>
      <c r="Q91" s="1081">
        <v>0</v>
      </c>
      <c r="R91" s="1081">
        <v>0</v>
      </c>
      <c r="S91" s="1081">
        <v>0</v>
      </c>
      <c r="T91" s="1081">
        <v>0</v>
      </c>
    </row>
    <row r="92" spans="1:30" ht="18">
      <c r="A92" s="1083" t="s">
        <v>998</v>
      </c>
      <c r="B92" s="1060"/>
      <c r="C92" s="1060" t="s">
        <v>18</v>
      </c>
      <c r="D92" s="1060" t="s">
        <v>995</v>
      </c>
      <c r="E92" s="1051"/>
      <c r="F92" s="1051"/>
      <c r="G92" s="1051"/>
      <c r="H92" s="1078">
        <v>0</v>
      </c>
      <c r="I92" s="1078">
        <v>0</v>
      </c>
      <c r="J92" s="1078">
        <v>0</v>
      </c>
      <c r="K92" s="1078">
        <v>0</v>
      </c>
      <c r="L92" s="1078">
        <v>0</v>
      </c>
      <c r="M92" s="1078">
        <v>0</v>
      </c>
      <c r="N92" s="1078">
        <v>0</v>
      </c>
      <c r="O92" s="1078">
        <v>0</v>
      </c>
      <c r="P92" s="1078">
        <v>0</v>
      </c>
      <c r="Q92" s="1078">
        <v>0</v>
      </c>
      <c r="R92" s="1078">
        <v>0</v>
      </c>
      <c r="S92" s="1078">
        <v>0</v>
      </c>
      <c r="T92" s="1078">
        <v>0</v>
      </c>
    </row>
    <row r="93" spans="1:30" ht="18">
      <c r="A93" s="1083" t="s">
        <v>998</v>
      </c>
      <c r="B93" s="1060"/>
      <c r="C93" s="1060" t="s">
        <v>996</v>
      </c>
      <c r="D93" s="1060" t="s">
        <v>995</v>
      </c>
      <c r="E93" s="1051"/>
      <c r="F93" s="1051"/>
      <c r="G93" s="1051"/>
      <c r="H93" s="1078">
        <v>0</v>
      </c>
      <c r="I93" s="1078">
        <v>0</v>
      </c>
      <c r="J93" s="1078">
        <v>0</v>
      </c>
      <c r="K93" s="1078">
        <v>0</v>
      </c>
      <c r="L93" s="1078">
        <v>0</v>
      </c>
      <c r="M93" s="1078">
        <v>0</v>
      </c>
      <c r="N93" s="1078">
        <v>0</v>
      </c>
      <c r="O93" s="1078">
        <v>0</v>
      </c>
      <c r="P93" s="1078">
        <v>0</v>
      </c>
      <c r="Q93" s="1078">
        <v>0</v>
      </c>
      <c r="R93" s="1078">
        <v>0</v>
      </c>
      <c r="S93" s="1078">
        <v>0</v>
      </c>
      <c r="T93" s="1078">
        <v>0</v>
      </c>
    </row>
    <row r="94" spans="1:30" ht="18">
      <c r="A94" s="1083" t="s">
        <v>998</v>
      </c>
      <c r="B94" s="1060"/>
      <c r="C94" s="1060" t="s">
        <v>19</v>
      </c>
      <c r="D94" s="1060" t="s">
        <v>995</v>
      </c>
      <c r="E94" s="1051"/>
      <c r="F94" s="1051"/>
      <c r="G94" s="1051"/>
      <c r="H94" s="1078">
        <v>0</v>
      </c>
      <c r="I94" s="1078">
        <v>0</v>
      </c>
      <c r="J94" s="1078">
        <v>0</v>
      </c>
      <c r="K94" s="1078">
        <v>0</v>
      </c>
      <c r="L94" s="1078">
        <v>0</v>
      </c>
      <c r="M94" s="1078">
        <v>0</v>
      </c>
      <c r="N94" s="1078">
        <v>0</v>
      </c>
      <c r="O94" s="1078">
        <v>0</v>
      </c>
      <c r="P94" s="1078">
        <v>0</v>
      </c>
      <c r="Q94" s="1078">
        <v>0</v>
      </c>
      <c r="R94" s="1078">
        <v>0</v>
      </c>
      <c r="S94" s="1078">
        <v>0</v>
      </c>
      <c r="T94" s="1078">
        <v>0</v>
      </c>
    </row>
    <row r="95" spans="1:30" ht="18">
      <c r="A95" s="1083" t="s">
        <v>998</v>
      </c>
      <c r="B95" s="1060"/>
      <c r="C95" s="1060"/>
      <c r="D95" s="1060"/>
      <c r="E95" s="1051"/>
      <c r="F95" s="1051"/>
      <c r="G95" s="1051"/>
      <c r="H95" s="1078"/>
      <c r="I95" s="1078"/>
      <c r="J95" s="1078"/>
      <c r="K95" s="1078"/>
      <c r="L95" s="1078"/>
      <c r="M95" s="1078"/>
      <c r="N95" s="1078"/>
      <c r="O95" s="1078"/>
      <c r="P95" s="1078"/>
      <c r="Q95" s="1078"/>
      <c r="R95" s="1078"/>
      <c r="S95" s="1078"/>
      <c r="T95" s="1078"/>
    </row>
    <row r="96" spans="1:30" ht="18">
      <c r="A96" s="1083" t="s">
        <v>998</v>
      </c>
      <c r="B96" s="1060" t="s">
        <v>1000</v>
      </c>
      <c r="C96" s="1060" t="s">
        <v>15</v>
      </c>
      <c r="D96" s="1060" t="s">
        <v>995</v>
      </c>
      <c r="E96" s="1051"/>
      <c r="F96" s="1051"/>
      <c r="G96" s="1051"/>
      <c r="H96" s="1078">
        <v>47249</v>
      </c>
      <c r="I96" s="1078">
        <v>38819</v>
      </c>
      <c r="J96" s="1078">
        <v>37218</v>
      </c>
      <c r="K96" s="1078">
        <v>34219</v>
      </c>
      <c r="L96" s="1078">
        <v>37966</v>
      </c>
      <c r="M96" s="1078">
        <v>36665</v>
      </c>
      <c r="N96" s="1078">
        <v>27429</v>
      </c>
      <c r="O96" s="1078">
        <v>22775</v>
      </c>
      <c r="P96" s="1078">
        <v>18036</v>
      </c>
      <c r="Q96" s="1078">
        <v>23101</v>
      </c>
      <c r="R96" s="1078">
        <v>23135</v>
      </c>
      <c r="S96" s="1078">
        <v>27371</v>
      </c>
      <c r="T96" s="1078">
        <v>373983</v>
      </c>
    </row>
    <row r="97" spans="1:20" ht="18">
      <c r="A97" s="1083" t="s">
        <v>998</v>
      </c>
      <c r="B97" s="1060"/>
      <c r="C97" s="1060"/>
      <c r="D97" s="1060" t="s">
        <v>995</v>
      </c>
      <c r="E97" s="1051"/>
      <c r="F97" s="1051"/>
      <c r="G97" s="1051"/>
      <c r="H97" s="1078"/>
      <c r="I97" s="1078"/>
      <c r="J97" s="1078"/>
      <c r="K97" s="1078"/>
      <c r="L97" s="1078"/>
      <c r="M97" s="1078"/>
      <c r="N97" s="1078"/>
      <c r="O97" s="1078"/>
      <c r="P97" s="1078"/>
      <c r="Q97" s="1078"/>
      <c r="R97" s="1078"/>
      <c r="S97" s="1078"/>
      <c r="T97" s="1078"/>
    </row>
    <row r="98" spans="1:20" ht="18">
      <c r="A98" s="1083" t="s">
        <v>998</v>
      </c>
      <c r="B98" s="1060"/>
      <c r="C98" s="1060" t="s">
        <v>16</v>
      </c>
      <c r="D98" s="1060" t="s">
        <v>995</v>
      </c>
      <c r="E98" s="1051"/>
      <c r="F98" s="1051"/>
      <c r="G98" s="1051"/>
      <c r="H98" s="1078">
        <v>16259</v>
      </c>
      <c r="I98" s="1078">
        <v>10977</v>
      </c>
      <c r="J98" s="1078">
        <v>9254</v>
      </c>
      <c r="K98" s="1078">
        <v>9090</v>
      </c>
      <c r="L98" s="1078">
        <v>11719</v>
      </c>
      <c r="M98" s="1078">
        <v>13421</v>
      </c>
      <c r="N98" s="1078">
        <v>7816</v>
      </c>
      <c r="O98" s="1078">
        <v>7171</v>
      </c>
      <c r="P98" s="1078">
        <v>5413</v>
      </c>
      <c r="Q98" s="1078">
        <v>4888</v>
      </c>
      <c r="R98" s="1078">
        <v>6789</v>
      </c>
      <c r="S98" s="1078">
        <v>8453</v>
      </c>
      <c r="T98" s="1078">
        <v>111250</v>
      </c>
    </row>
    <row r="99" spans="1:20" ht="18">
      <c r="A99" s="1083" t="s">
        <v>998</v>
      </c>
      <c r="B99" s="1060"/>
      <c r="C99" s="1060"/>
      <c r="D99" s="1060" t="s">
        <v>995</v>
      </c>
      <c r="E99" s="1051"/>
      <c r="F99" s="1051"/>
      <c r="G99" s="1051"/>
      <c r="H99" s="1078"/>
      <c r="I99" s="1078"/>
      <c r="J99" s="1078"/>
      <c r="K99" s="1078"/>
      <c r="L99" s="1078"/>
      <c r="M99" s="1078"/>
      <c r="N99" s="1078"/>
      <c r="O99" s="1078"/>
      <c r="P99" s="1078"/>
      <c r="Q99" s="1078"/>
      <c r="R99" s="1078"/>
      <c r="S99" s="1078"/>
      <c r="T99" s="1078"/>
    </row>
    <row r="100" spans="1:20" ht="18">
      <c r="A100" s="1083" t="s">
        <v>998</v>
      </c>
      <c r="B100" s="1060"/>
      <c r="C100" s="1060" t="s">
        <v>17</v>
      </c>
      <c r="D100" s="1060" t="s">
        <v>995</v>
      </c>
      <c r="E100" s="1051"/>
      <c r="F100" s="1051"/>
      <c r="G100" s="1051"/>
      <c r="H100" s="1081">
        <v>359953</v>
      </c>
      <c r="I100" s="1081">
        <v>243003</v>
      </c>
      <c r="J100" s="1081">
        <v>204155</v>
      </c>
      <c r="K100" s="1081">
        <v>202605</v>
      </c>
      <c r="L100" s="1081">
        <v>259436</v>
      </c>
      <c r="M100" s="1081">
        <v>300717</v>
      </c>
      <c r="N100" s="1081">
        <v>175237</v>
      </c>
      <c r="O100" s="1081">
        <v>160818</v>
      </c>
      <c r="P100" s="1081">
        <v>121425</v>
      </c>
      <c r="Q100" s="1081">
        <v>109623</v>
      </c>
      <c r="R100" s="1081">
        <v>157774</v>
      </c>
      <c r="S100" s="1081">
        <v>198600</v>
      </c>
      <c r="T100" s="1081">
        <v>2493346</v>
      </c>
    </row>
    <row r="101" spans="1:20" ht="18">
      <c r="A101" s="1083" t="s">
        <v>998</v>
      </c>
      <c r="B101" s="1060"/>
      <c r="C101" s="1060" t="s">
        <v>18</v>
      </c>
      <c r="D101" s="1060" t="s">
        <v>995</v>
      </c>
      <c r="E101" s="1051"/>
      <c r="F101" s="1051"/>
      <c r="G101" s="1051"/>
      <c r="H101" s="1078">
        <v>423461</v>
      </c>
      <c r="I101" s="1078">
        <v>292799</v>
      </c>
      <c r="J101" s="1078">
        <v>250627</v>
      </c>
      <c r="K101" s="1078">
        <v>245914</v>
      </c>
      <c r="L101" s="1078">
        <v>309121</v>
      </c>
      <c r="M101" s="1078">
        <v>350803</v>
      </c>
      <c r="N101" s="1078">
        <v>210482</v>
      </c>
      <c r="O101" s="1078">
        <v>190764</v>
      </c>
      <c r="P101" s="1078">
        <v>144874</v>
      </c>
      <c r="Q101" s="1078">
        <v>137612</v>
      </c>
      <c r="R101" s="1078">
        <v>187698</v>
      </c>
      <c r="S101" s="1078">
        <v>234424</v>
      </c>
      <c r="T101" s="1078">
        <v>2978579</v>
      </c>
    </row>
    <row r="102" spans="1:20" ht="18">
      <c r="A102" s="1083" t="s">
        <v>998</v>
      </c>
      <c r="B102" s="1060"/>
      <c r="C102" s="1060" t="s">
        <v>996</v>
      </c>
      <c r="D102" s="1060" t="s">
        <v>995</v>
      </c>
      <c r="E102" s="1051"/>
      <c r="F102" s="1051"/>
      <c r="G102" s="1051"/>
      <c r="H102" s="1078">
        <v>43</v>
      </c>
      <c r="I102" s="1078">
        <v>42</v>
      </c>
      <c r="J102" s="1078">
        <v>44</v>
      </c>
      <c r="K102" s="1078">
        <v>44</v>
      </c>
      <c r="L102" s="1078">
        <v>44</v>
      </c>
      <c r="M102" s="1078">
        <v>43</v>
      </c>
      <c r="N102" s="1078">
        <v>44</v>
      </c>
      <c r="O102" s="1078">
        <v>38</v>
      </c>
      <c r="P102" s="1078">
        <v>37</v>
      </c>
      <c r="Q102" s="1078">
        <v>38</v>
      </c>
      <c r="R102" s="1078">
        <v>38</v>
      </c>
      <c r="S102" s="1078">
        <v>35</v>
      </c>
      <c r="T102" s="1078">
        <v>40.833333333333336</v>
      </c>
    </row>
    <row r="103" spans="1:20" ht="18">
      <c r="A103" s="1083" t="s">
        <v>998</v>
      </c>
      <c r="B103" s="1060"/>
      <c r="C103" s="1060" t="s">
        <v>19</v>
      </c>
      <c r="D103" s="1060" t="s">
        <v>995</v>
      </c>
      <c r="E103" s="1051"/>
      <c r="F103" s="1051"/>
      <c r="G103" s="1051"/>
      <c r="H103" s="1078">
        <v>90722</v>
      </c>
      <c r="I103" s="1078">
        <v>61246</v>
      </c>
      <c r="J103" s="1078">
        <v>51639</v>
      </c>
      <c r="K103" s="1078">
        <v>49270</v>
      </c>
      <c r="L103" s="1078">
        <v>65388</v>
      </c>
      <c r="M103" s="1078">
        <v>74883</v>
      </c>
      <c r="N103" s="1078">
        <v>43608</v>
      </c>
      <c r="O103" s="1078">
        <v>40011</v>
      </c>
      <c r="P103" s="1078">
        <v>30202</v>
      </c>
      <c r="Q103" s="1078">
        <v>27274</v>
      </c>
      <c r="R103" s="1078">
        <v>37900</v>
      </c>
      <c r="S103" s="1078">
        <v>47198</v>
      </c>
      <c r="T103" s="1078">
        <v>619341</v>
      </c>
    </row>
    <row r="104" spans="1:20" ht="18">
      <c r="A104" s="1083" t="s">
        <v>998</v>
      </c>
      <c r="B104" s="1060"/>
      <c r="C104" s="1060"/>
      <c r="D104" s="1060"/>
      <c r="E104" s="1051"/>
      <c r="F104" s="1051"/>
      <c r="G104" s="1051"/>
      <c r="H104" s="1078"/>
      <c r="I104" s="1078"/>
      <c r="J104" s="1078"/>
      <c r="K104" s="1078"/>
      <c r="L104" s="1078"/>
      <c r="M104" s="1078"/>
      <c r="N104" s="1078"/>
      <c r="O104" s="1078"/>
      <c r="P104" s="1078"/>
      <c r="Q104" s="1078"/>
      <c r="R104" s="1078"/>
      <c r="S104" s="1078"/>
      <c r="T104" s="1078"/>
    </row>
    <row r="105" spans="1:20" ht="18">
      <c r="A105" s="1083" t="s">
        <v>998</v>
      </c>
      <c r="B105" s="1060" t="s">
        <v>79</v>
      </c>
      <c r="C105" s="1060" t="s">
        <v>15</v>
      </c>
      <c r="D105" s="1060" t="s">
        <v>995</v>
      </c>
      <c r="E105" s="1051"/>
      <c r="F105" s="1051"/>
      <c r="G105" s="1051"/>
      <c r="H105" s="1078">
        <v>0</v>
      </c>
      <c r="I105" s="1078">
        <v>0</v>
      </c>
      <c r="J105" s="1078">
        <v>0</v>
      </c>
      <c r="K105" s="1078">
        <v>0</v>
      </c>
      <c r="L105" s="1078">
        <v>0</v>
      </c>
      <c r="M105" s="1078">
        <v>0</v>
      </c>
      <c r="N105" s="1078">
        <v>0</v>
      </c>
      <c r="O105" s="1078">
        <v>0</v>
      </c>
      <c r="P105" s="1078">
        <v>0</v>
      </c>
      <c r="Q105" s="1078">
        <v>0</v>
      </c>
      <c r="R105" s="1078">
        <v>0</v>
      </c>
      <c r="S105" s="1078">
        <v>0</v>
      </c>
      <c r="T105" s="1078">
        <v>0</v>
      </c>
    </row>
    <row r="106" spans="1:20" ht="18">
      <c r="A106" s="1083" t="s">
        <v>998</v>
      </c>
      <c r="B106" s="1060"/>
      <c r="C106" s="1060"/>
      <c r="D106" s="1060" t="s">
        <v>995</v>
      </c>
      <c r="E106" s="1051"/>
      <c r="F106" s="1051"/>
      <c r="G106" s="1051"/>
      <c r="H106" s="1078"/>
      <c r="I106" s="1078"/>
      <c r="J106" s="1078"/>
      <c r="K106" s="1078"/>
      <c r="L106" s="1078"/>
      <c r="M106" s="1078"/>
      <c r="N106" s="1078"/>
      <c r="O106" s="1078"/>
      <c r="P106" s="1078"/>
      <c r="Q106" s="1078"/>
      <c r="R106" s="1078"/>
      <c r="S106" s="1078"/>
      <c r="T106" s="1078"/>
    </row>
    <row r="107" spans="1:20" ht="18">
      <c r="A107" s="1083" t="s">
        <v>998</v>
      </c>
      <c r="B107" s="1060"/>
      <c r="C107" s="1060" t="s">
        <v>16</v>
      </c>
      <c r="D107" s="1060" t="s">
        <v>995</v>
      </c>
      <c r="E107" s="1051"/>
      <c r="F107" s="1051"/>
      <c r="G107" s="1051"/>
      <c r="H107" s="1078">
        <v>0</v>
      </c>
      <c r="I107" s="1078">
        <v>0</v>
      </c>
      <c r="J107" s="1078">
        <v>0</v>
      </c>
      <c r="K107" s="1078">
        <v>0</v>
      </c>
      <c r="L107" s="1078">
        <v>0</v>
      </c>
      <c r="M107" s="1078">
        <v>0</v>
      </c>
      <c r="N107" s="1078">
        <v>0</v>
      </c>
      <c r="O107" s="1078">
        <v>0</v>
      </c>
      <c r="P107" s="1078">
        <v>0</v>
      </c>
      <c r="Q107" s="1078">
        <v>0</v>
      </c>
      <c r="R107" s="1078">
        <v>0</v>
      </c>
      <c r="S107" s="1078">
        <v>0</v>
      </c>
      <c r="T107" s="1078">
        <v>0</v>
      </c>
    </row>
    <row r="108" spans="1:20" ht="18">
      <c r="A108" s="1083" t="s">
        <v>998</v>
      </c>
      <c r="B108" s="1060"/>
      <c r="C108" s="1060"/>
      <c r="D108" s="1060" t="s">
        <v>995</v>
      </c>
      <c r="E108" s="1051"/>
      <c r="F108" s="1051"/>
      <c r="G108" s="1051"/>
      <c r="H108" s="1078"/>
      <c r="I108" s="1078"/>
      <c r="J108" s="1078"/>
      <c r="K108" s="1078"/>
      <c r="L108" s="1078"/>
      <c r="M108" s="1078"/>
      <c r="N108" s="1078"/>
      <c r="O108" s="1078"/>
      <c r="P108" s="1078"/>
      <c r="Q108" s="1078"/>
      <c r="R108" s="1078"/>
      <c r="S108" s="1078"/>
      <c r="T108" s="1078"/>
    </row>
    <row r="109" spans="1:20" ht="18">
      <c r="A109" s="1083" t="s">
        <v>998</v>
      </c>
      <c r="B109" s="1060"/>
      <c r="C109" s="1060" t="s">
        <v>17</v>
      </c>
      <c r="D109" s="1060" t="s">
        <v>995</v>
      </c>
      <c r="E109" s="1051"/>
      <c r="F109" s="1051"/>
      <c r="G109" s="1051"/>
      <c r="H109" s="1081">
        <v>0</v>
      </c>
      <c r="I109" s="1081">
        <v>0</v>
      </c>
      <c r="J109" s="1081">
        <v>0</v>
      </c>
      <c r="K109" s="1081">
        <v>0</v>
      </c>
      <c r="L109" s="1081">
        <v>0</v>
      </c>
      <c r="M109" s="1081">
        <v>0</v>
      </c>
      <c r="N109" s="1081">
        <v>0</v>
      </c>
      <c r="O109" s="1081">
        <v>0</v>
      </c>
      <c r="P109" s="1081">
        <v>0</v>
      </c>
      <c r="Q109" s="1081">
        <v>0</v>
      </c>
      <c r="R109" s="1081">
        <v>0</v>
      </c>
      <c r="S109" s="1081">
        <v>0</v>
      </c>
      <c r="T109" s="1081">
        <v>0</v>
      </c>
    </row>
    <row r="110" spans="1:20" ht="18">
      <c r="A110" s="1083" t="s">
        <v>998</v>
      </c>
      <c r="B110" s="1060"/>
      <c r="C110" s="1060" t="s">
        <v>18</v>
      </c>
      <c r="D110" s="1060" t="s">
        <v>995</v>
      </c>
      <c r="E110" s="1051"/>
      <c r="F110" s="1051"/>
      <c r="G110" s="1051"/>
      <c r="H110" s="1078">
        <v>0</v>
      </c>
      <c r="I110" s="1078">
        <v>0</v>
      </c>
      <c r="J110" s="1078">
        <v>0</v>
      </c>
      <c r="K110" s="1078">
        <v>0</v>
      </c>
      <c r="L110" s="1078">
        <v>0</v>
      </c>
      <c r="M110" s="1078">
        <v>0</v>
      </c>
      <c r="N110" s="1078">
        <v>0</v>
      </c>
      <c r="O110" s="1078">
        <v>0</v>
      </c>
      <c r="P110" s="1078">
        <v>0</v>
      </c>
      <c r="Q110" s="1078">
        <v>0</v>
      </c>
      <c r="R110" s="1078">
        <v>0</v>
      </c>
      <c r="S110" s="1078">
        <v>0</v>
      </c>
      <c r="T110" s="1078">
        <v>0</v>
      </c>
    </row>
    <row r="111" spans="1:20" ht="18">
      <c r="A111" s="1083" t="s">
        <v>998</v>
      </c>
      <c r="B111" s="1060"/>
      <c r="C111" s="1060" t="s">
        <v>996</v>
      </c>
      <c r="D111" s="1060" t="s">
        <v>995</v>
      </c>
      <c r="E111" s="1051"/>
      <c r="F111" s="1051"/>
      <c r="G111" s="1051"/>
      <c r="H111" s="1078">
        <v>0</v>
      </c>
      <c r="I111" s="1078">
        <v>0</v>
      </c>
      <c r="J111" s="1078">
        <v>0</v>
      </c>
      <c r="K111" s="1078">
        <v>0</v>
      </c>
      <c r="L111" s="1078">
        <v>0</v>
      </c>
      <c r="M111" s="1078">
        <v>0</v>
      </c>
      <c r="N111" s="1078">
        <v>0</v>
      </c>
      <c r="O111" s="1078">
        <v>0</v>
      </c>
      <c r="P111" s="1078">
        <v>0</v>
      </c>
      <c r="Q111" s="1078">
        <v>0</v>
      </c>
      <c r="R111" s="1078">
        <v>0</v>
      </c>
      <c r="S111" s="1078">
        <v>0</v>
      </c>
      <c r="T111" s="1078">
        <v>0</v>
      </c>
    </row>
    <row r="112" spans="1:20" ht="18">
      <c r="A112" s="1083" t="s">
        <v>998</v>
      </c>
      <c r="B112" s="1060"/>
      <c r="C112" s="1060" t="s">
        <v>19</v>
      </c>
      <c r="D112" s="1060" t="s">
        <v>995</v>
      </c>
      <c r="E112" s="1051"/>
      <c r="F112" s="1051"/>
      <c r="G112" s="1051"/>
      <c r="H112" s="1078">
        <v>0</v>
      </c>
      <c r="I112" s="1078">
        <v>0</v>
      </c>
      <c r="J112" s="1078">
        <v>0</v>
      </c>
      <c r="K112" s="1078">
        <v>0</v>
      </c>
      <c r="L112" s="1078">
        <v>0</v>
      </c>
      <c r="M112" s="1078">
        <v>0</v>
      </c>
      <c r="N112" s="1078">
        <v>0</v>
      </c>
      <c r="O112" s="1078">
        <v>0</v>
      </c>
      <c r="P112" s="1078">
        <v>0</v>
      </c>
      <c r="Q112" s="1078">
        <v>0</v>
      </c>
      <c r="R112" s="1078">
        <v>0</v>
      </c>
      <c r="S112" s="1078">
        <v>0</v>
      </c>
      <c r="T112" s="1078">
        <v>0</v>
      </c>
    </row>
    <row r="113" spans="1:20" ht="18">
      <c r="A113" s="1083"/>
      <c r="B113" s="1060"/>
      <c r="C113" s="1060"/>
      <c r="D113" s="1060"/>
      <c r="E113" s="1051"/>
      <c r="F113" s="1051"/>
      <c r="G113" s="1051"/>
      <c r="H113" s="1078">
        <v>0</v>
      </c>
      <c r="I113" s="1078">
        <v>0</v>
      </c>
      <c r="J113" s="1078">
        <v>0</v>
      </c>
      <c r="K113" s="1078">
        <v>0</v>
      </c>
      <c r="L113" s="1078">
        <v>0</v>
      </c>
      <c r="M113" s="1078">
        <v>0</v>
      </c>
      <c r="N113" s="1078">
        <v>0</v>
      </c>
      <c r="O113" s="1078">
        <v>0</v>
      </c>
      <c r="P113" s="1078">
        <v>0</v>
      </c>
      <c r="Q113" s="1078">
        <v>0</v>
      </c>
      <c r="R113" s="1078">
        <v>0</v>
      </c>
      <c r="S113" s="1078">
        <v>0</v>
      </c>
      <c r="T113" s="1078"/>
    </row>
    <row r="114" spans="1:20" ht="18">
      <c r="A114" s="1083"/>
      <c r="B114" s="1060" t="s">
        <v>1001</v>
      </c>
      <c r="C114" s="1060" t="s">
        <v>15</v>
      </c>
      <c r="D114" s="1060" t="s">
        <v>995</v>
      </c>
      <c r="E114" s="1051"/>
      <c r="F114" s="1051"/>
      <c r="G114" s="1051"/>
      <c r="H114" s="1078">
        <v>0</v>
      </c>
      <c r="I114" s="1078">
        <v>0</v>
      </c>
      <c r="J114" s="1078">
        <v>0</v>
      </c>
      <c r="K114" s="1078">
        <v>0</v>
      </c>
      <c r="L114" s="1078">
        <v>0</v>
      </c>
      <c r="M114" s="1078">
        <v>0</v>
      </c>
      <c r="N114" s="1078">
        <v>0</v>
      </c>
      <c r="O114" s="1078">
        <v>0</v>
      </c>
      <c r="P114" s="1078">
        <v>0</v>
      </c>
      <c r="Q114" s="1078">
        <v>0</v>
      </c>
      <c r="R114" s="1078">
        <v>0</v>
      </c>
      <c r="S114" s="1078">
        <v>0</v>
      </c>
      <c r="T114" s="1078">
        <v>0</v>
      </c>
    </row>
    <row r="115" spans="1:20" ht="18">
      <c r="A115" s="1083"/>
      <c r="B115" s="1060"/>
      <c r="C115" s="1060"/>
      <c r="D115" s="1060" t="s">
        <v>995</v>
      </c>
      <c r="E115" s="1051"/>
      <c r="F115" s="1051"/>
      <c r="G115" s="1051"/>
      <c r="H115" s="1078">
        <v>0</v>
      </c>
      <c r="I115" s="1078">
        <v>0</v>
      </c>
      <c r="J115" s="1078">
        <v>0</v>
      </c>
      <c r="K115" s="1078">
        <v>0</v>
      </c>
      <c r="L115" s="1078">
        <v>0</v>
      </c>
      <c r="M115" s="1078">
        <v>0</v>
      </c>
      <c r="N115" s="1078">
        <v>0</v>
      </c>
      <c r="O115" s="1078">
        <v>0</v>
      </c>
      <c r="P115" s="1078">
        <v>0</v>
      </c>
      <c r="Q115" s="1078">
        <v>0</v>
      </c>
      <c r="R115" s="1078">
        <v>0</v>
      </c>
      <c r="S115" s="1078">
        <v>0</v>
      </c>
      <c r="T115" s="1078"/>
    </row>
    <row r="116" spans="1:20" ht="18">
      <c r="A116" s="1083"/>
      <c r="B116" s="1060"/>
      <c r="C116" s="1060" t="s">
        <v>16</v>
      </c>
      <c r="D116" s="1060" t="s">
        <v>995</v>
      </c>
      <c r="E116" s="1051"/>
      <c r="F116" s="1051"/>
      <c r="G116" s="1051"/>
      <c r="H116" s="1078">
        <v>0</v>
      </c>
      <c r="I116" s="1078">
        <v>0</v>
      </c>
      <c r="J116" s="1078">
        <v>0</v>
      </c>
      <c r="K116" s="1078">
        <v>0</v>
      </c>
      <c r="L116" s="1078">
        <v>0</v>
      </c>
      <c r="M116" s="1078">
        <v>0</v>
      </c>
      <c r="N116" s="1078">
        <v>0</v>
      </c>
      <c r="O116" s="1078">
        <v>0</v>
      </c>
      <c r="P116" s="1078">
        <v>0</v>
      </c>
      <c r="Q116" s="1078">
        <v>0</v>
      </c>
      <c r="R116" s="1078">
        <v>0</v>
      </c>
      <c r="S116" s="1078">
        <v>0</v>
      </c>
      <c r="T116" s="1078">
        <v>0</v>
      </c>
    </row>
    <row r="117" spans="1:20" ht="18">
      <c r="A117" s="1083"/>
      <c r="B117" s="1060"/>
      <c r="C117" s="1060"/>
      <c r="D117" s="1060" t="s">
        <v>995</v>
      </c>
      <c r="E117" s="1051"/>
      <c r="F117" s="1051"/>
      <c r="G117" s="1051"/>
      <c r="H117" s="1078">
        <v>0</v>
      </c>
      <c r="I117" s="1078">
        <v>0</v>
      </c>
      <c r="J117" s="1078">
        <v>0</v>
      </c>
      <c r="K117" s="1078">
        <v>0</v>
      </c>
      <c r="L117" s="1078">
        <v>0</v>
      </c>
      <c r="M117" s="1078">
        <v>0</v>
      </c>
      <c r="N117" s="1078">
        <v>0</v>
      </c>
      <c r="O117" s="1078">
        <v>0</v>
      </c>
      <c r="P117" s="1078">
        <v>0</v>
      </c>
      <c r="Q117" s="1078">
        <v>0</v>
      </c>
      <c r="R117" s="1078">
        <v>0</v>
      </c>
      <c r="S117" s="1078">
        <v>0</v>
      </c>
      <c r="T117" s="1078"/>
    </row>
    <row r="118" spans="1:20" ht="18">
      <c r="A118" s="1083"/>
      <c r="B118" s="1060"/>
      <c r="C118" s="1060" t="s">
        <v>17</v>
      </c>
      <c r="D118" s="1060" t="s">
        <v>995</v>
      </c>
      <c r="E118" s="1051"/>
      <c r="F118" s="1051"/>
      <c r="G118" s="1051"/>
      <c r="H118" s="1081">
        <v>0</v>
      </c>
      <c r="I118" s="1081">
        <v>0</v>
      </c>
      <c r="J118" s="1081">
        <v>0</v>
      </c>
      <c r="K118" s="1081">
        <v>0</v>
      </c>
      <c r="L118" s="1081">
        <v>0</v>
      </c>
      <c r="M118" s="1081">
        <v>0</v>
      </c>
      <c r="N118" s="1081">
        <v>0</v>
      </c>
      <c r="O118" s="1081">
        <v>0</v>
      </c>
      <c r="P118" s="1081">
        <v>0</v>
      </c>
      <c r="Q118" s="1081">
        <v>0</v>
      </c>
      <c r="R118" s="1081">
        <v>0</v>
      </c>
      <c r="S118" s="1081">
        <v>0</v>
      </c>
      <c r="T118" s="1081">
        <v>0</v>
      </c>
    </row>
    <row r="119" spans="1:20" ht="18">
      <c r="A119" s="1083"/>
      <c r="B119" s="1060"/>
      <c r="C119" s="1060" t="s">
        <v>18</v>
      </c>
      <c r="D119" s="1060" t="s">
        <v>995</v>
      </c>
      <c r="E119" s="1051"/>
      <c r="F119" s="1051"/>
      <c r="G119" s="1051"/>
      <c r="H119" s="1078">
        <v>0</v>
      </c>
      <c r="I119" s="1078">
        <v>0</v>
      </c>
      <c r="J119" s="1078">
        <v>0</v>
      </c>
      <c r="K119" s="1078">
        <v>0</v>
      </c>
      <c r="L119" s="1078">
        <v>0</v>
      </c>
      <c r="M119" s="1078">
        <v>0</v>
      </c>
      <c r="N119" s="1078">
        <v>0</v>
      </c>
      <c r="O119" s="1078">
        <v>0</v>
      </c>
      <c r="P119" s="1078">
        <v>0</v>
      </c>
      <c r="Q119" s="1078">
        <v>0</v>
      </c>
      <c r="R119" s="1078">
        <v>0</v>
      </c>
      <c r="S119" s="1078">
        <v>0</v>
      </c>
      <c r="T119" s="1078">
        <v>0</v>
      </c>
    </row>
    <row r="120" spans="1:20" ht="18">
      <c r="A120" s="1083"/>
      <c r="B120" s="1060"/>
      <c r="C120" s="1060" t="s">
        <v>996</v>
      </c>
      <c r="D120" s="1060" t="s">
        <v>995</v>
      </c>
      <c r="E120" s="1051"/>
      <c r="F120" s="1051"/>
      <c r="G120" s="1051"/>
      <c r="H120" s="1078">
        <v>0</v>
      </c>
      <c r="I120" s="1078">
        <v>0</v>
      </c>
      <c r="J120" s="1078">
        <v>0</v>
      </c>
      <c r="K120" s="1078">
        <v>0</v>
      </c>
      <c r="L120" s="1078">
        <v>0</v>
      </c>
      <c r="M120" s="1078">
        <v>0</v>
      </c>
      <c r="N120" s="1078">
        <v>0</v>
      </c>
      <c r="O120" s="1078">
        <v>0</v>
      </c>
      <c r="P120" s="1078">
        <v>0</v>
      </c>
      <c r="Q120" s="1078">
        <v>0</v>
      </c>
      <c r="R120" s="1078">
        <v>0</v>
      </c>
      <c r="S120" s="1078">
        <v>0</v>
      </c>
      <c r="T120" s="1078">
        <v>0</v>
      </c>
    </row>
    <row r="121" spans="1:20" ht="18">
      <c r="A121" s="1083"/>
      <c r="B121" s="1060"/>
      <c r="C121" s="1060" t="s">
        <v>19</v>
      </c>
      <c r="D121" s="1060" t="s">
        <v>995</v>
      </c>
      <c r="E121" s="1051"/>
      <c r="F121" s="1051"/>
      <c r="G121" s="1051"/>
      <c r="H121" s="1078">
        <v>0</v>
      </c>
      <c r="I121" s="1078">
        <v>0</v>
      </c>
      <c r="J121" s="1078">
        <v>0</v>
      </c>
      <c r="K121" s="1078">
        <v>0</v>
      </c>
      <c r="L121" s="1078">
        <v>0</v>
      </c>
      <c r="M121" s="1078">
        <v>0</v>
      </c>
      <c r="N121" s="1078">
        <v>0</v>
      </c>
      <c r="O121" s="1078">
        <v>0</v>
      </c>
      <c r="P121" s="1078">
        <v>0</v>
      </c>
      <c r="Q121" s="1078">
        <v>0</v>
      </c>
      <c r="R121" s="1078">
        <v>0</v>
      </c>
      <c r="S121" s="1078">
        <v>0</v>
      </c>
      <c r="T121" s="1078">
        <v>0</v>
      </c>
    </row>
    <row r="122" spans="1:20" ht="18">
      <c r="A122" s="1083"/>
      <c r="B122" s="1051"/>
      <c r="C122" s="1051"/>
      <c r="D122" s="1051"/>
      <c r="E122" s="1051"/>
      <c r="F122" s="1051"/>
      <c r="G122" s="1051"/>
      <c r="H122" s="1078"/>
      <c r="I122" s="1078"/>
      <c r="J122" s="1078"/>
      <c r="K122" s="1078"/>
      <c r="L122" s="1078"/>
      <c r="M122" s="1078"/>
      <c r="N122" s="1078"/>
      <c r="O122" s="1078"/>
      <c r="P122" s="1078"/>
      <c r="Q122" s="1078"/>
      <c r="R122" s="1078"/>
      <c r="S122" s="1078"/>
      <c r="T122" s="1078"/>
    </row>
    <row r="123" spans="1:20" ht="18">
      <c r="A123" s="1083" t="s">
        <v>1002</v>
      </c>
      <c r="B123" s="1060" t="s">
        <v>1003</v>
      </c>
      <c r="C123" s="1060" t="s">
        <v>15</v>
      </c>
      <c r="D123" s="1060" t="s">
        <v>1004</v>
      </c>
      <c r="E123" s="1051"/>
      <c r="F123" s="1051"/>
      <c r="G123" s="1051"/>
      <c r="H123" s="1078">
        <v>553048</v>
      </c>
      <c r="I123" s="1078">
        <v>517609</v>
      </c>
      <c r="J123" s="1078">
        <v>553657</v>
      </c>
      <c r="K123" s="1078">
        <v>537433</v>
      </c>
      <c r="L123" s="1078">
        <v>547497</v>
      </c>
      <c r="M123" s="1078">
        <v>422036</v>
      </c>
      <c r="N123" s="1078">
        <v>352360</v>
      </c>
      <c r="O123" s="1078">
        <v>344741</v>
      </c>
      <c r="P123" s="1078">
        <v>237006</v>
      </c>
      <c r="Q123" s="1078">
        <v>249536</v>
      </c>
      <c r="R123" s="1078">
        <v>262202</v>
      </c>
      <c r="S123" s="1078">
        <v>571712</v>
      </c>
      <c r="T123" s="1078">
        <v>5148837</v>
      </c>
    </row>
    <row r="124" spans="1:20" ht="18">
      <c r="A124" s="1083" t="s">
        <v>1002</v>
      </c>
      <c r="B124" s="1060"/>
      <c r="C124" s="1060"/>
      <c r="D124" s="1060" t="s">
        <v>1004</v>
      </c>
      <c r="E124" s="1051"/>
      <c r="F124" s="1051"/>
      <c r="G124" s="1051"/>
      <c r="H124" s="1078"/>
      <c r="I124" s="1078"/>
      <c r="J124" s="1078"/>
      <c r="K124" s="1078"/>
      <c r="L124" s="1078"/>
      <c r="M124" s="1078"/>
      <c r="N124" s="1078"/>
      <c r="O124" s="1078"/>
      <c r="P124" s="1078"/>
      <c r="Q124" s="1078"/>
      <c r="R124" s="1078"/>
      <c r="S124" s="1078"/>
      <c r="T124" s="1078"/>
    </row>
    <row r="125" spans="1:20" ht="18">
      <c r="A125" s="1083" t="s">
        <v>1002</v>
      </c>
      <c r="B125" s="1060"/>
      <c r="C125" s="1060" t="s">
        <v>16</v>
      </c>
      <c r="D125" s="1060" t="s">
        <v>1004</v>
      </c>
      <c r="E125" s="1051"/>
      <c r="F125" s="1051"/>
      <c r="G125" s="1051"/>
      <c r="H125" s="1078">
        <v>0</v>
      </c>
      <c r="I125" s="1078">
        <v>0</v>
      </c>
      <c r="J125" s="1078">
        <v>0</v>
      </c>
      <c r="K125" s="1078">
        <v>0</v>
      </c>
      <c r="L125" s="1078">
        <v>0</v>
      </c>
      <c r="M125" s="1078">
        <v>0</v>
      </c>
      <c r="N125" s="1078">
        <v>0</v>
      </c>
      <c r="O125" s="1078">
        <v>0</v>
      </c>
      <c r="P125" s="1078">
        <v>0</v>
      </c>
      <c r="Q125" s="1078">
        <v>0</v>
      </c>
      <c r="R125" s="1078">
        <v>0</v>
      </c>
      <c r="S125" s="1078">
        <v>0</v>
      </c>
      <c r="T125" s="1078">
        <v>0</v>
      </c>
    </row>
    <row r="126" spans="1:20" ht="18">
      <c r="A126" s="1083" t="s">
        <v>1002</v>
      </c>
      <c r="B126" s="1060"/>
      <c r="C126" s="1060"/>
      <c r="D126" s="1060" t="s">
        <v>1004</v>
      </c>
      <c r="E126" s="1051"/>
      <c r="F126" s="1051"/>
      <c r="G126" s="1051"/>
      <c r="H126" s="1078"/>
      <c r="I126" s="1078"/>
      <c r="J126" s="1078"/>
      <c r="K126" s="1078"/>
      <c r="L126" s="1078"/>
      <c r="M126" s="1078"/>
      <c r="N126" s="1078"/>
      <c r="O126" s="1078"/>
      <c r="P126" s="1078"/>
      <c r="Q126" s="1078"/>
      <c r="R126" s="1078"/>
      <c r="S126" s="1078"/>
      <c r="T126" s="1078"/>
    </row>
    <row r="127" spans="1:20" ht="18">
      <c r="A127" s="1083" t="s">
        <v>1002</v>
      </c>
      <c r="B127" s="1060"/>
      <c r="C127" s="1060" t="s">
        <v>17</v>
      </c>
      <c r="D127" s="1060" t="s">
        <v>1004</v>
      </c>
      <c r="E127" s="1051"/>
      <c r="F127" s="1051"/>
      <c r="G127" s="1051"/>
      <c r="H127" s="1081">
        <v>0</v>
      </c>
      <c r="I127" s="1081">
        <v>0</v>
      </c>
      <c r="J127" s="1081">
        <v>0</v>
      </c>
      <c r="K127" s="1081">
        <v>0</v>
      </c>
      <c r="L127" s="1081">
        <v>0</v>
      </c>
      <c r="M127" s="1081">
        <v>0</v>
      </c>
      <c r="N127" s="1081">
        <v>0</v>
      </c>
      <c r="O127" s="1081">
        <v>0</v>
      </c>
      <c r="P127" s="1081">
        <v>0</v>
      </c>
      <c r="Q127" s="1081">
        <v>0</v>
      </c>
      <c r="R127" s="1081">
        <v>0</v>
      </c>
      <c r="S127" s="1081">
        <v>0</v>
      </c>
      <c r="T127" s="1081">
        <v>0</v>
      </c>
    </row>
    <row r="128" spans="1:20" ht="18">
      <c r="A128" s="1083" t="s">
        <v>1002</v>
      </c>
      <c r="B128" s="1060"/>
      <c r="C128" s="1060" t="s">
        <v>18</v>
      </c>
      <c r="D128" s="1060" t="s">
        <v>1004</v>
      </c>
      <c r="E128" s="1051"/>
      <c r="F128" s="1051"/>
      <c r="G128" s="1051"/>
      <c r="H128" s="1078">
        <v>553048</v>
      </c>
      <c r="I128" s="1078">
        <v>517609</v>
      </c>
      <c r="J128" s="1078">
        <v>553657</v>
      </c>
      <c r="K128" s="1078">
        <v>537433</v>
      </c>
      <c r="L128" s="1078">
        <v>547497</v>
      </c>
      <c r="M128" s="1078">
        <v>422036</v>
      </c>
      <c r="N128" s="1078">
        <v>352360</v>
      </c>
      <c r="O128" s="1078">
        <v>344741</v>
      </c>
      <c r="P128" s="1078">
        <v>237006</v>
      </c>
      <c r="Q128" s="1078">
        <v>249536</v>
      </c>
      <c r="R128" s="1078">
        <v>262202</v>
      </c>
      <c r="S128" s="1078">
        <v>571712</v>
      </c>
      <c r="T128" s="1078">
        <v>5148837</v>
      </c>
    </row>
    <row r="129" spans="1:20" ht="18">
      <c r="A129" s="1083" t="s">
        <v>1002</v>
      </c>
      <c r="B129" s="1060"/>
      <c r="C129" s="1060" t="s">
        <v>996</v>
      </c>
      <c r="D129" s="1060" t="s">
        <v>1004</v>
      </c>
      <c r="E129" s="1051"/>
      <c r="F129" s="1051"/>
      <c r="G129" s="1051"/>
      <c r="H129" s="1078">
        <v>9</v>
      </c>
      <c r="I129" s="1078">
        <v>9</v>
      </c>
      <c r="J129" s="1078">
        <v>9</v>
      </c>
      <c r="K129" s="1078">
        <v>9</v>
      </c>
      <c r="L129" s="1078">
        <v>9</v>
      </c>
      <c r="M129" s="1078">
        <v>9</v>
      </c>
      <c r="N129" s="1078">
        <v>9</v>
      </c>
      <c r="O129" s="1078">
        <v>9</v>
      </c>
      <c r="P129" s="1078">
        <v>9</v>
      </c>
      <c r="Q129" s="1078">
        <v>9</v>
      </c>
      <c r="R129" s="1078">
        <v>9</v>
      </c>
      <c r="S129" s="1078">
        <v>9</v>
      </c>
      <c r="T129" s="1078">
        <v>9</v>
      </c>
    </row>
    <row r="130" spans="1:20" ht="18">
      <c r="A130" s="1083" t="s">
        <v>1002</v>
      </c>
      <c r="B130" s="1060"/>
      <c r="C130" s="1060" t="s">
        <v>19</v>
      </c>
      <c r="D130" s="1060" t="s">
        <v>1004</v>
      </c>
      <c r="E130" s="1051"/>
      <c r="F130" s="1051"/>
      <c r="G130" s="1051"/>
      <c r="H130" s="1078">
        <v>3985054</v>
      </c>
      <c r="I130" s="1078">
        <v>2667243</v>
      </c>
      <c r="J130" s="1078">
        <v>2036586</v>
      </c>
      <c r="K130" s="1078">
        <v>1870269</v>
      </c>
      <c r="L130" s="1078">
        <v>1939901</v>
      </c>
      <c r="M130" s="1078">
        <v>2590787</v>
      </c>
      <c r="N130" s="1078">
        <v>3651835</v>
      </c>
      <c r="O130" s="1078">
        <v>4104673</v>
      </c>
      <c r="P130" s="1078">
        <v>2308404</v>
      </c>
      <c r="Q130" s="1078">
        <v>1344386</v>
      </c>
      <c r="R130" s="1078">
        <v>1570908</v>
      </c>
      <c r="S130" s="1078">
        <v>3205459</v>
      </c>
      <c r="T130" s="1078">
        <v>31275505</v>
      </c>
    </row>
    <row r="131" spans="1:20" ht="7.5" customHeight="1">
      <c r="A131" s="1083" t="s">
        <v>1002</v>
      </c>
      <c r="B131" s="1060"/>
      <c r="C131" s="1060"/>
      <c r="D131" s="1060"/>
      <c r="E131" s="1051"/>
      <c r="F131" s="1051"/>
      <c r="G131" s="1051"/>
      <c r="H131" s="1078"/>
      <c r="I131" s="1078"/>
      <c r="J131" s="1078"/>
      <c r="K131" s="1078"/>
      <c r="L131" s="1078"/>
      <c r="M131" s="1078"/>
      <c r="N131" s="1078"/>
      <c r="O131" s="1078"/>
      <c r="P131" s="1078"/>
      <c r="Q131" s="1078"/>
      <c r="R131" s="1078"/>
      <c r="S131" s="1078"/>
      <c r="T131" s="1078"/>
    </row>
    <row r="132" spans="1:20" ht="18">
      <c r="A132" s="1083" t="s">
        <v>1002</v>
      </c>
      <c r="B132" s="1060" t="s">
        <v>1005</v>
      </c>
      <c r="C132" s="1060" t="s">
        <v>15</v>
      </c>
      <c r="D132" s="1060" t="s">
        <v>1004</v>
      </c>
      <c r="E132" s="1051"/>
      <c r="F132" s="1051"/>
      <c r="G132" s="1051"/>
      <c r="H132" s="1078">
        <v>0</v>
      </c>
      <c r="I132" s="1078">
        <v>0</v>
      </c>
      <c r="J132" s="1078">
        <v>0</v>
      </c>
      <c r="K132" s="1078">
        <v>0</v>
      </c>
      <c r="L132" s="1078">
        <v>0</v>
      </c>
      <c r="M132" s="1078">
        <v>0</v>
      </c>
      <c r="N132" s="1078">
        <v>0</v>
      </c>
      <c r="O132" s="1078">
        <v>0</v>
      </c>
      <c r="P132" s="1078">
        <v>0</v>
      </c>
      <c r="Q132" s="1078">
        <v>0</v>
      </c>
      <c r="R132" s="1078">
        <v>0</v>
      </c>
      <c r="S132" s="1078">
        <v>0</v>
      </c>
      <c r="T132" s="1078">
        <v>0</v>
      </c>
    </row>
    <row r="133" spans="1:20" ht="18">
      <c r="A133" s="1083" t="s">
        <v>1002</v>
      </c>
      <c r="B133" s="1060"/>
      <c r="C133" s="1060"/>
      <c r="D133" s="1060" t="s">
        <v>1004</v>
      </c>
      <c r="E133" s="1051"/>
      <c r="F133" s="1051"/>
      <c r="G133" s="1051"/>
      <c r="H133" s="1078">
        <v>0</v>
      </c>
      <c r="I133" s="1078">
        <v>0</v>
      </c>
      <c r="J133" s="1078">
        <v>0</v>
      </c>
      <c r="K133" s="1078">
        <v>0</v>
      </c>
      <c r="L133" s="1078">
        <v>0</v>
      </c>
      <c r="M133" s="1078">
        <v>0</v>
      </c>
      <c r="N133" s="1078">
        <v>0</v>
      </c>
      <c r="O133" s="1078">
        <v>0</v>
      </c>
      <c r="P133" s="1078">
        <v>0</v>
      </c>
      <c r="Q133" s="1078">
        <v>0</v>
      </c>
      <c r="R133" s="1078">
        <v>0</v>
      </c>
      <c r="S133" s="1078">
        <v>0</v>
      </c>
      <c r="T133" s="1078"/>
    </row>
    <row r="134" spans="1:20" ht="18">
      <c r="A134" s="1083" t="s">
        <v>1002</v>
      </c>
      <c r="B134" s="1060"/>
      <c r="C134" s="1060" t="s">
        <v>16</v>
      </c>
      <c r="D134" s="1060" t="s">
        <v>1004</v>
      </c>
      <c r="E134" s="1051"/>
      <c r="F134" s="1051"/>
      <c r="G134" s="1051"/>
      <c r="H134" s="1078">
        <v>0</v>
      </c>
      <c r="I134" s="1078">
        <v>0</v>
      </c>
      <c r="J134" s="1078">
        <v>0</v>
      </c>
      <c r="K134" s="1078">
        <v>0</v>
      </c>
      <c r="L134" s="1078">
        <v>0</v>
      </c>
      <c r="M134" s="1078">
        <v>0</v>
      </c>
      <c r="N134" s="1078">
        <v>0</v>
      </c>
      <c r="O134" s="1078">
        <v>0</v>
      </c>
      <c r="P134" s="1078">
        <v>0</v>
      </c>
      <c r="Q134" s="1078">
        <v>0</v>
      </c>
      <c r="R134" s="1078">
        <v>0</v>
      </c>
      <c r="S134" s="1078">
        <v>0</v>
      </c>
      <c r="T134" s="1078">
        <v>0</v>
      </c>
    </row>
    <row r="135" spans="1:20" ht="18">
      <c r="A135" s="1083" t="s">
        <v>1002</v>
      </c>
      <c r="B135" s="1060"/>
      <c r="C135" s="1060"/>
      <c r="D135" s="1060" t="s">
        <v>1004</v>
      </c>
      <c r="E135" s="1051"/>
      <c r="F135" s="1051"/>
      <c r="G135" s="1051"/>
      <c r="H135" s="1078">
        <v>0</v>
      </c>
      <c r="I135" s="1078">
        <v>0</v>
      </c>
      <c r="J135" s="1078">
        <v>0</v>
      </c>
      <c r="K135" s="1078">
        <v>0</v>
      </c>
      <c r="L135" s="1078">
        <v>0</v>
      </c>
      <c r="M135" s="1078">
        <v>0</v>
      </c>
      <c r="N135" s="1078">
        <v>0</v>
      </c>
      <c r="O135" s="1078">
        <v>0</v>
      </c>
      <c r="P135" s="1078">
        <v>0</v>
      </c>
      <c r="Q135" s="1078">
        <v>0</v>
      </c>
      <c r="R135" s="1078">
        <v>0</v>
      </c>
      <c r="S135" s="1078">
        <v>0</v>
      </c>
      <c r="T135" s="1078"/>
    </row>
    <row r="136" spans="1:20" ht="18">
      <c r="A136" s="1083" t="s">
        <v>1002</v>
      </c>
      <c r="B136" s="1060"/>
      <c r="C136" s="1060" t="s">
        <v>17</v>
      </c>
      <c r="D136" s="1060" t="s">
        <v>1004</v>
      </c>
      <c r="E136" s="1051"/>
      <c r="F136" s="1051"/>
      <c r="G136" s="1051"/>
      <c r="H136" s="1081">
        <v>0</v>
      </c>
      <c r="I136" s="1081">
        <v>0</v>
      </c>
      <c r="J136" s="1081">
        <v>0</v>
      </c>
      <c r="K136" s="1081">
        <v>0</v>
      </c>
      <c r="L136" s="1081">
        <v>0</v>
      </c>
      <c r="M136" s="1081">
        <v>0</v>
      </c>
      <c r="N136" s="1081">
        <v>0</v>
      </c>
      <c r="O136" s="1081">
        <v>0</v>
      </c>
      <c r="P136" s="1081">
        <v>0</v>
      </c>
      <c r="Q136" s="1081">
        <v>0</v>
      </c>
      <c r="R136" s="1081">
        <v>0</v>
      </c>
      <c r="S136" s="1081">
        <v>0</v>
      </c>
      <c r="T136" s="1081">
        <v>0</v>
      </c>
    </row>
    <row r="137" spans="1:20" ht="18">
      <c r="A137" s="1083" t="s">
        <v>1002</v>
      </c>
      <c r="B137" s="1060"/>
      <c r="C137" s="1060" t="s">
        <v>18</v>
      </c>
      <c r="D137" s="1060" t="s">
        <v>1004</v>
      </c>
      <c r="E137" s="1051"/>
      <c r="F137" s="1051"/>
      <c r="G137" s="1051"/>
      <c r="H137" s="1078">
        <v>0</v>
      </c>
      <c r="I137" s="1078">
        <v>0</v>
      </c>
      <c r="J137" s="1078">
        <v>0</v>
      </c>
      <c r="K137" s="1078">
        <v>0</v>
      </c>
      <c r="L137" s="1078">
        <v>0</v>
      </c>
      <c r="M137" s="1078">
        <v>0</v>
      </c>
      <c r="N137" s="1078">
        <v>0</v>
      </c>
      <c r="O137" s="1078">
        <v>0</v>
      </c>
      <c r="P137" s="1078">
        <v>0</v>
      </c>
      <c r="Q137" s="1078">
        <v>0</v>
      </c>
      <c r="R137" s="1078">
        <v>0</v>
      </c>
      <c r="S137" s="1078">
        <v>0</v>
      </c>
      <c r="T137" s="1078">
        <v>0</v>
      </c>
    </row>
    <row r="138" spans="1:20" ht="18">
      <c r="A138" s="1083" t="s">
        <v>1002</v>
      </c>
      <c r="B138" s="1060"/>
      <c r="C138" s="1060" t="s">
        <v>996</v>
      </c>
      <c r="D138" s="1060" t="s">
        <v>1004</v>
      </c>
      <c r="E138" s="1051"/>
      <c r="F138" s="1051"/>
      <c r="G138" s="1051"/>
      <c r="H138" s="1078">
        <v>0</v>
      </c>
      <c r="I138" s="1078">
        <v>0</v>
      </c>
      <c r="J138" s="1078">
        <v>0</v>
      </c>
      <c r="K138" s="1078">
        <v>0</v>
      </c>
      <c r="L138" s="1078">
        <v>0</v>
      </c>
      <c r="M138" s="1078">
        <v>0</v>
      </c>
      <c r="N138" s="1078">
        <v>0</v>
      </c>
      <c r="O138" s="1078">
        <v>0</v>
      </c>
      <c r="P138" s="1078">
        <v>0</v>
      </c>
      <c r="Q138" s="1078">
        <v>0</v>
      </c>
      <c r="R138" s="1078">
        <v>0</v>
      </c>
      <c r="S138" s="1078">
        <v>0</v>
      </c>
      <c r="T138" s="1078">
        <v>0</v>
      </c>
    </row>
    <row r="139" spans="1:20" ht="18">
      <c r="A139" s="1083" t="s">
        <v>1002</v>
      </c>
      <c r="B139" s="1060"/>
      <c r="C139" s="1060" t="s">
        <v>19</v>
      </c>
      <c r="D139" s="1060" t="s">
        <v>1004</v>
      </c>
      <c r="E139" s="1051"/>
      <c r="F139" s="1051"/>
      <c r="G139" s="1051"/>
      <c r="H139" s="1078">
        <v>0</v>
      </c>
      <c r="I139" s="1078">
        <v>0</v>
      </c>
      <c r="J139" s="1078">
        <v>0</v>
      </c>
      <c r="K139" s="1078">
        <v>0</v>
      </c>
      <c r="L139" s="1078">
        <v>0</v>
      </c>
      <c r="M139" s="1078">
        <v>0</v>
      </c>
      <c r="N139" s="1078">
        <v>0</v>
      </c>
      <c r="O139" s="1078">
        <v>0</v>
      </c>
      <c r="P139" s="1078">
        <v>0</v>
      </c>
      <c r="Q139" s="1078">
        <v>0</v>
      </c>
      <c r="R139" s="1078">
        <v>0</v>
      </c>
      <c r="S139" s="1078">
        <v>0</v>
      </c>
      <c r="T139" s="1078">
        <v>0</v>
      </c>
    </row>
    <row r="140" spans="1:20" ht="18">
      <c r="A140" s="1083" t="s">
        <v>1002</v>
      </c>
      <c r="B140" s="1060"/>
      <c r="C140" s="1060"/>
      <c r="D140" s="1060"/>
      <c r="E140" s="1051"/>
      <c r="F140" s="1051"/>
      <c r="G140" s="1051"/>
      <c r="H140" s="1078"/>
      <c r="I140" s="1078"/>
      <c r="J140" s="1078"/>
      <c r="K140" s="1078"/>
      <c r="L140" s="1078"/>
      <c r="M140" s="1078"/>
      <c r="N140" s="1078"/>
      <c r="O140" s="1078"/>
      <c r="P140" s="1078"/>
      <c r="Q140" s="1078"/>
      <c r="R140" s="1078"/>
      <c r="S140" s="1078"/>
      <c r="T140" s="1078"/>
    </row>
    <row r="141" spans="1:20" ht="18">
      <c r="A141" s="1083" t="s">
        <v>1002</v>
      </c>
      <c r="B141" s="1060" t="s">
        <v>678</v>
      </c>
      <c r="C141" s="1060" t="s">
        <v>15</v>
      </c>
      <c r="D141" s="1060" t="s">
        <v>1004</v>
      </c>
      <c r="E141" s="1051"/>
      <c r="F141" s="1051"/>
      <c r="G141" s="1051"/>
      <c r="H141" s="1078">
        <v>4417</v>
      </c>
      <c r="I141" s="1078">
        <v>6577</v>
      </c>
      <c r="J141" s="1078">
        <v>1951</v>
      </c>
      <c r="K141" s="1078">
        <v>1360</v>
      </c>
      <c r="L141" s="1078">
        <v>953</v>
      </c>
      <c r="M141" s="1078">
        <v>1468</v>
      </c>
      <c r="N141" s="1078">
        <v>632</v>
      </c>
      <c r="O141" s="1078">
        <v>652</v>
      </c>
      <c r="P141" s="1078">
        <v>689</v>
      </c>
      <c r="Q141" s="1078">
        <v>988</v>
      </c>
      <c r="R141" s="1078">
        <v>1504</v>
      </c>
      <c r="S141" s="1078">
        <v>3023</v>
      </c>
      <c r="T141" s="1078">
        <v>24214</v>
      </c>
    </row>
    <row r="142" spans="1:20" ht="18">
      <c r="A142" s="1083" t="s">
        <v>1002</v>
      </c>
      <c r="B142" s="1060"/>
      <c r="C142" s="1060"/>
      <c r="D142" s="1060" t="s">
        <v>1004</v>
      </c>
      <c r="E142" s="1051"/>
      <c r="F142" s="1051"/>
      <c r="G142" s="1051"/>
      <c r="H142" s="1078"/>
      <c r="I142" s="1078"/>
      <c r="J142" s="1078"/>
      <c r="K142" s="1078"/>
      <c r="L142" s="1078"/>
      <c r="M142" s="1078"/>
      <c r="N142" s="1078"/>
      <c r="O142" s="1078"/>
      <c r="P142" s="1078"/>
      <c r="Q142" s="1078"/>
      <c r="R142" s="1078"/>
      <c r="S142" s="1078"/>
      <c r="T142" s="1078"/>
    </row>
    <row r="143" spans="1:20" ht="18">
      <c r="A143" s="1083" t="s">
        <v>1002</v>
      </c>
      <c r="B143" s="1060"/>
      <c r="C143" s="1060" t="s">
        <v>16</v>
      </c>
      <c r="D143" s="1060" t="s">
        <v>1004</v>
      </c>
      <c r="E143" s="1051"/>
      <c r="F143" s="1051"/>
      <c r="G143" s="1051"/>
      <c r="H143" s="1078">
        <v>388</v>
      </c>
      <c r="I143" s="1078">
        <v>450</v>
      </c>
      <c r="J143" s="1078">
        <v>281</v>
      </c>
      <c r="K143" s="1078">
        <v>245</v>
      </c>
      <c r="L143" s="1078">
        <v>183</v>
      </c>
      <c r="M143" s="1078">
        <v>123</v>
      </c>
      <c r="N143" s="1078">
        <v>65</v>
      </c>
      <c r="O143" s="1078">
        <v>49</v>
      </c>
      <c r="P143" s="1078">
        <v>51</v>
      </c>
      <c r="Q143" s="1078">
        <v>53</v>
      </c>
      <c r="R143" s="1078">
        <v>74</v>
      </c>
      <c r="S143" s="1078">
        <v>128</v>
      </c>
      <c r="T143" s="1078">
        <v>2090</v>
      </c>
    </row>
    <row r="144" spans="1:20" ht="18">
      <c r="A144" s="1083" t="s">
        <v>1002</v>
      </c>
      <c r="B144" s="1060"/>
      <c r="C144" s="1060"/>
      <c r="D144" s="1060" t="s">
        <v>1004</v>
      </c>
      <c r="E144" s="1051"/>
      <c r="F144" s="1051"/>
      <c r="G144" s="1051"/>
      <c r="H144" s="1078"/>
      <c r="I144" s="1078"/>
      <c r="J144" s="1078"/>
      <c r="K144" s="1078"/>
      <c r="L144" s="1078"/>
      <c r="M144" s="1078"/>
      <c r="N144" s="1078"/>
      <c r="O144" s="1078"/>
      <c r="P144" s="1078"/>
      <c r="Q144" s="1078"/>
      <c r="R144" s="1078"/>
      <c r="S144" s="1078"/>
      <c r="T144" s="1078"/>
    </row>
    <row r="145" spans="1:20" ht="18">
      <c r="A145" s="1083" t="s">
        <v>1002</v>
      </c>
      <c r="B145" s="1060"/>
      <c r="C145" s="1060" t="s">
        <v>17</v>
      </c>
      <c r="D145" s="1060" t="s">
        <v>1004</v>
      </c>
      <c r="E145" s="1051"/>
      <c r="F145" s="1051"/>
      <c r="G145" s="1051"/>
      <c r="H145" s="1081">
        <v>0</v>
      </c>
      <c r="I145" s="1081">
        <v>0</v>
      </c>
      <c r="J145" s="1081">
        <v>0</v>
      </c>
      <c r="K145" s="1081">
        <v>0</v>
      </c>
      <c r="L145" s="1081">
        <v>0</v>
      </c>
      <c r="M145" s="1081">
        <v>0</v>
      </c>
      <c r="N145" s="1081">
        <v>0</v>
      </c>
      <c r="O145" s="1081">
        <v>0</v>
      </c>
      <c r="P145" s="1081">
        <v>0</v>
      </c>
      <c r="Q145" s="1081">
        <v>0</v>
      </c>
      <c r="R145" s="1081">
        <v>0</v>
      </c>
      <c r="S145" s="1081">
        <v>0</v>
      </c>
      <c r="T145" s="1081">
        <v>0</v>
      </c>
    </row>
    <row r="146" spans="1:20" ht="18">
      <c r="A146" s="1083" t="s">
        <v>1002</v>
      </c>
      <c r="B146" s="1060"/>
      <c r="C146" s="1060" t="s">
        <v>18</v>
      </c>
      <c r="D146" s="1060" t="s">
        <v>1004</v>
      </c>
      <c r="E146" s="1051"/>
      <c r="F146" s="1051"/>
      <c r="G146" s="1051"/>
      <c r="H146" s="1078">
        <v>4805</v>
      </c>
      <c r="I146" s="1078">
        <v>7027</v>
      </c>
      <c r="J146" s="1078">
        <v>2232</v>
      </c>
      <c r="K146" s="1078">
        <v>1605</v>
      </c>
      <c r="L146" s="1078">
        <v>1136</v>
      </c>
      <c r="M146" s="1078">
        <v>1591</v>
      </c>
      <c r="N146" s="1078">
        <v>697</v>
      </c>
      <c r="O146" s="1078">
        <v>701</v>
      </c>
      <c r="P146" s="1078">
        <v>740</v>
      </c>
      <c r="Q146" s="1078">
        <v>1041</v>
      </c>
      <c r="R146" s="1078">
        <v>1578</v>
      </c>
      <c r="S146" s="1078">
        <v>3151</v>
      </c>
      <c r="T146" s="1078">
        <v>26304</v>
      </c>
    </row>
    <row r="147" spans="1:20" ht="18">
      <c r="A147" s="1083" t="s">
        <v>1002</v>
      </c>
      <c r="B147" s="1060"/>
      <c r="C147" s="1060" t="s">
        <v>996</v>
      </c>
      <c r="D147" s="1060" t="s">
        <v>1004</v>
      </c>
      <c r="E147" s="1051"/>
      <c r="F147" s="1051"/>
      <c r="G147" s="1051"/>
      <c r="H147" s="1078">
        <v>1</v>
      </c>
      <c r="I147" s="1078">
        <v>1</v>
      </c>
      <c r="J147" s="1078">
        <v>1</v>
      </c>
      <c r="K147" s="1078">
        <v>1</v>
      </c>
      <c r="L147" s="1078">
        <v>1</v>
      </c>
      <c r="M147" s="1078">
        <v>1</v>
      </c>
      <c r="N147" s="1078">
        <v>1</v>
      </c>
      <c r="O147" s="1078">
        <v>1</v>
      </c>
      <c r="P147" s="1078">
        <v>1</v>
      </c>
      <c r="Q147" s="1078">
        <v>1</v>
      </c>
      <c r="R147" s="1078">
        <v>1</v>
      </c>
      <c r="S147" s="1078">
        <v>1</v>
      </c>
      <c r="T147" s="1078">
        <v>1</v>
      </c>
    </row>
    <row r="148" spans="1:20" ht="18">
      <c r="A148" s="1083" t="s">
        <v>1002</v>
      </c>
      <c r="B148" s="1060"/>
      <c r="C148" s="1060" t="s">
        <v>19</v>
      </c>
      <c r="D148" s="1060" t="s">
        <v>1004</v>
      </c>
      <c r="E148" s="1051"/>
      <c r="F148" s="1051"/>
      <c r="G148" s="1051"/>
      <c r="H148" s="1078">
        <v>5668</v>
      </c>
      <c r="I148" s="1078">
        <v>3489</v>
      </c>
      <c r="J148" s="1078">
        <v>2210</v>
      </c>
      <c r="K148" s="1078">
        <v>1382</v>
      </c>
      <c r="L148" s="1078">
        <v>811</v>
      </c>
      <c r="M148" s="1078">
        <v>487</v>
      </c>
      <c r="N148" s="1078">
        <v>360</v>
      </c>
      <c r="O148" s="1078">
        <v>388</v>
      </c>
      <c r="P148" s="1078">
        <v>441</v>
      </c>
      <c r="Q148" s="1078">
        <v>828</v>
      </c>
      <c r="R148" s="1078">
        <v>1524</v>
      </c>
      <c r="S148" s="1078">
        <v>3577</v>
      </c>
      <c r="T148" s="1078">
        <v>21165</v>
      </c>
    </row>
    <row r="149" spans="1:20" ht="18">
      <c r="A149" s="1083" t="s">
        <v>1002</v>
      </c>
      <c r="B149" s="1060"/>
      <c r="C149" s="1060"/>
      <c r="D149" s="1060"/>
      <c r="E149" s="1051"/>
      <c r="F149" s="1051"/>
      <c r="G149" s="1051"/>
      <c r="H149" s="1078"/>
      <c r="I149" s="1078"/>
      <c r="J149" s="1078"/>
      <c r="K149" s="1078"/>
      <c r="L149" s="1078"/>
      <c r="M149" s="1078"/>
      <c r="N149" s="1078"/>
      <c r="O149" s="1078"/>
      <c r="P149" s="1078"/>
      <c r="Q149" s="1078"/>
      <c r="R149" s="1078"/>
      <c r="S149" s="1078"/>
      <c r="T149" s="1078"/>
    </row>
    <row r="150" spans="1:20" ht="18">
      <c r="A150" s="1083" t="s">
        <v>1002</v>
      </c>
      <c r="B150" s="1084" t="s">
        <v>1006</v>
      </c>
      <c r="C150" s="1060" t="s">
        <v>15</v>
      </c>
      <c r="D150" s="1060" t="s">
        <v>1004</v>
      </c>
      <c r="E150" s="1051"/>
      <c r="F150" s="1051"/>
      <c r="G150" s="1051"/>
      <c r="H150" s="1078">
        <v>0</v>
      </c>
      <c r="I150" s="1078">
        <v>0</v>
      </c>
      <c r="J150" s="1078">
        <v>0</v>
      </c>
      <c r="K150" s="1078">
        <v>0</v>
      </c>
      <c r="L150" s="1078">
        <v>0</v>
      </c>
      <c r="M150" s="1078">
        <v>0</v>
      </c>
      <c r="N150" s="1078">
        <v>0</v>
      </c>
      <c r="O150" s="1078">
        <v>0</v>
      </c>
      <c r="P150" s="1078">
        <v>0</v>
      </c>
      <c r="Q150" s="1078">
        <v>0</v>
      </c>
      <c r="R150" s="1078">
        <v>0</v>
      </c>
      <c r="S150" s="1078">
        <v>0</v>
      </c>
      <c r="T150" s="1078">
        <v>0</v>
      </c>
    </row>
    <row r="151" spans="1:20" ht="18">
      <c r="A151" s="1083" t="s">
        <v>1002</v>
      </c>
      <c r="B151" s="1060"/>
      <c r="C151" s="1060"/>
      <c r="D151" s="1060" t="s">
        <v>1004</v>
      </c>
      <c r="E151" s="1051"/>
      <c r="F151" s="1051"/>
      <c r="G151" s="1051"/>
      <c r="H151" s="1078">
        <v>0</v>
      </c>
      <c r="I151" s="1078">
        <v>0</v>
      </c>
      <c r="J151" s="1078">
        <v>0</v>
      </c>
      <c r="K151" s="1078">
        <v>0</v>
      </c>
      <c r="L151" s="1078">
        <v>0</v>
      </c>
      <c r="M151" s="1078">
        <v>0</v>
      </c>
      <c r="N151" s="1078">
        <v>0</v>
      </c>
      <c r="O151" s="1078">
        <v>0</v>
      </c>
      <c r="P151" s="1078">
        <v>0</v>
      </c>
      <c r="Q151" s="1078">
        <v>0</v>
      </c>
      <c r="R151" s="1078">
        <v>0</v>
      </c>
      <c r="S151" s="1078">
        <v>0</v>
      </c>
      <c r="T151" s="1078"/>
    </row>
    <row r="152" spans="1:20" ht="18">
      <c r="A152" s="1083" t="s">
        <v>1002</v>
      </c>
      <c r="B152" s="1060"/>
      <c r="C152" s="1060" t="s">
        <v>16</v>
      </c>
      <c r="D152" s="1060" t="s">
        <v>1004</v>
      </c>
      <c r="E152" s="1051"/>
      <c r="F152" s="1051"/>
      <c r="G152" s="1051"/>
      <c r="H152" s="1078">
        <v>0</v>
      </c>
      <c r="I152" s="1078">
        <v>0</v>
      </c>
      <c r="J152" s="1078">
        <v>0</v>
      </c>
      <c r="K152" s="1078">
        <v>0</v>
      </c>
      <c r="L152" s="1078">
        <v>0</v>
      </c>
      <c r="M152" s="1078">
        <v>0</v>
      </c>
      <c r="N152" s="1078">
        <v>0</v>
      </c>
      <c r="O152" s="1078">
        <v>0</v>
      </c>
      <c r="P152" s="1078">
        <v>0</v>
      </c>
      <c r="Q152" s="1078">
        <v>0</v>
      </c>
      <c r="R152" s="1078">
        <v>0</v>
      </c>
      <c r="S152" s="1078">
        <v>0</v>
      </c>
      <c r="T152" s="1078">
        <v>0</v>
      </c>
    </row>
    <row r="153" spans="1:20" ht="18">
      <c r="A153" s="1083" t="s">
        <v>1002</v>
      </c>
      <c r="B153" s="1060"/>
      <c r="C153" s="1060"/>
      <c r="D153" s="1060" t="s">
        <v>1004</v>
      </c>
      <c r="E153" s="1051"/>
      <c r="F153" s="1051"/>
      <c r="G153" s="1051"/>
      <c r="H153" s="1078">
        <v>0</v>
      </c>
      <c r="I153" s="1078">
        <v>0</v>
      </c>
      <c r="J153" s="1078">
        <v>0</v>
      </c>
      <c r="K153" s="1078">
        <v>0</v>
      </c>
      <c r="L153" s="1078">
        <v>0</v>
      </c>
      <c r="M153" s="1078">
        <v>0</v>
      </c>
      <c r="N153" s="1078">
        <v>0</v>
      </c>
      <c r="O153" s="1078">
        <v>0</v>
      </c>
      <c r="P153" s="1078">
        <v>0</v>
      </c>
      <c r="Q153" s="1078">
        <v>0</v>
      </c>
      <c r="R153" s="1078">
        <v>0</v>
      </c>
      <c r="S153" s="1078">
        <v>0</v>
      </c>
      <c r="T153" s="1078"/>
    </row>
    <row r="154" spans="1:20" ht="18">
      <c r="A154" s="1083" t="s">
        <v>1002</v>
      </c>
      <c r="B154" s="1060"/>
      <c r="C154" s="1060" t="s">
        <v>17</v>
      </c>
      <c r="D154" s="1060" t="s">
        <v>1004</v>
      </c>
      <c r="E154" s="1051"/>
      <c r="F154" s="1051"/>
      <c r="G154" s="1051"/>
      <c r="H154" s="1081">
        <v>0</v>
      </c>
      <c r="I154" s="1081">
        <v>0</v>
      </c>
      <c r="J154" s="1081">
        <v>0</v>
      </c>
      <c r="K154" s="1081">
        <v>0</v>
      </c>
      <c r="L154" s="1081">
        <v>0</v>
      </c>
      <c r="M154" s="1081">
        <v>0</v>
      </c>
      <c r="N154" s="1081">
        <v>0</v>
      </c>
      <c r="O154" s="1081">
        <v>0</v>
      </c>
      <c r="P154" s="1081">
        <v>0</v>
      </c>
      <c r="Q154" s="1081">
        <v>0</v>
      </c>
      <c r="R154" s="1081">
        <v>0</v>
      </c>
      <c r="S154" s="1081">
        <v>0</v>
      </c>
      <c r="T154" s="1081">
        <v>0</v>
      </c>
    </row>
    <row r="155" spans="1:20" ht="18">
      <c r="A155" s="1083" t="s">
        <v>1002</v>
      </c>
      <c r="B155" s="1060"/>
      <c r="C155" s="1060" t="s">
        <v>18</v>
      </c>
      <c r="D155" s="1060" t="s">
        <v>1004</v>
      </c>
      <c r="E155" s="1051"/>
      <c r="F155" s="1051"/>
      <c r="G155" s="1051"/>
      <c r="H155" s="1078">
        <v>0</v>
      </c>
      <c r="I155" s="1078">
        <v>0</v>
      </c>
      <c r="J155" s="1078">
        <v>0</v>
      </c>
      <c r="K155" s="1078">
        <v>0</v>
      </c>
      <c r="L155" s="1078">
        <v>0</v>
      </c>
      <c r="M155" s="1078">
        <v>0</v>
      </c>
      <c r="N155" s="1078">
        <v>0</v>
      </c>
      <c r="O155" s="1078">
        <v>0</v>
      </c>
      <c r="P155" s="1078">
        <v>0</v>
      </c>
      <c r="Q155" s="1078">
        <v>0</v>
      </c>
      <c r="R155" s="1078">
        <v>0</v>
      </c>
      <c r="S155" s="1078">
        <v>0</v>
      </c>
      <c r="T155" s="1078">
        <v>0</v>
      </c>
    </row>
    <row r="156" spans="1:20" ht="18">
      <c r="A156" s="1083" t="s">
        <v>1002</v>
      </c>
      <c r="B156" s="1060"/>
      <c r="C156" s="1060" t="s">
        <v>996</v>
      </c>
      <c r="D156" s="1060" t="s">
        <v>1004</v>
      </c>
      <c r="E156" s="1051"/>
      <c r="F156" s="1051"/>
      <c r="G156" s="1051"/>
      <c r="H156" s="1078">
        <v>0</v>
      </c>
      <c r="I156" s="1078">
        <v>0</v>
      </c>
      <c r="J156" s="1078">
        <v>0</v>
      </c>
      <c r="K156" s="1078">
        <v>0</v>
      </c>
      <c r="L156" s="1078">
        <v>0</v>
      </c>
      <c r="M156" s="1078">
        <v>0</v>
      </c>
      <c r="N156" s="1078">
        <v>0</v>
      </c>
      <c r="O156" s="1078">
        <v>0</v>
      </c>
      <c r="P156" s="1078">
        <v>0</v>
      </c>
      <c r="Q156" s="1078">
        <v>0</v>
      </c>
      <c r="R156" s="1078">
        <v>0</v>
      </c>
      <c r="S156" s="1078">
        <v>0</v>
      </c>
      <c r="T156" s="1078">
        <v>0</v>
      </c>
    </row>
    <row r="157" spans="1:20" ht="18">
      <c r="A157" s="1083" t="s">
        <v>1002</v>
      </c>
      <c r="B157" s="1060"/>
      <c r="C157" s="1060" t="s">
        <v>19</v>
      </c>
      <c r="D157" s="1060" t="s">
        <v>1004</v>
      </c>
      <c r="E157" s="1051"/>
      <c r="F157" s="1051"/>
      <c r="G157" s="1051"/>
      <c r="H157" s="1078">
        <v>0</v>
      </c>
      <c r="I157" s="1078">
        <v>0</v>
      </c>
      <c r="J157" s="1078">
        <v>0</v>
      </c>
      <c r="K157" s="1078">
        <v>0</v>
      </c>
      <c r="L157" s="1078">
        <v>0</v>
      </c>
      <c r="M157" s="1078">
        <v>0</v>
      </c>
      <c r="N157" s="1078">
        <v>0</v>
      </c>
      <c r="O157" s="1078">
        <v>0</v>
      </c>
      <c r="P157" s="1078">
        <v>0</v>
      </c>
      <c r="Q157" s="1078">
        <v>0</v>
      </c>
      <c r="R157" s="1078">
        <v>0</v>
      </c>
      <c r="S157" s="1078">
        <v>0</v>
      </c>
      <c r="T157" s="1078">
        <v>0</v>
      </c>
    </row>
    <row r="158" spans="1:20" ht="18">
      <c r="A158" s="1083" t="s">
        <v>1002</v>
      </c>
      <c r="B158" s="1082"/>
      <c r="C158" s="1082"/>
      <c r="D158" s="1082"/>
      <c r="E158" s="1051"/>
      <c r="F158" s="1051"/>
      <c r="G158" s="1051"/>
      <c r="H158" s="1078"/>
      <c r="I158" s="1078"/>
      <c r="J158" s="1078"/>
      <c r="K158" s="1078"/>
      <c r="L158" s="1078"/>
      <c r="M158" s="1078"/>
      <c r="N158" s="1078"/>
      <c r="O158" s="1078"/>
      <c r="P158" s="1078"/>
      <c r="Q158" s="1078"/>
      <c r="R158" s="1078"/>
      <c r="S158" s="1078"/>
      <c r="T158" s="1078"/>
    </row>
    <row r="159" spans="1:20" ht="18">
      <c r="A159" s="1083" t="s">
        <v>1002</v>
      </c>
      <c r="B159" s="1060" t="s">
        <v>1007</v>
      </c>
      <c r="C159" s="1060" t="s">
        <v>15</v>
      </c>
      <c r="D159" s="1060" t="s">
        <v>1004</v>
      </c>
      <c r="E159" s="1051"/>
      <c r="F159" s="1051"/>
      <c r="G159" s="1051"/>
      <c r="H159" s="1078">
        <v>1829062</v>
      </c>
      <c r="I159" s="1078">
        <v>1656880</v>
      </c>
      <c r="J159" s="1078">
        <v>1593054</v>
      </c>
      <c r="K159" s="1078">
        <v>1550898</v>
      </c>
      <c r="L159" s="1078">
        <v>1474547</v>
      </c>
      <c r="M159" s="1078">
        <v>1480524</v>
      </c>
      <c r="N159" s="1078">
        <v>1833424</v>
      </c>
      <c r="O159" s="1078">
        <v>1573507</v>
      </c>
      <c r="P159" s="1078">
        <v>1591400</v>
      </c>
      <c r="Q159" s="1078">
        <v>1744931</v>
      </c>
      <c r="R159" s="1078">
        <v>1830506</v>
      </c>
      <c r="S159" s="1078">
        <v>2029380</v>
      </c>
      <c r="T159" s="1078">
        <v>20188113</v>
      </c>
    </row>
    <row r="160" spans="1:20" ht="18">
      <c r="A160" s="1083" t="s">
        <v>1002</v>
      </c>
      <c r="B160" s="1060"/>
      <c r="C160" s="1060"/>
      <c r="D160" s="1060" t="s">
        <v>1004</v>
      </c>
      <c r="E160" s="1051"/>
      <c r="F160" s="1051"/>
      <c r="G160" s="1051"/>
      <c r="H160" s="1078"/>
      <c r="I160" s="1078"/>
      <c r="J160" s="1078"/>
      <c r="K160" s="1078"/>
      <c r="L160" s="1078"/>
      <c r="M160" s="1078"/>
      <c r="N160" s="1078"/>
      <c r="O160" s="1078"/>
      <c r="P160" s="1078"/>
      <c r="Q160" s="1078"/>
      <c r="R160" s="1078"/>
      <c r="S160" s="1078"/>
      <c r="T160" s="1078"/>
    </row>
    <row r="161" spans="1:21" ht="18">
      <c r="A161" s="1083" t="s">
        <v>1002</v>
      </c>
      <c r="B161" s="1060"/>
      <c r="C161" s="1060" t="s">
        <v>16</v>
      </c>
      <c r="D161" s="1060" t="s">
        <v>1004</v>
      </c>
      <c r="E161" s="1051"/>
      <c r="F161" s="1051"/>
      <c r="G161" s="1051"/>
      <c r="H161" s="1078">
        <v>53069</v>
      </c>
      <c r="I161" s="1078">
        <v>39955</v>
      </c>
      <c r="J161" s="1078">
        <v>40401</v>
      </c>
      <c r="K161" s="1078">
        <v>52391</v>
      </c>
      <c r="L161" s="1078">
        <v>43035</v>
      </c>
      <c r="M161" s="1078">
        <v>47258</v>
      </c>
      <c r="N161" s="1078">
        <v>43746</v>
      </c>
      <c r="O161" s="1078">
        <v>56663</v>
      </c>
      <c r="P161" s="1078">
        <v>45150</v>
      </c>
      <c r="Q161" s="1078">
        <v>47050</v>
      </c>
      <c r="R161" s="1078">
        <v>45557</v>
      </c>
      <c r="S161" s="1078">
        <v>54613</v>
      </c>
      <c r="T161" s="1078">
        <v>568888</v>
      </c>
    </row>
    <row r="162" spans="1:21" ht="18">
      <c r="A162" s="1083" t="s">
        <v>1002</v>
      </c>
      <c r="B162" s="1060"/>
      <c r="C162" s="1060"/>
      <c r="D162" s="1060" t="s">
        <v>1004</v>
      </c>
      <c r="E162" s="1051"/>
      <c r="F162" s="1051"/>
      <c r="G162" s="1051"/>
      <c r="H162" s="1078"/>
      <c r="I162" s="1078"/>
      <c r="J162" s="1078"/>
      <c r="K162" s="1078"/>
      <c r="L162" s="1078"/>
      <c r="M162" s="1078"/>
      <c r="N162" s="1078"/>
      <c r="O162" s="1078"/>
      <c r="P162" s="1078"/>
      <c r="Q162" s="1078"/>
      <c r="R162" s="1078"/>
      <c r="S162" s="1078"/>
      <c r="T162" s="1078"/>
    </row>
    <row r="163" spans="1:21" ht="18">
      <c r="A163" s="1083" t="s">
        <v>1002</v>
      </c>
      <c r="B163" s="1060"/>
      <c r="C163" s="1060" t="s">
        <v>17</v>
      </c>
      <c r="D163" s="1060" t="s">
        <v>1004</v>
      </c>
      <c r="E163" s="1051"/>
      <c r="F163" s="1051"/>
      <c r="G163" s="1051"/>
      <c r="H163" s="1081">
        <v>0</v>
      </c>
      <c r="I163" s="1081">
        <v>2275</v>
      </c>
      <c r="J163" s="1081">
        <v>0</v>
      </c>
      <c r="K163" s="1081">
        <v>94241</v>
      </c>
      <c r="L163" s="1081">
        <v>32641</v>
      </c>
      <c r="M163" s="1081">
        <v>0</v>
      </c>
      <c r="N163" s="1081">
        <v>-153</v>
      </c>
      <c r="O163" s="1081">
        <v>-32641</v>
      </c>
      <c r="P163" s="1081">
        <v>0</v>
      </c>
      <c r="Q163" s="1081">
        <v>0</v>
      </c>
      <c r="R163" s="1081">
        <v>0</v>
      </c>
      <c r="S163" s="1081">
        <v>0</v>
      </c>
      <c r="T163" s="1081">
        <v>96363</v>
      </c>
    </row>
    <row r="164" spans="1:21" ht="18">
      <c r="A164" s="1083" t="s">
        <v>1002</v>
      </c>
      <c r="B164" s="1060"/>
      <c r="C164" s="1060" t="s">
        <v>18</v>
      </c>
      <c r="D164" s="1060" t="s">
        <v>1004</v>
      </c>
      <c r="E164" s="1051"/>
      <c r="F164" s="1051"/>
      <c r="G164" s="1051"/>
      <c r="H164" s="1078">
        <v>1882131</v>
      </c>
      <c r="I164" s="1078">
        <v>1699110</v>
      </c>
      <c r="J164" s="1078">
        <v>1633455</v>
      </c>
      <c r="K164" s="1078">
        <v>1697530</v>
      </c>
      <c r="L164" s="1078">
        <v>1550223</v>
      </c>
      <c r="M164" s="1078">
        <v>1527782</v>
      </c>
      <c r="N164" s="1078">
        <v>1877017</v>
      </c>
      <c r="O164" s="1078">
        <v>1597529</v>
      </c>
      <c r="P164" s="1078">
        <v>1636550</v>
      </c>
      <c r="Q164" s="1078">
        <v>1791981</v>
      </c>
      <c r="R164" s="1078">
        <v>1876063</v>
      </c>
      <c r="S164" s="1078">
        <v>2083993</v>
      </c>
      <c r="T164" s="1078">
        <v>20853364</v>
      </c>
    </row>
    <row r="165" spans="1:21" ht="18">
      <c r="A165" s="1083" t="s">
        <v>1002</v>
      </c>
      <c r="B165" s="1060"/>
      <c r="C165" s="1060" t="s">
        <v>996</v>
      </c>
      <c r="D165" s="1060" t="s">
        <v>1004</v>
      </c>
      <c r="E165" s="1051"/>
      <c r="F165" s="1051"/>
      <c r="G165" s="1051"/>
      <c r="H165" s="1078">
        <v>564</v>
      </c>
      <c r="I165" s="1078">
        <v>562</v>
      </c>
      <c r="J165" s="1078">
        <v>562</v>
      </c>
      <c r="K165" s="1078">
        <v>562</v>
      </c>
      <c r="L165" s="1078">
        <v>562</v>
      </c>
      <c r="M165" s="1078">
        <v>563</v>
      </c>
      <c r="N165" s="1078">
        <v>562</v>
      </c>
      <c r="O165" s="1078">
        <v>693</v>
      </c>
      <c r="P165" s="1078">
        <v>693</v>
      </c>
      <c r="Q165" s="1078">
        <v>694</v>
      </c>
      <c r="R165" s="1078">
        <v>700</v>
      </c>
      <c r="S165" s="1078">
        <v>700</v>
      </c>
      <c r="T165" s="1078">
        <v>618.08333333333337</v>
      </c>
    </row>
    <row r="166" spans="1:21" ht="18">
      <c r="A166" s="1083" t="s">
        <v>1002</v>
      </c>
      <c r="B166" s="1060"/>
      <c r="C166" s="1060" t="s">
        <v>19</v>
      </c>
      <c r="D166" s="1060" t="s">
        <v>1004</v>
      </c>
      <c r="E166" s="1051"/>
      <c r="F166" s="1051"/>
      <c r="G166" s="1051"/>
      <c r="H166" s="1078">
        <v>4645783</v>
      </c>
      <c r="I166" s="1078">
        <v>3804451</v>
      </c>
      <c r="J166" s="1078">
        <v>3777764</v>
      </c>
      <c r="K166" s="1078">
        <v>3545637</v>
      </c>
      <c r="L166" s="1078">
        <v>3241296</v>
      </c>
      <c r="M166" s="1078">
        <v>3353380</v>
      </c>
      <c r="N166" s="1078">
        <v>3223787</v>
      </c>
      <c r="O166" s="1078">
        <v>3301535</v>
      </c>
      <c r="P166" s="1078">
        <v>3182229</v>
      </c>
      <c r="Q166" s="1078">
        <v>3652303</v>
      </c>
      <c r="R166" s="1078">
        <v>4244893</v>
      </c>
      <c r="S166" s="1078">
        <v>4810595</v>
      </c>
      <c r="T166" s="1078">
        <v>44783653</v>
      </c>
    </row>
    <row r="167" spans="1:21" ht="18">
      <c r="A167" s="1083" t="s">
        <v>1002</v>
      </c>
      <c r="B167" s="1060"/>
      <c r="C167" s="1060"/>
      <c r="D167" s="1060"/>
      <c r="E167" s="1051"/>
      <c r="F167" s="1051"/>
      <c r="G167" s="1051"/>
      <c r="H167" s="1078"/>
      <c r="I167" s="1078"/>
      <c r="J167" s="1078"/>
      <c r="K167" s="1078"/>
      <c r="L167" s="1078"/>
      <c r="M167" s="1078"/>
      <c r="N167" s="1078"/>
      <c r="O167" s="1078"/>
      <c r="P167" s="1078"/>
      <c r="Q167" s="1078"/>
      <c r="R167" s="1078"/>
      <c r="S167" s="1078"/>
      <c r="T167" s="1078"/>
    </row>
    <row r="168" spans="1:21" ht="18">
      <c r="A168" s="1083" t="s">
        <v>1002</v>
      </c>
      <c r="B168" s="1060" t="s">
        <v>1008</v>
      </c>
      <c r="C168" s="1060" t="s">
        <v>15</v>
      </c>
      <c r="D168" s="1060" t="s">
        <v>1004</v>
      </c>
      <c r="E168" s="1051"/>
      <c r="F168" s="1051"/>
      <c r="G168" s="1051"/>
      <c r="H168" s="1078">
        <v>0</v>
      </c>
      <c r="I168" s="1078">
        <v>0</v>
      </c>
      <c r="J168" s="1078">
        <v>0</v>
      </c>
      <c r="K168" s="1078">
        <v>0</v>
      </c>
      <c r="L168" s="1078">
        <v>0</v>
      </c>
      <c r="M168" s="1078">
        <v>0</v>
      </c>
      <c r="N168" s="1078">
        <v>0</v>
      </c>
      <c r="O168" s="1078">
        <v>0</v>
      </c>
      <c r="P168" s="1078">
        <v>0</v>
      </c>
      <c r="Q168" s="1078">
        <v>0</v>
      </c>
      <c r="R168" s="1078">
        <v>0</v>
      </c>
      <c r="S168" s="1078">
        <v>0</v>
      </c>
      <c r="T168" s="1078">
        <v>0</v>
      </c>
    </row>
    <row r="169" spans="1:21" ht="18">
      <c r="A169" s="1083" t="s">
        <v>1002</v>
      </c>
      <c r="B169" s="1060"/>
      <c r="C169" s="1060"/>
      <c r="D169" s="1060" t="s">
        <v>1004</v>
      </c>
      <c r="E169" s="1051"/>
      <c r="F169" s="1051"/>
      <c r="G169" s="1051"/>
      <c r="H169" s="1078">
        <v>0</v>
      </c>
      <c r="I169" s="1078">
        <v>0</v>
      </c>
      <c r="J169" s="1078">
        <v>0</v>
      </c>
      <c r="K169" s="1078">
        <v>0</v>
      </c>
      <c r="L169" s="1078">
        <v>0</v>
      </c>
      <c r="M169" s="1078">
        <v>0</v>
      </c>
      <c r="N169" s="1078">
        <v>0</v>
      </c>
      <c r="O169" s="1078">
        <v>0</v>
      </c>
      <c r="P169" s="1078">
        <v>0</v>
      </c>
      <c r="Q169" s="1078">
        <v>0</v>
      </c>
      <c r="R169" s="1078">
        <v>0</v>
      </c>
      <c r="S169" s="1078">
        <v>0</v>
      </c>
      <c r="T169" s="1078"/>
      <c r="U169" s="12"/>
    </row>
    <row r="170" spans="1:21" ht="18">
      <c r="A170" s="1083" t="s">
        <v>1002</v>
      </c>
      <c r="B170" s="1060"/>
      <c r="C170" s="1060" t="s">
        <v>16</v>
      </c>
      <c r="D170" s="1060" t="s">
        <v>1004</v>
      </c>
      <c r="E170" s="1051"/>
      <c r="F170" s="1051"/>
      <c r="G170" s="1051"/>
      <c r="H170" s="1078">
        <v>0</v>
      </c>
      <c r="I170" s="1078">
        <v>0</v>
      </c>
      <c r="J170" s="1078">
        <v>0</v>
      </c>
      <c r="K170" s="1078">
        <v>0</v>
      </c>
      <c r="L170" s="1078">
        <v>0</v>
      </c>
      <c r="M170" s="1078">
        <v>0</v>
      </c>
      <c r="N170" s="1078">
        <v>0</v>
      </c>
      <c r="O170" s="1078">
        <v>0</v>
      </c>
      <c r="P170" s="1078">
        <v>0</v>
      </c>
      <c r="Q170" s="1078">
        <v>0</v>
      </c>
      <c r="R170" s="1078">
        <v>0</v>
      </c>
      <c r="S170" s="1078">
        <v>0</v>
      </c>
      <c r="T170" s="1078">
        <v>0</v>
      </c>
    </row>
    <row r="171" spans="1:21" ht="18">
      <c r="A171" s="1083" t="s">
        <v>1002</v>
      </c>
      <c r="B171" s="1060"/>
      <c r="C171" s="1060"/>
      <c r="D171" s="1060" t="s">
        <v>1004</v>
      </c>
      <c r="E171" s="1051"/>
      <c r="F171" s="1051"/>
      <c r="G171" s="1051"/>
      <c r="H171" s="1078">
        <v>0</v>
      </c>
      <c r="I171" s="1078">
        <v>0</v>
      </c>
      <c r="J171" s="1078">
        <v>0</v>
      </c>
      <c r="K171" s="1078">
        <v>0</v>
      </c>
      <c r="L171" s="1078">
        <v>0</v>
      </c>
      <c r="M171" s="1078">
        <v>0</v>
      </c>
      <c r="N171" s="1078">
        <v>0</v>
      </c>
      <c r="O171" s="1078">
        <v>0</v>
      </c>
      <c r="P171" s="1078">
        <v>0</v>
      </c>
      <c r="Q171" s="1078">
        <v>0</v>
      </c>
      <c r="R171" s="1078">
        <v>0</v>
      </c>
      <c r="S171" s="1078">
        <v>0</v>
      </c>
      <c r="T171" s="1078"/>
    </row>
    <row r="172" spans="1:21" ht="18">
      <c r="A172" s="1083" t="s">
        <v>1002</v>
      </c>
      <c r="B172" s="1060"/>
      <c r="C172" s="1060" t="s">
        <v>17</v>
      </c>
      <c r="D172" s="1060" t="s">
        <v>1004</v>
      </c>
      <c r="E172" s="1051"/>
      <c r="F172" s="1051"/>
      <c r="G172" s="1051"/>
      <c r="H172" s="1081">
        <v>0</v>
      </c>
      <c r="I172" s="1081">
        <v>0</v>
      </c>
      <c r="J172" s="1081">
        <v>0</v>
      </c>
      <c r="K172" s="1081">
        <v>0</v>
      </c>
      <c r="L172" s="1081">
        <v>0</v>
      </c>
      <c r="M172" s="1081">
        <v>0</v>
      </c>
      <c r="N172" s="1081">
        <v>0</v>
      </c>
      <c r="O172" s="1081">
        <v>0</v>
      </c>
      <c r="P172" s="1081">
        <v>0</v>
      </c>
      <c r="Q172" s="1081">
        <v>0</v>
      </c>
      <c r="R172" s="1081">
        <v>0</v>
      </c>
      <c r="S172" s="1081">
        <v>0</v>
      </c>
      <c r="T172" s="1081">
        <v>0</v>
      </c>
    </row>
    <row r="173" spans="1:21" ht="18">
      <c r="A173" s="1083" t="s">
        <v>1002</v>
      </c>
      <c r="B173" s="1060"/>
      <c r="C173" s="1060" t="s">
        <v>18</v>
      </c>
      <c r="D173" s="1060" t="s">
        <v>1004</v>
      </c>
      <c r="E173" s="1051"/>
      <c r="F173" s="1051"/>
      <c r="G173" s="1051"/>
      <c r="H173" s="1078">
        <v>0</v>
      </c>
      <c r="I173" s="1078">
        <v>0</v>
      </c>
      <c r="J173" s="1078">
        <v>0</v>
      </c>
      <c r="K173" s="1078">
        <v>0</v>
      </c>
      <c r="L173" s="1078">
        <v>0</v>
      </c>
      <c r="M173" s="1078">
        <v>0</v>
      </c>
      <c r="N173" s="1078">
        <v>0</v>
      </c>
      <c r="O173" s="1078">
        <v>0</v>
      </c>
      <c r="P173" s="1078">
        <v>0</v>
      </c>
      <c r="Q173" s="1078">
        <v>0</v>
      </c>
      <c r="R173" s="1078">
        <v>0</v>
      </c>
      <c r="S173" s="1078">
        <v>0</v>
      </c>
      <c r="T173" s="1078">
        <v>0</v>
      </c>
    </row>
    <row r="174" spans="1:21" ht="18">
      <c r="A174" s="1083" t="s">
        <v>1002</v>
      </c>
      <c r="B174" s="1060"/>
      <c r="C174" s="1060" t="s">
        <v>996</v>
      </c>
      <c r="D174" s="1060" t="s">
        <v>1004</v>
      </c>
      <c r="E174" s="1051"/>
      <c r="F174" s="1051"/>
      <c r="G174" s="1051"/>
      <c r="H174" s="1078">
        <v>0</v>
      </c>
      <c r="I174" s="1078">
        <v>0</v>
      </c>
      <c r="J174" s="1078">
        <v>0</v>
      </c>
      <c r="K174" s="1078">
        <v>0</v>
      </c>
      <c r="L174" s="1078">
        <v>0</v>
      </c>
      <c r="M174" s="1078">
        <v>0</v>
      </c>
      <c r="N174" s="1078">
        <v>0</v>
      </c>
      <c r="O174" s="1078">
        <v>0</v>
      </c>
      <c r="P174" s="1078">
        <v>0</v>
      </c>
      <c r="Q174" s="1078">
        <v>0</v>
      </c>
      <c r="R174" s="1078">
        <v>0</v>
      </c>
      <c r="S174" s="1078">
        <v>0</v>
      </c>
      <c r="T174" s="1078">
        <v>0</v>
      </c>
    </row>
    <row r="175" spans="1:21" ht="18">
      <c r="A175" s="1083" t="s">
        <v>1002</v>
      </c>
      <c r="B175" s="1060"/>
      <c r="C175" s="1060" t="s">
        <v>19</v>
      </c>
      <c r="D175" s="1060" t="s">
        <v>1004</v>
      </c>
      <c r="E175" s="1051"/>
      <c r="F175" s="1051"/>
      <c r="G175" s="1051"/>
      <c r="H175" s="1078">
        <v>0</v>
      </c>
      <c r="I175" s="1078">
        <v>0</v>
      </c>
      <c r="J175" s="1078">
        <v>0</v>
      </c>
      <c r="K175" s="1078">
        <v>0</v>
      </c>
      <c r="L175" s="1078">
        <v>0</v>
      </c>
      <c r="M175" s="1078">
        <v>0</v>
      </c>
      <c r="N175" s="1078">
        <v>0</v>
      </c>
      <c r="O175" s="1078">
        <v>0</v>
      </c>
      <c r="P175" s="1078">
        <v>0</v>
      </c>
      <c r="Q175" s="1078">
        <v>0</v>
      </c>
      <c r="R175" s="1078">
        <v>0</v>
      </c>
      <c r="S175" s="1078">
        <v>0</v>
      </c>
      <c r="T175" s="1078">
        <v>0</v>
      </c>
    </row>
    <row r="176" spans="1:21" ht="18">
      <c r="A176" s="1083" t="s">
        <v>1002</v>
      </c>
      <c r="B176" s="1060"/>
      <c r="C176" s="1060"/>
      <c r="D176" s="1060"/>
      <c r="E176" s="1051"/>
      <c r="F176" s="1051"/>
      <c r="G176" s="1051"/>
      <c r="H176" s="1078"/>
      <c r="I176" s="1078"/>
      <c r="J176" s="1078"/>
      <c r="K176" s="1078"/>
      <c r="L176" s="1078"/>
      <c r="M176" s="1078"/>
      <c r="N176" s="1078"/>
      <c r="O176" s="1078"/>
      <c r="P176" s="1078"/>
      <c r="Q176" s="1078"/>
      <c r="R176" s="1078"/>
      <c r="S176" s="1078"/>
      <c r="T176" s="1078"/>
    </row>
    <row r="177" spans="1:21" ht="18">
      <c r="A177" s="1083" t="s">
        <v>1002</v>
      </c>
      <c r="B177" s="1060" t="s">
        <v>118</v>
      </c>
      <c r="C177" s="1060" t="s">
        <v>15</v>
      </c>
      <c r="D177" s="1060" t="s">
        <v>1004</v>
      </c>
      <c r="E177" s="1051"/>
      <c r="F177" s="1051"/>
      <c r="G177" s="1051"/>
      <c r="H177" s="1078"/>
      <c r="I177" s="1078"/>
      <c r="J177" s="1078"/>
      <c r="K177" s="1078"/>
      <c r="L177" s="1078"/>
      <c r="M177" s="1078"/>
      <c r="N177" s="1078"/>
      <c r="O177" s="1078"/>
      <c r="P177" s="1078"/>
      <c r="Q177" s="1078"/>
      <c r="R177" s="1078"/>
      <c r="S177" s="1078"/>
      <c r="T177" s="1078">
        <v>0</v>
      </c>
    </row>
    <row r="178" spans="1:21" ht="18">
      <c r="A178" s="1083" t="s">
        <v>1002</v>
      </c>
      <c r="B178" s="1060"/>
      <c r="C178" s="1060"/>
      <c r="D178" s="1060" t="s">
        <v>1004</v>
      </c>
      <c r="E178" s="1051"/>
      <c r="F178" s="1051"/>
      <c r="G178" s="1051"/>
      <c r="H178" s="1078"/>
      <c r="I178" s="1078"/>
      <c r="J178" s="1078"/>
      <c r="K178" s="1078"/>
      <c r="L178" s="1078"/>
      <c r="M178" s="1078"/>
      <c r="N178" s="1078"/>
      <c r="O178" s="1078"/>
      <c r="P178" s="1078"/>
      <c r="Q178" s="1078"/>
      <c r="R178" s="1078"/>
      <c r="S178" s="1078"/>
      <c r="T178" s="1078"/>
    </row>
    <row r="179" spans="1:21" ht="18">
      <c r="A179" s="1083" t="s">
        <v>1002</v>
      </c>
      <c r="B179" s="1060"/>
      <c r="C179" s="1060" t="s">
        <v>16</v>
      </c>
      <c r="D179" s="1060" t="s">
        <v>1004</v>
      </c>
      <c r="E179" s="1051"/>
      <c r="F179" s="1051"/>
      <c r="G179" s="1051"/>
      <c r="H179" s="1078"/>
      <c r="I179" s="1078"/>
      <c r="J179" s="1078"/>
      <c r="K179" s="1078"/>
      <c r="L179" s="1078"/>
      <c r="M179" s="1078"/>
      <c r="N179" s="1078"/>
      <c r="O179" s="1078"/>
      <c r="P179" s="1078"/>
      <c r="Q179" s="1078"/>
      <c r="R179" s="1078"/>
      <c r="S179" s="1078"/>
      <c r="T179" s="1078">
        <v>0</v>
      </c>
    </row>
    <row r="180" spans="1:21" ht="18">
      <c r="A180" s="1083" t="s">
        <v>1002</v>
      </c>
      <c r="B180" s="1060"/>
      <c r="C180" s="1060"/>
      <c r="D180" s="1060" t="s">
        <v>1004</v>
      </c>
      <c r="E180" s="1051"/>
      <c r="F180" s="1051"/>
      <c r="G180" s="1051"/>
      <c r="H180" s="1078"/>
      <c r="I180" s="1078"/>
      <c r="J180" s="1078"/>
      <c r="K180" s="1078"/>
      <c r="L180" s="1078"/>
      <c r="M180" s="1078"/>
      <c r="N180" s="1078"/>
      <c r="O180" s="1078"/>
      <c r="P180" s="1078"/>
      <c r="Q180" s="1078"/>
      <c r="R180" s="1078"/>
      <c r="S180" s="1078"/>
      <c r="T180" s="1078"/>
    </row>
    <row r="181" spans="1:21" ht="18">
      <c r="A181" s="1083" t="s">
        <v>1002</v>
      </c>
      <c r="B181" s="1060"/>
      <c r="C181" s="1060" t="s">
        <v>17</v>
      </c>
      <c r="D181" s="1060" t="s">
        <v>1004</v>
      </c>
      <c r="E181" s="1051"/>
      <c r="F181" s="1051"/>
      <c r="G181" s="1051"/>
      <c r="H181" s="1081"/>
      <c r="I181" s="1081"/>
      <c r="J181" s="1081"/>
      <c r="K181" s="1081"/>
      <c r="L181" s="1081"/>
      <c r="M181" s="1081"/>
      <c r="N181" s="1081"/>
      <c r="O181" s="1081"/>
      <c r="P181" s="1081"/>
      <c r="Q181" s="1081"/>
      <c r="R181" s="1081"/>
      <c r="S181" s="1081"/>
      <c r="T181" s="1081">
        <v>0</v>
      </c>
    </row>
    <row r="182" spans="1:21" ht="18">
      <c r="A182" s="1083" t="s">
        <v>1002</v>
      </c>
      <c r="B182" s="1060"/>
      <c r="C182" s="1060" t="s">
        <v>18</v>
      </c>
      <c r="D182" s="1060" t="s">
        <v>1004</v>
      </c>
      <c r="E182" s="1051"/>
      <c r="F182" s="1051"/>
      <c r="G182" s="1051"/>
      <c r="H182" s="1078"/>
      <c r="I182" s="1078"/>
      <c r="J182" s="1078"/>
      <c r="K182" s="1078"/>
      <c r="L182" s="1078"/>
      <c r="M182" s="1078"/>
      <c r="N182" s="1078"/>
      <c r="O182" s="1078"/>
      <c r="P182" s="1078"/>
      <c r="Q182" s="1078"/>
      <c r="R182" s="1078"/>
      <c r="S182" s="1078"/>
      <c r="T182" s="1078">
        <v>0</v>
      </c>
    </row>
    <row r="183" spans="1:21" ht="18">
      <c r="A183" s="1083" t="s">
        <v>1002</v>
      </c>
      <c r="B183" s="1060"/>
      <c r="C183" s="1060" t="s">
        <v>996</v>
      </c>
      <c r="D183" s="1060" t="s">
        <v>1004</v>
      </c>
      <c r="E183" s="1051"/>
      <c r="F183" s="1051"/>
      <c r="G183" s="1051"/>
      <c r="H183" s="1078">
        <v>0</v>
      </c>
      <c r="I183" s="1078">
        <v>0</v>
      </c>
      <c r="J183" s="1078">
        <v>0</v>
      </c>
      <c r="K183" s="1078">
        <v>0</v>
      </c>
      <c r="L183" s="1078">
        <v>0</v>
      </c>
      <c r="M183" s="1078">
        <v>0</v>
      </c>
      <c r="N183" s="1078">
        <v>0</v>
      </c>
      <c r="O183" s="1078">
        <v>0</v>
      </c>
      <c r="P183" s="1078">
        <v>0</v>
      </c>
      <c r="Q183" s="1078">
        <v>0</v>
      </c>
      <c r="R183" s="1078">
        <v>0</v>
      </c>
      <c r="S183" s="1078">
        <v>0</v>
      </c>
      <c r="T183" s="1078">
        <v>0</v>
      </c>
    </row>
    <row r="184" spans="1:21" ht="18">
      <c r="A184" s="1083" t="s">
        <v>1002</v>
      </c>
      <c r="B184" s="1060"/>
      <c r="C184" s="1060" t="s">
        <v>19</v>
      </c>
      <c r="D184" s="1060" t="s">
        <v>1004</v>
      </c>
      <c r="E184" s="1051"/>
      <c r="F184" s="1051"/>
      <c r="G184" s="1051"/>
      <c r="H184" s="1078"/>
      <c r="I184" s="1078"/>
      <c r="J184" s="1078"/>
      <c r="K184" s="1078"/>
      <c r="L184" s="1078"/>
      <c r="M184" s="1078"/>
      <c r="N184" s="1078"/>
      <c r="O184" s="1078"/>
      <c r="P184" s="1078"/>
      <c r="Q184" s="1078"/>
      <c r="R184" s="1078"/>
      <c r="S184" s="1078"/>
      <c r="T184" s="1078">
        <v>0</v>
      </c>
      <c r="U184" s="12"/>
    </row>
    <row r="185" spans="1:21" ht="18">
      <c r="A185" s="1083" t="s">
        <v>1002</v>
      </c>
      <c r="B185" s="1060"/>
      <c r="C185" s="1060"/>
      <c r="D185" s="1060"/>
      <c r="E185" s="1051"/>
      <c r="F185" s="1051"/>
      <c r="G185" s="1051"/>
      <c r="H185" s="1078"/>
      <c r="I185" s="1078"/>
      <c r="J185" s="1078"/>
      <c r="K185" s="1078"/>
      <c r="L185" s="1078"/>
      <c r="M185" s="1078"/>
      <c r="N185" s="1078"/>
      <c r="O185" s="1078"/>
      <c r="P185" s="1078"/>
      <c r="Q185" s="1078"/>
      <c r="R185" s="1078"/>
      <c r="S185" s="1078"/>
      <c r="T185" s="1078"/>
    </row>
    <row r="186" spans="1:21" ht="18">
      <c r="A186" s="1083" t="s">
        <v>1002</v>
      </c>
      <c r="B186" s="1060" t="s">
        <v>76</v>
      </c>
      <c r="C186" s="1060" t="s">
        <v>15</v>
      </c>
      <c r="D186" s="1060" t="s">
        <v>1004</v>
      </c>
      <c r="E186" s="1051"/>
      <c r="F186" s="1051"/>
      <c r="G186" s="1051"/>
      <c r="H186" s="1078">
        <v>0</v>
      </c>
      <c r="I186" s="1078">
        <v>0</v>
      </c>
      <c r="J186" s="1078">
        <v>0</v>
      </c>
      <c r="K186" s="1078">
        <v>0</v>
      </c>
      <c r="L186" s="1078">
        <v>0</v>
      </c>
      <c r="M186" s="1078">
        <v>0</v>
      </c>
      <c r="N186" s="1078">
        <v>0</v>
      </c>
      <c r="O186" s="1078">
        <v>0</v>
      </c>
      <c r="P186" s="1078">
        <v>0</v>
      </c>
      <c r="Q186" s="1078">
        <v>0</v>
      </c>
      <c r="R186" s="1078">
        <v>0</v>
      </c>
      <c r="S186" s="1078">
        <v>0</v>
      </c>
      <c r="T186" s="1078">
        <v>0</v>
      </c>
    </row>
    <row r="187" spans="1:21" ht="18">
      <c r="A187" s="1083" t="s">
        <v>1002</v>
      </c>
      <c r="B187" s="1060"/>
      <c r="C187" s="1060"/>
      <c r="D187" s="1060" t="s">
        <v>1004</v>
      </c>
      <c r="E187" s="1051"/>
      <c r="F187" s="1051"/>
      <c r="G187" s="1051"/>
      <c r="H187" s="1078">
        <v>0</v>
      </c>
      <c r="I187" s="1078">
        <v>0</v>
      </c>
      <c r="J187" s="1078">
        <v>0</v>
      </c>
      <c r="K187" s="1078">
        <v>0</v>
      </c>
      <c r="L187" s="1078">
        <v>0</v>
      </c>
      <c r="M187" s="1078">
        <v>0</v>
      </c>
      <c r="N187" s="1078">
        <v>0</v>
      </c>
      <c r="O187" s="1078">
        <v>0</v>
      </c>
      <c r="P187" s="1078">
        <v>0</v>
      </c>
      <c r="Q187" s="1078">
        <v>0</v>
      </c>
      <c r="R187" s="1078">
        <v>0</v>
      </c>
      <c r="S187" s="1078">
        <v>0</v>
      </c>
      <c r="T187" s="1078"/>
    </row>
    <row r="188" spans="1:21" ht="18">
      <c r="A188" s="1083" t="s">
        <v>1002</v>
      </c>
      <c r="B188" s="1060"/>
      <c r="C188" s="1060" t="s">
        <v>16</v>
      </c>
      <c r="D188" s="1060" t="s">
        <v>1004</v>
      </c>
      <c r="E188" s="1051"/>
      <c r="F188" s="1051"/>
      <c r="G188" s="1051"/>
      <c r="H188" s="1078">
        <v>0</v>
      </c>
      <c r="I188" s="1078">
        <v>0</v>
      </c>
      <c r="J188" s="1078">
        <v>0</v>
      </c>
      <c r="K188" s="1078">
        <v>0</v>
      </c>
      <c r="L188" s="1078">
        <v>0</v>
      </c>
      <c r="M188" s="1078">
        <v>0</v>
      </c>
      <c r="N188" s="1078">
        <v>0</v>
      </c>
      <c r="O188" s="1078">
        <v>0</v>
      </c>
      <c r="P188" s="1078">
        <v>0</v>
      </c>
      <c r="Q188" s="1078">
        <v>0</v>
      </c>
      <c r="R188" s="1078">
        <v>0</v>
      </c>
      <c r="S188" s="1078">
        <v>0</v>
      </c>
      <c r="T188" s="1078">
        <v>0</v>
      </c>
    </row>
    <row r="189" spans="1:21" ht="18">
      <c r="A189" s="1083" t="s">
        <v>1002</v>
      </c>
      <c r="B189" s="1060"/>
      <c r="C189" s="1060"/>
      <c r="D189" s="1060" t="s">
        <v>1004</v>
      </c>
      <c r="E189" s="1051"/>
      <c r="F189" s="1051"/>
      <c r="G189" s="1051"/>
      <c r="H189" s="1078">
        <v>0</v>
      </c>
      <c r="I189" s="1078">
        <v>0</v>
      </c>
      <c r="J189" s="1078">
        <v>0</v>
      </c>
      <c r="K189" s="1078">
        <v>0</v>
      </c>
      <c r="L189" s="1078">
        <v>0</v>
      </c>
      <c r="M189" s="1078">
        <v>0</v>
      </c>
      <c r="N189" s="1078">
        <v>0</v>
      </c>
      <c r="O189" s="1078">
        <v>0</v>
      </c>
      <c r="P189" s="1078">
        <v>0</v>
      </c>
      <c r="Q189" s="1078">
        <v>0</v>
      </c>
      <c r="R189" s="1078">
        <v>0</v>
      </c>
      <c r="S189" s="1078">
        <v>0</v>
      </c>
      <c r="T189" s="1078"/>
    </row>
    <row r="190" spans="1:21" ht="18">
      <c r="A190" s="1083" t="s">
        <v>1002</v>
      </c>
      <c r="B190" s="1060"/>
      <c r="C190" s="1060" t="s">
        <v>17</v>
      </c>
      <c r="D190" s="1060" t="s">
        <v>1004</v>
      </c>
      <c r="E190" s="1051"/>
      <c r="F190" s="1051"/>
      <c r="G190" s="1051"/>
      <c r="H190" s="1081">
        <v>0</v>
      </c>
      <c r="I190" s="1081">
        <v>0</v>
      </c>
      <c r="J190" s="1081">
        <v>0</v>
      </c>
      <c r="K190" s="1081">
        <v>0</v>
      </c>
      <c r="L190" s="1081">
        <v>0</v>
      </c>
      <c r="M190" s="1081">
        <v>0</v>
      </c>
      <c r="N190" s="1081">
        <v>0</v>
      </c>
      <c r="O190" s="1081">
        <v>0</v>
      </c>
      <c r="P190" s="1081">
        <v>0</v>
      </c>
      <c r="Q190" s="1081">
        <v>0</v>
      </c>
      <c r="R190" s="1081">
        <v>0</v>
      </c>
      <c r="S190" s="1081">
        <v>0</v>
      </c>
      <c r="T190" s="1081">
        <v>0</v>
      </c>
    </row>
    <row r="191" spans="1:21" ht="18">
      <c r="A191" s="1083" t="s">
        <v>1002</v>
      </c>
      <c r="B191" s="1060"/>
      <c r="C191" s="1060" t="s">
        <v>18</v>
      </c>
      <c r="D191" s="1060" t="s">
        <v>1004</v>
      </c>
      <c r="E191" s="1051"/>
      <c r="F191" s="1051"/>
      <c r="G191" s="1051"/>
      <c r="H191" s="1078">
        <v>0</v>
      </c>
      <c r="I191" s="1078">
        <v>0</v>
      </c>
      <c r="J191" s="1078">
        <v>0</v>
      </c>
      <c r="K191" s="1078">
        <v>0</v>
      </c>
      <c r="L191" s="1078">
        <v>0</v>
      </c>
      <c r="M191" s="1078">
        <v>0</v>
      </c>
      <c r="N191" s="1078">
        <v>0</v>
      </c>
      <c r="O191" s="1078">
        <v>0</v>
      </c>
      <c r="P191" s="1078">
        <v>0</v>
      </c>
      <c r="Q191" s="1078">
        <v>0</v>
      </c>
      <c r="R191" s="1078">
        <v>0</v>
      </c>
      <c r="S191" s="1078">
        <v>0</v>
      </c>
      <c r="T191" s="1078">
        <v>0</v>
      </c>
    </row>
    <row r="192" spans="1:21" ht="18">
      <c r="A192" s="1083" t="s">
        <v>1002</v>
      </c>
      <c r="B192" s="1060"/>
      <c r="C192" s="1060" t="s">
        <v>996</v>
      </c>
      <c r="D192" s="1060" t="s">
        <v>1004</v>
      </c>
      <c r="E192" s="1051"/>
      <c r="F192" s="1051"/>
      <c r="G192" s="1051"/>
      <c r="H192" s="1078">
        <v>0</v>
      </c>
      <c r="I192" s="1078">
        <v>0</v>
      </c>
      <c r="J192" s="1078">
        <v>0</v>
      </c>
      <c r="K192" s="1078">
        <v>0</v>
      </c>
      <c r="L192" s="1078">
        <v>0</v>
      </c>
      <c r="M192" s="1078">
        <v>0</v>
      </c>
      <c r="N192" s="1078">
        <v>0</v>
      </c>
      <c r="O192" s="1078">
        <v>0</v>
      </c>
      <c r="P192" s="1078">
        <v>0</v>
      </c>
      <c r="Q192" s="1078">
        <v>0</v>
      </c>
      <c r="R192" s="1078">
        <v>0</v>
      </c>
      <c r="S192" s="1078">
        <v>0</v>
      </c>
      <c r="T192" s="1078">
        <v>0</v>
      </c>
    </row>
    <row r="193" spans="1:21" ht="18">
      <c r="A193" s="1083" t="s">
        <v>1002</v>
      </c>
      <c r="B193" s="1060"/>
      <c r="C193" s="1060" t="s">
        <v>19</v>
      </c>
      <c r="D193" s="1060" t="s">
        <v>1004</v>
      </c>
      <c r="E193" s="1051"/>
      <c r="F193" s="1051"/>
      <c r="G193" s="1051"/>
      <c r="H193" s="1078">
        <v>0</v>
      </c>
      <c r="I193" s="1078">
        <v>0</v>
      </c>
      <c r="J193" s="1078">
        <v>0</v>
      </c>
      <c r="K193" s="1078">
        <v>0</v>
      </c>
      <c r="L193" s="1078">
        <v>0</v>
      </c>
      <c r="M193" s="1078">
        <v>0</v>
      </c>
      <c r="N193" s="1078">
        <v>0</v>
      </c>
      <c r="O193" s="1078">
        <v>0</v>
      </c>
      <c r="P193" s="1078">
        <v>0</v>
      </c>
      <c r="Q193" s="1078">
        <v>0</v>
      </c>
      <c r="R193" s="1078">
        <v>0</v>
      </c>
      <c r="S193" s="1078">
        <v>0</v>
      </c>
      <c r="T193" s="1078">
        <v>0</v>
      </c>
    </row>
    <row r="194" spans="1:21" ht="18">
      <c r="A194" s="1083"/>
      <c r="B194" s="1060"/>
      <c r="C194" s="1060"/>
      <c r="D194" s="1060"/>
      <c r="E194" s="1051"/>
      <c r="F194" s="1051"/>
      <c r="G194" s="1051"/>
      <c r="H194" s="1078"/>
      <c r="I194" s="1078"/>
      <c r="J194" s="1078"/>
      <c r="K194" s="1078"/>
      <c r="L194" s="1078"/>
      <c r="M194" s="1078"/>
      <c r="N194" s="1078"/>
      <c r="O194" s="1078"/>
      <c r="P194" s="1078"/>
      <c r="Q194" s="1078"/>
      <c r="R194" s="1078"/>
      <c r="S194" s="1078"/>
      <c r="T194" s="1078"/>
    </row>
    <row r="195" spans="1:21" ht="18">
      <c r="A195" s="1083"/>
      <c r="B195" s="1082" t="s">
        <v>676</v>
      </c>
      <c r="C195" s="1060" t="s">
        <v>15</v>
      </c>
      <c r="D195" s="1060"/>
      <c r="E195" s="1051"/>
      <c r="F195" s="1051"/>
      <c r="G195" s="1051"/>
      <c r="H195" s="1078">
        <v>1436959</v>
      </c>
      <c r="I195" s="1078">
        <v>-1879276</v>
      </c>
      <c r="J195" s="1078">
        <v>1210113</v>
      </c>
      <c r="K195" s="1078">
        <v>1030861</v>
      </c>
      <c r="L195" s="1078">
        <v>-1099491</v>
      </c>
      <c r="M195" s="1078">
        <v>33304</v>
      </c>
      <c r="N195" s="1078">
        <v>246816</v>
      </c>
      <c r="O195" s="1078">
        <v>395142</v>
      </c>
      <c r="P195" s="1078">
        <v>1320003</v>
      </c>
      <c r="Q195" s="1078">
        <v>162462</v>
      </c>
      <c r="R195" s="1078">
        <v>-818695</v>
      </c>
      <c r="S195" s="1078">
        <v>-3472187</v>
      </c>
      <c r="T195" s="1078">
        <v>-1433989</v>
      </c>
    </row>
    <row r="196" spans="1:21" ht="18">
      <c r="A196" s="1083"/>
      <c r="B196" s="1082" t="s">
        <v>107</v>
      </c>
      <c r="C196" s="1060" t="s">
        <v>15</v>
      </c>
      <c r="D196" s="1060"/>
      <c r="E196" s="1051"/>
      <c r="F196" s="1051"/>
      <c r="G196" s="1051"/>
      <c r="H196" s="1078">
        <v>3596351</v>
      </c>
      <c r="I196" s="1078">
        <v>3190082</v>
      </c>
      <c r="J196" s="1078">
        <v>2140865</v>
      </c>
      <c r="K196" s="1078">
        <v>1507130</v>
      </c>
      <c r="L196" s="1078">
        <v>900846</v>
      </c>
      <c r="M196" s="1078">
        <v>516273</v>
      </c>
      <c r="N196" s="1078">
        <v>417429</v>
      </c>
      <c r="O196" s="1078">
        <v>404279</v>
      </c>
      <c r="P196" s="1078">
        <v>501596</v>
      </c>
      <c r="Q196" s="1078">
        <v>1254206</v>
      </c>
      <c r="R196" s="1078">
        <v>2505884</v>
      </c>
      <c r="S196" s="1078">
        <v>3872051</v>
      </c>
      <c r="T196" s="1078">
        <v>20806992</v>
      </c>
    </row>
    <row r="197" spans="1:21" ht="18">
      <c r="A197" s="1051"/>
      <c r="B197" s="1051"/>
      <c r="C197" s="1051"/>
      <c r="D197" s="1051"/>
      <c r="E197" s="1051"/>
      <c r="F197" s="1051"/>
      <c r="G197" s="1051"/>
      <c r="H197" s="1078"/>
      <c r="I197" s="1078"/>
      <c r="J197" s="1078"/>
      <c r="K197" s="1078"/>
      <c r="L197" s="1078"/>
      <c r="M197" s="1078"/>
      <c r="N197" s="1078"/>
      <c r="O197" s="1078"/>
      <c r="P197" s="1078"/>
      <c r="Q197" s="1078"/>
      <c r="R197" s="1078"/>
      <c r="S197" s="1078"/>
      <c r="T197" s="1078">
        <v>0</v>
      </c>
    </row>
    <row r="198" spans="1:21" ht="18">
      <c r="A198" s="1083"/>
      <c r="B198" s="1082" t="s">
        <v>532</v>
      </c>
      <c r="C198" s="1060"/>
      <c r="D198" s="1060"/>
      <c r="E198" s="1051"/>
      <c r="F198" s="1051"/>
      <c r="G198" s="1051"/>
      <c r="H198" s="1078"/>
      <c r="I198" s="1078"/>
      <c r="J198" s="1078"/>
      <c r="K198" s="1078"/>
      <c r="L198" s="1078"/>
      <c r="M198" s="1078"/>
      <c r="N198" s="1078"/>
      <c r="O198" s="1078"/>
      <c r="P198" s="1078"/>
      <c r="Q198" s="1078"/>
      <c r="R198" s="1078"/>
      <c r="S198" s="1078"/>
      <c r="T198" s="1078"/>
    </row>
    <row r="199" spans="1:21" ht="18">
      <c r="A199" s="1083"/>
      <c r="B199" s="1082"/>
      <c r="C199" s="1060" t="s">
        <v>15</v>
      </c>
      <c r="D199" s="1060"/>
      <c r="E199" s="1051"/>
      <c r="F199" s="1051"/>
      <c r="G199" s="1051"/>
      <c r="H199" s="1078">
        <v>58576005.250398502</v>
      </c>
      <c r="I199" s="1078">
        <v>49373621.492848799</v>
      </c>
      <c r="J199" s="1078">
        <v>39471150.770360403</v>
      </c>
      <c r="K199" s="1078">
        <v>25519030.104859699</v>
      </c>
      <c r="L199" s="1078">
        <v>17492048.8488736</v>
      </c>
      <c r="M199" s="1078">
        <v>14713275.2456234</v>
      </c>
      <c r="N199" s="1078">
        <v>14262298.059878999</v>
      </c>
      <c r="O199" s="1078">
        <v>13931950.9281034</v>
      </c>
      <c r="P199" s="1078">
        <v>15780004.643115601</v>
      </c>
      <c r="Q199" s="1078">
        <v>21770781.925967801</v>
      </c>
      <c r="R199" s="1078">
        <v>39630183.157573096</v>
      </c>
      <c r="S199" s="1078">
        <v>55922015.989228398</v>
      </c>
      <c r="T199" s="1078">
        <v>366442366.41683173</v>
      </c>
      <c r="U199" s="12"/>
    </row>
    <row r="200" spans="1:21" ht="18">
      <c r="A200" s="1083"/>
      <c r="B200" s="1082"/>
      <c r="C200" s="1060" t="s">
        <v>16</v>
      </c>
      <c r="D200" s="1060"/>
      <c r="E200" s="1051"/>
      <c r="F200" s="1051"/>
      <c r="G200" s="1051"/>
      <c r="H200" s="1078">
        <v>24256782.0156525</v>
      </c>
      <c r="I200" s="1078">
        <v>16633356.571971999</v>
      </c>
      <c r="J200" s="1078">
        <v>11555901.512825999</v>
      </c>
      <c r="K200" s="1078">
        <v>4384106.8038304998</v>
      </c>
      <c r="L200" s="1078">
        <v>2444786.8863840001</v>
      </c>
      <c r="M200" s="1078">
        <v>1588571.8447173999</v>
      </c>
      <c r="N200" s="1078">
        <v>1577022.322769</v>
      </c>
      <c r="O200" s="1078">
        <v>1465311.7739974</v>
      </c>
      <c r="P200" s="1078">
        <v>1822158.1995116</v>
      </c>
      <c r="Q200" s="1078">
        <v>4443048.1672657998</v>
      </c>
      <c r="R200" s="1078">
        <v>11887443.7439913</v>
      </c>
      <c r="S200" s="1078">
        <v>22588336.255093198</v>
      </c>
      <c r="T200" s="1078">
        <v>104646826.0980107</v>
      </c>
    </row>
    <row r="201" spans="1:21" ht="18">
      <c r="A201" s="1083"/>
      <c r="B201" s="1060"/>
      <c r="C201" s="1060" t="s">
        <v>17</v>
      </c>
      <c r="D201" s="1060"/>
      <c r="E201" s="1051"/>
      <c r="F201" s="1051"/>
      <c r="G201" s="1051"/>
      <c r="H201" s="1081">
        <v>81376228.503949001</v>
      </c>
      <c r="I201" s="1081">
        <v>55809481.465179197</v>
      </c>
      <c r="J201" s="1081">
        <v>38793398.406813599</v>
      </c>
      <c r="K201" s="1081">
        <v>31692866.231309801</v>
      </c>
      <c r="L201" s="1081">
        <v>17232263.844742399</v>
      </c>
      <c r="M201" s="1081">
        <v>10604431.079659199</v>
      </c>
      <c r="N201" s="1081">
        <v>10440168.177352</v>
      </c>
      <c r="O201" s="1081">
        <v>9589435.5378991999</v>
      </c>
      <c r="P201" s="1081">
        <v>12085802.237372801</v>
      </c>
      <c r="Q201" s="1081">
        <v>29855579.866766401</v>
      </c>
      <c r="R201" s="1081">
        <v>40799937.9684356</v>
      </c>
      <c r="S201" s="1081">
        <v>74365876.125678405</v>
      </c>
      <c r="T201" s="1081">
        <v>412645469.44515759</v>
      </c>
    </row>
    <row r="202" spans="1:21" ht="18">
      <c r="A202" s="1083"/>
      <c r="B202" s="1060"/>
      <c r="C202" s="1060" t="s">
        <v>441</v>
      </c>
      <c r="D202" s="1060"/>
      <c r="E202" s="1051"/>
      <c r="F202" s="1051"/>
      <c r="G202" s="1051"/>
      <c r="H202" s="1078">
        <v>164209015.76999998</v>
      </c>
      <c r="I202" s="1078">
        <v>121816459.53</v>
      </c>
      <c r="J202" s="1078">
        <v>89820450.689999998</v>
      </c>
      <c r="K202" s="1078">
        <v>61596003.140000001</v>
      </c>
      <c r="L202" s="1078">
        <v>37169099.579999998</v>
      </c>
      <c r="M202" s="1078">
        <v>26906278.170000002</v>
      </c>
      <c r="N202" s="1078">
        <v>26279488.559999999</v>
      </c>
      <c r="O202" s="1078">
        <v>24986698.240000002</v>
      </c>
      <c r="P202" s="1078">
        <v>29687965.080000002</v>
      </c>
      <c r="Q202" s="1078">
        <v>56069409.960000001</v>
      </c>
      <c r="R202" s="1078">
        <v>92317564.870000005</v>
      </c>
      <c r="S202" s="1078">
        <v>152876228.37</v>
      </c>
      <c r="T202" s="1078">
        <v>883734661.96000004</v>
      </c>
    </row>
    <row r="203" spans="1:21" ht="18">
      <c r="A203" s="1083"/>
      <c r="B203" s="1082"/>
      <c r="C203" s="1060" t="s">
        <v>996</v>
      </c>
      <c r="D203" s="1060"/>
      <c r="E203" s="1051"/>
      <c r="F203" s="1051"/>
      <c r="G203" s="1051"/>
      <c r="H203" s="1078">
        <v>985099</v>
      </c>
      <c r="I203" s="1078">
        <v>985589</v>
      </c>
      <c r="J203" s="1078">
        <v>988303</v>
      </c>
      <c r="K203" s="1078">
        <v>990020</v>
      </c>
      <c r="L203" s="1078">
        <v>991161</v>
      </c>
      <c r="M203" s="1078">
        <v>993936</v>
      </c>
      <c r="N203" s="1078">
        <v>993310</v>
      </c>
      <c r="O203" s="1078">
        <v>994033</v>
      </c>
      <c r="P203" s="1078">
        <v>996889</v>
      </c>
      <c r="Q203" s="1078">
        <v>997512</v>
      </c>
      <c r="R203" s="1078">
        <v>1000423</v>
      </c>
      <c r="S203" s="1078">
        <v>1003386</v>
      </c>
      <c r="T203" s="1078">
        <v>993305.08333333337</v>
      </c>
    </row>
    <row r="204" spans="1:21" ht="18">
      <c r="A204" s="1083"/>
      <c r="B204" s="1060"/>
      <c r="C204" s="1060" t="s">
        <v>57</v>
      </c>
      <c r="D204" s="1060"/>
      <c r="E204" s="1051"/>
      <c r="F204" s="1051"/>
      <c r="G204" s="1051"/>
      <c r="H204" s="1078">
        <v>20509836.449999999</v>
      </c>
      <c r="I204" s="1078">
        <v>14065434.16</v>
      </c>
      <c r="J204" s="1078">
        <v>9777275.2799999993</v>
      </c>
      <c r="K204" s="1078">
        <v>7962327.29</v>
      </c>
      <c r="L204" s="1078">
        <v>4335183.5199999996</v>
      </c>
      <c r="M204" s="1078">
        <v>2635366.4699999997</v>
      </c>
      <c r="N204" s="1078">
        <v>2597850.4500000002</v>
      </c>
      <c r="O204" s="1078">
        <v>2393872.4699999997</v>
      </c>
      <c r="P204" s="1078">
        <v>3006892.98</v>
      </c>
      <c r="Q204" s="1078">
        <v>7427941.4900000002</v>
      </c>
      <c r="R204" s="1078">
        <v>9702102.7699999996</v>
      </c>
      <c r="S204" s="1078">
        <v>17613996.280000001</v>
      </c>
      <c r="T204" s="1078">
        <v>102028079.61</v>
      </c>
    </row>
    <row r="205" spans="1:21" ht="18">
      <c r="A205" s="1083"/>
      <c r="B205" s="1082"/>
      <c r="C205" s="1082" t="s">
        <v>58</v>
      </c>
      <c r="D205" s="1082"/>
      <c r="E205" s="1051"/>
      <c r="F205" s="1051"/>
      <c r="G205" s="1051"/>
      <c r="H205" s="1081">
        <v>8636505</v>
      </c>
      <c r="I205" s="1081">
        <v>6475183</v>
      </c>
      <c r="J205" s="1081">
        <v>5816560</v>
      </c>
      <c r="K205" s="1081">
        <v>5417288</v>
      </c>
      <c r="L205" s="1081">
        <v>5182008</v>
      </c>
      <c r="M205" s="1081">
        <v>5944654</v>
      </c>
      <c r="N205" s="1081">
        <v>6875982</v>
      </c>
      <c r="O205" s="1081">
        <v>7406596</v>
      </c>
      <c r="P205" s="1081">
        <v>5491074</v>
      </c>
      <c r="Q205" s="1081">
        <v>4997517</v>
      </c>
      <c r="R205" s="1081">
        <v>5817325</v>
      </c>
      <c r="S205" s="1081">
        <v>8019631</v>
      </c>
      <c r="T205" s="1081">
        <v>76080323</v>
      </c>
    </row>
    <row r="206" spans="1:21" ht="18">
      <c r="A206" s="1085"/>
      <c r="B206" s="1060"/>
      <c r="C206" s="1060" t="s">
        <v>442</v>
      </c>
      <c r="D206" s="1060"/>
      <c r="E206" s="1051"/>
      <c r="F206" s="1051"/>
      <c r="G206" s="1051"/>
      <c r="H206" s="1078">
        <v>29146341.449999999</v>
      </c>
      <c r="I206" s="1078">
        <v>20540617.16</v>
      </c>
      <c r="J206" s="1078">
        <v>15593835.279999999</v>
      </c>
      <c r="K206" s="1078">
        <v>13379615.289999999</v>
      </c>
      <c r="L206" s="1078">
        <v>9517191.5199999996</v>
      </c>
      <c r="M206" s="1078">
        <v>8580020.4699999988</v>
      </c>
      <c r="N206" s="1078">
        <v>9473832.4499999993</v>
      </c>
      <c r="O206" s="1078">
        <v>9800468.4699999988</v>
      </c>
      <c r="P206" s="1078">
        <v>8497966.9800000004</v>
      </c>
      <c r="Q206" s="1078">
        <v>12425458.49</v>
      </c>
      <c r="R206" s="1078">
        <v>15519427.77</v>
      </c>
      <c r="S206" s="1078">
        <v>25633627.280000001</v>
      </c>
      <c r="T206" s="1078">
        <v>178108402.61000001</v>
      </c>
      <c r="U206" s="12">
        <f>+T206-Z36</f>
        <v>0</v>
      </c>
    </row>
    <row r="207" spans="1:21" ht="18">
      <c r="A207" s="1083"/>
      <c r="B207" s="1060"/>
      <c r="C207" s="1060"/>
      <c r="D207" s="1060"/>
      <c r="E207" s="1051"/>
      <c r="F207" s="1051"/>
      <c r="G207" s="1051"/>
      <c r="H207" s="1078"/>
      <c r="I207" s="1078"/>
      <c r="J207" s="1078"/>
      <c r="K207" s="1078"/>
      <c r="L207" s="1078"/>
      <c r="M207" s="1078"/>
      <c r="N207" s="1078"/>
      <c r="O207" s="1078"/>
      <c r="P207" s="1078"/>
      <c r="Q207" s="1078"/>
      <c r="R207" s="1078"/>
      <c r="S207" s="1078"/>
      <c r="T207" s="1078"/>
      <c r="U207" s="12"/>
    </row>
    <row r="208" spans="1:21" ht="18">
      <c r="A208" s="1083"/>
      <c r="B208" s="1060"/>
      <c r="C208" s="1060"/>
      <c r="D208" s="1060"/>
      <c r="E208" s="1051"/>
      <c r="F208" s="1051"/>
      <c r="G208" s="1051"/>
      <c r="H208" s="1078"/>
      <c r="I208" s="1078"/>
      <c r="J208" s="1078"/>
      <c r="K208" s="1078"/>
      <c r="L208" s="1078"/>
      <c r="M208" s="1078"/>
      <c r="N208" s="1078"/>
      <c r="O208" s="1078"/>
      <c r="P208" s="1078"/>
      <c r="Q208" s="1078"/>
      <c r="R208" s="1078"/>
      <c r="S208" s="1078"/>
      <c r="T208" s="1078"/>
    </row>
    <row r="209" spans="1:20" ht="18">
      <c r="A209" s="1083" t="s">
        <v>443</v>
      </c>
      <c r="B209" s="1060" t="s">
        <v>14</v>
      </c>
      <c r="C209" s="1060" t="s">
        <v>15</v>
      </c>
      <c r="D209" s="1060"/>
      <c r="E209" s="1051"/>
      <c r="F209" s="1051"/>
      <c r="G209" s="1051"/>
      <c r="H209" s="1078">
        <v>0</v>
      </c>
      <c r="I209" s="1078">
        <v>0</v>
      </c>
      <c r="J209" s="1078">
        <v>0</v>
      </c>
      <c r="K209" s="1078">
        <v>0</v>
      </c>
      <c r="L209" s="1078">
        <v>0</v>
      </c>
      <c r="M209" s="1078">
        <v>0</v>
      </c>
      <c r="N209" s="1078">
        <v>0</v>
      </c>
      <c r="O209" s="1078">
        <v>0</v>
      </c>
      <c r="P209" s="1078">
        <v>0</v>
      </c>
      <c r="Q209" s="1078">
        <v>0</v>
      </c>
      <c r="R209" s="1078">
        <v>0</v>
      </c>
      <c r="S209" s="1078">
        <v>0</v>
      </c>
      <c r="T209" s="1078">
        <v>0</v>
      </c>
    </row>
    <row r="210" spans="1:20" ht="18">
      <c r="A210" s="1083"/>
      <c r="B210" s="1060"/>
      <c r="C210" s="1060"/>
      <c r="D210" s="1060"/>
      <c r="E210" s="1051"/>
      <c r="F210" s="1051"/>
      <c r="G210" s="1051"/>
      <c r="H210" s="1078">
        <v>0</v>
      </c>
      <c r="I210" s="1078">
        <v>0</v>
      </c>
      <c r="J210" s="1078">
        <v>0</v>
      </c>
      <c r="K210" s="1078">
        <v>0</v>
      </c>
      <c r="L210" s="1078">
        <v>0</v>
      </c>
      <c r="M210" s="1078">
        <v>0</v>
      </c>
      <c r="N210" s="1078">
        <v>0</v>
      </c>
      <c r="O210" s="1078">
        <v>0</v>
      </c>
      <c r="P210" s="1078">
        <v>0</v>
      </c>
      <c r="Q210" s="1078">
        <v>0</v>
      </c>
      <c r="R210" s="1078">
        <v>0</v>
      </c>
      <c r="S210" s="1078">
        <v>0</v>
      </c>
      <c r="T210" s="1078"/>
    </row>
    <row r="211" spans="1:20" ht="18">
      <c r="A211" s="1083"/>
      <c r="B211" s="1060"/>
      <c r="C211" s="1060" t="s">
        <v>16</v>
      </c>
      <c r="D211" s="1060"/>
      <c r="E211" s="1051"/>
      <c r="F211" s="1051"/>
      <c r="G211" s="1051"/>
      <c r="H211" s="1078">
        <v>0</v>
      </c>
      <c r="I211" s="1078">
        <v>0</v>
      </c>
      <c r="J211" s="1078">
        <v>0</v>
      </c>
      <c r="K211" s="1078">
        <v>0</v>
      </c>
      <c r="L211" s="1078">
        <v>0</v>
      </c>
      <c r="M211" s="1078">
        <v>0</v>
      </c>
      <c r="N211" s="1078">
        <v>0</v>
      </c>
      <c r="O211" s="1078">
        <v>0</v>
      </c>
      <c r="P211" s="1078">
        <v>0</v>
      </c>
      <c r="Q211" s="1078">
        <v>0</v>
      </c>
      <c r="R211" s="1078">
        <v>0</v>
      </c>
      <c r="S211" s="1078">
        <v>0</v>
      </c>
      <c r="T211" s="1078">
        <v>0</v>
      </c>
    </row>
    <row r="212" spans="1:20" ht="18">
      <c r="A212" s="1083"/>
      <c r="B212" s="1060"/>
      <c r="C212" s="1060"/>
      <c r="D212" s="1060"/>
      <c r="E212" s="1051"/>
      <c r="F212" s="1051"/>
      <c r="G212" s="1051"/>
      <c r="H212" s="1078">
        <v>0</v>
      </c>
      <c r="I212" s="1078">
        <v>0</v>
      </c>
      <c r="J212" s="1078">
        <v>0</v>
      </c>
      <c r="K212" s="1078">
        <v>0</v>
      </c>
      <c r="L212" s="1078">
        <v>0</v>
      </c>
      <c r="M212" s="1078">
        <v>0</v>
      </c>
      <c r="N212" s="1078">
        <v>0</v>
      </c>
      <c r="O212" s="1078">
        <v>0</v>
      </c>
      <c r="P212" s="1078">
        <v>0</v>
      </c>
      <c r="Q212" s="1078">
        <v>0</v>
      </c>
      <c r="R212" s="1078">
        <v>0</v>
      </c>
      <c r="S212" s="1078">
        <v>0</v>
      </c>
      <c r="T212" s="1078"/>
    </row>
    <row r="213" spans="1:20" ht="18">
      <c r="A213" s="1083"/>
      <c r="B213" s="1060"/>
      <c r="C213" s="1060" t="s">
        <v>17</v>
      </c>
      <c r="D213" s="1060"/>
      <c r="E213" s="1051"/>
      <c r="F213" s="1051"/>
      <c r="G213" s="1051"/>
      <c r="H213" s="1081">
        <v>0</v>
      </c>
      <c r="I213" s="1081">
        <v>0</v>
      </c>
      <c r="J213" s="1081">
        <v>0</v>
      </c>
      <c r="K213" s="1081">
        <v>0</v>
      </c>
      <c r="L213" s="1081">
        <v>0</v>
      </c>
      <c r="M213" s="1081">
        <v>0</v>
      </c>
      <c r="N213" s="1081">
        <v>0</v>
      </c>
      <c r="O213" s="1081">
        <v>0</v>
      </c>
      <c r="P213" s="1081">
        <v>0</v>
      </c>
      <c r="Q213" s="1081">
        <v>0</v>
      </c>
      <c r="R213" s="1081">
        <v>0</v>
      </c>
      <c r="S213" s="1081">
        <v>0</v>
      </c>
      <c r="T213" s="1081">
        <v>0</v>
      </c>
    </row>
    <row r="214" spans="1:20" ht="18">
      <c r="A214" s="1083"/>
      <c r="B214" s="1060"/>
      <c r="C214" s="1060" t="s">
        <v>18</v>
      </c>
      <c r="D214" s="1060"/>
      <c r="E214" s="1051"/>
      <c r="F214" s="1051"/>
      <c r="G214" s="1051"/>
      <c r="H214" s="1078">
        <v>0</v>
      </c>
      <c r="I214" s="1078">
        <v>0</v>
      </c>
      <c r="J214" s="1078">
        <v>0</v>
      </c>
      <c r="K214" s="1078">
        <v>0</v>
      </c>
      <c r="L214" s="1078">
        <v>0</v>
      </c>
      <c r="M214" s="1078">
        <v>0</v>
      </c>
      <c r="N214" s="1078">
        <v>0</v>
      </c>
      <c r="O214" s="1078">
        <v>0</v>
      </c>
      <c r="P214" s="1078">
        <v>0</v>
      </c>
      <c r="Q214" s="1078">
        <v>0</v>
      </c>
      <c r="R214" s="1078">
        <v>0</v>
      </c>
      <c r="S214" s="1078">
        <v>0</v>
      </c>
      <c r="T214" s="1078">
        <v>0</v>
      </c>
    </row>
    <row r="215" spans="1:20" ht="18">
      <c r="A215" s="1083"/>
      <c r="B215" s="1060"/>
      <c r="C215" s="1060" t="s">
        <v>996</v>
      </c>
      <c r="D215" s="1060"/>
      <c r="E215" s="1051"/>
      <c r="F215" s="1051"/>
      <c r="G215" s="1051"/>
      <c r="H215" s="1078">
        <v>0</v>
      </c>
      <c r="I215" s="1078">
        <v>0</v>
      </c>
      <c r="J215" s="1078">
        <v>0</v>
      </c>
      <c r="K215" s="1078">
        <v>0</v>
      </c>
      <c r="L215" s="1078">
        <v>0</v>
      </c>
      <c r="M215" s="1078">
        <v>0</v>
      </c>
      <c r="N215" s="1078">
        <v>0</v>
      </c>
      <c r="O215" s="1078">
        <v>0</v>
      </c>
      <c r="P215" s="1078">
        <v>0</v>
      </c>
      <c r="Q215" s="1078">
        <v>0</v>
      </c>
      <c r="R215" s="1078">
        <v>0</v>
      </c>
      <c r="S215" s="1078">
        <v>0</v>
      </c>
      <c r="T215" s="1078">
        <v>0</v>
      </c>
    </row>
    <row r="216" spans="1:20" ht="18">
      <c r="A216" s="1083"/>
      <c r="B216" s="1060"/>
      <c r="C216" s="1060" t="s">
        <v>19</v>
      </c>
      <c r="D216" s="1060"/>
      <c r="E216" s="1051"/>
      <c r="F216" s="1051"/>
      <c r="G216" s="1051"/>
      <c r="H216" s="1078">
        <v>0</v>
      </c>
      <c r="I216" s="1078">
        <v>0</v>
      </c>
      <c r="J216" s="1078">
        <v>0</v>
      </c>
      <c r="K216" s="1078">
        <v>0</v>
      </c>
      <c r="L216" s="1078">
        <v>0</v>
      </c>
      <c r="M216" s="1078">
        <v>0</v>
      </c>
      <c r="N216" s="1078">
        <v>0</v>
      </c>
      <c r="O216" s="1078">
        <v>0</v>
      </c>
      <c r="P216" s="1078">
        <v>0</v>
      </c>
      <c r="Q216" s="1078">
        <v>0</v>
      </c>
      <c r="R216" s="1078">
        <v>0</v>
      </c>
      <c r="S216" s="1078">
        <v>0</v>
      </c>
      <c r="T216" s="1078">
        <v>0</v>
      </c>
    </row>
    <row r="217" spans="1:20" ht="18">
      <c r="A217" s="1083"/>
      <c r="B217" s="1060"/>
      <c r="C217" s="1060"/>
      <c r="D217" s="1060"/>
      <c r="E217" s="1051"/>
      <c r="F217" s="1051"/>
      <c r="G217" s="1051"/>
      <c r="H217" s="1078">
        <v>0</v>
      </c>
      <c r="I217" s="1078">
        <v>0</v>
      </c>
      <c r="J217" s="1078">
        <v>0</v>
      </c>
      <c r="K217" s="1078">
        <v>0</v>
      </c>
      <c r="L217" s="1078">
        <v>0</v>
      </c>
      <c r="M217" s="1078">
        <v>0</v>
      </c>
      <c r="N217" s="1078">
        <v>0</v>
      </c>
      <c r="O217" s="1078">
        <v>0</v>
      </c>
      <c r="P217" s="1078">
        <v>0</v>
      </c>
      <c r="Q217" s="1078">
        <v>0</v>
      </c>
      <c r="R217" s="1078">
        <v>0</v>
      </c>
      <c r="S217" s="1078">
        <v>0</v>
      </c>
      <c r="T217" s="1078"/>
    </row>
    <row r="218" spans="1:20" ht="18">
      <c r="A218" s="1083"/>
      <c r="B218" s="1060" t="s">
        <v>80</v>
      </c>
      <c r="C218" s="1060" t="s">
        <v>15</v>
      </c>
      <c r="D218" s="1060"/>
      <c r="E218" s="1051"/>
      <c r="F218" s="1051"/>
      <c r="G218" s="1051"/>
      <c r="H218" s="1078">
        <v>0</v>
      </c>
      <c r="I218" s="1078">
        <v>0</v>
      </c>
      <c r="J218" s="1078">
        <v>0</v>
      </c>
      <c r="K218" s="1078">
        <v>0</v>
      </c>
      <c r="L218" s="1078">
        <v>0</v>
      </c>
      <c r="M218" s="1078">
        <v>0</v>
      </c>
      <c r="N218" s="1078">
        <v>0</v>
      </c>
      <c r="O218" s="1078">
        <v>0</v>
      </c>
      <c r="P218" s="1078">
        <v>0</v>
      </c>
      <c r="Q218" s="1078">
        <v>0</v>
      </c>
      <c r="R218" s="1078">
        <v>0</v>
      </c>
      <c r="S218" s="1078">
        <v>0</v>
      </c>
      <c r="T218" s="1078">
        <v>0</v>
      </c>
    </row>
    <row r="219" spans="1:20" ht="18">
      <c r="A219" s="1083"/>
      <c r="B219" s="1060"/>
      <c r="C219" s="1060"/>
      <c r="D219" s="1060"/>
      <c r="E219" s="1051"/>
      <c r="F219" s="1051"/>
      <c r="G219" s="1051"/>
      <c r="H219" s="1078">
        <v>0</v>
      </c>
      <c r="I219" s="1078">
        <v>0</v>
      </c>
      <c r="J219" s="1078">
        <v>0</v>
      </c>
      <c r="K219" s="1078">
        <v>0</v>
      </c>
      <c r="L219" s="1078">
        <v>0</v>
      </c>
      <c r="M219" s="1078">
        <v>0</v>
      </c>
      <c r="N219" s="1078">
        <v>0</v>
      </c>
      <c r="O219" s="1078">
        <v>0</v>
      </c>
      <c r="P219" s="1078">
        <v>0</v>
      </c>
      <c r="Q219" s="1078">
        <v>0</v>
      </c>
      <c r="R219" s="1078">
        <v>0</v>
      </c>
      <c r="S219" s="1078">
        <v>0</v>
      </c>
      <c r="T219" s="1078"/>
    </row>
    <row r="220" spans="1:20" ht="18">
      <c r="A220" s="1083"/>
      <c r="B220" s="1060"/>
      <c r="C220" s="1060" t="s">
        <v>16</v>
      </c>
      <c r="D220" s="1060"/>
      <c r="E220" s="1051"/>
      <c r="F220" s="1051"/>
      <c r="G220" s="1051"/>
      <c r="H220" s="1078">
        <v>0</v>
      </c>
      <c r="I220" s="1078">
        <v>0</v>
      </c>
      <c r="J220" s="1078">
        <v>0</v>
      </c>
      <c r="K220" s="1078">
        <v>0</v>
      </c>
      <c r="L220" s="1078">
        <v>0</v>
      </c>
      <c r="M220" s="1078">
        <v>0</v>
      </c>
      <c r="N220" s="1078">
        <v>0</v>
      </c>
      <c r="O220" s="1078">
        <v>0</v>
      </c>
      <c r="P220" s="1078">
        <v>0</v>
      </c>
      <c r="Q220" s="1078">
        <v>0</v>
      </c>
      <c r="R220" s="1078">
        <v>0</v>
      </c>
      <c r="S220" s="1078">
        <v>0</v>
      </c>
      <c r="T220" s="1078">
        <v>0</v>
      </c>
    </row>
    <row r="221" spans="1:20" ht="18">
      <c r="A221" s="1083"/>
      <c r="B221" s="1060"/>
      <c r="C221" s="1060"/>
      <c r="D221" s="1060"/>
      <c r="E221" s="1051"/>
      <c r="F221" s="1051"/>
      <c r="G221" s="1051"/>
      <c r="H221" s="1078">
        <v>0</v>
      </c>
      <c r="I221" s="1078">
        <v>0</v>
      </c>
      <c r="J221" s="1078">
        <v>0</v>
      </c>
      <c r="K221" s="1078">
        <v>0</v>
      </c>
      <c r="L221" s="1078">
        <v>0</v>
      </c>
      <c r="M221" s="1078">
        <v>0</v>
      </c>
      <c r="N221" s="1078">
        <v>0</v>
      </c>
      <c r="O221" s="1078">
        <v>0</v>
      </c>
      <c r="P221" s="1078">
        <v>0</v>
      </c>
      <c r="Q221" s="1078">
        <v>0</v>
      </c>
      <c r="R221" s="1078">
        <v>0</v>
      </c>
      <c r="S221" s="1078">
        <v>0</v>
      </c>
      <c r="T221" s="1078"/>
    </row>
    <row r="222" spans="1:20" ht="18">
      <c r="A222" s="1083"/>
      <c r="B222" s="1060"/>
      <c r="C222" s="1060" t="s">
        <v>17</v>
      </c>
      <c r="D222" s="1060"/>
      <c r="E222" s="1051"/>
      <c r="F222" s="1051"/>
      <c r="G222" s="1051"/>
      <c r="H222" s="1081">
        <v>0</v>
      </c>
      <c r="I222" s="1081">
        <v>0</v>
      </c>
      <c r="J222" s="1081">
        <v>0</v>
      </c>
      <c r="K222" s="1081">
        <v>0</v>
      </c>
      <c r="L222" s="1081">
        <v>0</v>
      </c>
      <c r="M222" s="1081">
        <v>0</v>
      </c>
      <c r="N222" s="1081">
        <v>0</v>
      </c>
      <c r="O222" s="1081">
        <v>0</v>
      </c>
      <c r="P222" s="1081">
        <v>0</v>
      </c>
      <c r="Q222" s="1081">
        <v>0</v>
      </c>
      <c r="R222" s="1081">
        <v>0</v>
      </c>
      <c r="S222" s="1081">
        <v>0</v>
      </c>
      <c r="T222" s="1081">
        <v>0</v>
      </c>
    </row>
    <row r="223" spans="1:20" ht="18">
      <c r="A223" s="1083"/>
      <c r="B223" s="1060"/>
      <c r="C223" s="1060" t="s">
        <v>18</v>
      </c>
      <c r="D223" s="1060"/>
      <c r="E223" s="1051"/>
      <c r="F223" s="1051"/>
      <c r="G223" s="1051"/>
      <c r="H223" s="1078">
        <v>0</v>
      </c>
      <c r="I223" s="1078">
        <v>0</v>
      </c>
      <c r="J223" s="1078">
        <v>0</v>
      </c>
      <c r="K223" s="1078">
        <v>0</v>
      </c>
      <c r="L223" s="1078">
        <v>0</v>
      </c>
      <c r="M223" s="1078">
        <v>0</v>
      </c>
      <c r="N223" s="1078">
        <v>0</v>
      </c>
      <c r="O223" s="1078">
        <v>0</v>
      </c>
      <c r="P223" s="1078">
        <v>0</v>
      </c>
      <c r="Q223" s="1078">
        <v>0</v>
      </c>
      <c r="R223" s="1078">
        <v>0</v>
      </c>
      <c r="S223" s="1078">
        <v>0</v>
      </c>
      <c r="T223" s="1078">
        <v>0</v>
      </c>
    </row>
    <row r="224" spans="1:20" ht="18">
      <c r="A224" s="1083"/>
      <c r="B224" s="1060"/>
      <c r="C224" s="1060" t="s">
        <v>996</v>
      </c>
      <c r="D224" s="1060"/>
      <c r="E224" s="1051"/>
      <c r="F224" s="1051"/>
      <c r="G224" s="1051"/>
      <c r="H224" s="1078">
        <v>0</v>
      </c>
      <c r="I224" s="1078">
        <v>0</v>
      </c>
      <c r="J224" s="1078">
        <v>0</v>
      </c>
      <c r="K224" s="1078">
        <v>0</v>
      </c>
      <c r="L224" s="1078">
        <v>0</v>
      </c>
      <c r="M224" s="1078">
        <v>0</v>
      </c>
      <c r="N224" s="1078">
        <v>0</v>
      </c>
      <c r="O224" s="1078">
        <v>0</v>
      </c>
      <c r="P224" s="1078">
        <v>0</v>
      </c>
      <c r="Q224" s="1078">
        <v>0</v>
      </c>
      <c r="R224" s="1078">
        <v>0</v>
      </c>
      <c r="S224" s="1078">
        <v>0</v>
      </c>
      <c r="T224" s="1078">
        <v>0</v>
      </c>
    </row>
    <row r="225" spans="1:20" ht="18">
      <c r="A225" s="1083"/>
      <c r="B225" s="1082"/>
      <c r="C225" s="1060" t="s">
        <v>19</v>
      </c>
      <c r="D225" s="1060"/>
      <c r="E225" s="1051"/>
      <c r="F225" s="1051"/>
      <c r="G225" s="1051"/>
      <c r="H225" s="1078">
        <v>0</v>
      </c>
      <c r="I225" s="1078">
        <v>0</v>
      </c>
      <c r="J225" s="1078">
        <v>0</v>
      </c>
      <c r="K225" s="1078">
        <v>0</v>
      </c>
      <c r="L225" s="1078">
        <v>0</v>
      </c>
      <c r="M225" s="1078">
        <v>0</v>
      </c>
      <c r="N225" s="1078">
        <v>0</v>
      </c>
      <c r="O225" s="1078">
        <v>0</v>
      </c>
      <c r="P225" s="1078">
        <v>0</v>
      </c>
      <c r="Q225" s="1078">
        <v>0</v>
      </c>
      <c r="R225" s="1078">
        <v>0</v>
      </c>
      <c r="S225" s="1078">
        <v>0</v>
      </c>
      <c r="T225" s="1078">
        <v>0</v>
      </c>
    </row>
    <row r="226" spans="1:20" ht="18">
      <c r="A226" s="1083"/>
      <c r="B226" s="1082"/>
      <c r="C226" s="1060"/>
      <c r="D226" s="1060"/>
      <c r="E226" s="1051"/>
      <c r="F226" s="1051"/>
      <c r="G226" s="1051"/>
      <c r="H226" s="1078"/>
      <c r="I226" s="1078"/>
      <c r="J226" s="1078"/>
      <c r="K226" s="1078"/>
      <c r="L226" s="1078"/>
      <c r="M226" s="1078"/>
      <c r="N226" s="1078"/>
      <c r="O226" s="1078"/>
      <c r="P226" s="1078"/>
      <c r="Q226" s="1078"/>
      <c r="R226" s="1078"/>
      <c r="S226" s="1078"/>
      <c r="T226" s="1078"/>
    </row>
    <row r="227" spans="1:20" ht="18">
      <c r="A227" s="1083"/>
      <c r="B227" s="1082" t="s">
        <v>533</v>
      </c>
      <c r="C227" s="1060"/>
      <c r="D227" s="1060"/>
      <c r="E227" s="1051"/>
      <c r="F227" s="1051"/>
      <c r="G227" s="1051"/>
      <c r="H227" s="1078"/>
      <c r="I227" s="1078"/>
      <c r="J227" s="1078"/>
      <c r="K227" s="1078"/>
      <c r="L227" s="1078"/>
      <c r="M227" s="1078"/>
      <c r="N227" s="1078"/>
      <c r="O227" s="1078"/>
      <c r="P227" s="1078"/>
      <c r="Q227" s="1078"/>
      <c r="R227" s="1078"/>
      <c r="S227" s="1078"/>
      <c r="T227" s="1078"/>
    </row>
    <row r="228" spans="1:20" ht="18">
      <c r="A228" s="1083"/>
      <c r="B228" s="1082"/>
      <c r="C228" s="1060" t="s">
        <v>15</v>
      </c>
      <c r="D228" s="1060"/>
      <c r="E228" s="1051"/>
      <c r="F228" s="1051"/>
      <c r="G228" s="1051"/>
      <c r="H228" s="1078">
        <v>0</v>
      </c>
      <c r="I228" s="1078">
        <v>0</v>
      </c>
      <c r="J228" s="1078">
        <v>0</v>
      </c>
      <c r="K228" s="1078">
        <v>0</v>
      </c>
      <c r="L228" s="1078">
        <v>0</v>
      </c>
      <c r="M228" s="1078">
        <v>0</v>
      </c>
      <c r="N228" s="1078">
        <v>0</v>
      </c>
      <c r="O228" s="1078">
        <v>0</v>
      </c>
      <c r="P228" s="1078">
        <v>0</v>
      </c>
      <c r="Q228" s="1078">
        <v>0</v>
      </c>
      <c r="R228" s="1078">
        <v>0</v>
      </c>
      <c r="S228" s="1078">
        <v>0</v>
      </c>
      <c r="T228" s="1078">
        <v>0</v>
      </c>
    </row>
    <row r="229" spans="1:20" ht="18">
      <c r="A229" s="1083"/>
      <c r="B229" s="1082"/>
      <c r="C229" s="1060" t="s">
        <v>16</v>
      </c>
      <c r="D229" s="1060"/>
      <c r="E229" s="1051"/>
      <c r="F229" s="1051"/>
      <c r="G229" s="1051"/>
      <c r="H229" s="1078">
        <v>0</v>
      </c>
      <c r="I229" s="1078">
        <v>0</v>
      </c>
      <c r="J229" s="1078">
        <v>0</v>
      </c>
      <c r="K229" s="1078">
        <v>0</v>
      </c>
      <c r="L229" s="1078">
        <v>0</v>
      </c>
      <c r="M229" s="1078">
        <v>0</v>
      </c>
      <c r="N229" s="1078">
        <v>0</v>
      </c>
      <c r="O229" s="1078">
        <v>0</v>
      </c>
      <c r="P229" s="1078">
        <v>0</v>
      </c>
      <c r="Q229" s="1078">
        <v>0</v>
      </c>
      <c r="R229" s="1078">
        <v>0</v>
      </c>
      <c r="S229" s="1078">
        <v>0</v>
      </c>
      <c r="T229" s="1078">
        <v>0</v>
      </c>
    </row>
    <row r="230" spans="1:20" ht="18">
      <c r="A230" s="1083"/>
      <c r="B230" s="1082"/>
      <c r="C230" s="1060" t="s">
        <v>17</v>
      </c>
      <c r="D230" s="1060"/>
      <c r="E230" s="1051"/>
      <c r="F230" s="1051"/>
      <c r="G230" s="1051"/>
      <c r="H230" s="1078">
        <v>0</v>
      </c>
      <c r="I230" s="1078">
        <v>0</v>
      </c>
      <c r="J230" s="1078">
        <v>0</v>
      </c>
      <c r="K230" s="1078">
        <v>0</v>
      </c>
      <c r="L230" s="1078">
        <v>0</v>
      </c>
      <c r="M230" s="1078">
        <v>0</v>
      </c>
      <c r="N230" s="1078">
        <v>0</v>
      </c>
      <c r="O230" s="1078">
        <v>0</v>
      </c>
      <c r="P230" s="1078">
        <v>0</v>
      </c>
      <c r="Q230" s="1078">
        <v>0</v>
      </c>
      <c r="R230" s="1078">
        <v>0</v>
      </c>
      <c r="S230" s="1078">
        <v>0</v>
      </c>
      <c r="T230" s="1078">
        <v>0</v>
      </c>
    </row>
    <row r="231" spans="1:20" ht="18">
      <c r="A231" s="1083"/>
      <c r="B231" s="1060"/>
      <c r="C231" s="1060" t="s">
        <v>444</v>
      </c>
      <c r="D231" s="1060"/>
      <c r="E231" s="1051"/>
      <c r="F231" s="1051"/>
      <c r="G231" s="1051"/>
      <c r="H231" s="1078">
        <v>0</v>
      </c>
      <c r="I231" s="1078">
        <v>0</v>
      </c>
      <c r="J231" s="1078">
        <v>0</v>
      </c>
      <c r="K231" s="1078">
        <v>0</v>
      </c>
      <c r="L231" s="1078">
        <v>0</v>
      </c>
      <c r="M231" s="1078">
        <v>0</v>
      </c>
      <c r="N231" s="1078">
        <v>0</v>
      </c>
      <c r="O231" s="1078">
        <v>0</v>
      </c>
      <c r="P231" s="1078">
        <v>0</v>
      </c>
      <c r="Q231" s="1078">
        <v>0</v>
      </c>
      <c r="R231" s="1078">
        <v>0</v>
      </c>
      <c r="S231" s="1078">
        <v>0</v>
      </c>
      <c r="T231" s="1078">
        <v>0</v>
      </c>
    </row>
    <row r="232" spans="1:20" ht="18">
      <c r="A232" s="1074"/>
      <c r="B232" s="1082"/>
      <c r="C232" s="1060" t="s">
        <v>996</v>
      </c>
      <c r="D232" s="1060"/>
      <c r="E232" s="1051"/>
      <c r="F232" s="1051"/>
      <c r="G232" s="1051"/>
      <c r="H232" s="1078">
        <v>0</v>
      </c>
      <c r="I232" s="1078">
        <v>0</v>
      </c>
      <c r="J232" s="1078">
        <v>0</v>
      </c>
      <c r="K232" s="1078">
        <v>0</v>
      </c>
      <c r="L232" s="1078">
        <v>0</v>
      </c>
      <c r="M232" s="1078">
        <v>0</v>
      </c>
      <c r="N232" s="1078">
        <v>0</v>
      </c>
      <c r="O232" s="1078">
        <v>0</v>
      </c>
      <c r="P232" s="1078">
        <v>0</v>
      </c>
      <c r="Q232" s="1078">
        <v>0</v>
      </c>
      <c r="R232" s="1078">
        <v>0</v>
      </c>
      <c r="S232" s="1078">
        <v>0</v>
      </c>
      <c r="T232" s="1078">
        <v>0</v>
      </c>
    </row>
    <row r="233" spans="1:20" ht="18">
      <c r="A233" s="1083"/>
      <c r="B233" s="1060"/>
      <c r="C233" s="1060" t="s">
        <v>57</v>
      </c>
      <c r="D233" s="1060"/>
      <c r="E233" s="1051"/>
      <c r="F233" s="1051"/>
      <c r="G233" s="1051"/>
      <c r="H233" s="1078">
        <v>0</v>
      </c>
      <c r="I233" s="1078">
        <v>0</v>
      </c>
      <c r="J233" s="1078">
        <v>0</v>
      </c>
      <c r="K233" s="1078">
        <v>0</v>
      </c>
      <c r="L233" s="1078">
        <v>0</v>
      </c>
      <c r="M233" s="1078">
        <v>0</v>
      </c>
      <c r="N233" s="1078">
        <v>0</v>
      </c>
      <c r="O233" s="1078">
        <v>0</v>
      </c>
      <c r="P233" s="1078">
        <v>0</v>
      </c>
      <c r="Q233" s="1078">
        <v>0</v>
      </c>
      <c r="R233" s="1078">
        <v>0</v>
      </c>
      <c r="S233" s="1078">
        <v>0</v>
      </c>
      <c r="T233" s="1078">
        <v>0</v>
      </c>
    </row>
    <row r="234" spans="1:20" ht="18">
      <c r="A234" s="1076"/>
      <c r="B234" s="1060"/>
      <c r="C234" s="1060" t="s">
        <v>58</v>
      </c>
      <c r="D234" s="1060"/>
      <c r="E234" s="1051"/>
      <c r="F234" s="1051"/>
      <c r="G234" s="1051"/>
      <c r="H234" s="1078">
        <v>0</v>
      </c>
      <c r="I234" s="1078">
        <v>0</v>
      </c>
      <c r="J234" s="1078">
        <v>0</v>
      </c>
      <c r="K234" s="1078">
        <v>0</v>
      </c>
      <c r="L234" s="1078">
        <v>0</v>
      </c>
      <c r="M234" s="1078">
        <v>0</v>
      </c>
      <c r="N234" s="1078">
        <v>0</v>
      </c>
      <c r="O234" s="1078">
        <v>0</v>
      </c>
      <c r="P234" s="1078">
        <v>0</v>
      </c>
      <c r="Q234" s="1078">
        <v>0</v>
      </c>
      <c r="R234" s="1078">
        <v>0</v>
      </c>
      <c r="S234" s="1078">
        <v>0</v>
      </c>
      <c r="T234" s="1078">
        <v>0</v>
      </c>
    </row>
    <row r="235" spans="1:20" ht="18">
      <c r="A235" s="1076"/>
      <c r="B235" s="1060"/>
      <c r="C235" s="1060" t="s">
        <v>445</v>
      </c>
      <c r="D235" s="1060"/>
      <c r="E235" s="1051"/>
      <c r="F235" s="1051"/>
      <c r="G235" s="1051"/>
      <c r="H235" s="1078">
        <v>0</v>
      </c>
      <c r="I235" s="1078">
        <v>0</v>
      </c>
      <c r="J235" s="1078">
        <v>0</v>
      </c>
      <c r="K235" s="1078">
        <v>0</v>
      </c>
      <c r="L235" s="1078">
        <v>0</v>
      </c>
      <c r="M235" s="1078">
        <v>0</v>
      </c>
      <c r="N235" s="1078">
        <v>0</v>
      </c>
      <c r="O235" s="1078">
        <v>0</v>
      </c>
      <c r="P235" s="1078">
        <v>0</v>
      </c>
      <c r="Q235" s="1078">
        <v>0</v>
      </c>
      <c r="R235" s="1078">
        <v>0</v>
      </c>
      <c r="S235" s="1078">
        <v>0</v>
      </c>
      <c r="T235" s="1078">
        <v>0</v>
      </c>
    </row>
    <row r="236" spans="1:20" ht="18">
      <c r="A236" s="1074" t="s">
        <v>24</v>
      </c>
      <c r="B236" s="1051"/>
      <c r="C236" s="1051"/>
      <c r="D236" s="1060"/>
      <c r="E236" s="1051"/>
      <c r="F236" s="1051"/>
      <c r="G236" s="1051"/>
      <c r="H236" s="1078"/>
      <c r="I236" s="1078"/>
      <c r="J236" s="1078"/>
      <c r="K236" s="1078"/>
      <c r="L236" s="1078"/>
      <c r="M236" s="1078"/>
      <c r="N236" s="1078"/>
      <c r="O236" s="1078"/>
      <c r="P236" s="1078"/>
      <c r="Q236" s="1078"/>
      <c r="R236" s="1078"/>
      <c r="S236" s="1078"/>
      <c r="T236" s="1078"/>
    </row>
    <row r="237" spans="1:20" ht="18">
      <c r="A237" s="1074"/>
      <c r="B237" s="1051"/>
      <c r="C237" s="1051"/>
      <c r="D237" s="1051"/>
      <c r="E237" s="1051"/>
      <c r="F237" s="1051"/>
      <c r="G237" s="1051"/>
      <c r="H237" s="1078"/>
      <c r="I237" s="1078"/>
      <c r="J237" s="1078"/>
      <c r="K237" s="1078"/>
      <c r="L237" s="1078"/>
      <c r="M237" s="1078"/>
      <c r="N237" s="1078"/>
      <c r="O237" s="1078"/>
      <c r="P237" s="1078"/>
      <c r="Q237" s="1078"/>
      <c r="R237" s="1078"/>
      <c r="S237" s="1078"/>
      <c r="T237" s="1078"/>
    </row>
    <row r="238" spans="1:20" ht="18">
      <c r="A238" s="1051"/>
      <c r="B238" s="1060" t="s">
        <v>14</v>
      </c>
      <c r="C238" s="1060" t="s">
        <v>15</v>
      </c>
      <c r="D238" s="1082" t="s">
        <v>995</v>
      </c>
      <c r="E238" s="1051"/>
      <c r="F238" s="1051"/>
      <c r="G238" s="1051"/>
      <c r="H238" s="1078">
        <v>1671180</v>
      </c>
      <c r="I238" s="1078">
        <v>1518793</v>
      </c>
      <c r="J238" s="1078">
        <v>1252763</v>
      </c>
      <c r="K238" s="1078">
        <v>1100042</v>
      </c>
      <c r="L238" s="1078">
        <v>789848</v>
      </c>
      <c r="M238" s="1078">
        <v>500077</v>
      </c>
      <c r="N238" s="1078">
        <v>483912</v>
      </c>
      <c r="O238" s="1078">
        <v>484650</v>
      </c>
      <c r="P238" s="1078">
        <v>550270</v>
      </c>
      <c r="Q238" s="1078">
        <v>914188</v>
      </c>
      <c r="R238" s="1078">
        <v>1312991</v>
      </c>
      <c r="S238" s="1078">
        <v>1622852</v>
      </c>
      <c r="T238" s="1078">
        <v>12201566</v>
      </c>
    </row>
    <row r="239" spans="1:20" ht="18">
      <c r="A239" s="1051"/>
      <c r="B239" s="1060"/>
      <c r="C239" s="1060"/>
      <c r="D239" s="1082" t="s">
        <v>995</v>
      </c>
      <c r="E239" s="1051"/>
      <c r="F239" s="1051"/>
      <c r="G239" s="1051"/>
      <c r="H239" s="1078"/>
      <c r="I239" s="1078"/>
      <c r="J239" s="1078"/>
      <c r="K239" s="1078"/>
      <c r="L239" s="1078"/>
      <c r="M239" s="1078"/>
      <c r="N239" s="1078"/>
      <c r="O239" s="1078"/>
      <c r="P239" s="1078"/>
      <c r="Q239" s="1078"/>
      <c r="R239" s="1078"/>
      <c r="S239" s="1078"/>
      <c r="T239" s="1078"/>
    </row>
    <row r="240" spans="1:20" ht="18">
      <c r="A240" s="1074" t="s">
        <v>994</v>
      </c>
      <c r="B240" s="1082"/>
      <c r="C240" s="1060" t="s">
        <v>16</v>
      </c>
      <c r="D240" s="1082" t="s">
        <v>995</v>
      </c>
      <c r="E240" s="1051"/>
      <c r="F240" s="1051"/>
      <c r="G240" s="1051"/>
      <c r="H240" s="1078"/>
      <c r="I240" s="1078"/>
      <c r="J240" s="1078"/>
      <c r="K240" s="1078"/>
      <c r="L240" s="1078"/>
      <c r="M240" s="1078"/>
      <c r="N240" s="1078"/>
      <c r="O240" s="1078"/>
      <c r="P240" s="1078"/>
      <c r="Q240" s="1078"/>
      <c r="R240" s="1078"/>
      <c r="S240" s="1078"/>
      <c r="T240" s="1078"/>
    </row>
    <row r="241" spans="1:21" ht="18">
      <c r="A241" s="1074" t="s">
        <v>994</v>
      </c>
      <c r="B241" s="1082"/>
      <c r="C241" s="1060"/>
      <c r="D241" s="1082" t="s">
        <v>995</v>
      </c>
      <c r="E241" s="1051"/>
      <c r="F241" s="1051"/>
      <c r="G241" s="1051"/>
      <c r="H241" s="1078"/>
      <c r="I241" s="1078"/>
      <c r="J241" s="1078"/>
      <c r="K241" s="1078"/>
      <c r="L241" s="1078"/>
      <c r="M241" s="1078"/>
      <c r="N241" s="1078"/>
      <c r="O241" s="1078"/>
      <c r="P241" s="1078"/>
      <c r="Q241" s="1078"/>
      <c r="R241" s="1078"/>
      <c r="S241" s="1078"/>
      <c r="T241" s="1078"/>
    </row>
    <row r="242" spans="1:21" ht="18">
      <c r="A242" s="1074" t="s">
        <v>994</v>
      </c>
      <c r="B242" s="1060"/>
      <c r="C242" s="1060" t="s">
        <v>17</v>
      </c>
      <c r="D242" s="1082" t="s">
        <v>995</v>
      </c>
      <c r="E242" s="1051"/>
      <c r="F242" s="1051"/>
      <c r="G242" s="1051"/>
      <c r="H242" s="1081">
        <v>3240907</v>
      </c>
      <c r="I242" s="1081">
        <v>2323149</v>
      </c>
      <c r="J242" s="1081">
        <v>1783134</v>
      </c>
      <c r="K242" s="1081">
        <v>1524232</v>
      </c>
      <c r="L242" s="1081">
        <v>896512</v>
      </c>
      <c r="M242" s="1081">
        <v>255638</v>
      </c>
      <c r="N242" s="1081">
        <v>288291</v>
      </c>
      <c r="O242" s="1081">
        <v>302650</v>
      </c>
      <c r="P242" s="1081">
        <v>385385</v>
      </c>
      <c r="Q242" s="1081">
        <v>1515813</v>
      </c>
      <c r="R242" s="1081">
        <v>1995388</v>
      </c>
      <c r="S242" s="1081">
        <v>2611217</v>
      </c>
      <c r="T242" s="1081">
        <v>17122316</v>
      </c>
    </row>
    <row r="243" spans="1:21" ht="18">
      <c r="A243" s="1074" t="s">
        <v>994</v>
      </c>
      <c r="B243" s="1082"/>
      <c r="C243" s="1060" t="s">
        <v>18</v>
      </c>
      <c r="D243" s="1082" t="s">
        <v>995</v>
      </c>
      <c r="E243" s="1051"/>
      <c r="F243" s="1051"/>
      <c r="G243" s="1051"/>
      <c r="H243" s="1078">
        <v>4912087</v>
      </c>
      <c r="I243" s="1078">
        <v>3841942</v>
      </c>
      <c r="J243" s="1078">
        <v>3035897</v>
      </c>
      <c r="K243" s="1078">
        <v>2624274</v>
      </c>
      <c r="L243" s="1078">
        <v>1686360</v>
      </c>
      <c r="M243" s="1078">
        <v>755715</v>
      </c>
      <c r="N243" s="1078">
        <v>772203</v>
      </c>
      <c r="O243" s="1078">
        <v>787300</v>
      </c>
      <c r="P243" s="1078">
        <v>935655</v>
      </c>
      <c r="Q243" s="1078">
        <v>2430001</v>
      </c>
      <c r="R243" s="1078">
        <v>3308379</v>
      </c>
      <c r="S243" s="1078">
        <v>4234069</v>
      </c>
      <c r="T243" s="1078">
        <v>29323882</v>
      </c>
    </row>
    <row r="244" spans="1:21" ht="18">
      <c r="A244" s="1074" t="s">
        <v>994</v>
      </c>
      <c r="B244" s="1082"/>
      <c r="C244" s="1060" t="s">
        <v>996</v>
      </c>
      <c r="D244" s="1082" t="s">
        <v>995</v>
      </c>
      <c r="E244" s="1051"/>
      <c r="F244" s="1051"/>
      <c r="G244" s="1051"/>
      <c r="H244" s="1078">
        <v>27594</v>
      </c>
      <c r="I244" s="1078">
        <v>27600</v>
      </c>
      <c r="J244" s="1078">
        <v>27701</v>
      </c>
      <c r="K244" s="1078">
        <v>27605</v>
      </c>
      <c r="L244" s="1078">
        <v>27575</v>
      </c>
      <c r="M244" s="1078">
        <v>27580</v>
      </c>
      <c r="N244" s="1078">
        <v>27532</v>
      </c>
      <c r="O244" s="1078">
        <v>27500</v>
      </c>
      <c r="P244" s="1078">
        <v>27481</v>
      </c>
      <c r="Q244" s="1078">
        <v>27503</v>
      </c>
      <c r="R244" s="1078">
        <v>27624</v>
      </c>
      <c r="S244" s="1078">
        <v>27703</v>
      </c>
      <c r="T244" s="1078">
        <v>27583.166666666668</v>
      </c>
      <c r="U244" s="12"/>
    </row>
    <row r="245" spans="1:21" ht="18">
      <c r="A245" s="1074"/>
      <c r="B245" s="1082"/>
      <c r="C245" s="1060" t="s">
        <v>19</v>
      </c>
      <c r="D245" s="1082" t="s">
        <v>995</v>
      </c>
      <c r="E245" s="1051"/>
      <c r="F245" s="1051"/>
      <c r="G245" s="1051"/>
      <c r="H245" s="1078">
        <v>651934</v>
      </c>
      <c r="I245" s="1078">
        <v>467331</v>
      </c>
      <c r="J245" s="1078">
        <v>358694</v>
      </c>
      <c r="K245" s="1078">
        <v>306613</v>
      </c>
      <c r="L245" s="1078">
        <v>180341</v>
      </c>
      <c r="M245" s="1078">
        <v>51394</v>
      </c>
      <c r="N245" s="1078">
        <v>57972</v>
      </c>
      <c r="O245" s="1078">
        <v>60861</v>
      </c>
      <c r="P245" s="1078">
        <v>77498</v>
      </c>
      <c r="Q245" s="1078">
        <v>304818</v>
      </c>
      <c r="R245" s="1078">
        <v>381653</v>
      </c>
      <c r="S245" s="1078">
        <v>496419</v>
      </c>
      <c r="T245" s="1078">
        <v>3395528</v>
      </c>
    </row>
    <row r="246" spans="1:21" ht="18">
      <c r="A246" s="1074"/>
      <c r="B246" s="1082"/>
      <c r="C246" s="1082"/>
      <c r="D246" s="1082"/>
      <c r="E246" s="1051"/>
      <c r="F246" s="1051"/>
      <c r="G246" s="1051"/>
      <c r="H246" s="1078"/>
      <c r="I246" s="1078"/>
      <c r="J246" s="1078"/>
      <c r="K246" s="1078"/>
      <c r="L246" s="1078"/>
      <c r="M246" s="1078"/>
      <c r="N246" s="1078"/>
      <c r="O246" s="1078"/>
      <c r="P246" s="1078"/>
      <c r="Q246" s="1078"/>
      <c r="R246" s="1078"/>
      <c r="S246" s="1078"/>
      <c r="T246" s="1078"/>
    </row>
    <row r="247" spans="1:21" ht="18">
      <c r="A247" s="1074" t="s">
        <v>994</v>
      </c>
      <c r="B247" s="1082" t="s">
        <v>1009</v>
      </c>
      <c r="C247" s="1060" t="s">
        <v>15</v>
      </c>
      <c r="D247" s="1082" t="s">
        <v>995</v>
      </c>
      <c r="E247" s="1051"/>
      <c r="F247" s="1051"/>
      <c r="G247" s="1051"/>
      <c r="H247" s="1078">
        <v>20070</v>
      </c>
      <c r="I247" s="1078">
        <v>16701</v>
      </c>
      <c r="J247" s="1078">
        <v>16004</v>
      </c>
      <c r="K247" s="1078">
        <v>15133</v>
      </c>
      <c r="L247" s="1078">
        <v>13638</v>
      </c>
      <c r="M247" s="1078">
        <v>10739</v>
      </c>
      <c r="N247" s="1078">
        <v>12031</v>
      </c>
      <c r="O247" s="1078">
        <v>6458</v>
      </c>
      <c r="P247" s="1078">
        <v>9944</v>
      </c>
      <c r="Q247" s="1078">
        <v>19083</v>
      </c>
      <c r="R247" s="1078">
        <v>15420</v>
      </c>
      <c r="S247" s="1078">
        <v>12187</v>
      </c>
      <c r="T247" s="1078">
        <v>167408</v>
      </c>
    </row>
    <row r="248" spans="1:21" ht="18">
      <c r="A248" s="1074" t="s">
        <v>994</v>
      </c>
      <c r="B248" s="1060"/>
      <c r="C248" s="1060"/>
      <c r="D248" s="1082" t="s">
        <v>995</v>
      </c>
      <c r="E248" s="1051"/>
      <c r="F248" s="1051"/>
      <c r="G248" s="1051"/>
      <c r="H248" s="1078"/>
      <c r="I248" s="1078"/>
      <c r="J248" s="1078"/>
      <c r="K248" s="1078"/>
      <c r="L248" s="1078"/>
      <c r="M248" s="1078"/>
      <c r="N248" s="1078"/>
      <c r="O248" s="1078"/>
      <c r="P248" s="1078"/>
      <c r="Q248" s="1078"/>
      <c r="R248" s="1078"/>
      <c r="S248" s="1078"/>
      <c r="T248" s="1078"/>
    </row>
    <row r="249" spans="1:21" ht="18">
      <c r="A249" s="1074" t="s">
        <v>994</v>
      </c>
      <c r="B249" s="1082"/>
      <c r="C249" s="1060" t="s">
        <v>16</v>
      </c>
      <c r="D249" s="1082" t="s">
        <v>995</v>
      </c>
      <c r="E249" s="1051"/>
      <c r="F249" s="1051"/>
      <c r="G249" s="1051"/>
      <c r="H249" s="1078"/>
      <c r="I249" s="1078"/>
      <c r="J249" s="1078"/>
      <c r="K249" s="1078"/>
      <c r="L249" s="1078"/>
      <c r="M249" s="1078"/>
      <c r="N249" s="1078"/>
      <c r="O249" s="1078"/>
      <c r="P249" s="1078"/>
      <c r="Q249" s="1078"/>
      <c r="R249" s="1078"/>
      <c r="S249" s="1078"/>
      <c r="T249" s="1078"/>
    </row>
    <row r="250" spans="1:21" ht="18">
      <c r="A250" s="1074" t="s">
        <v>994</v>
      </c>
      <c r="B250" s="1082"/>
      <c r="C250" s="1060"/>
      <c r="D250" s="1082" t="s">
        <v>995</v>
      </c>
      <c r="E250" s="1051"/>
      <c r="F250" s="1051"/>
      <c r="G250" s="1051"/>
      <c r="H250" s="1078"/>
      <c r="I250" s="1078"/>
      <c r="J250" s="1078"/>
      <c r="K250" s="1078"/>
      <c r="L250" s="1078"/>
      <c r="M250" s="1078"/>
      <c r="N250" s="1078"/>
      <c r="O250" s="1078"/>
      <c r="P250" s="1078"/>
      <c r="Q250" s="1078"/>
      <c r="R250" s="1078"/>
      <c r="S250" s="1078"/>
      <c r="T250" s="1078"/>
    </row>
    <row r="251" spans="1:21" ht="18">
      <c r="A251" s="1074" t="s">
        <v>994</v>
      </c>
      <c r="B251" s="1082"/>
      <c r="C251" s="1060" t="s">
        <v>17</v>
      </c>
      <c r="D251" s="1082" t="s">
        <v>995</v>
      </c>
      <c r="E251" s="1051"/>
      <c r="F251" s="1051"/>
      <c r="G251" s="1051"/>
      <c r="H251" s="1081">
        <v>108848</v>
      </c>
      <c r="I251" s="1081">
        <v>87422</v>
      </c>
      <c r="J251" s="1081">
        <v>83824</v>
      </c>
      <c r="K251" s="1081">
        <v>78736</v>
      </c>
      <c r="L251" s="1081">
        <v>68584</v>
      </c>
      <c r="M251" s="1081">
        <v>51928</v>
      </c>
      <c r="N251" s="1081">
        <v>53157</v>
      </c>
      <c r="O251" s="1081">
        <v>26297</v>
      </c>
      <c r="P251" s="1081">
        <v>46878</v>
      </c>
      <c r="Q251" s="1081">
        <v>98223</v>
      </c>
      <c r="R251" s="1081">
        <v>86445</v>
      </c>
      <c r="S251" s="1081">
        <v>69607</v>
      </c>
      <c r="T251" s="1081">
        <v>859949</v>
      </c>
    </row>
    <row r="252" spans="1:21" ht="18">
      <c r="A252" s="1074" t="s">
        <v>994</v>
      </c>
      <c r="B252" s="1082"/>
      <c r="C252" s="1060" t="s">
        <v>18</v>
      </c>
      <c r="D252" s="1082" t="s">
        <v>995</v>
      </c>
      <c r="E252" s="1051"/>
      <c r="F252" s="1051"/>
      <c r="G252" s="1051"/>
      <c r="H252" s="1078">
        <v>128918</v>
      </c>
      <c r="I252" s="1078">
        <v>104123</v>
      </c>
      <c r="J252" s="1078">
        <v>99828</v>
      </c>
      <c r="K252" s="1078">
        <v>93869</v>
      </c>
      <c r="L252" s="1078">
        <v>82222</v>
      </c>
      <c r="M252" s="1078">
        <v>62667</v>
      </c>
      <c r="N252" s="1078">
        <v>65188</v>
      </c>
      <c r="O252" s="1078">
        <v>32755</v>
      </c>
      <c r="P252" s="1078">
        <v>56822</v>
      </c>
      <c r="Q252" s="1078">
        <v>117306</v>
      </c>
      <c r="R252" s="1078">
        <v>101865</v>
      </c>
      <c r="S252" s="1078">
        <v>81794</v>
      </c>
      <c r="T252" s="1078">
        <v>1027357</v>
      </c>
    </row>
    <row r="253" spans="1:21" ht="18">
      <c r="A253" s="1074" t="s">
        <v>994</v>
      </c>
      <c r="B253" s="1060"/>
      <c r="C253" s="1060" t="s">
        <v>996</v>
      </c>
      <c r="D253" s="1082" t="s">
        <v>995</v>
      </c>
      <c r="E253" s="1051"/>
      <c r="F253" s="1051"/>
      <c r="G253" s="1051"/>
      <c r="H253" s="1078">
        <v>25</v>
      </c>
      <c r="I253" s="1078">
        <v>25</v>
      </c>
      <c r="J253" s="1078">
        <v>25</v>
      </c>
      <c r="K253" s="1078">
        <v>25</v>
      </c>
      <c r="L253" s="1078">
        <v>25</v>
      </c>
      <c r="M253" s="1078">
        <v>24</v>
      </c>
      <c r="N253" s="1078">
        <v>24</v>
      </c>
      <c r="O253" s="1078">
        <v>24</v>
      </c>
      <c r="P253" s="1078">
        <v>24</v>
      </c>
      <c r="Q253" s="1078">
        <v>24</v>
      </c>
      <c r="R253" s="1078">
        <v>24</v>
      </c>
      <c r="S253" s="1078">
        <v>24</v>
      </c>
      <c r="T253" s="1078">
        <v>24.416666666666668</v>
      </c>
    </row>
    <row r="254" spans="1:21" ht="18">
      <c r="A254" s="1074" t="s">
        <v>994</v>
      </c>
      <c r="B254" s="1082"/>
      <c r="C254" s="1060" t="s">
        <v>19</v>
      </c>
      <c r="D254" s="1082" t="s">
        <v>995</v>
      </c>
      <c r="E254" s="1051"/>
      <c r="F254" s="1051"/>
      <c r="G254" s="1051"/>
      <c r="H254" s="1078">
        <v>21896</v>
      </c>
      <c r="I254" s="1078">
        <v>17586</v>
      </c>
      <c r="J254" s="1078">
        <v>16862</v>
      </c>
      <c r="K254" s="1078">
        <v>15838</v>
      </c>
      <c r="L254" s="1078">
        <v>13796</v>
      </c>
      <c r="M254" s="1078">
        <v>10442</v>
      </c>
      <c r="N254" s="1078">
        <v>10689</v>
      </c>
      <c r="O254" s="1078">
        <v>5288</v>
      </c>
      <c r="P254" s="1078">
        <v>9427</v>
      </c>
      <c r="Q254" s="1078">
        <v>19752</v>
      </c>
      <c r="R254" s="1078">
        <v>16352</v>
      </c>
      <c r="S254" s="1078">
        <v>13233</v>
      </c>
      <c r="T254" s="1078">
        <v>171161</v>
      </c>
    </row>
    <row r="255" spans="1:21" ht="18">
      <c r="A255" s="1074" t="s">
        <v>994</v>
      </c>
      <c r="B255" s="1082"/>
      <c r="C255" s="1059"/>
      <c r="D255" s="1082"/>
      <c r="E255" s="1051"/>
      <c r="F255" s="1051"/>
      <c r="G255" s="1051"/>
      <c r="H255" s="1078"/>
      <c r="I255" s="1078"/>
      <c r="J255" s="1078"/>
      <c r="K255" s="1078"/>
      <c r="L255" s="1078"/>
      <c r="M255" s="1078"/>
      <c r="N255" s="1078"/>
      <c r="O255" s="1078"/>
      <c r="P255" s="1078"/>
      <c r="Q255" s="1078"/>
      <c r="R255" s="1078"/>
      <c r="S255" s="1078"/>
      <c r="T255" s="1078"/>
    </row>
    <row r="256" spans="1:21" ht="18">
      <c r="A256" s="1074" t="s">
        <v>994</v>
      </c>
      <c r="B256" s="1082" t="s">
        <v>798</v>
      </c>
      <c r="C256" s="1060" t="s">
        <v>15</v>
      </c>
      <c r="D256" s="1082" t="s">
        <v>995</v>
      </c>
      <c r="E256" s="1051"/>
      <c r="F256" s="1051"/>
      <c r="G256" s="1051"/>
      <c r="H256" s="1078">
        <v>6771.0802426000009</v>
      </c>
      <c r="I256" s="1078">
        <v>5605.8756692000043</v>
      </c>
      <c r="J256" s="1078">
        <v>5933.2134071999999</v>
      </c>
      <c r="K256" s="1078">
        <v>5586.2091873999998</v>
      </c>
      <c r="L256" s="1078">
        <v>5312.6805718000014</v>
      </c>
      <c r="M256" s="1078">
        <v>4737.1671163999999</v>
      </c>
      <c r="N256" s="1078">
        <v>4350.2393603999999</v>
      </c>
      <c r="O256" s="1078">
        <v>4906.3899463999996</v>
      </c>
      <c r="P256" s="1078">
        <v>4814.8469391999979</v>
      </c>
      <c r="Q256" s="1078">
        <v>3568.8426636000008</v>
      </c>
      <c r="R256" s="1078">
        <v>5637.9924920000003</v>
      </c>
      <c r="S256" s="1078">
        <v>4291.5720943999995</v>
      </c>
      <c r="T256" s="1078">
        <v>61516.109690600002</v>
      </c>
    </row>
    <row r="257" spans="1:20" ht="18">
      <c r="A257" s="1074" t="s">
        <v>994</v>
      </c>
      <c r="B257" s="1060"/>
      <c r="C257" s="1060"/>
      <c r="D257" s="1082" t="s">
        <v>995</v>
      </c>
      <c r="E257" s="1051"/>
      <c r="F257" s="1051"/>
      <c r="G257" s="1051"/>
      <c r="H257" s="1078"/>
      <c r="I257" s="1078"/>
      <c r="J257" s="1078"/>
      <c r="K257" s="1078"/>
      <c r="L257" s="1078"/>
      <c r="M257" s="1078"/>
      <c r="N257" s="1078"/>
      <c r="O257" s="1078"/>
      <c r="P257" s="1078"/>
      <c r="Q257" s="1078"/>
      <c r="R257" s="1078"/>
      <c r="S257" s="1078"/>
      <c r="T257" s="1078"/>
    </row>
    <row r="258" spans="1:20" ht="18">
      <c r="A258" s="1074" t="s">
        <v>994</v>
      </c>
      <c r="B258" s="1082"/>
      <c r="C258" s="1060" t="s">
        <v>16</v>
      </c>
      <c r="D258" s="1082" t="s">
        <v>995</v>
      </c>
      <c r="E258" s="1051"/>
      <c r="F258" s="1051"/>
      <c r="G258" s="1051"/>
      <c r="H258" s="1078"/>
      <c r="I258" s="1078"/>
      <c r="J258" s="1078"/>
      <c r="K258" s="1078"/>
      <c r="L258" s="1078"/>
      <c r="M258" s="1078"/>
      <c r="N258" s="1078"/>
      <c r="O258" s="1078"/>
      <c r="P258" s="1078"/>
      <c r="Q258" s="1078"/>
      <c r="R258" s="1078"/>
      <c r="S258" s="1078"/>
      <c r="T258" s="1078"/>
    </row>
    <row r="259" spans="1:20" ht="18">
      <c r="A259" s="1074" t="s">
        <v>994</v>
      </c>
      <c r="B259" s="1082"/>
      <c r="C259" s="1060"/>
      <c r="D259" s="1082" t="s">
        <v>995</v>
      </c>
      <c r="E259" s="1051"/>
      <c r="F259" s="1051"/>
      <c r="G259" s="1051"/>
      <c r="H259" s="1078"/>
      <c r="I259" s="1078"/>
      <c r="J259" s="1078"/>
      <c r="K259" s="1078"/>
      <c r="L259" s="1078"/>
      <c r="M259" s="1078"/>
      <c r="N259" s="1078"/>
      <c r="O259" s="1078"/>
      <c r="P259" s="1078"/>
      <c r="Q259" s="1078"/>
      <c r="R259" s="1078"/>
      <c r="S259" s="1078"/>
      <c r="T259" s="1078"/>
    </row>
    <row r="260" spans="1:20" ht="18">
      <c r="A260" s="1074" t="s">
        <v>994</v>
      </c>
      <c r="B260" s="1082"/>
      <c r="C260" s="1060" t="s">
        <v>17</v>
      </c>
      <c r="D260" s="1082" t="s">
        <v>995</v>
      </c>
      <c r="E260" s="1051"/>
      <c r="F260" s="1051"/>
      <c r="G260" s="1051"/>
      <c r="H260" s="1081">
        <v>2648.0197573999999</v>
      </c>
      <c r="I260" s="1081">
        <v>3172.3343308000003</v>
      </c>
      <c r="J260" s="1081">
        <v>3356.7665927999997</v>
      </c>
      <c r="K260" s="1081">
        <v>3160.8508125999997</v>
      </c>
      <c r="L260" s="1081">
        <v>3071.2694281999998</v>
      </c>
      <c r="M260" s="1081">
        <v>2681.8028835999999</v>
      </c>
      <c r="N260" s="1081">
        <v>2462.5006395999999</v>
      </c>
      <c r="O260" s="1081">
        <v>2777.5300536000004</v>
      </c>
      <c r="P260" s="1081">
        <v>2725.7130607999998</v>
      </c>
      <c r="Q260" s="1081">
        <v>2020.0173363999997</v>
      </c>
      <c r="R260" s="1081">
        <v>3385.5475080000006</v>
      </c>
      <c r="S260" s="1081">
        <v>2557.2679055999997</v>
      </c>
      <c r="T260" s="1081">
        <v>34019.620309400001</v>
      </c>
    </row>
    <row r="261" spans="1:20" ht="18">
      <c r="A261" s="1074" t="s">
        <v>994</v>
      </c>
      <c r="B261" s="1082"/>
      <c r="C261" s="1060" t="s">
        <v>18</v>
      </c>
      <c r="D261" s="1082" t="s">
        <v>995</v>
      </c>
      <c r="E261" s="1051"/>
      <c r="F261" s="1051"/>
      <c r="G261" s="1051"/>
      <c r="H261" s="1078">
        <v>9419.1</v>
      </c>
      <c r="I261" s="1078">
        <v>8778.2100000000046</v>
      </c>
      <c r="J261" s="1078">
        <v>9289.98</v>
      </c>
      <c r="K261" s="1078">
        <v>8747.06</v>
      </c>
      <c r="L261" s="1078">
        <v>8383.9500000000007</v>
      </c>
      <c r="M261" s="1078">
        <v>7418.9699999999993</v>
      </c>
      <c r="N261" s="1078">
        <v>6812.74</v>
      </c>
      <c r="O261" s="1078">
        <v>7683.92</v>
      </c>
      <c r="P261" s="1078">
        <v>7540.5599999999977</v>
      </c>
      <c r="Q261" s="1078">
        <v>5588.8600000000006</v>
      </c>
      <c r="R261" s="1078">
        <v>9023.5400000000009</v>
      </c>
      <c r="S261" s="1078">
        <v>6848.8399999999992</v>
      </c>
      <c r="T261" s="1078">
        <v>95535.73000000001</v>
      </c>
    </row>
    <row r="262" spans="1:20" ht="18">
      <c r="A262" s="1074" t="s">
        <v>994</v>
      </c>
      <c r="B262" s="1060"/>
      <c r="C262" s="1060" t="s">
        <v>996</v>
      </c>
      <c r="D262" s="1082" t="s">
        <v>995</v>
      </c>
      <c r="E262" s="1051"/>
      <c r="F262" s="1051"/>
      <c r="G262" s="1051"/>
      <c r="H262" s="1078">
        <v>1</v>
      </c>
      <c r="I262" s="1078">
        <v>1</v>
      </c>
      <c r="J262" s="1078">
        <v>1</v>
      </c>
      <c r="K262" s="1078">
        <v>1</v>
      </c>
      <c r="L262" s="1078">
        <v>1</v>
      </c>
      <c r="M262" s="1078">
        <v>1</v>
      </c>
      <c r="N262" s="1078">
        <v>1</v>
      </c>
      <c r="O262" s="1078">
        <v>1</v>
      </c>
      <c r="P262" s="1078">
        <v>1</v>
      </c>
      <c r="Q262" s="1078">
        <v>1</v>
      </c>
      <c r="R262" s="1078">
        <v>1</v>
      </c>
      <c r="S262" s="1078">
        <v>1</v>
      </c>
      <c r="T262" s="1078">
        <v>1</v>
      </c>
    </row>
    <row r="263" spans="1:20" ht="18">
      <c r="A263" s="1074" t="s">
        <v>994</v>
      </c>
      <c r="B263" s="1082"/>
      <c r="C263" s="1060" t="s">
        <v>19</v>
      </c>
      <c r="D263" s="1082" t="s">
        <v>995</v>
      </c>
      <c r="E263" s="1051"/>
      <c r="F263" s="1051"/>
      <c r="G263" s="1051"/>
      <c r="H263" s="1078">
        <v>532.66999999999996</v>
      </c>
      <c r="I263" s="1078">
        <v>638.1400000000001</v>
      </c>
      <c r="J263" s="1078">
        <v>675.24</v>
      </c>
      <c r="K263" s="1078">
        <v>635.82999999999993</v>
      </c>
      <c r="L263" s="1078">
        <v>617.80999999999995</v>
      </c>
      <c r="M263" s="1078">
        <v>539.29</v>
      </c>
      <c r="N263" s="1078">
        <v>495.19</v>
      </c>
      <c r="O263" s="1078">
        <v>558.54000000000008</v>
      </c>
      <c r="P263" s="1078">
        <v>548.12</v>
      </c>
      <c r="Q263" s="1078">
        <v>406.21</v>
      </c>
      <c r="R263" s="1078">
        <v>643.65000000000009</v>
      </c>
      <c r="S263" s="1078">
        <v>486.17999999999995</v>
      </c>
      <c r="T263" s="1078">
        <v>6776.8700000000008</v>
      </c>
    </row>
    <row r="264" spans="1:20" ht="18">
      <c r="A264" s="1074" t="s">
        <v>994</v>
      </c>
      <c r="B264" s="1082"/>
      <c r="C264" s="1082"/>
      <c r="D264" s="1082"/>
      <c r="E264" s="1051"/>
      <c r="F264" s="1051"/>
      <c r="G264" s="1051"/>
      <c r="H264" s="1078"/>
      <c r="I264" s="1078"/>
      <c r="J264" s="1078"/>
      <c r="K264" s="1078"/>
      <c r="L264" s="1078"/>
      <c r="M264" s="1078"/>
      <c r="N264" s="1078"/>
      <c r="O264" s="1078"/>
      <c r="P264" s="1078"/>
      <c r="Q264" s="1078"/>
      <c r="R264" s="1078"/>
      <c r="S264" s="1078"/>
      <c r="T264" s="1078"/>
    </row>
    <row r="265" spans="1:20" ht="18">
      <c r="A265" s="1074" t="s">
        <v>994</v>
      </c>
      <c r="B265" s="1082" t="s">
        <v>752</v>
      </c>
      <c r="C265" s="1060" t="s">
        <v>15</v>
      </c>
      <c r="D265" s="1082" t="s">
        <v>995</v>
      </c>
      <c r="E265" s="1051"/>
      <c r="F265" s="1051"/>
      <c r="G265" s="1051"/>
      <c r="H265" s="1078">
        <v>0</v>
      </c>
      <c r="I265" s="1078">
        <v>0</v>
      </c>
      <c r="J265" s="1078">
        <v>0</v>
      </c>
      <c r="K265" s="1078">
        <v>0</v>
      </c>
      <c r="L265" s="1078">
        <v>0</v>
      </c>
      <c r="M265" s="1078">
        <v>0</v>
      </c>
      <c r="N265" s="1078">
        <v>0</v>
      </c>
      <c r="O265" s="1078">
        <v>0</v>
      </c>
      <c r="P265" s="1078">
        <v>0</v>
      </c>
      <c r="Q265" s="1078">
        <v>0</v>
      </c>
      <c r="R265" s="1078">
        <v>0</v>
      </c>
      <c r="S265" s="1078">
        <v>0</v>
      </c>
      <c r="T265" s="1078">
        <v>0</v>
      </c>
    </row>
    <row r="266" spans="1:20" ht="18">
      <c r="A266" s="1074" t="s">
        <v>994</v>
      </c>
      <c r="B266" s="1060"/>
      <c r="C266" s="1060"/>
      <c r="D266" s="1082" t="s">
        <v>995</v>
      </c>
      <c r="E266" s="1051"/>
      <c r="F266" s="1051"/>
      <c r="G266" s="1051"/>
      <c r="H266" s="1078"/>
      <c r="I266" s="1078"/>
      <c r="J266" s="1078"/>
      <c r="K266" s="1078"/>
      <c r="L266" s="1078"/>
      <c r="M266" s="1078"/>
      <c r="N266" s="1078"/>
      <c r="O266" s="1078"/>
      <c r="P266" s="1078"/>
      <c r="Q266" s="1078"/>
      <c r="R266" s="1078"/>
      <c r="S266" s="1078"/>
      <c r="T266" s="1078"/>
    </row>
    <row r="267" spans="1:20" ht="18">
      <c r="A267" s="1074" t="s">
        <v>994</v>
      </c>
      <c r="B267" s="1082"/>
      <c r="C267" s="1060" t="s">
        <v>16</v>
      </c>
      <c r="D267" s="1082" t="s">
        <v>995</v>
      </c>
      <c r="E267" s="1051"/>
      <c r="F267" s="1051"/>
      <c r="G267" s="1051"/>
      <c r="H267" s="1078"/>
      <c r="I267" s="1078"/>
      <c r="J267" s="1078"/>
      <c r="K267" s="1078"/>
      <c r="L267" s="1078"/>
      <c r="M267" s="1078"/>
      <c r="N267" s="1078"/>
      <c r="O267" s="1078"/>
      <c r="P267" s="1078"/>
      <c r="Q267" s="1078"/>
      <c r="R267" s="1078"/>
      <c r="S267" s="1078"/>
      <c r="T267" s="1078"/>
    </row>
    <row r="268" spans="1:20" ht="18">
      <c r="A268" s="1074" t="s">
        <v>994</v>
      </c>
      <c r="B268" s="1082"/>
      <c r="C268" s="1060"/>
      <c r="D268" s="1082" t="s">
        <v>995</v>
      </c>
      <c r="E268" s="1051"/>
      <c r="F268" s="1051"/>
      <c r="G268" s="1051"/>
      <c r="H268" s="1078"/>
      <c r="I268" s="1078"/>
      <c r="J268" s="1078"/>
      <c r="K268" s="1078"/>
      <c r="L268" s="1078"/>
      <c r="M268" s="1078"/>
      <c r="N268" s="1078"/>
      <c r="O268" s="1078"/>
      <c r="P268" s="1078"/>
      <c r="Q268" s="1078"/>
      <c r="R268" s="1078"/>
      <c r="S268" s="1078"/>
      <c r="T268" s="1078"/>
    </row>
    <row r="269" spans="1:20" ht="18">
      <c r="A269" s="1074" t="s">
        <v>994</v>
      </c>
      <c r="B269" s="1082"/>
      <c r="C269" s="1060" t="s">
        <v>17</v>
      </c>
      <c r="D269" s="1082" t="s">
        <v>995</v>
      </c>
      <c r="E269" s="1051"/>
      <c r="F269" s="1051"/>
      <c r="G269" s="1051"/>
      <c r="H269" s="1081">
        <v>0</v>
      </c>
      <c r="I269" s="1081">
        <v>0</v>
      </c>
      <c r="J269" s="1081">
        <v>0</v>
      </c>
      <c r="K269" s="1081">
        <v>0</v>
      </c>
      <c r="L269" s="1081">
        <v>0</v>
      </c>
      <c r="M269" s="1081">
        <v>0</v>
      </c>
      <c r="N269" s="1081">
        <v>0</v>
      </c>
      <c r="O269" s="1081">
        <v>0</v>
      </c>
      <c r="P269" s="1081">
        <v>0</v>
      </c>
      <c r="Q269" s="1081">
        <v>0</v>
      </c>
      <c r="R269" s="1081">
        <v>0</v>
      </c>
      <c r="S269" s="1081">
        <v>0</v>
      </c>
      <c r="T269" s="1081">
        <v>0</v>
      </c>
    </row>
    <row r="270" spans="1:20" ht="18">
      <c r="A270" s="1074" t="s">
        <v>994</v>
      </c>
      <c r="B270" s="1082"/>
      <c r="C270" s="1060" t="s">
        <v>18</v>
      </c>
      <c r="D270" s="1082" t="s">
        <v>995</v>
      </c>
      <c r="E270" s="1051"/>
      <c r="F270" s="1051"/>
      <c r="G270" s="1051"/>
      <c r="H270" s="1078">
        <v>0</v>
      </c>
      <c r="I270" s="1078">
        <v>0</v>
      </c>
      <c r="J270" s="1078">
        <v>0</v>
      </c>
      <c r="K270" s="1078">
        <v>0</v>
      </c>
      <c r="L270" s="1078">
        <v>0</v>
      </c>
      <c r="M270" s="1078">
        <v>0</v>
      </c>
      <c r="N270" s="1078">
        <v>0</v>
      </c>
      <c r="O270" s="1078">
        <v>0</v>
      </c>
      <c r="P270" s="1078">
        <v>0</v>
      </c>
      <c r="Q270" s="1078">
        <v>0</v>
      </c>
      <c r="R270" s="1078">
        <v>0</v>
      </c>
      <c r="S270" s="1078">
        <v>0</v>
      </c>
      <c r="T270" s="1078">
        <v>0</v>
      </c>
    </row>
    <row r="271" spans="1:20" ht="18">
      <c r="A271" s="1074" t="s">
        <v>994</v>
      </c>
      <c r="B271" s="1060"/>
      <c r="C271" s="1060" t="s">
        <v>996</v>
      </c>
      <c r="D271" s="1082" t="s">
        <v>995</v>
      </c>
      <c r="E271" s="1051"/>
      <c r="F271" s="1051"/>
      <c r="G271" s="1051"/>
      <c r="H271" s="1078">
        <v>0</v>
      </c>
      <c r="I271" s="1078">
        <v>0</v>
      </c>
      <c r="J271" s="1078">
        <v>0</v>
      </c>
      <c r="K271" s="1078">
        <v>0</v>
      </c>
      <c r="L271" s="1078">
        <v>0</v>
      </c>
      <c r="M271" s="1078">
        <v>0</v>
      </c>
      <c r="N271" s="1078">
        <v>0</v>
      </c>
      <c r="O271" s="1078">
        <v>0</v>
      </c>
      <c r="P271" s="1078">
        <v>0</v>
      </c>
      <c r="Q271" s="1078">
        <v>0</v>
      </c>
      <c r="R271" s="1078">
        <v>0</v>
      </c>
      <c r="S271" s="1078">
        <v>0</v>
      </c>
      <c r="T271" s="1078">
        <v>0</v>
      </c>
    </row>
    <row r="272" spans="1:20" ht="18">
      <c r="A272" s="1074" t="s">
        <v>994</v>
      </c>
      <c r="B272" s="1082"/>
      <c r="C272" s="1060" t="s">
        <v>19</v>
      </c>
      <c r="D272" s="1082" t="s">
        <v>995</v>
      </c>
      <c r="E272" s="1051"/>
      <c r="F272" s="1051"/>
      <c r="G272" s="1051"/>
      <c r="H272" s="1078">
        <v>0</v>
      </c>
      <c r="I272" s="1078">
        <v>0</v>
      </c>
      <c r="J272" s="1078">
        <v>0</v>
      </c>
      <c r="K272" s="1078">
        <v>0</v>
      </c>
      <c r="L272" s="1078">
        <v>0</v>
      </c>
      <c r="M272" s="1078">
        <v>0</v>
      </c>
      <c r="N272" s="1078">
        <v>0</v>
      </c>
      <c r="O272" s="1078">
        <v>0</v>
      </c>
      <c r="P272" s="1078">
        <v>0</v>
      </c>
      <c r="Q272" s="1078">
        <v>0</v>
      </c>
      <c r="R272" s="1078">
        <v>0</v>
      </c>
      <c r="S272" s="1078">
        <v>0</v>
      </c>
      <c r="T272" s="1078">
        <v>0</v>
      </c>
    </row>
    <row r="273" spans="1:20" ht="18">
      <c r="A273" s="1074" t="s">
        <v>994</v>
      </c>
      <c r="B273" s="1060"/>
      <c r="C273" s="1060"/>
      <c r="D273" s="1060"/>
      <c r="E273" s="1051"/>
      <c r="F273" s="1051"/>
      <c r="G273" s="1051"/>
      <c r="H273" s="1078"/>
      <c r="I273" s="1078"/>
      <c r="J273" s="1078"/>
      <c r="K273" s="1078"/>
      <c r="L273" s="1078"/>
      <c r="M273" s="1078"/>
      <c r="N273" s="1078"/>
      <c r="O273" s="1078"/>
      <c r="P273" s="1078"/>
      <c r="Q273" s="1078"/>
      <c r="R273" s="1078"/>
      <c r="S273" s="1078"/>
      <c r="T273" s="1078"/>
    </row>
    <row r="274" spans="1:20" ht="18">
      <c r="A274" s="1074"/>
      <c r="B274" s="1060" t="s">
        <v>1010</v>
      </c>
      <c r="C274" s="1060" t="s">
        <v>15</v>
      </c>
      <c r="D274" s="1082" t="s">
        <v>995</v>
      </c>
      <c r="E274" s="1051"/>
      <c r="F274" s="1051"/>
      <c r="G274" s="1051"/>
      <c r="H274" s="1078">
        <v>6021</v>
      </c>
      <c r="I274" s="1078">
        <v>5713</v>
      </c>
      <c r="J274" s="1078">
        <v>4977</v>
      </c>
      <c r="K274" s="1078">
        <v>4847</v>
      </c>
      <c r="L274" s="1078">
        <v>4176</v>
      </c>
      <c r="M274" s="1078">
        <v>2602</v>
      </c>
      <c r="N274" s="1078">
        <v>5030</v>
      </c>
      <c r="O274" s="1078">
        <v>1793</v>
      </c>
      <c r="P274" s="1078">
        <v>2520</v>
      </c>
      <c r="Q274" s="1078">
        <v>5014</v>
      </c>
      <c r="R274" s="1078">
        <v>5863</v>
      </c>
      <c r="S274" s="1078">
        <v>3958</v>
      </c>
      <c r="T274" s="1078">
        <v>52514</v>
      </c>
    </row>
    <row r="275" spans="1:20" ht="18">
      <c r="A275" s="1074" t="s">
        <v>998</v>
      </c>
      <c r="B275" s="1060"/>
      <c r="C275" s="1060"/>
      <c r="D275" s="1082" t="s">
        <v>995</v>
      </c>
      <c r="E275" s="1051"/>
      <c r="F275" s="1051"/>
      <c r="G275" s="1051"/>
      <c r="H275" s="1078"/>
      <c r="I275" s="1078"/>
      <c r="J275" s="1078"/>
      <c r="K275" s="1078"/>
      <c r="L275" s="1078"/>
      <c r="M275" s="1078"/>
      <c r="N275" s="1078"/>
      <c r="O275" s="1078"/>
      <c r="P275" s="1078"/>
      <c r="Q275" s="1078"/>
      <c r="R275" s="1078"/>
      <c r="S275" s="1078"/>
      <c r="T275" s="1078"/>
    </row>
    <row r="276" spans="1:20" ht="18">
      <c r="A276" s="1074" t="s">
        <v>998</v>
      </c>
      <c r="B276" s="1082"/>
      <c r="C276" s="1060" t="s">
        <v>16</v>
      </c>
      <c r="D276" s="1082" t="s">
        <v>995</v>
      </c>
      <c r="E276" s="1051"/>
      <c r="F276" s="1051"/>
      <c r="G276" s="1051"/>
      <c r="H276" s="1078">
        <v>63</v>
      </c>
      <c r="I276" s="1078">
        <v>-16</v>
      </c>
      <c r="J276" s="1078">
        <v>-151</v>
      </c>
      <c r="K276" s="1078">
        <v>-177</v>
      </c>
      <c r="L276" s="1078">
        <v>125</v>
      </c>
      <c r="M276" s="1078">
        <v>-541</v>
      </c>
      <c r="N276" s="1078">
        <v>274</v>
      </c>
      <c r="O276" s="1078">
        <v>-368</v>
      </c>
      <c r="P276" s="1078">
        <v>-194</v>
      </c>
      <c r="Q276" s="1078">
        <v>489</v>
      </c>
      <c r="R276" s="1078">
        <v>458</v>
      </c>
      <c r="S276" s="1078">
        <v>2</v>
      </c>
      <c r="T276" s="1078">
        <v>-36</v>
      </c>
    </row>
    <row r="277" spans="1:20" ht="18">
      <c r="A277" s="1074" t="s">
        <v>998</v>
      </c>
      <c r="B277" s="1082"/>
      <c r="C277" s="1060"/>
      <c r="D277" s="1082" t="s">
        <v>995</v>
      </c>
      <c r="E277" s="1051"/>
      <c r="F277" s="1051"/>
      <c r="G277" s="1051"/>
      <c r="H277" s="1078"/>
      <c r="I277" s="1078"/>
      <c r="J277" s="1078"/>
      <c r="K277" s="1078"/>
      <c r="L277" s="1078"/>
      <c r="M277" s="1078"/>
      <c r="N277" s="1078"/>
      <c r="O277" s="1078"/>
      <c r="P277" s="1078"/>
      <c r="Q277" s="1078"/>
      <c r="R277" s="1078"/>
      <c r="S277" s="1078"/>
      <c r="T277" s="1078"/>
    </row>
    <row r="278" spans="1:20" ht="18">
      <c r="A278" s="1074" t="s">
        <v>998</v>
      </c>
      <c r="B278" s="1082"/>
      <c r="C278" s="1060" t="s">
        <v>17</v>
      </c>
      <c r="D278" s="1082" t="s">
        <v>995</v>
      </c>
      <c r="E278" s="1051"/>
      <c r="F278" s="1051"/>
      <c r="G278" s="1051"/>
      <c r="H278" s="1081">
        <v>97606</v>
      </c>
      <c r="I278" s="1081">
        <v>91368</v>
      </c>
      <c r="J278" s="1081">
        <v>76430</v>
      </c>
      <c r="K278" s="1081">
        <v>73787</v>
      </c>
      <c r="L278" s="1081">
        <v>59743</v>
      </c>
      <c r="M278" s="1081">
        <v>28179</v>
      </c>
      <c r="N278" s="1081">
        <v>77102</v>
      </c>
      <c r="O278" s="1081">
        <v>11425</v>
      </c>
      <c r="P278" s="1081">
        <v>26149</v>
      </c>
      <c r="Q278" s="1081">
        <v>76567</v>
      </c>
      <c r="R278" s="1081">
        <v>98638</v>
      </c>
      <c r="S278" s="1081">
        <v>58495</v>
      </c>
      <c r="T278" s="1081">
        <v>775489</v>
      </c>
    </row>
    <row r="279" spans="1:20" ht="18">
      <c r="A279" s="1074" t="s">
        <v>998</v>
      </c>
      <c r="B279" s="1082"/>
      <c r="C279" s="1060" t="s">
        <v>18</v>
      </c>
      <c r="D279" s="1082" t="s">
        <v>995</v>
      </c>
      <c r="E279" s="1051"/>
      <c r="F279" s="1051"/>
      <c r="G279" s="1051"/>
      <c r="H279" s="1078">
        <v>103690</v>
      </c>
      <c r="I279" s="1078">
        <v>97065</v>
      </c>
      <c r="J279" s="1078">
        <v>81256</v>
      </c>
      <c r="K279" s="1078">
        <v>78457</v>
      </c>
      <c r="L279" s="1078">
        <v>64044</v>
      </c>
      <c r="M279" s="1078">
        <v>30240</v>
      </c>
      <c r="N279" s="1078">
        <v>82406</v>
      </c>
      <c r="O279" s="1078">
        <v>12850</v>
      </c>
      <c r="P279" s="1078">
        <v>28475</v>
      </c>
      <c r="Q279" s="1078">
        <v>82070</v>
      </c>
      <c r="R279" s="1078">
        <v>104959</v>
      </c>
      <c r="S279" s="1078">
        <v>62455</v>
      </c>
      <c r="T279" s="1078">
        <v>827967</v>
      </c>
    </row>
    <row r="280" spans="1:20" ht="18">
      <c r="A280" s="1074" t="s">
        <v>998</v>
      </c>
      <c r="B280" s="1060"/>
      <c r="C280" s="1060" t="s">
        <v>996</v>
      </c>
      <c r="D280" s="1082" t="s">
        <v>995</v>
      </c>
      <c r="E280" s="1051"/>
      <c r="F280" s="1051"/>
      <c r="G280" s="1051"/>
      <c r="H280" s="1078">
        <v>5</v>
      </c>
      <c r="I280" s="1078">
        <v>5</v>
      </c>
      <c r="J280" s="1078">
        <v>5</v>
      </c>
      <c r="K280" s="1078">
        <v>5</v>
      </c>
      <c r="L280" s="1078">
        <v>5</v>
      </c>
      <c r="M280" s="1078">
        <v>5</v>
      </c>
      <c r="N280" s="1078">
        <v>5</v>
      </c>
      <c r="O280" s="1078">
        <v>4</v>
      </c>
      <c r="P280" s="1078">
        <v>5</v>
      </c>
      <c r="Q280" s="1078">
        <v>5</v>
      </c>
      <c r="R280" s="1078">
        <v>5</v>
      </c>
      <c r="S280" s="1078">
        <v>4</v>
      </c>
      <c r="T280" s="1078">
        <v>4.833333333333333</v>
      </c>
    </row>
    <row r="281" spans="1:20" ht="18">
      <c r="A281" s="1074" t="s">
        <v>998</v>
      </c>
      <c r="B281" s="1082"/>
      <c r="C281" s="1060" t="s">
        <v>19</v>
      </c>
      <c r="D281" s="1082" t="s">
        <v>995</v>
      </c>
      <c r="E281" s="1051"/>
      <c r="F281" s="1051"/>
      <c r="G281" s="1051"/>
      <c r="H281" s="1078">
        <v>18958</v>
      </c>
      <c r="I281" s="1078">
        <v>17732</v>
      </c>
      <c r="J281" s="1078">
        <v>14806</v>
      </c>
      <c r="K281" s="1078">
        <v>14288</v>
      </c>
      <c r="L281" s="1078">
        <v>11621</v>
      </c>
      <c r="M281" s="1078">
        <v>5363</v>
      </c>
      <c r="N281" s="1078">
        <v>15015</v>
      </c>
      <c r="O281" s="1078">
        <v>2146</v>
      </c>
      <c r="P281" s="1078">
        <v>5036</v>
      </c>
      <c r="Q281" s="1078">
        <v>14952</v>
      </c>
      <c r="R281" s="1078">
        <v>18329</v>
      </c>
      <c r="S281" s="1078">
        <v>10752</v>
      </c>
      <c r="T281" s="1078">
        <v>148998</v>
      </c>
    </row>
    <row r="282" spans="1:20" ht="18">
      <c r="A282" s="1074" t="s">
        <v>998</v>
      </c>
      <c r="B282" s="1060"/>
      <c r="C282" s="1060"/>
      <c r="D282" s="1060"/>
      <c r="E282" s="1051"/>
      <c r="F282" s="1051"/>
      <c r="G282" s="1051"/>
      <c r="H282" s="1078"/>
      <c r="I282" s="1078"/>
      <c r="J282" s="1078"/>
      <c r="K282" s="1078"/>
      <c r="L282" s="1078"/>
      <c r="M282" s="1078"/>
      <c r="N282" s="1078"/>
      <c r="O282" s="1078"/>
      <c r="P282" s="1078"/>
      <c r="Q282" s="1078"/>
      <c r="R282" s="1078"/>
      <c r="S282" s="1078"/>
      <c r="T282" s="1078"/>
    </row>
    <row r="283" spans="1:20" ht="18">
      <c r="A283" s="1074"/>
      <c r="B283" s="1060" t="s">
        <v>81</v>
      </c>
      <c r="C283" s="1060" t="s">
        <v>15</v>
      </c>
      <c r="D283" s="1082" t="s">
        <v>995</v>
      </c>
      <c r="E283" s="1051"/>
      <c r="F283" s="1051"/>
      <c r="G283" s="1051"/>
      <c r="H283" s="1078">
        <v>0</v>
      </c>
      <c r="I283" s="1078">
        <v>0</v>
      </c>
      <c r="J283" s="1078">
        <v>0</v>
      </c>
      <c r="K283" s="1078">
        <v>0</v>
      </c>
      <c r="L283" s="1078">
        <v>0</v>
      </c>
      <c r="M283" s="1078">
        <v>0</v>
      </c>
      <c r="N283" s="1078">
        <v>0</v>
      </c>
      <c r="O283" s="1078">
        <v>0</v>
      </c>
      <c r="P283" s="1078">
        <v>0</v>
      </c>
      <c r="Q283" s="1078">
        <v>0</v>
      </c>
      <c r="R283" s="1078">
        <v>0</v>
      </c>
      <c r="S283" s="1078">
        <v>0</v>
      </c>
      <c r="T283" s="1078">
        <v>0</v>
      </c>
    </row>
    <row r="284" spans="1:20" ht="18">
      <c r="A284" s="1074"/>
      <c r="B284" s="1060"/>
      <c r="C284" s="1060"/>
      <c r="D284" s="1082" t="s">
        <v>995</v>
      </c>
      <c r="E284" s="1051"/>
      <c r="F284" s="1051"/>
      <c r="G284" s="1051"/>
      <c r="H284" s="1078"/>
      <c r="I284" s="1078"/>
      <c r="J284" s="1078"/>
      <c r="K284" s="1078"/>
      <c r="L284" s="1078"/>
      <c r="M284" s="1078"/>
      <c r="N284" s="1078"/>
      <c r="O284" s="1078"/>
      <c r="P284" s="1078"/>
      <c r="Q284" s="1078"/>
      <c r="R284" s="1078"/>
      <c r="S284" s="1078"/>
      <c r="T284" s="1078"/>
    </row>
    <row r="285" spans="1:20" ht="18">
      <c r="A285" s="1074"/>
      <c r="B285" s="1082"/>
      <c r="C285" s="1060" t="s">
        <v>16</v>
      </c>
      <c r="D285" s="1082" t="s">
        <v>995</v>
      </c>
      <c r="E285" s="1051"/>
      <c r="F285" s="1051"/>
      <c r="G285" s="1051"/>
      <c r="H285" s="1078"/>
      <c r="I285" s="1078"/>
      <c r="J285" s="1078"/>
      <c r="K285" s="1078"/>
      <c r="L285" s="1078"/>
      <c r="M285" s="1078"/>
      <c r="N285" s="1078"/>
      <c r="O285" s="1078"/>
      <c r="P285" s="1078"/>
      <c r="Q285" s="1078"/>
      <c r="R285" s="1078"/>
      <c r="S285" s="1078"/>
      <c r="T285" s="1078"/>
    </row>
    <row r="286" spans="1:20" ht="18">
      <c r="A286" s="1074"/>
      <c r="B286" s="1082"/>
      <c r="C286" s="1060"/>
      <c r="D286" s="1082" t="s">
        <v>995</v>
      </c>
      <c r="E286" s="1051"/>
      <c r="F286" s="1051"/>
      <c r="G286" s="1051"/>
      <c r="H286" s="1078"/>
      <c r="I286" s="1078"/>
      <c r="J286" s="1078"/>
      <c r="K286" s="1078"/>
      <c r="L286" s="1078"/>
      <c r="M286" s="1078"/>
      <c r="N286" s="1078"/>
      <c r="O286" s="1078"/>
      <c r="P286" s="1078"/>
      <c r="Q286" s="1078"/>
      <c r="R286" s="1078"/>
      <c r="S286" s="1078"/>
      <c r="T286" s="1078"/>
    </row>
    <row r="287" spans="1:20" ht="18">
      <c r="A287" s="1074"/>
      <c r="B287" s="1082"/>
      <c r="C287" s="1060" t="s">
        <v>17</v>
      </c>
      <c r="D287" s="1082" t="s">
        <v>995</v>
      </c>
      <c r="E287" s="1051"/>
      <c r="F287" s="1051"/>
      <c r="G287" s="1051"/>
      <c r="H287" s="1081">
        <v>0</v>
      </c>
      <c r="I287" s="1081">
        <v>0</v>
      </c>
      <c r="J287" s="1081">
        <v>0</v>
      </c>
      <c r="K287" s="1081">
        <v>0</v>
      </c>
      <c r="L287" s="1081">
        <v>0</v>
      </c>
      <c r="M287" s="1081">
        <v>0</v>
      </c>
      <c r="N287" s="1081">
        <v>0</v>
      </c>
      <c r="O287" s="1081">
        <v>0</v>
      </c>
      <c r="P287" s="1081">
        <v>0</v>
      </c>
      <c r="Q287" s="1081">
        <v>0</v>
      </c>
      <c r="R287" s="1081">
        <v>0</v>
      </c>
      <c r="S287" s="1081">
        <v>0</v>
      </c>
      <c r="T287" s="1081">
        <v>0</v>
      </c>
    </row>
    <row r="288" spans="1:20" ht="18">
      <c r="A288" s="1074"/>
      <c r="B288" s="1082"/>
      <c r="C288" s="1060" t="s">
        <v>18</v>
      </c>
      <c r="D288" s="1082" t="s">
        <v>995</v>
      </c>
      <c r="E288" s="1051"/>
      <c r="F288" s="1051"/>
      <c r="G288" s="1051"/>
      <c r="H288" s="1078">
        <v>0</v>
      </c>
      <c r="I288" s="1078">
        <v>0</v>
      </c>
      <c r="J288" s="1078">
        <v>0</v>
      </c>
      <c r="K288" s="1078">
        <v>0</v>
      </c>
      <c r="L288" s="1078">
        <v>0</v>
      </c>
      <c r="M288" s="1078">
        <v>0</v>
      </c>
      <c r="N288" s="1078">
        <v>0</v>
      </c>
      <c r="O288" s="1078">
        <v>0</v>
      </c>
      <c r="P288" s="1078">
        <v>0</v>
      </c>
      <c r="Q288" s="1078">
        <v>0</v>
      </c>
      <c r="R288" s="1078">
        <v>0</v>
      </c>
      <c r="S288" s="1078">
        <v>0</v>
      </c>
      <c r="T288" s="1078">
        <v>0</v>
      </c>
    </row>
    <row r="289" spans="1:20" ht="18">
      <c r="A289" s="1074"/>
      <c r="B289" s="1060"/>
      <c r="C289" s="1060" t="s">
        <v>996</v>
      </c>
      <c r="D289" s="1082" t="s">
        <v>995</v>
      </c>
      <c r="E289" s="1051"/>
      <c r="F289" s="1051"/>
      <c r="G289" s="1051"/>
      <c r="H289" s="1078">
        <v>0</v>
      </c>
      <c r="I289" s="1078">
        <v>0</v>
      </c>
      <c r="J289" s="1078">
        <v>0</v>
      </c>
      <c r="K289" s="1078">
        <v>0</v>
      </c>
      <c r="L289" s="1078">
        <v>0</v>
      </c>
      <c r="M289" s="1078">
        <v>0</v>
      </c>
      <c r="N289" s="1078">
        <v>0</v>
      </c>
      <c r="O289" s="1078">
        <v>0</v>
      </c>
      <c r="P289" s="1078">
        <v>0</v>
      </c>
      <c r="Q289" s="1078">
        <v>0</v>
      </c>
      <c r="R289" s="1078">
        <v>0</v>
      </c>
      <c r="S289" s="1078">
        <v>0</v>
      </c>
      <c r="T289" s="1078">
        <v>0</v>
      </c>
    </row>
    <row r="290" spans="1:20" ht="18">
      <c r="A290" s="1074"/>
      <c r="B290" s="1060"/>
      <c r="C290" s="1060" t="s">
        <v>19</v>
      </c>
      <c r="D290" s="1082" t="s">
        <v>995</v>
      </c>
      <c r="E290" s="1051"/>
      <c r="F290" s="1051"/>
      <c r="G290" s="1051"/>
      <c r="H290" s="1078">
        <v>0</v>
      </c>
      <c r="I290" s="1078">
        <v>0</v>
      </c>
      <c r="J290" s="1078">
        <v>0</v>
      </c>
      <c r="K290" s="1078">
        <v>0</v>
      </c>
      <c r="L290" s="1078">
        <v>0</v>
      </c>
      <c r="M290" s="1078">
        <v>0</v>
      </c>
      <c r="N290" s="1078">
        <v>0</v>
      </c>
      <c r="O290" s="1078">
        <v>0</v>
      </c>
      <c r="P290" s="1078">
        <v>0</v>
      </c>
      <c r="Q290" s="1078">
        <v>0</v>
      </c>
      <c r="R290" s="1078">
        <v>0</v>
      </c>
      <c r="S290" s="1078">
        <v>0</v>
      </c>
      <c r="T290" s="1078">
        <v>0</v>
      </c>
    </row>
    <row r="291" spans="1:20" ht="18">
      <c r="A291" s="1074"/>
      <c r="B291" s="1060"/>
      <c r="C291" s="1060"/>
      <c r="D291" s="1060"/>
      <c r="E291" s="1051"/>
      <c r="F291" s="1051"/>
      <c r="G291" s="1051"/>
      <c r="H291" s="1078"/>
      <c r="I291" s="1078"/>
      <c r="J291" s="1078"/>
      <c r="K291" s="1078"/>
      <c r="L291" s="1078"/>
      <c r="M291" s="1078"/>
      <c r="N291" s="1078"/>
      <c r="O291" s="1078"/>
      <c r="P291" s="1078"/>
      <c r="Q291" s="1078"/>
      <c r="R291" s="1078"/>
      <c r="S291" s="1078"/>
      <c r="T291" s="1078"/>
    </row>
    <row r="292" spans="1:20" ht="18">
      <c r="A292" s="1074"/>
      <c r="B292" s="1060" t="s">
        <v>25</v>
      </c>
      <c r="C292" s="1060" t="s">
        <v>15</v>
      </c>
      <c r="D292" s="1082" t="s">
        <v>995</v>
      </c>
      <c r="E292" s="1051"/>
      <c r="F292" s="1051"/>
      <c r="G292" s="1051"/>
      <c r="H292" s="1078">
        <v>0</v>
      </c>
      <c r="I292" s="1078">
        <v>0</v>
      </c>
      <c r="J292" s="1078">
        <v>0</v>
      </c>
      <c r="K292" s="1078">
        <v>0</v>
      </c>
      <c r="L292" s="1078">
        <v>0</v>
      </c>
      <c r="M292" s="1078">
        <v>0</v>
      </c>
      <c r="N292" s="1078">
        <v>0</v>
      </c>
      <c r="O292" s="1078">
        <v>0</v>
      </c>
      <c r="P292" s="1078">
        <v>0</v>
      </c>
      <c r="Q292" s="1078">
        <v>0</v>
      </c>
      <c r="R292" s="1078">
        <v>0</v>
      </c>
      <c r="S292" s="1078">
        <v>0</v>
      </c>
      <c r="T292" s="1078">
        <v>0</v>
      </c>
    </row>
    <row r="293" spans="1:20" ht="18">
      <c r="A293" s="1074"/>
      <c r="B293" s="1060" t="s">
        <v>679</v>
      </c>
      <c r="C293" s="1060" t="s">
        <v>446</v>
      </c>
      <c r="D293" s="1082" t="s">
        <v>995</v>
      </c>
      <c r="E293" s="1051"/>
      <c r="F293" s="1051"/>
      <c r="G293" s="1051"/>
      <c r="H293" s="1078"/>
      <c r="I293" s="1078"/>
      <c r="J293" s="1078"/>
      <c r="K293" s="1078"/>
      <c r="L293" s="1078"/>
      <c r="M293" s="1078"/>
      <c r="N293" s="1078"/>
      <c r="O293" s="1078"/>
      <c r="P293" s="1078"/>
      <c r="Q293" s="1078"/>
      <c r="R293" s="1078"/>
      <c r="S293" s="1078"/>
      <c r="T293" s="1078"/>
    </row>
    <row r="294" spans="1:20" ht="18">
      <c r="A294" s="1074"/>
      <c r="B294" s="1082"/>
      <c r="C294" s="1082"/>
      <c r="D294" s="1082" t="s">
        <v>995</v>
      </c>
      <c r="E294" s="1051"/>
      <c r="F294" s="1051"/>
      <c r="G294" s="1051"/>
      <c r="H294" s="1078"/>
      <c r="I294" s="1078"/>
      <c r="J294" s="1078"/>
      <c r="K294" s="1078"/>
      <c r="L294" s="1078"/>
      <c r="M294" s="1078"/>
      <c r="N294" s="1078"/>
      <c r="O294" s="1078"/>
      <c r="P294" s="1078"/>
      <c r="Q294" s="1078"/>
      <c r="R294" s="1078"/>
      <c r="S294" s="1078"/>
      <c r="T294" s="1078"/>
    </row>
    <row r="295" spans="1:20" ht="18">
      <c r="A295" s="1074"/>
      <c r="B295" s="1082"/>
      <c r="C295" s="1082"/>
      <c r="D295" s="1082" t="s">
        <v>995</v>
      </c>
      <c r="E295" s="1051"/>
      <c r="F295" s="1051"/>
      <c r="G295" s="1051"/>
      <c r="H295" s="1078"/>
      <c r="I295" s="1078"/>
      <c r="J295" s="1078"/>
      <c r="K295" s="1078"/>
      <c r="L295" s="1078"/>
      <c r="M295" s="1078"/>
      <c r="N295" s="1078"/>
      <c r="O295" s="1078"/>
      <c r="P295" s="1078"/>
      <c r="Q295" s="1078"/>
      <c r="R295" s="1078"/>
      <c r="S295" s="1078"/>
      <c r="T295" s="1078"/>
    </row>
    <row r="296" spans="1:20" ht="18">
      <c r="A296" s="1074"/>
      <c r="B296" s="1082"/>
      <c r="C296" s="1082" t="s">
        <v>17</v>
      </c>
      <c r="D296" s="1082" t="s">
        <v>995</v>
      </c>
      <c r="E296" s="1051"/>
      <c r="F296" s="1051"/>
      <c r="G296" s="1051"/>
      <c r="H296" s="1081"/>
      <c r="I296" s="1081"/>
      <c r="J296" s="1081"/>
      <c r="K296" s="1081"/>
      <c r="L296" s="1081"/>
      <c r="M296" s="1081"/>
      <c r="N296" s="1081"/>
      <c r="O296" s="1081"/>
      <c r="P296" s="1081"/>
      <c r="Q296" s="1081"/>
      <c r="R296" s="1081"/>
      <c r="S296" s="1081"/>
      <c r="T296" s="1081">
        <v>0</v>
      </c>
    </row>
    <row r="297" spans="1:20" ht="18">
      <c r="A297" s="1074"/>
      <c r="B297" s="1082"/>
      <c r="C297" s="1082" t="s">
        <v>18</v>
      </c>
      <c r="D297" s="1082" t="s">
        <v>995</v>
      </c>
      <c r="E297" s="1051"/>
      <c r="F297" s="1051"/>
      <c r="G297" s="1051"/>
      <c r="H297" s="1078">
        <v>0</v>
      </c>
      <c r="I297" s="1078">
        <v>0</v>
      </c>
      <c r="J297" s="1078">
        <v>0</v>
      </c>
      <c r="K297" s="1078">
        <v>0</v>
      </c>
      <c r="L297" s="1078">
        <v>0</v>
      </c>
      <c r="M297" s="1078">
        <v>0</v>
      </c>
      <c r="N297" s="1078">
        <v>0</v>
      </c>
      <c r="O297" s="1078">
        <v>0</v>
      </c>
      <c r="P297" s="1078">
        <v>0</v>
      </c>
      <c r="Q297" s="1078">
        <v>0</v>
      </c>
      <c r="R297" s="1078">
        <v>0</v>
      </c>
      <c r="S297" s="1078">
        <v>0</v>
      </c>
      <c r="T297" s="1078">
        <v>0</v>
      </c>
    </row>
    <row r="298" spans="1:20" ht="18">
      <c r="A298" s="1074"/>
      <c r="B298" s="1060"/>
      <c r="C298" s="1060" t="s">
        <v>996</v>
      </c>
      <c r="D298" s="1082" t="s">
        <v>995</v>
      </c>
      <c r="E298" s="1051"/>
      <c r="F298" s="1051"/>
      <c r="G298" s="1051"/>
      <c r="H298" s="1078">
        <v>0</v>
      </c>
      <c r="I298" s="1078">
        <v>0</v>
      </c>
      <c r="J298" s="1078">
        <v>0</v>
      </c>
      <c r="K298" s="1078">
        <v>0</v>
      </c>
      <c r="L298" s="1078">
        <v>0</v>
      </c>
      <c r="M298" s="1078">
        <v>0</v>
      </c>
      <c r="N298" s="1078">
        <v>0</v>
      </c>
      <c r="O298" s="1078">
        <v>0</v>
      </c>
      <c r="P298" s="1078">
        <v>0</v>
      </c>
      <c r="Q298" s="1078">
        <v>0</v>
      </c>
      <c r="R298" s="1078">
        <v>0</v>
      </c>
      <c r="S298" s="1078">
        <v>0</v>
      </c>
      <c r="T298" s="1078">
        <v>0</v>
      </c>
    </row>
    <row r="299" spans="1:20" ht="18">
      <c r="A299" s="1074"/>
      <c r="B299" s="1060"/>
      <c r="C299" s="1082" t="s">
        <v>19</v>
      </c>
      <c r="D299" s="1082" t="s">
        <v>995</v>
      </c>
      <c r="E299" s="1051"/>
      <c r="F299" s="1051"/>
      <c r="G299" s="1051"/>
      <c r="H299" s="1078">
        <v>0</v>
      </c>
      <c r="I299" s="1078">
        <v>0</v>
      </c>
      <c r="J299" s="1078">
        <v>0</v>
      </c>
      <c r="K299" s="1078">
        <v>0</v>
      </c>
      <c r="L299" s="1078">
        <v>0</v>
      </c>
      <c r="M299" s="1078">
        <v>0</v>
      </c>
      <c r="N299" s="1078">
        <v>0</v>
      </c>
      <c r="O299" s="1078">
        <v>0</v>
      </c>
      <c r="P299" s="1078">
        <v>0</v>
      </c>
      <c r="Q299" s="1078">
        <v>0</v>
      </c>
      <c r="R299" s="1078">
        <v>0</v>
      </c>
      <c r="S299" s="1078">
        <v>0</v>
      </c>
      <c r="T299" s="1078">
        <v>0</v>
      </c>
    </row>
    <row r="300" spans="1:20" ht="18">
      <c r="A300" s="1074"/>
      <c r="B300" s="1051"/>
      <c r="C300" s="1082"/>
      <c r="D300" s="1082"/>
      <c r="E300" s="1051"/>
      <c r="F300" s="1051"/>
      <c r="G300" s="1051"/>
      <c r="H300" s="1078"/>
      <c r="I300" s="1078"/>
      <c r="J300" s="1078"/>
      <c r="K300" s="1078"/>
      <c r="L300" s="1078"/>
      <c r="M300" s="1078"/>
      <c r="N300" s="1078"/>
      <c r="O300" s="1078"/>
      <c r="P300" s="1078"/>
      <c r="Q300" s="1078"/>
      <c r="R300" s="1078"/>
      <c r="S300" s="1078"/>
      <c r="T300" s="1078"/>
    </row>
    <row r="301" spans="1:20" ht="18">
      <c r="A301" s="1074" t="s">
        <v>1002</v>
      </c>
      <c r="B301" s="1060" t="s">
        <v>1011</v>
      </c>
      <c r="C301" s="1060" t="s">
        <v>15</v>
      </c>
      <c r="D301" s="1082" t="s">
        <v>1004</v>
      </c>
      <c r="E301" s="1051"/>
      <c r="F301" s="1051"/>
      <c r="G301" s="1051"/>
      <c r="H301" s="1078">
        <v>8254</v>
      </c>
      <c r="I301" s="1078">
        <v>7331</v>
      </c>
      <c r="J301" s="1078">
        <v>6918</v>
      </c>
      <c r="K301" s="1078">
        <v>6456</v>
      </c>
      <c r="L301" s="1078">
        <v>6082</v>
      </c>
      <c r="M301" s="1078">
        <v>6223</v>
      </c>
      <c r="N301" s="1078">
        <v>6088</v>
      </c>
      <c r="O301" s="1078">
        <v>6153</v>
      </c>
      <c r="P301" s="1078">
        <v>6312</v>
      </c>
      <c r="Q301" s="1078">
        <v>6600</v>
      </c>
      <c r="R301" s="1078">
        <v>6937</v>
      </c>
      <c r="S301" s="1078">
        <v>7391</v>
      </c>
      <c r="T301" s="1078">
        <v>80745</v>
      </c>
    </row>
    <row r="302" spans="1:20" ht="18">
      <c r="A302" s="1074" t="s">
        <v>1002</v>
      </c>
      <c r="B302" s="1082"/>
      <c r="C302" s="1060"/>
      <c r="D302" s="1082" t="s">
        <v>1004</v>
      </c>
      <c r="E302" s="1051"/>
      <c r="F302" s="1051"/>
      <c r="G302" s="1051"/>
      <c r="H302" s="1078"/>
      <c r="I302" s="1078"/>
      <c r="J302" s="1078"/>
      <c r="K302" s="1078"/>
      <c r="L302" s="1078"/>
      <c r="M302" s="1078"/>
      <c r="N302" s="1078"/>
      <c r="O302" s="1078"/>
      <c r="P302" s="1078"/>
      <c r="Q302" s="1078"/>
      <c r="R302" s="1078"/>
      <c r="S302" s="1078"/>
      <c r="T302" s="1078"/>
    </row>
    <row r="303" spans="1:20" ht="18">
      <c r="A303" s="1074" t="s">
        <v>1002</v>
      </c>
      <c r="B303" s="1082"/>
      <c r="C303" s="1060" t="s">
        <v>16</v>
      </c>
      <c r="D303" s="1082" t="s">
        <v>1004</v>
      </c>
      <c r="E303" s="1051"/>
      <c r="F303" s="1051"/>
      <c r="G303" s="1051"/>
      <c r="H303" s="1078"/>
      <c r="I303" s="1078"/>
      <c r="J303" s="1078"/>
      <c r="K303" s="1078"/>
      <c r="L303" s="1078"/>
      <c r="M303" s="1078"/>
      <c r="N303" s="1078"/>
      <c r="O303" s="1078"/>
      <c r="P303" s="1078"/>
      <c r="Q303" s="1078"/>
      <c r="R303" s="1078"/>
      <c r="S303" s="1078"/>
      <c r="T303" s="1078"/>
    </row>
    <row r="304" spans="1:20" ht="18">
      <c r="A304" s="1074" t="s">
        <v>1002</v>
      </c>
      <c r="B304" s="1082"/>
      <c r="C304" s="1060"/>
      <c r="D304" s="1082" t="s">
        <v>1004</v>
      </c>
      <c r="E304" s="1051"/>
      <c r="F304" s="1051"/>
      <c r="G304" s="1051"/>
      <c r="H304" s="1078"/>
      <c r="I304" s="1078"/>
      <c r="J304" s="1078"/>
      <c r="K304" s="1078"/>
      <c r="L304" s="1078"/>
      <c r="M304" s="1078"/>
      <c r="N304" s="1078"/>
      <c r="O304" s="1078"/>
      <c r="P304" s="1078"/>
      <c r="Q304" s="1078"/>
      <c r="R304" s="1078"/>
      <c r="S304" s="1078"/>
      <c r="T304" s="1078"/>
    </row>
    <row r="305" spans="1:20" ht="18">
      <c r="A305" s="1074" t="s">
        <v>1002</v>
      </c>
      <c r="B305" s="1082"/>
      <c r="C305" s="1060" t="s">
        <v>17</v>
      </c>
      <c r="D305" s="1082" t="s">
        <v>1004</v>
      </c>
      <c r="E305" s="1051"/>
      <c r="F305" s="1051"/>
      <c r="G305" s="1051"/>
      <c r="H305" s="1081"/>
      <c r="I305" s="1081"/>
      <c r="J305" s="1081"/>
      <c r="K305" s="1081"/>
      <c r="L305" s="1081"/>
      <c r="M305" s="1081"/>
      <c r="N305" s="1081"/>
      <c r="O305" s="1081"/>
      <c r="P305" s="1081"/>
      <c r="Q305" s="1081"/>
      <c r="R305" s="1081"/>
      <c r="S305" s="1081"/>
      <c r="T305" s="1081">
        <v>0</v>
      </c>
    </row>
    <row r="306" spans="1:20" ht="18">
      <c r="A306" s="1074" t="s">
        <v>1002</v>
      </c>
      <c r="B306" s="1060"/>
      <c r="C306" s="1060" t="s">
        <v>18</v>
      </c>
      <c r="D306" s="1082" t="s">
        <v>1004</v>
      </c>
      <c r="E306" s="1051"/>
      <c r="F306" s="1051"/>
      <c r="G306" s="1051"/>
      <c r="H306" s="1078">
        <v>8254</v>
      </c>
      <c r="I306" s="1078">
        <v>7331</v>
      </c>
      <c r="J306" s="1078">
        <v>6918</v>
      </c>
      <c r="K306" s="1078">
        <v>6456</v>
      </c>
      <c r="L306" s="1078">
        <v>6082</v>
      </c>
      <c r="M306" s="1078">
        <v>6223</v>
      </c>
      <c r="N306" s="1078">
        <v>6088</v>
      </c>
      <c r="O306" s="1078">
        <v>6153</v>
      </c>
      <c r="P306" s="1078">
        <v>6312</v>
      </c>
      <c r="Q306" s="1078">
        <v>6600</v>
      </c>
      <c r="R306" s="1078">
        <v>6937</v>
      </c>
      <c r="S306" s="1078">
        <v>7391</v>
      </c>
      <c r="T306" s="1078">
        <v>80745</v>
      </c>
    </row>
    <row r="307" spans="1:20" ht="18">
      <c r="A307" s="1074" t="s">
        <v>1002</v>
      </c>
      <c r="B307" s="1060"/>
      <c r="C307" s="1060" t="s">
        <v>996</v>
      </c>
      <c r="D307" s="1082" t="s">
        <v>1004</v>
      </c>
      <c r="E307" s="1051"/>
      <c r="F307" s="1051"/>
      <c r="G307" s="1051"/>
      <c r="H307" s="1078">
        <v>3</v>
      </c>
      <c r="I307" s="1078">
        <v>3</v>
      </c>
      <c r="J307" s="1078">
        <v>3</v>
      </c>
      <c r="K307" s="1078">
        <v>3</v>
      </c>
      <c r="L307" s="1078">
        <v>3</v>
      </c>
      <c r="M307" s="1078">
        <v>3</v>
      </c>
      <c r="N307" s="1078">
        <v>3</v>
      </c>
      <c r="O307" s="1078">
        <v>3</v>
      </c>
      <c r="P307" s="1078">
        <v>3</v>
      </c>
      <c r="Q307" s="1078">
        <v>3</v>
      </c>
      <c r="R307" s="1078">
        <v>3</v>
      </c>
      <c r="S307" s="1078">
        <v>3</v>
      </c>
      <c r="T307" s="1078">
        <v>3</v>
      </c>
    </row>
    <row r="308" spans="1:20" ht="18">
      <c r="A308" s="1074" t="s">
        <v>1002</v>
      </c>
      <c r="B308" s="1060"/>
      <c r="C308" s="1060" t="s">
        <v>19</v>
      </c>
      <c r="D308" s="1082" t="s">
        <v>1004</v>
      </c>
      <c r="E308" s="1051"/>
      <c r="F308" s="1051"/>
      <c r="G308" s="1051"/>
      <c r="H308" s="1078">
        <v>21370</v>
      </c>
      <c r="I308" s="1078">
        <v>15853</v>
      </c>
      <c r="J308" s="1078">
        <v>13386</v>
      </c>
      <c r="K308" s="1078">
        <v>10625</v>
      </c>
      <c r="L308" s="1078">
        <v>8386</v>
      </c>
      <c r="M308" s="1078">
        <v>8867</v>
      </c>
      <c r="N308" s="1078">
        <v>8426</v>
      </c>
      <c r="O308" s="1078">
        <v>8815</v>
      </c>
      <c r="P308" s="1078">
        <v>9766</v>
      </c>
      <c r="Q308" s="1078">
        <v>11485</v>
      </c>
      <c r="R308" s="1078">
        <v>13498</v>
      </c>
      <c r="S308" s="1078">
        <v>16214</v>
      </c>
      <c r="T308" s="1078">
        <v>146691</v>
      </c>
    </row>
    <row r="309" spans="1:20" ht="18">
      <c r="A309" s="1074" t="s">
        <v>1002</v>
      </c>
      <c r="B309" s="1051"/>
      <c r="C309" s="1082"/>
      <c r="D309" s="1082"/>
      <c r="E309" s="1051"/>
      <c r="F309" s="1051"/>
      <c r="G309" s="1051"/>
      <c r="H309" s="1078"/>
      <c r="I309" s="1078"/>
      <c r="J309" s="1078"/>
      <c r="K309" s="1078"/>
      <c r="L309" s="1078"/>
      <c r="M309" s="1078"/>
      <c r="N309" s="1078"/>
      <c r="O309" s="1078"/>
      <c r="P309" s="1078"/>
      <c r="Q309" s="1078"/>
      <c r="R309" s="1078"/>
      <c r="S309" s="1078"/>
      <c r="T309" s="1078"/>
    </row>
    <row r="310" spans="1:20" ht="18">
      <c r="A310" s="1074" t="s">
        <v>1002</v>
      </c>
      <c r="B310" s="1060" t="s">
        <v>1012</v>
      </c>
      <c r="C310" s="1060" t="s">
        <v>15</v>
      </c>
      <c r="D310" s="1082" t="s">
        <v>1004</v>
      </c>
      <c r="E310" s="1051"/>
      <c r="F310" s="1051"/>
      <c r="G310" s="1051"/>
      <c r="H310" s="1078">
        <v>4737</v>
      </c>
      <c r="I310" s="1078">
        <v>3565</v>
      </c>
      <c r="J310" s="1078">
        <v>8197</v>
      </c>
      <c r="K310" s="1078">
        <v>4726</v>
      </c>
      <c r="L310" s="1078">
        <v>4513</v>
      </c>
      <c r="M310" s="1078">
        <v>6133</v>
      </c>
      <c r="N310" s="1078">
        <v>1522</v>
      </c>
      <c r="O310" s="1078">
        <v>-1981</v>
      </c>
      <c r="P310" s="1078">
        <v>2781</v>
      </c>
      <c r="Q310" s="1078">
        <v>2878</v>
      </c>
      <c r="R310" s="1078">
        <v>3407</v>
      </c>
      <c r="S310" s="1078">
        <v>3223</v>
      </c>
      <c r="T310" s="1078">
        <v>43701</v>
      </c>
    </row>
    <row r="311" spans="1:20" ht="18">
      <c r="A311" s="1074" t="s">
        <v>1002</v>
      </c>
      <c r="B311" s="1060" t="s">
        <v>680</v>
      </c>
      <c r="C311" s="1060"/>
      <c r="D311" s="1082" t="s">
        <v>1004</v>
      </c>
      <c r="E311" s="1051"/>
      <c r="F311" s="1051"/>
      <c r="G311" s="1051"/>
      <c r="H311" s="1078"/>
      <c r="I311" s="1078"/>
      <c r="J311" s="1078"/>
      <c r="K311" s="1078"/>
      <c r="L311" s="1078"/>
      <c r="M311" s="1078"/>
      <c r="N311" s="1078"/>
      <c r="O311" s="1078"/>
      <c r="P311" s="1078"/>
      <c r="Q311" s="1078"/>
      <c r="R311" s="1078"/>
      <c r="S311" s="1078"/>
      <c r="T311" s="1078"/>
    </row>
    <row r="312" spans="1:20" ht="18">
      <c r="A312" s="1074" t="s">
        <v>1002</v>
      </c>
      <c r="B312" s="1082"/>
      <c r="C312" s="1060" t="s">
        <v>16</v>
      </c>
      <c r="D312" s="1082" t="s">
        <v>1004</v>
      </c>
      <c r="E312" s="1051"/>
      <c r="F312" s="1051"/>
      <c r="G312" s="1051"/>
      <c r="H312" s="1078"/>
      <c r="I312" s="1078"/>
      <c r="J312" s="1078"/>
      <c r="K312" s="1078"/>
      <c r="L312" s="1078"/>
      <c r="M312" s="1078"/>
      <c r="N312" s="1078"/>
      <c r="O312" s="1078"/>
      <c r="P312" s="1078"/>
      <c r="Q312" s="1078"/>
      <c r="R312" s="1078"/>
      <c r="S312" s="1078"/>
      <c r="T312" s="1078"/>
    </row>
    <row r="313" spans="1:20" ht="18">
      <c r="A313" s="1074" t="s">
        <v>1002</v>
      </c>
      <c r="B313" s="1082"/>
      <c r="C313" s="1060"/>
      <c r="D313" s="1082" t="s">
        <v>1004</v>
      </c>
      <c r="E313" s="1051"/>
      <c r="F313" s="1051"/>
      <c r="G313" s="1051"/>
      <c r="H313" s="1078"/>
      <c r="I313" s="1078"/>
      <c r="J313" s="1078"/>
      <c r="K313" s="1078"/>
      <c r="L313" s="1078"/>
      <c r="M313" s="1078"/>
      <c r="N313" s="1078"/>
      <c r="O313" s="1078"/>
      <c r="P313" s="1078"/>
      <c r="Q313" s="1078"/>
      <c r="R313" s="1078"/>
      <c r="S313" s="1078"/>
      <c r="T313" s="1078"/>
    </row>
    <row r="314" spans="1:20" ht="18">
      <c r="A314" s="1074" t="s">
        <v>1002</v>
      </c>
      <c r="B314" s="1082"/>
      <c r="C314" s="1060" t="s">
        <v>17</v>
      </c>
      <c r="D314" s="1082" t="s">
        <v>1004</v>
      </c>
      <c r="E314" s="1051"/>
      <c r="F314" s="1051"/>
      <c r="G314" s="1051"/>
      <c r="H314" s="1081"/>
      <c r="I314" s="1081"/>
      <c r="J314" s="1081"/>
      <c r="K314" s="1081"/>
      <c r="L314" s="1081"/>
      <c r="M314" s="1081"/>
      <c r="N314" s="1081"/>
      <c r="O314" s="1081"/>
      <c r="P314" s="1081"/>
      <c r="Q314" s="1081"/>
      <c r="R314" s="1081"/>
      <c r="S314" s="1081"/>
      <c r="T314" s="1081">
        <v>0</v>
      </c>
    </row>
    <row r="315" spans="1:20" ht="18">
      <c r="A315" s="1074" t="s">
        <v>1002</v>
      </c>
      <c r="B315" s="1060"/>
      <c r="C315" s="1060" t="s">
        <v>18</v>
      </c>
      <c r="D315" s="1082" t="s">
        <v>1004</v>
      </c>
      <c r="E315" s="1051"/>
      <c r="F315" s="1051"/>
      <c r="G315" s="1051"/>
      <c r="H315" s="1078">
        <v>4737</v>
      </c>
      <c r="I315" s="1078">
        <v>3565</v>
      </c>
      <c r="J315" s="1078">
        <v>8197</v>
      </c>
      <c r="K315" s="1078">
        <v>4726</v>
      </c>
      <c r="L315" s="1078">
        <v>4513</v>
      </c>
      <c r="M315" s="1078">
        <v>6133</v>
      </c>
      <c r="N315" s="1078">
        <v>1522</v>
      </c>
      <c r="O315" s="1078">
        <v>-1981</v>
      </c>
      <c r="P315" s="1078">
        <v>2781</v>
      </c>
      <c r="Q315" s="1078">
        <v>2878</v>
      </c>
      <c r="R315" s="1078">
        <v>3407</v>
      </c>
      <c r="S315" s="1078">
        <v>3223</v>
      </c>
      <c r="T315" s="1078">
        <v>43701</v>
      </c>
    </row>
    <row r="316" spans="1:20" ht="18">
      <c r="A316" s="1074" t="s">
        <v>1002</v>
      </c>
      <c r="B316" s="1060"/>
      <c r="C316" s="1060" t="s">
        <v>996</v>
      </c>
      <c r="D316" s="1082" t="s">
        <v>1004</v>
      </c>
      <c r="E316" s="1051"/>
      <c r="F316" s="1051"/>
      <c r="G316" s="1051"/>
      <c r="H316" s="1078">
        <v>2</v>
      </c>
      <c r="I316" s="1078">
        <v>2</v>
      </c>
      <c r="J316" s="1078">
        <v>2</v>
      </c>
      <c r="K316" s="1078">
        <v>2</v>
      </c>
      <c r="L316" s="1078">
        <v>2</v>
      </c>
      <c r="M316" s="1078">
        <v>2</v>
      </c>
      <c r="N316" s="1078">
        <v>2</v>
      </c>
      <c r="O316" s="1078">
        <v>2</v>
      </c>
      <c r="P316" s="1078">
        <v>2</v>
      </c>
      <c r="Q316" s="1078">
        <v>2</v>
      </c>
      <c r="R316" s="1078">
        <v>2</v>
      </c>
      <c r="S316" s="1078">
        <v>2</v>
      </c>
      <c r="T316" s="1078">
        <v>2</v>
      </c>
    </row>
    <row r="317" spans="1:20" ht="18">
      <c r="A317" s="1074" t="s">
        <v>1002</v>
      </c>
      <c r="B317" s="1082"/>
      <c r="C317" s="1060" t="s">
        <v>19</v>
      </c>
      <c r="D317" s="1082" t="s">
        <v>1004</v>
      </c>
      <c r="E317" s="1051"/>
      <c r="F317" s="1051"/>
      <c r="G317" s="1051"/>
      <c r="H317" s="1078">
        <v>75035</v>
      </c>
      <c r="I317" s="1078">
        <v>49575</v>
      </c>
      <c r="J317" s="1078">
        <v>51851</v>
      </c>
      <c r="K317" s="1078">
        <v>92988</v>
      </c>
      <c r="L317" s="1078">
        <v>92566</v>
      </c>
      <c r="M317" s="1078">
        <v>13560</v>
      </c>
      <c r="N317" s="1078">
        <v>19138</v>
      </c>
      <c r="O317" s="1078">
        <v>-41851</v>
      </c>
      <c r="P317" s="1078">
        <v>39984</v>
      </c>
      <c r="Q317" s="1078">
        <v>37529</v>
      </c>
      <c r="R317" s="1078">
        <v>48007</v>
      </c>
      <c r="S317" s="1078">
        <v>39539</v>
      </c>
      <c r="T317" s="1078">
        <v>517921</v>
      </c>
    </row>
    <row r="318" spans="1:20" ht="18">
      <c r="A318" s="1074" t="s">
        <v>1002</v>
      </c>
      <c r="B318" s="1082"/>
      <c r="C318" s="1060"/>
      <c r="D318" s="1060"/>
      <c r="E318" s="1051"/>
      <c r="F318" s="1051"/>
      <c r="G318" s="1051"/>
      <c r="H318" s="1078"/>
      <c r="I318" s="1078"/>
      <c r="J318" s="1078"/>
      <c r="K318" s="1078"/>
      <c r="L318" s="1078"/>
      <c r="M318" s="1078"/>
      <c r="N318" s="1078"/>
      <c r="O318" s="1078"/>
      <c r="P318" s="1078"/>
      <c r="Q318" s="1078"/>
      <c r="R318" s="1078"/>
      <c r="S318" s="1078"/>
      <c r="T318" s="1078"/>
    </row>
    <row r="319" spans="1:20" ht="18">
      <c r="A319" s="1074"/>
      <c r="B319" s="1082" t="s">
        <v>676</v>
      </c>
      <c r="C319" s="1082" t="s">
        <v>15</v>
      </c>
      <c r="D319" s="1082" t="s">
        <v>995</v>
      </c>
      <c r="E319" s="1051"/>
      <c r="F319" s="1051"/>
      <c r="G319" s="1051"/>
      <c r="H319" s="1078">
        <v>45994.820000000007</v>
      </c>
      <c r="I319" s="1078">
        <v>85042.51999999996</v>
      </c>
      <c r="J319" s="1078">
        <v>102647.68999999997</v>
      </c>
      <c r="K319" s="1078">
        <v>-9643.7699999999895</v>
      </c>
      <c r="L319" s="1078">
        <v>59737.489999999991</v>
      </c>
      <c r="M319" s="1078">
        <v>103924.6</v>
      </c>
      <c r="N319" s="1078">
        <v>106098.70000000001</v>
      </c>
      <c r="O319" s="1078">
        <v>8699.8500000000058</v>
      </c>
      <c r="P319" s="1078">
        <v>77121.899999999994</v>
      </c>
      <c r="Q319" s="1078">
        <v>-56644.12000000001</v>
      </c>
      <c r="R319" s="1078">
        <v>-133722.24000000002</v>
      </c>
      <c r="S319" s="1078">
        <v>-48490.130000000005</v>
      </c>
      <c r="T319" s="1078">
        <v>340767.31000000006</v>
      </c>
    </row>
    <row r="320" spans="1:20" ht="18">
      <c r="A320" s="1074"/>
      <c r="B320" s="1082" t="s">
        <v>107</v>
      </c>
      <c r="C320" s="1060" t="s">
        <v>15</v>
      </c>
      <c r="D320" s="1060" t="s">
        <v>995</v>
      </c>
      <c r="E320" s="1051"/>
      <c r="F320" s="1051"/>
      <c r="G320" s="1051"/>
      <c r="H320" s="1078">
        <v>27627.95</v>
      </c>
      <c r="I320" s="1078">
        <v>24808.65</v>
      </c>
      <c r="J320" s="1078">
        <v>18899.490000000002</v>
      </c>
      <c r="K320" s="1078">
        <v>15445.45</v>
      </c>
      <c r="L320" s="1078">
        <v>9145.25</v>
      </c>
      <c r="M320" s="1078">
        <v>3078.21</v>
      </c>
      <c r="N320" s="1078">
        <v>2695.61</v>
      </c>
      <c r="O320" s="1078">
        <v>2759.14</v>
      </c>
      <c r="P320" s="1078">
        <v>4119.1000000000004</v>
      </c>
      <c r="Q320" s="1078">
        <v>11695.87</v>
      </c>
      <c r="R320" s="1078">
        <v>19441.43</v>
      </c>
      <c r="S320" s="1078">
        <v>25340.97</v>
      </c>
      <c r="T320" s="1078">
        <v>165057.12000000002</v>
      </c>
    </row>
    <row r="321" spans="1:21" ht="18">
      <c r="A321" s="1074"/>
      <c r="B321" s="1082" t="s">
        <v>534</v>
      </c>
      <c r="C321" s="1082"/>
      <c r="D321" s="1082"/>
      <c r="E321" s="1051"/>
      <c r="F321" s="1051"/>
      <c r="G321" s="1051"/>
      <c r="H321" s="1078"/>
      <c r="I321" s="1078"/>
      <c r="J321" s="1078"/>
      <c r="K321" s="1078"/>
      <c r="L321" s="1078"/>
      <c r="M321" s="1078"/>
      <c r="N321" s="1078"/>
      <c r="O321" s="1078"/>
      <c r="P321" s="1078"/>
      <c r="Q321" s="1078"/>
      <c r="R321" s="1078"/>
      <c r="S321" s="1078"/>
      <c r="T321" s="1078"/>
    </row>
    <row r="322" spans="1:21" ht="18">
      <c r="A322" s="1074"/>
      <c r="B322" s="1082"/>
      <c r="C322" s="1082" t="s">
        <v>15</v>
      </c>
      <c r="D322" s="1082"/>
      <c r="E322" s="1051"/>
      <c r="F322" s="1051"/>
      <c r="G322" s="1051"/>
      <c r="H322" s="1078">
        <v>1777664.8502426001</v>
      </c>
      <c r="I322" s="1078">
        <v>1656664.0456691999</v>
      </c>
      <c r="J322" s="1078">
        <v>1401224.3934072</v>
      </c>
      <c r="K322" s="1078">
        <v>1131409.8891874</v>
      </c>
      <c r="L322" s="1078">
        <v>881857.42057179997</v>
      </c>
      <c r="M322" s="1078">
        <v>625157.97711639991</v>
      </c>
      <c r="N322" s="1078">
        <v>614117.54936039995</v>
      </c>
      <c r="O322" s="1078">
        <v>509266.37994640006</v>
      </c>
      <c r="P322" s="1078">
        <v>648789.84693919995</v>
      </c>
      <c r="Q322" s="1078">
        <v>896905.59266359999</v>
      </c>
      <c r="R322" s="1078">
        <v>1225631.1824920001</v>
      </c>
      <c r="S322" s="1078">
        <v>1620139.4120944</v>
      </c>
      <c r="T322" s="1078">
        <v>12988828.539690599</v>
      </c>
      <c r="U322" s="12"/>
    </row>
    <row r="323" spans="1:21" ht="18">
      <c r="A323" s="1074"/>
      <c r="B323" s="1082"/>
      <c r="C323" s="1082" t="s">
        <v>16</v>
      </c>
      <c r="D323" s="1082"/>
      <c r="E323" s="1051"/>
      <c r="F323" s="1051"/>
      <c r="G323" s="1051"/>
      <c r="H323" s="1078">
        <v>63</v>
      </c>
      <c r="I323" s="1078">
        <v>-16</v>
      </c>
      <c r="J323" s="1078">
        <v>-151</v>
      </c>
      <c r="K323" s="1078">
        <v>-177</v>
      </c>
      <c r="L323" s="1078">
        <v>125</v>
      </c>
      <c r="M323" s="1078">
        <v>-541</v>
      </c>
      <c r="N323" s="1078">
        <v>274</v>
      </c>
      <c r="O323" s="1078">
        <v>-368</v>
      </c>
      <c r="P323" s="1078">
        <v>-194</v>
      </c>
      <c r="Q323" s="1078">
        <v>489</v>
      </c>
      <c r="R323" s="1078">
        <v>458</v>
      </c>
      <c r="S323" s="1078">
        <v>2</v>
      </c>
      <c r="T323" s="1078">
        <v>-36</v>
      </c>
      <c r="U323" s="12"/>
    </row>
    <row r="324" spans="1:21" ht="18">
      <c r="A324" s="1074"/>
      <c r="B324" s="1082"/>
      <c r="C324" s="1060" t="s">
        <v>537</v>
      </c>
      <c r="D324" s="1060"/>
      <c r="E324" s="1051"/>
      <c r="F324" s="1051"/>
      <c r="G324" s="1051"/>
      <c r="H324" s="1078">
        <v>12991</v>
      </c>
      <c r="I324" s="1078">
        <v>10896</v>
      </c>
      <c r="J324" s="1078">
        <v>15115</v>
      </c>
      <c r="K324" s="1078">
        <v>11182</v>
      </c>
      <c r="L324" s="1078">
        <v>10595</v>
      </c>
      <c r="M324" s="1078">
        <v>12356</v>
      </c>
      <c r="N324" s="1078">
        <v>7610</v>
      </c>
      <c r="O324" s="1078">
        <v>4172</v>
      </c>
      <c r="P324" s="1078">
        <v>9093</v>
      </c>
      <c r="Q324" s="1078">
        <v>9478</v>
      </c>
      <c r="R324" s="1078">
        <v>10344</v>
      </c>
      <c r="S324" s="1078">
        <v>10614</v>
      </c>
      <c r="T324" s="1078">
        <v>124446</v>
      </c>
    </row>
    <row r="325" spans="1:21" ht="18">
      <c r="A325" s="1074"/>
      <c r="B325" s="1082"/>
      <c r="C325" s="1082" t="s">
        <v>17</v>
      </c>
      <c r="D325" s="1082"/>
      <c r="E325" s="1051"/>
      <c r="F325" s="1051"/>
      <c r="G325" s="1051"/>
      <c r="H325" s="1081">
        <v>3450009.0197573998</v>
      </c>
      <c r="I325" s="1081">
        <v>2505111.3343308</v>
      </c>
      <c r="J325" s="1081">
        <v>1946744.7665927999</v>
      </c>
      <c r="K325" s="1081">
        <v>1679915.8508126</v>
      </c>
      <c r="L325" s="1081">
        <v>1027910.2694282</v>
      </c>
      <c r="M325" s="1081">
        <v>338426.8028836</v>
      </c>
      <c r="N325" s="1081">
        <v>421012.50063959998</v>
      </c>
      <c r="O325" s="1081">
        <v>343149.53005360003</v>
      </c>
      <c r="P325" s="1081">
        <v>461137.71306079999</v>
      </c>
      <c r="Q325" s="1081">
        <v>1692623.0173364</v>
      </c>
      <c r="R325" s="1081">
        <v>2183856.5475079999</v>
      </c>
      <c r="S325" s="1081">
        <v>2741876.2679055999</v>
      </c>
      <c r="T325" s="1081">
        <v>18791773.620309401</v>
      </c>
    </row>
    <row r="326" spans="1:21" ht="18">
      <c r="A326" s="1074"/>
      <c r="B326" s="1082"/>
      <c r="C326" s="1082" t="s">
        <v>27</v>
      </c>
      <c r="D326" s="1082"/>
      <c r="E326" s="1051"/>
      <c r="F326" s="1051"/>
      <c r="G326" s="1051"/>
      <c r="H326" s="1078">
        <v>5240727.87</v>
      </c>
      <c r="I326" s="1078">
        <v>4172655.38</v>
      </c>
      <c r="J326" s="1078">
        <v>3362933.16</v>
      </c>
      <c r="K326" s="1078">
        <v>2822330.74</v>
      </c>
      <c r="L326" s="1078">
        <v>1920487.69</v>
      </c>
      <c r="M326" s="1078">
        <v>975399.77999999991</v>
      </c>
      <c r="N326" s="1078">
        <v>1043014.0499999999</v>
      </c>
      <c r="O326" s="1078">
        <v>856219.91000000015</v>
      </c>
      <c r="P326" s="1078">
        <v>1118826.56</v>
      </c>
      <c r="Q326" s="1078">
        <v>2599495.61</v>
      </c>
      <c r="R326" s="1078">
        <v>3420289.73</v>
      </c>
      <c r="S326" s="1078">
        <v>4372631.68</v>
      </c>
      <c r="T326" s="1078">
        <v>31905012.16</v>
      </c>
    </row>
    <row r="327" spans="1:21" ht="18">
      <c r="A327" s="1074"/>
      <c r="B327" s="1060"/>
      <c r="C327" s="1060" t="s">
        <v>996</v>
      </c>
      <c r="D327" s="1060"/>
      <c r="E327" s="1051"/>
      <c r="F327" s="1051"/>
      <c r="G327" s="1051"/>
      <c r="H327" s="1054">
        <v>27630</v>
      </c>
      <c r="I327" s="1054">
        <v>27636</v>
      </c>
      <c r="J327" s="1054">
        <v>27737</v>
      </c>
      <c r="K327" s="1054">
        <v>27641</v>
      </c>
      <c r="L327" s="1054">
        <v>27611</v>
      </c>
      <c r="M327" s="1054">
        <v>27615</v>
      </c>
      <c r="N327" s="1054">
        <v>27567</v>
      </c>
      <c r="O327" s="1054">
        <v>27534</v>
      </c>
      <c r="P327" s="1054">
        <v>27516</v>
      </c>
      <c r="Q327" s="1054">
        <v>27538</v>
      </c>
      <c r="R327" s="1054">
        <v>27659</v>
      </c>
      <c r="S327" s="1054">
        <v>27737</v>
      </c>
      <c r="T327" s="1078">
        <v>27618.416666666668</v>
      </c>
    </row>
    <row r="328" spans="1:21" ht="18">
      <c r="A328" s="1074"/>
      <c r="B328" s="1082"/>
      <c r="C328" s="1082" t="s">
        <v>57</v>
      </c>
      <c r="D328" s="1082"/>
      <c r="E328" s="1051"/>
      <c r="F328" s="1051"/>
      <c r="G328" s="1051"/>
      <c r="H328" s="1054">
        <v>693320.67</v>
      </c>
      <c r="I328" s="1054">
        <v>503287.14</v>
      </c>
      <c r="J328" s="1054">
        <v>391037.24</v>
      </c>
      <c r="K328" s="1054">
        <v>337374.83</v>
      </c>
      <c r="L328" s="1054">
        <v>206375.81</v>
      </c>
      <c r="M328" s="1054">
        <v>67738.290000000008</v>
      </c>
      <c r="N328" s="1054">
        <v>84171.19</v>
      </c>
      <c r="O328" s="1054">
        <v>68853.539999999994</v>
      </c>
      <c r="P328" s="1054">
        <v>92509.119999999995</v>
      </c>
      <c r="Q328" s="1054">
        <v>339928.21</v>
      </c>
      <c r="R328" s="1054">
        <v>416977.65</v>
      </c>
      <c r="S328" s="1054">
        <v>520890.18</v>
      </c>
      <c r="T328" s="1054">
        <v>3722463.87</v>
      </c>
    </row>
    <row r="329" spans="1:21" ht="18">
      <c r="A329" s="1074"/>
      <c r="B329" s="1060"/>
      <c r="C329" s="1060" t="s">
        <v>58</v>
      </c>
      <c r="D329" s="1060"/>
      <c r="E329" s="1051"/>
      <c r="F329" s="1051"/>
      <c r="G329" s="1051"/>
      <c r="H329" s="1086">
        <v>96405</v>
      </c>
      <c r="I329" s="1086">
        <v>65428</v>
      </c>
      <c r="J329" s="1086">
        <v>65237</v>
      </c>
      <c r="K329" s="1086">
        <v>103613</v>
      </c>
      <c r="L329" s="1086">
        <v>100952</v>
      </c>
      <c r="M329" s="1086">
        <v>22427</v>
      </c>
      <c r="N329" s="1086">
        <v>27564</v>
      </c>
      <c r="O329" s="1086">
        <v>-33036</v>
      </c>
      <c r="P329" s="1086">
        <v>49750</v>
      </c>
      <c r="Q329" s="1086">
        <v>49014</v>
      </c>
      <c r="R329" s="1086">
        <v>61505</v>
      </c>
      <c r="S329" s="1086">
        <v>55753</v>
      </c>
      <c r="T329" s="1086">
        <v>664612</v>
      </c>
    </row>
    <row r="330" spans="1:21" ht="18">
      <c r="A330" s="1085"/>
      <c r="B330" s="1060"/>
      <c r="C330" s="1060" t="s">
        <v>28</v>
      </c>
      <c r="D330" s="1060"/>
      <c r="E330" s="1051"/>
      <c r="F330" s="1051"/>
      <c r="G330" s="1051"/>
      <c r="H330" s="1054">
        <v>789725.67</v>
      </c>
      <c r="I330" s="1054">
        <v>568715.14</v>
      </c>
      <c r="J330" s="1054">
        <v>456274.24</v>
      </c>
      <c r="K330" s="1054">
        <v>440987.83</v>
      </c>
      <c r="L330" s="1054">
        <v>307327.81</v>
      </c>
      <c r="M330" s="1054">
        <v>90165.290000000008</v>
      </c>
      <c r="N330" s="1054">
        <v>111735.19</v>
      </c>
      <c r="O330" s="1054">
        <v>35817.539999999994</v>
      </c>
      <c r="P330" s="1054">
        <v>142259.12</v>
      </c>
      <c r="Q330" s="1054">
        <v>388942.21</v>
      </c>
      <c r="R330" s="1054">
        <v>478482.65</v>
      </c>
      <c r="S330" s="1054">
        <v>576643.17999999993</v>
      </c>
      <c r="T330" s="1054">
        <v>4387075.87</v>
      </c>
      <c r="U330" s="12">
        <f>+T330-Z61</f>
        <v>0</v>
      </c>
    </row>
    <row r="331" spans="1:21" ht="18">
      <c r="A331" s="1083"/>
      <c r="B331" s="1060"/>
      <c r="C331" s="1060"/>
      <c r="D331" s="1060"/>
      <c r="E331" s="1051"/>
      <c r="F331" s="1051"/>
      <c r="G331" s="1051"/>
      <c r="H331" s="1054"/>
      <c r="I331" s="1054"/>
      <c r="J331" s="1054"/>
      <c r="K331" s="1054"/>
      <c r="L331" s="1054"/>
      <c r="M331" s="1054"/>
      <c r="N331" s="1054"/>
      <c r="O331" s="1054"/>
      <c r="P331" s="1054"/>
      <c r="Q331" s="1054"/>
      <c r="R331" s="1054"/>
      <c r="S331" s="1054"/>
      <c r="T331" s="1054"/>
    </row>
    <row r="332" spans="1:21" ht="18">
      <c r="A332" s="1083"/>
      <c r="B332" s="1060"/>
      <c r="C332" s="1051"/>
      <c r="D332" s="1082"/>
      <c r="E332" s="1051"/>
      <c r="F332" s="1051"/>
      <c r="G332" s="1051"/>
      <c r="H332" s="1054"/>
      <c r="I332" s="1054"/>
      <c r="J332" s="1054"/>
      <c r="K332" s="1054"/>
      <c r="L332" s="1054"/>
      <c r="M332" s="1054"/>
      <c r="N332" s="1054"/>
      <c r="O332" s="1054"/>
      <c r="P332" s="1054"/>
      <c r="Q332" s="1054"/>
      <c r="R332" s="1054"/>
      <c r="S332" s="1054"/>
      <c r="T332" s="1054"/>
    </row>
    <row r="333" spans="1:21" ht="18">
      <c r="A333" s="1083" t="s">
        <v>29</v>
      </c>
      <c r="B333" s="1060" t="s">
        <v>81</v>
      </c>
      <c r="C333" s="1060" t="s">
        <v>15</v>
      </c>
      <c r="D333" s="1082" t="s">
        <v>995</v>
      </c>
      <c r="E333" s="1051"/>
      <c r="F333" s="1051"/>
      <c r="G333" s="1051"/>
      <c r="H333" s="1078"/>
      <c r="I333" s="1078"/>
      <c r="J333" s="1078"/>
      <c r="K333" s="1078"/>
      <c r="L333" s="1078"/>
      <c r="M333" s="1078"/>
      <c r="N333" s="1078"/>
      <c r="O333" s="1078"/>
      <c r="P333" s="1078"/>
      <c r="Q333" s="1078"/>
      <c r="R333" s="1078"/>
      <c r="S333" s="1078"/>
      <c r="T333" s="1078">
        <v>0</v>
      </c>
    </row>
    <row r="334" spans="1:21" ht="18">
      <c r="A334" s="1083"/>
      <c r="B334" s="1060"/>
      <c r="C334" s="1060"/>
      <c r="D334" s="1082" t="s">
        <v>995</v>
      </c>
      <c r="E334" s="1051"/>
      <c r="F334" s="1051"/>
      <c r="G334" s="1051"/>
      <c r="H334" s="1078"/>
      <c r="I334" s="1078"/>
      <c r="J334" s="1078"/>
      <c r="K334" s="1078"/>
      <c r="L334" s="1078"/>
      <c r="M334" s="1078"/>
      <c r="N334" s="1078"/>
      <c r="O334" s="1078"/>
      <c r="P334" s="1078"/>
      <c r="Q334" s="1078"/>
      <c r="R334" s="1078"/>
      <c r="S334" s="1078"/>
      <c r="T334" s="1078"/>
    </row>
    <row r="335" spans="1:21" ht="18">
      <c r="A335" s="1083"/>
      <c r="B335" s="1060"/>
      <c r="C335" s="1060" t="s">
        <v>16</v>
      </c>
      <c r="D335" s="1082" t="s">
        <v>995</v>
      </c>
      <c r="E335" s="1051"/>
      <c r="F335" s="1051"/>
      <c r="G335" s="1051"/>
      <c r="H335" s="1078"/>
      <c r="I335" s="1078"/>
      <c r="J335" s="1078"/>
      <c r="K335" s="1078"/>
      <c r="L335" s="1078"/>
      <c r="M335" s="1078"/>
      <c r="N335" s="1078"/>
      <c r="O335" s="1078"/>
      <c r="P335" s="1078"/>
      <c r="Q335" s="1078"/>
      <c r="R335" s="1078"/>
      <c r="S335" s="1078"/>
      <c r="T335" s="1078"/>
    </row>
    <row r="336" spans="1:21" ht="18">
      <c r="A336" s="1051"/>
      <c r="B336" s="1060"/>
      <c r="C336" s="1060"/>
      <c r="D336" s="1082" t="s">
        <v>995</v>
      </c>
      <c r="E336" s="1051"/>
      <c r="F336" s="1051"/>
      <c r="G336" s="1051"/>
      <c r="H336" s="1078"/>
      <c r="I336" s="1078"/>
      <c r="J336" s="1078"/>
      <c r="K336" s="1078"/>
      <c r="L336" s="1078"/>
      <c r="M336" s="1078"/>
      <c r="N336" s="1078"/>
      <c r="O336" s="1078"/>
      <c r="P336" s="1078"/>
      <c r="Q336" s="1078"/>
      <c r="R336" s="1078"/>
      <c r="S336" s="1078"/>
      <c r="T336" s="1078"/>
    </row>
    <row r="337" spans="1:20" ht="18">
      <c r="A337" s="1083"/>
      <c r="B337" s="1060"/>
      <c r="C337" s="1060" t="s">
        <v>17</v>
      </c>
      <c r="D337" s="1082" t="s">
        <v>995</v>
      </c>
      <c r="E337" s="1051"/>
      <c r="F337" s="1051"/>
      <c r="G337" s="1051"/>
      <c r="H337" s="1081"/>
      <c r="I337" s="1081"/>
      <c r="J337" s="1081"/>
      <c r="K337" s="1081"/>
      <c r="L337" s="1081"/>
      <c r="M337" s="1081"/>
      <c r="N337" s="1081"/>
      <c r="O337" s="1081"/>
      <c r="P337" s="1081"/>
      <c r="Q337" s="1081"/>
      <c r="R337" s="1081"/>
      <c r="S337" s="1081"/>
      <c r="T337" s="1081">
        <v>0</v>
      </c>
    </row>
    <row r="338" spans="1:20" ht="18">
      <c r="A338" s="1083"/>
      <c r="B338" s="1082"/>
      <c r="C338" s="1060" t="s">
        <v>18</v>
      </c>
      <c r="D338" s="1082" t="s">
        <v>995</v>
      </c>
      <c r="E338" s="1051"/>
      <c r="F338" s="1051"/>
      <c r="G338" s="1051"/>
      <c r="H338" s="1078"/>
      <c r="I338" s="1078"/>
      <c r="J338" s="1078"/>
      <c r="K338" s="1078"/>
      <c r="L338" s="1078"/>
      <c r="M338" s="1078"/>
      <c r="N338" s="1078"/>
      <c r="O338" s="1078"/>
      <c r="P338" s="1078"/>
      <c r="Q338" s="1078"/>
      <c r="R338" s="1078"/>
      <c r="S338" s="1078"/>
      <c r="T338" s="1078">
        <v>0</v>
      </c>
    </row>
    <row r="339" spans="1:20" ht="18">
      <c r="A339" s="1083"/>
      <c r="B339" s="1060"/>
      <c r="C339" s="1060" t="s">
        <v>996</v>
      </c>
      <c r="D339" s="1082" t="s">
        <v>995</v>
      </c>
      <c r="E339" s="1051"/>
      <c r="F339" s="1051"/>
      <c r="G339" s="1051"/>
      <c r="H339" s="1078">
        <v>0</v>
      </c>
      <c r="I339" s="1078">
        <v>0</v>
      </c>
      <c r="J339" s="1078">
        <v>0</v>
      </c>
      <c r="K339" s="1078">
        <v>0</v>
      </c>
      <c r="L339" s="1078">
        <v>0</v>
      </c>
      <c r="M339" s="1078">
        <v>0</v>
      </c>
      <c r="N339" s="1078">
        <v>0</v>
      </c>
      <c r="O339" s="1078">
        <v>0</v>
      </c>
      <c r="P339" s="1078">
        <v>0</v>
      </c>
      <c r="Q339" s="1078">
        <v>0</v>
      </c>
      <c r="R339" s="1078">
        <v>0</v>
      </c>
      <c r="S339" s="1078">
        <v>0</v>
      </c>
      <c r="T339" s="1078">
        <v>0</v>
      </c>
    </row>
    <row r="340" spans="1:20" ht="18">
      <c r="A340" s="1083"/>
      <c r="B340" s="1060"/>
      <c r="C340" s="1060" t="s">
        <v>19</v>
      </c>
      <c r="D340" s="1082" t="s">
        <v>995</v>
      </c>
      <c r="E340" s="1051"/>
      <c r="F340" s="1051"/>
      <c r="G340" s="1051"/>
      <c r="H340" s="1078"/>
      <c r="I340" s="1078"/>
      <c r="J340" s="1078"/>
      <c r="K340" s="1078"/>
      <c r="L340" s="1078"/>
      <c r="M340" s="1078"/>
      <c r="N340" s="1078"/>
      <c r="O340" s="1078"/>
      <c r="P340" s="1078"/>
      <c r="Q340" s="1078"/>
      <c r="R340" s="1078"/>
      <c r="S340" s="1078"/>
      <c r="T340" s="1078">
        <v>0</v>
      </c>
    </row>
    <row r="341" spans="1:20" ht="18">
      <c r="A341" s="1083"/>
      <c r="B341" s="1060"/>
      <c r="C341" s="1060"/>
      <c r="D341" s="1060"/>
      <c r="E341" s="1051"/>
      <c r="F341" s="1051"/>
      <c r="G341" s="1051"/>
      <c r="H341" s="1078"/>
      <c r="I341" s="1078"/>
      <c r="J341" s="1078"/>
      <c r="K341" s="1078"/>
      <c r="L341" s="1078"/>
      <c r="M341" s="1078"/>
      <c r="N341" s="1078"/>
      <c r="O341" s="1078"/>
      <c r="P341" s="1078"/>
      <c r="Q341" s="1078"/>
      <c r="R341" s="1078"/>
      <c r="S341" s="1078"/>
      <c r="T341" s="1078"/>
    </row>
    <row r="342" spans="1:20" ht="18">
      <c r="A342" s="1083"/>
      <c r="B342" s="1060"/>
      <c r="C342" s="1060" t="s">
        <v>15</v>
      </c>
      <c r="D342" s="1060" t="s">
        <v>1004</v>
      </c>
      <c r="E342" s="1051"/>
      <c r="F342" s="1051"/>
      <c r="G342" s="1051"/>
      <c r="H342" s="1078"/>
      <c r="I342" s="1078"/>
      <c r="J342" s="1078"/>
      <c r="K342" s="1078"/>
      <c r="L342" s="1078"/>
      <c r="M342" s="1078"/>
      <c r="N342" s="1078"/>
      <c r="O342" s="1078"/>
      <c r="P342" s="1078"/>
      <c r="Q342" s="1078"/>
      <c r="R342" s="1078"/>
      <c r="S342" s="1078"/>
      <c r="T342" s="1078">
        <v>0</v>
      </c>
    </row>
    <row r="343" spans="1:20" ht="18">
      <c r="A343" s="1083"/>
      <c r="B343" s="1060" t="s">
        <v>25</v>
      </c>
      <c r="C343" s="1060"/>
      <c r="D343" s="1060" t="s">
        <v>1004</v>
      </c>
      <c r="E343" s="1051"/>
      <c r="F343" s="1051"/>
      <c r="G343" s="1051"/>
      <c r="H343" s="1078"/>
      <c r="I343" s="1078"/>
      <c r="J343" s="1078"/>
      <c r="K343" s="1078"/>
      <c r="L343" s="1078"/>
      <c r="M343" s="1078"/>
      <c r="N343" s="1078"/>
      <c r="O343" s="1078"/>
      <c r="P343" s="1078"/>
      <c r="Q343" s="1078"/>
      <c r="R343" s="1078"/>
      <c r="S343" s="1078"/>
      <c r="T343" s="1078"/>
    </row>
    <row r="344" spans="1:20" ht="18">
      <c r="A344" s="1083"/>
      <c r="B344" s="1060"/>
      <c r="C344" s="1060" t="s">
        <v>16</v>
      </c>
      <c r="D344" s="1060" t="s">
        <v>1004</v>
      </c>
      <c r="E344" s="1051"/>
      <c r="F344" s="1051"/>
      <c r="G344" s="1051"/>
      <c r="H344" s="1078"/>
      <c r="I344" s="1078"/>
      <c r="J344" s="1078"/>
      <c r="K344" s="1078"/>
      <c r="L344" s="1078"/>
      <c r="M344" s="1078"/>
      <c r="N344" s="1078"/>
      <c r="O344" s="1078"/>
      <c r="P344" s="1078"/>
      <c r="Q344" s="1078"/>
      <c r="R344" s="1078"/>
      <c r="S344" s="1078"/>
      <c r="T344" s="1078"/>
    </row>
    <row r="345" spans="1:20" ht="18">
      <c r="A345" s="1083"/>
      <c r="B345" s="1060"/>
      <c r="C345" s="1060"/>
      <c r="D345" s="1060" t="s">
        <v>1004</v>
      </c>
      <c r="E345" s="1051"/>
      <c r="F345" s="1051"/>
      <c r="G345" s="1051"/>
      <c r="H345" s="1078"/>
      <c r="I345" s="1078"/>
      <c r="J345" s="1078"/>
      <c r="K345" s="1078"/>
      <c r="L345" s="1078"/>
      <c r="M345" s="1078"/>
      <c r="N345" s="1078"/>
      <c r="O345" s="1078"/>
      <c r="P345" s="1078"/>
      <c r="Q345" s="1078"/>
      <c r="R345" s="1078"/>
      <c r="S345" s="1078"/>
      <c r="T345" s="1078"/>
    </row>
    <row r="346" spans="1:20" ht="18">
      <c r="A346" s="1083"/>
      <c r="B346" s="1060"/>
      <c r="C346" s="1060" t="s">
        <v>17</v>
      </c>
      <c r="D346" s="1060" t="s">
        <v>1004</v>
      </c>
      <c r="E346" s="1051"/>
      <c r="F346" s="1051"/>
      <c r="G346" s="1051"/>
      <c r="H346" s="1081"/>
      <c r="I346" s="1081"/>
      <c r="J346" s="1081"/>
      <c r="K346" s="1081"/>
      <c r="L346" s="1081"/>
      <c r="M346" s="1081"/>
      <c r="N346" s="1081"/>
      <c r="O346" s="1081"/>
      <c r="P346" s="1081"/>
      <c r="Q346" s="1081"/>
      <c r="R346" s="1081"/>
      <c r="S346" s="1081"/>
      <c r="T346" s="1081">
        <v>0</v>
      </c>
    </row>
    <row r="347" spans="1:20" ht="18">
      <c r="A347" s="1083"/>
      <c r="B347" s="1082"/>
      <c r="C347" s="1060" t="s">
        <v>18</v>
      </c>
      <c r="D347" s="1060" t="s">
        <v>1004</v>
      </c>
      <c r="E347" s="1051"/>
      <c r="F347" s="1051"/>
      <c r="G347" s="1051"/>
      <c r="H347" s="1078"/>
      <c r="I347" s="1078"/>
      <c r="J347" s="1078"/>
      <c r="K347" s="1078"/>
      <c r="L347" s="1078"/>
      <c r="M347" s="1078"/>
      <c r="N347" s="1078"/>
      <c r="O347" s="1078"/>
      <c r="P347" s="1078"/>
      <c r="Q347" s="1078"/>
      <c r="R347" s="1078"/>
      <c r="S347" s="1078"/>
      <c r="T347" s="1078">
        <v>0</v>
      </c>
    </row>
    <row r="348" spans="1:20" ht="18">
      <c r="A348" s="1083"/>
      <c r="B348" s="1082"/>
      <c r="C348" s="1060" t="s">
        <v>996</v>
      </c>
      <c r="D348" s="1060" t="s">
        <v>1004</v>
      </c>
      <c r="E348" s="1051"/>
      <c r="F348" s="1051"/>
      <c r="G348" s="1051"/>
      <c r="H348" s="1078">
        <v>0</v>
      </c>
      <c r="I348" s="1078">
        <v>0</v>
      </c>
      <c r="J348" s="1078">
        <v>0</v>
      </c>
      <c r="K348" s="1078">
        <v>0</v>
      </c>
      <c r="L348" s="1078">
        <v>0</v>
      </c>
      <c r="M348" s="1078">
        <v>0</v>
      </c>
      <c r="N348" s="1078">
        <v>0</v>
      </c>
      <c r="O348" s="1078">
        <v>0</v>
      </c>
      <c r="P348" s="1078">
        <v>0</v>
      </c>
      <c r="Q348" s="1078">
        <v>0</v>
      </c>
      <c r="R348" s="1078">
        <v>0</v>
      </c>
      <c r="S348" s="1078">
        <v>0</v>
      </c>
      <c r="T348" s="1078">
        <v>0</v>
      </c>
    </row>
    <row r="349" spans="1:20" ht="18">
      <c r="A349" s="1083"/>
      <c r="B349" s="1082"/>
      <c r="C349" s="1060" t="s">
        <v>19</v>
      </c>
      <c r="D349" s="1060" t="s">
        <v>1004</v>
      </c>
      <c r="E349" s="1051"/>
      <c r="F349" s="1051"/>
      <c r="G349" s="1051"/>
      <c r="H349" s="1078"/>
      <c r="I349" s="1078"/>
      <c r="J349" s="1078"/>
      <c r="K349" s="1078"/>
      <c r="L349" s="1078"/>
      <c r="M349" s="1078"/>
      <c r="N349" s="1078"/>
      <c r="O349" s="1078"/>
      <c r="P349" s="1078"/>
      <c r="Q349" s="1078"/>
      <c r="R349" s="1078"/>
      <c r="S349" s="1078"/>
      <c r="T349" s="1078">
        <v>0</v>
      </c>
    </row>
    <row r="350" spans="1:20" ht="18">
      <c r="A350" s="1083"/>
      <c r="B350" s="1082"/>
      <c r="C350" s="1082"/>
      <c r="D350" s="1082"/>
      <c r="E350" s="1051"/>
      <c r="F350" s="1051"/>
      <c r="G350" s="1051"/>
      <c r="H350" s="1054"/>
      <c r="I350" s="1054"/>
      <c r="J350" s="1054"/>
      <c r="K350" s="1054"/>
      <c r="L350" s="1054"/>
      <c r="M350" s="1054"/>
      <c r="N350" s="1054"/>
      <c r="O350" s="1054"/>
      <c r="P350" s="1054"/>
      <c r="Q350" s="1054"/>
      <c r="R350" s="1054"/>
      <c r="S350" s="1054"/>
      <c r="T350" s="1054"/>
    </row>
    <row r="351" spans="1:20" ht="18">
      <c r="A351" s="1083"/>
      <c r="B351" s="1082" t="s">
        <v>536</v>
      </c>
      <c r="C351" s="1082"/>
      <c r="D351" s="1082"/>
      <c r="E351" s="1051"/>
      <c r="F351" s="1051"/>
      <c r="G351" s="1051"/>
      <c r="H351" s="1054"/>
      <c r="I351" s="1054"/>
      <c r="J351" s="1054"/>
      <c r="K351" s="1054"/>
      <c r="L351" s="1054"/>
      <c r="M351" s="1054"/>
      <c r="N351" s="1054"/>
      <c r="O351" s="1054"/>
      <c r="P351" s="1054"/>
      <c r="Q351" s="1054"/>
      <c r="R351" s="1054"/>
      <c r="S351" s="1054"/>
      <c r="T351" s="1054"/>
    </row>
    <row r="352" spans="1:20" ht="18">
      <c r="A352" s="1083"/>
      <c r="B352" s="1051"/>
      <c r="C352" s="1082" t="s">
        <v>15</v>
      </c>
      <c r="D352" s="1082"/>
      <c r="E352" s="1051"/>
      <c r="F352" s="1051"/>
      <c r="G352" s="1051"/>
      <c r="H352" s="1054"/>
      <c r="I352" s="1054"/>
      <c r="J352" s="1054"/>
      <c r="K352" s="1054"/>
      <c r="L352" s="1054"/>
      <c r="M352" s="1054"/>
      <c r="N352" s="1054"/>
      <c r="O352" s="1054"/>
      <c r="P352" s="1054"/>
      <c r="Q352" s="1054"/>
      <c r="R352" s="1054"/>
      <c r="S352" s="1054"/>
      <c r="T352" s="1054">
        <v>0</v>
      </c>
    </row>
    <row r="353" spans="1:21" ht="18">
      <c r="A353" s="1083"/>
      <c r="B353" s="1060"/>
      <c r="C353" s="1060" t="s">
        <v>17</v>
      </c>
      <c r="D353" s="1060"/>
      <c r="E353" s="1051"/>
      <c r="F353" s="1051"/>
      <c r="G353" s="1051"/>
      <c r="H353" s="1054"/>
      <c r="I353" s="1054"/>
      <c r="J353" s="1054"/>
      <c r="K353" s="1054"/>
      <c r="L353" s="1054"/>
      <c r="M353" s="1054"/>
      <c r="N353" s="1054"/>
      <c r="O353" s="1054"/>
      <c r="P353" s="1054"/>
      <c r="Q353" s="1054"/>
      <c r="R353" s="1054"/>
      <c r="S353" s="1054"/>
      <c r="T353" s="1054">
        <v>0</v>
      </c>
    </row>
    <row r="354" spans="1:21" ht="18">
      <c r="A354" s="1083"/>
      <c r="B354" s="1060"/>
      <c r="C354" s="1082" t="s">
        <v>30</v>
      </c>
      <c r="D354" s="1082"/>
      <c r="E354" s="1051"/>
      <c r="F354" s="1051"/>
      <c r="G354" s="1051"/>
      <c r="H354" s="1054"/>
      <c r="I354" s="1054"/>
      <c r="J354" s="1054"/>
      <c r="K354" s="1054"/>
      <c r="L354" s="1054"/>
      <c r="M354" s="1054"/>
      <c r="N354" s="1054"/>
      <c r="O354" s="1054"/>
      <c r="P354" s="1054"/>
      <c r="Q354" s="1054"/>
      <c r="R354" s="1054"/>
      <c r="S354" s="1054"/>
      <c r="T354" s="1054">
        <v>0</v>
      </c>
    </row>
    <row r="355" spans="1:21" ht="18">
      <c r="A355" s="1083"/>
      <c r="B355" s="1060"/>
      <c r="C355" s="1060" t="s">
        <v>996</v>
      </c>
      <c r="D355" s="1082"/>
      <c r="E355" s="1051"/>
      <c r="F355" s="1051"/>
      <c r="G355" s="1051"/>
      <c r="H355" s="1054">
        <v>0</v>
      </c>
      <c r="I355" s="1054">
        <v>0</v>
      </c>
      <c r="J355" s="1054">
        <v>0</v>
      </c>
      <c r="K355" s="1054">
        <v>0</v>
      </c>
      <c r="L355" s="1054">
        <v>0</v>
      </c>
      <c r="M355" s="1054">
        <v>0</v>
      </c>
      <c r="N355" s="1054">
        <v>0</v>
      </c>
      <c r="O355" s="1054">
        <v>0</v>
      </c>
      <c r="P355" s="1054">
        <v>0</v>
      </c>
      <c r="Q355" s="1054">
        <v>0</v>
      </c>
      <c r="R355" s="1054">
        <v>0</v>
      </c>
      <c r="S355" s="1054">
        <v>0</v>
      </c>
      <c r="T355" s="1078">
        <v>0</v>
      </c>
    </row>
    <row r="356" spans="1:21" ht="18">
      <c r="A356" s="1083"/>
      <c r="B356" s="1082"/>
      <c r="C356" s="1082" t="s">
        <v>57</v>
      </c>
      <c r="D356" s="1082"/>
      <c r="E356" s="1051"/>
      <c r="F356" s="1051"/>
      <c r="G356" s="1051"/>
      <c r="H356" s="1054"/>
      <c r="I356" s="1054"/>
      <c r="J356" s="1054"/>
      <c r="K356" s="1054"/>
      <c r="L356" s="1054"/>
      <c r="M356" s="1054"/>
      <c r="N356" s="1054"/>
      <c r="O356" s="1054"/>
      <c r="P356" s="1054"/>
      <c r="Q356" s="1054"/>
      <c r="R356" s="1054"/>
      <c r="S356" s="1054"/>
      <c r="T356" s="1054">
        <v>0</v>
      </c>
    </row>
    <row r="357" spans="1:21" ht="18">
      <c r="A357" s="1074"/>
      <c r="B357" s="1082"/>
      <c r="C357" s="1060" t="s">
        <v>58</v>
      </c>
      <c r="D357" s="1060"/>
      <c r="E357" s="1051"/>
      <c r="F357" s="1051"/>
      <c r="G357" s="1051"/>
      <c r="H357" s="1054"/>
      <c r="I357" s="1054"/>
      <c r="J357" s="1054"/>
      <c r="K357" s="1054"/>
      <c r="L357" s="1054"/>
      <c r="M357" s="1054"/>
      <c r="N357" s="1054"/>
      <c r="O357" s="1054"/>
      <c r="P357" s="1054"/>
      <c r="Q357" s="1054"/>
      <c r="R357" s="1054"/>
      <c r="S357" s="1054"/>
      <c r="T357" s="1054">
        <v>0</v>
      </c>
    </row>
    <row r="358" spans="1:21" ht="18">
      <c r="A358" s="1083"/>
      <c r="B358" s="1082"/>
      <c r="C358" s="1060" t="s">
        <v>31</v>
      </c>
      <c r="D358" s="1060"/>
      <c r="E358" s="1051"/>
      <c r="F358" s="1051"/>
      <c r="G358" s="1051"/>
      <c r="H358" s="1054"/>
      <c r="I358" s="1054"/>
      <c r="J358" s="1054"/>
      <c r="K358" s="1054"/>
      <c r="L358" s="1054"/>
      <c r="M358" s="1054"/>
      <c r="N358" s="1054"/>
      <c r="O358" s="1054"/>
      <c r="P358" s="1054"/>
      <c r="Q358" s="1054"/>
      <c r="R358" s="1054"/>
      <c r="S358" s="1054"/>
      <c r="T358" s="1054">
        <v>0</v>
      </c>
    </row>
    <row r="359" spans="1:21" ht="18">
      <c r="A359" s="1083"/>
      <c r="B359" s="1082"/>
      <c r="C359" s="1060"/>
      <c r="D359" s="1060"/>
      <c r="E359" s="1051"/>
      <c r="F359" s="1051"/>
      <c r="G359" s="1051"/>
      <c r="H359" s="1054"/>
      <c r="I359" s="1054"/>
      <c r="J359" s="1054"/>
      <c r="K359" s="1054"/>
      <c r="L359" s="1054"/>
      <c r="M359" s="1054"/>
      <c r="N359" s="1054"/>
      <c r="O359" s="1054"/>
      <c r="P359" s="1054"/>
      <c r="Q359" s="1054"/>
      <c r="R359" s="1054"/>
      <c r="S359" s="1054"/>
      <c r="T359" s="1054"/>
    </row>
    <row r="360" spans="1:21" ht="18">
      <c r="A360" s="1085"/>
      <c r="B360" s="1082"/>
      <c r="C360" s="1060"/>
      <c r="D360" s="1060"/>
      <c r="E360" s="1051"/>
      <c r="F360" s="1051"/>
      <c r="G360" s="1051"/>
      <c r="H360" s="1054"/>
      <c r="I360" s="1054"/>
      <c r="J360" s="1054"/>
      <c r="K360" s="1054"/>
      <c r="L360" s="1054"/>
      <c r="M360" s="1054"/>
      <c r="N360" s="1054"/>
      <c r="O360" s="1054"/>
      <c r="P360" s="1054"/>
      <c r="Q360" s="1054"/>
      <c r="R360" s="1054"/>
      <c r="S360" s="1054"/>
      <c r="T360" s="1054"/>
    </row>
    <row r="361" spans="1:21" ht="18">
      <c r="A361" s="1083"/>
      <c r="B361" s="1082"/>
      <c r="C361" s="1060"/>
      <c r="D361" s="1060"/>
      <c r="E361" s="1051"/>
      <c r="F361" s="1051"/>
      <c r="G361" s="1051"/>
      <c r="H361" s="1054"/>
      <c r="I361" s="1054"/>
      <c r="J361" s="1054"/>
      <c r="K361" s="1054"/>
      <c r="L361" s="1054"/>
      <c r="M361" s="1054"/>
      <c r="N361" s="1054"/>
      <c r="O361" s="1054"/>
      <c r="P361" s="1054"/>
      <c r="Q361" s="1054"/>
      <c r="R361" s="1054"/>
      <c r="S361" s="1054"/>
      <c r="T361" s="1054"/>
    </row>
    <row r="362" spans="1:21" ht="18">
      <c r="A362" s="1083"/>
      <c r="B362" s="1082" t="s">
        <v>647</v>
      </c>
      <c r="C362" s="1060" t="s">
        <v>15</v>
      </c>
      <c r="D362" s="1060"/>
      <c r="E362" s="1051"/>
      <c r="F362" s="1051"/>
      <c r="G362" s="1051"/>
      <c r="H362" s="1054">
        <v>60353670.100641102</v>
      </c>
      <c r="I362" s="1054">
        <v>51030285.538517997</v>
      </c>
      <c r="J362" s="1054">
        <v>40872375.163767606</v>
      </c>
      <c r="K362" s="1054">
        <v>26650439.994047098</v>
      </c>
      <c r="L362" s="1054">
        <v>18373906.269445401</v>
      </c>
      <c r="M362" s="1054">
        <v>15338433.222739801</v>
      </c>
      <c r="N362" s="1054">
        <v>14876415.609239399</v>
      </c>
      <c r="O362" s="1054">
        <v>14441217.3080498</v>
      </c>
      <c r="P362" s="1054">
        <v>16428794.490054801</v>
      </c>
      <c r="Q362" s="1054">
        <v>22667687.518631402</v>
      </c>
      <c r="R362" s="1054">
        <v>40855814.340065099</v>
      </c>
      <c r="S362" s="1054">
        <v>57542155.401322797</v>
      </c>
      <c r="T362" s="1054">
        <v>379431194.95652229</v>
      </c>
    </row>
    <row r="363" spans="1:21" ht="18">
      <c r="A363" s="1083"/>
      <c r="B363" s="1082"/>
      <c r="C363" s="1082" t="s">
        <v>16</v>
      </c>
      <c r="D363" s="1082"/>
      <c r="E363" s="1051"/>
      <c r="F363" s="1051"/>
      <c r="G363" s="1051"/>
      <c r="H363" s="1054">
        <v>24256845.0156525</v>
      </c>
      <c r="I363" s="1054">
        <v>16633340.571971999</v>
      </c>
      <c r="J363" s="1054">
        <v>11555750.512825999</v>
      </c>
      <c r="K363" s="1054">
        <v>4383929.8038304998</v>
      </c>
      <c r="L363" s="1054">
        <v>2444911.8863840001</v>
      </c>
      <c r="M363" s="1054">
        <v>1588030.8447173999</v>
      </c>
      <c r="N363" s="1054">
        <v>1577296.322769</v>
      </c>
      <c r="O363" s="1054">
        <v>1464943.7739974</v>
      </c>
      <c r="P363" s="1054">
        <v>1821964.1995116</v>
      </c>
      <c r="Q363" s="1054">
        <v>4443537.1672657998</v>
      </c>
      <c r="R363" s="1054">
        <v>11887901.7439913</v>
      </c>
      <c r="S363" s="1054">
        <v>22588338.255093198</v>
      </c>
      <c r="T363" s="1054">
        <v>104646790.0980107</v>
      </c>
    </row>
    <row r="364" spans="1:21" ht="18">
      <c r="A364" s="1083"/>
      <c r="B364" s="1082"/>
      <c r="C364" s="1082" t="s">
        <v>537</v>
      </c>
      <c r="D364" s="1082"/>
      <c r="E364" s="1051"/>
      <c r="F364" s="1051"/>
      <c r="G364" s="1051"/>
      <c r="H364" s="1054">
        <v>12991</v>
      </c>
      <c r="I364" s="1054">
        <v>10896</v>
      </c>
      <c r="J364" s="1054">
        <v>15115</v>
      </c>
      <c r="K364" s="1054">
        <v>11182</v>
      </c>
      <c r="L364" s="1054">
        <v>10595</v>
      </c>
      <c r="M364" s="1054">
        <v>12356</v>
      </c>
      <c r="N364" s="1054">
        <v>7610</v>
      </c>
      <c r="O364" s="1054">
        <v>4172</v>
      </c>
      <c r="P364" s="1054">
        <v>9093</v>
      </c>
      <c r="Q364" s="1054">
        <v>9478</v>
      </c>
      <c r="R364" s="1054">
        <v>10344</v>
      </c>
      <c r="S364" s="1054">
        <v>10614</v>
      </c>
      <c r="T364" s="1054">
        <v>124446</v>
      </c>
    </row>
    <row r="365" spans="1:21" ht="18">
      <c r="A365" s="1083"/>
      <c r="B365" s="1082"/>
      <c r="C365" s="1082" t="s">
        <v>17</v>
      </c>
      <c r="D365" s="1082"/>
      <c r="E365" s="1051"/>
      <c r="F365" s="1051"/>
      <c r="G365" s="1051"/>
      <c r="H365" s="1054">
        <v>84826237.523706406</v>
      </c>
      <c r="I365" s="1054">
        <v>58314592.799509995</v>
      </c>
      <c r="J365" s="1054">
        <v>40740143.1734064</v>
      </c>
      <c r="K365" s="1054">
        <v>33372782.0821224</v>
      </c>
      <c r="L365" s="1054">
        <v>18260174.1141706</v>
      </c>
      <c r="M365" s="1054">
        <v>10942857.8825428</v>
      </c>
      <c r="N365" s="1054">
        <v>10861180.677991601</v>
      </c>
      <c r="O365" s="1054">
        <v>9932585.0679528005</v>
      </c>
      <c r="P365" s="1054">
        <v>12546939.950433601</v>
      </c>
      <c r="Q365" s="1054">
        <v>31548202.884102799</v>
      </c>
      <c r="R365" s="1054">
        <v>42983794.515943602</v>
      </c>
      <c r="S365" s="1054">
        <v>77107752.393583998</v>
      </c>
      <c r="T365" s="1054">
        <v>431437243.065467</v>
      </c>
    </row>
    <row r="366" spans="1:21" ht="18">
      <c r="A366" s="1083"/>
      <c r="B366" s="1060"/>
      <c r="C366" s="1060"/>
      <c r="D366" s="1060"/>
      <c r="E366" s="1051"/>
      <c r="F366" s="1051"/>
      <c r="G366" s="1051"/>
      <c r="H366" s="1086"/>
      <c r="I366" s="1086"/>
      <c r="J366" s="1086"/>
      <c r="K366" s="1086"/>
      <c r="L366" s="1086"/>
      <c r="M366" s="1086"/>
      <c r="N366" s="1086"/>
      <c r="O366" s="1086"/>
      <c r="P366" s="1086"/>
      <c r="Q366" s="1086"/>
      <c r="R366" s="1086"/>
      <c r="S366" s="1086"/>
      <c r="T366" s="1086"/>
    </row>
    <row r="367" spans="1:21" ht="18">
      <c r="A367" s="1083"/>
      <c r="B367" s="1060"/>
      <c r="C367" s="1082" t="s">
        <v>647</v>
      </c>
      <c r="D367" s="1082"/>
      <c r="E367" s="1051"/>
      <c r="F367" s="1051"/>
      <c r="G367" s="1051"/>
      <c r="H367" s="1054">
        <v>169449743.64000002</v>
      </c>
      <c r="I367" s="1054">
        <v>125989114.91</v>
      </c>
      <c r="J367" s="1054">
        <v>93183383.849999994</v>
      </c>
      <c r="K367" s="1054">
        <v>64418333.879999995</v>
      </c>
      <c r="L367" s="1054">
        <v>39089587.269999996</v>
      </c>
      <c r="M367" s="1054">
        <v>27881677.949999999</v>
      </c>
      <c r="N367" s="1054">
        <v>27322502.609999999</v>
      </c>
      <c r="O367" s="1054">
        <v>25842918.149999999</v>
      </c>
      <c r="P367" s="1054">
        <v>30806791.640000001</v>
      </c>
      <c r="Q367" s="1054">
        <v>58668905.57</v>
      </c>
      <c r="R367" s="1054">
        <v>95737854.599999994</v>
      </c>
      <c r="S367" s="1054">
        <v>157248860.05000001</v>
      </c>
      <c r="T367" s="1054">
        <v>915639674.11999989</v>
      </c>
      <c r="U367" s="12">
        <f>+T367</f>
        <v>915639674.11999989</v>
      </c>
    </row>
    <row r="368" spans="1:21" ht="18">
      <c r="A368" s="1083"/>
      <c r="B368" s="1051"/>
      <c r="C368" s="1060" t="s">
        <v>996</v>
      </c>
      <c r="D368" s="1051"/>
      <c r="E368" s="1051"/>
      <c r="F368" s="1051"/>
      <c r="G368" s="1051"/>
      <c r="H368" s="1054">
        <v>1012729</v>
      </c>
      <c r="I368" s="1054">
        <v>1013225</v>
      </c>
      <c r="J368" s="1054">
        <v>1016040</v>
      </c>
      <c r="K368" s="1054">
        <v>1017661</v>
      </c>
      <c r="L368" s="1054">
        <v>1018772</v>
      </c>
      <c r="M368" s="1054">
        <v>1021551</v>
      </c>
      <c r="N368" s="1054">
        <v>1020877</v>
      </c>
      <c r="O368" s="1054">
        <v>1021567</v>
      </c>
      <c r="P368" s="1054">
        <v>1024405</v>
      </c>
      <c r="Q368" s="1054">
        <v>1025050</v>
      </c>
      <c r="R368" s="1054">
        <v>1028082</v>
      </c>
      <c r="S368" s="1054">
        <v>1031123</v>
      </c>
      <c r="T368" s="1078">
        <v>1020923.5</v>
      </c>
    </row>
    <row r="369" spans="1:21" ht="18">
      <c r="A369" s="1083"/>
      <c r="B369" s="1051"/>
      <c r="C369" s="1051" t="s">
        <v>57</v>
      </c>
      <c r="D369" s="1051"/>
      <c r="E369" s="1051"/>
      <c r="F369" s="1051"/>
      <c r="G369" s="1051"/>
      <c r="H369" s="1054">
        <v>21203157.120000001</v>
      </c>
      <c r="I369" s="1054">
        <v>14568721.300000001</v>
      </c>
      <c r="J369" s="1054">
        <v>10168312.52</v>
      </c>
      <c r="K369" s="1054">
        <v>8299702.1200000001</v>
      </c>
      <c r="L369" s="1054">
        <v>4541559.3299999991</v>
      </c>
      <c r="M369" s="1054">
        <v>2703104.76</v>
      </c>
      <c r="N369" s="1054">
        <v>2682021.64</v>
      </c>
      <c r="O369" s="1054">
        <v>2462726.0099999998</v>
      </c>
      <c r="P369" s="1054">
        <v>3099402.1</v>
      </c>
      <c r="Q369" s="1054">
        <v>7767869.7000000002</v>
      </c>
      <c r="R369" s="1054">
        <v>10119080.42</v>
      </c>
      <c r="S369" s="1054">
        <v>18134886.460000001</v>
      </c>
      <c r="T369" s="1054">
        <v>105750543.47999999</v>
      </c>
    </row>
    <row r="370" spans="1:21" ht="18">
      <c r="A370" s="1074"/>
      <c r="B370" s="1051"/>
      <c r="C370" s="1051" t="s">
        <v>58</v>
      </c>
      <c r="D370" s="1051"/>
      <c r="E370" s="1051"/>
      <c r="F370" s="1051"/>
      <c r="G370" s="1051"/>
      <c r="H370" s="1086">
        <v>8732910</v>
      </c>
      <c r="I370" s="1086">
        <v>6540611</v>
      </c>
      <c r="J370" s="1086">
        <v>5881797</v>
      </c>
      <c r="K370" s="1086">
        <v>5520901</v>
      </c>
      <c r="L370" s="1086">
        <v>5282960</v>
      </c>
      <c r="M370" s="1086">
        <v>5967081</v>
      </c>
      <c r="N370" s="1086">
        <v>6903546</v>
      </c>
      <c r="O370" s="1086">
        <v>7373560</v>
      </c>
      <c r="P370" s="1086">
        <v>5540824</v>
      </c>
      <c r="Q370" s="1086">
        <v>5046531</v>
      </c>
      <c r="R370" s="1086">
        <v>5878830</v>
      </c>
      <c r="S370" s="1086">
        <v>8075384</v>
      </c>
      <c r="T370" s="1086">
        <v>76744935</v>
      </c>
    </row>
    <row r="371" spans="1:21" ht="18">
      <c r="A371" s="1083"/>
      <c r="B371" s="1051"/>
      <c r="C371" s="1051" t="s">
        <v>33</v>
      </c>
      <c r="D371" s="1051"/>
      <c r="E371" s="1051"/>
      <c r="F371" s="1051"/>
      <c r="G371" s="1051"/>
      <c r="H371" s="1054">
        <v>29936067.120000001</v>
      </c>
      <c r="I371" s="1054">
        <v>21109332.300000001</v>
      </c>
      <c r="J371" s="1054">
        <v>16050109.52</v>
      </c>
      <c r="K371" s="1054">
        <v>13820603.119999999</v>
      </c>
      <c r="L371" s="1054">
        <v>9824519.3300000001</v>
      </c>
      <c r="M371" s="1054">
        <v>8670185.7599999979</v>
      </c>
      <c r="N371" s="1054">
        <v>9585567.6399999987</v>
      </c>
      <c r="O371" s="1054">
        <v>9836286.0099999979</v>
      </c>
      <c r="P371" s="1054">
        <v>8640226.0999999996</v>
      </c>
      <c r="Q371" s="1054">
        <v>12814400.700000001</v>
      </c>
      <c r="R371" s="1054">
        <v>15997910.42</v>
      </c>
      <c r="S371" s="1054">
        <v>26210270.460000001</v>
      </c>
      <c r="T371" s="1054">
        <v>182495478.47999999</v>
      </c>
      <c r="U371" s="12"/>
    </row>
    <row r="372" spans="1:21">
      <c r="A372" s="525"/>
      <c r="B372" s="525"/>
      <c r="C372" s="525" t="s">
        <v>1013</v>
      </c>
      <c r="D372" s="525"/>
      <c r="E372" s="525"/>
      <c r="F372" s="525"/>
      <c r="G372" s="525"/>
      <c r="H372" s="963">
        <v>0</v>
      </c>
      <c r="I372" s="963">
        <v>0</v>
      </c>
      <c r="J372" s="963">
        <v>0</v>
      </c>
      <c r="K372" s="963">
        <v>0</v>
      </c>
      <c r="L372" s="963">
        <v>0</v>
      </c>
      <c r="M372" s="963">
        <v>0</v>
      </c>
      <c r="N372" s="963">
        <v>0</v>
      </c>
      <c r="O372" s="963">
        <v>0</v>
      </c>
      <c r="P372" s="963">
        <v>0</v>
      </c>
      <c r="Q372" s="963">
        <v>0</v>
      </c>
      <c r="R372" s="963">
        <v>0</v>
      </c>
      <c r="S372" s="963">
        <v>0</v>
      </c>
      <c r="T372" s="963">
        <v>0</v>
      </c>
    </row>
    <row r="373" spans="1:21" ht="13.5" thickBot="1"/>
    <row r="374" spans="1:21" ht="16.5" thickBot="1">
      <c r="A374" s="768"/>
      <c r="B374" s="932" t="s">
        <v>139</v>
      </c>
      <c r="C374" s="933" t="s">
        <v>1014</v>
      </c>
      <c r="D374" s="768"/>
      <c r="E374" s="768"/>
      <c r="F374" s="768"/>
      <c r="G374" s="768"/>
      <c r="H374" s="768"/>
      <c r="I374" s="768"/>
      <c r="J374" s="768"/>
      <c r="K374" s="768"/>
      <c r="L374" s="768"/>
      <c r="M374" s="768"/>
      <c r="N374" s="768"/>
      <c r="O374" s="768"/>
      <c r="P374" s="768"/>
      <c r="Q374" s="768"/>
      <c r="R374" s="768"/>
      <c r="S374" s="768"/>
      <c r="T374" s="964" t="s">
        <v>1014</v>
      </c>
    </row>
    <row r="375" spans="1:21" ht="15.75">
      <c r="A375" s="768"/>
      <c r="B375" s="934" t="s">
        <v>994</v>
      </c>
      <c r="C375" s="935"/>
      <c r="D375" s="768"/>
      <c r="E375" s="768"/>
      <c r="F375" s="768"/>
      <c r="G375" s="768"/>
      <c r="H375" s="768"/>
      <c r="I375" s="768"/>
      <c r="J375" s="768"/>
      <c r="K375" s="768"/>
      <c r="L375" s="768"/>
      <c r="M375" s="768"/>
      <c r="N375" s="768"/>
      <c r="O375" s="768"/>
      <c r="P375" s="768"/>
      <c r="Q375" s="768"/>
      <c r="R375" s="768"/>
      <c r="S375" s="768"/>
      <c r="T375" s="965"/>
    </row>
    <row r="376" spans="1:21" ht="15.75">
      <c r="A376" s="768"/>
      <c r="B376" s="936"/>
      <c r="C376" s="937" t="s">
        <v>308</v>
      </c>
      <c r="D376" s="768"/>
      <c r="E376" s="768"/>
      <c r="F376" s="768"/>
      <c r="G376" s="768"/>
      <c r="H376" s="768"/>
      <c r="I376" s="768"/>
      <c r="J376" s="768"/>
      <c r="K376" s="768"/>
      <c r="L376" s="768"/>
      <c r="M376" s="768"/>
      <c r="N376" s="768"/>
      <c r="O376" s="768"/>
      <c r="P376" s="768"/>
      <c r="Q376" s="768"/>
      <c r="R376" s="768"/>
      <c r="S376" s="768"/>
      <c r="T376" s="966">
        <f>+$S$21</f>
        <v>1002147</v>
      </c>
    </row>
    <row r="377" spans="1:21" ht="15.75">
      <c r="A377" s="768"/>
      <c r="B377" s="936"/>
      <c r="C377" s="937" t="s">
        <v>496</v>
      </c>
      <c r="D377" s="768"/>
      <c r="E377" s="768"/>
      <c r="F377" s="768"/>
      <c r="G377" s="768"/>
      <c r="H377" s="768"/>
      <c r="I377" s="768"/>
      <c r="J377" s="768"/>
      <c r="K377" s="768"/>
      <c r="L377" s="768"/>
      <c r="M377" s="768"/>
      <c r="N377" s="768"/>
      <c r="O377" s="768"/>
      <c r="P377" s="768"/>
      <c r="Q377" s="768"/>
      <c r="R377" s="768"/>
      <c r="S377" s="768"/>
      <c r="T377" s="966">
        <f>+$S$48</f>
        <v>493</v>
      </c>
    </row>
    <row r="378" spans="1:21" ht="16.5" thickBot="1">
      <c r="A378" s="768"/>
      <c r="B378" s="938"/>
      <c r="C378" s="939" t="s">
        <v>798</v>
      </c>
      <c r="D378" s="768"/>
      <c r="E378" s="768"/>
      <c r="F378" s="768"/>
      <c r="G378" s="768"/>
      <c r="H378" s="768"/>
      <c r="I378" s="768"/>
      <c r="J378" s="768"/>
      <c r="K378" s="768"/>
      <c r="L378" s="768"/>
      <c r="M378" s="768"/>
      <c r="N378" s="768"/>
      <c r="O378" s="768"/>
      <c r="P378" s="768"/>
      <c r="Q378" s="768"/>
      <c r="R378" s="768"/>
      <c r="S378" s="768"/>
      <c r="T378" s="967">
        <f>+$S$66</f>
        <v>1</v>
      </c>
    </row>
    <row r="379" spans="1:21" ht="15.75">
      <c r="A379" s="768"/>
      <c r="B379" s="936"/>
      <c r="C379" s="937" t="s">
        <v>96</v>
      </c>
      <c r="D379" s="768"/>
      <c r="E379" s="768"/>
      <c r="F379" s="768"/>
      <c r="G379" s="768"/>
      <c r="H379" s="768"/>
      <c r="I379" s="768"/>
      <c r="J379" s="768"/>
      <c r="K379" s="768"/>
      <c r="L379" s="768"/>
      <c r="M379" s="768"/>
      <c r="N379" s="768"/>
      <c r="O379" s="768"/>
      <c r="P379" s="768"/>
      <c r="Q379" s="768"/>
      <c r="R379" s="768"/>
      <c r="S379" s="768"/>
      <c r="T379" s="966">
        <f>SUM(T376:T378)</f>
        <v>1002641</v>
      </c>
    </row>
    <row r="380" spans="1:21" ht="15.75">
      <c r="A380" s="768"/>
      <c r="B380" s="936"/>
      <c r="C380" s="937"/>
      <c r="D380" s="768"/>
      <c r="E380" s="768"/>
      <c r="F380" s="768"/>
      <c r="G380" s="768"/>
      <c r="H380" s="768"/>
      <c r="I380" s="768"/>
      <c r="J380" s="768"/>
      <c r="K380" s="768"/>
      <c r="L380" s="768"/>
      <c r="M380" s="768"/>
      <c r="N380" s="768"/>
      <c r="O380" s="768"/>
      <c r="P380" s="768"/>
      <c r="Q380" s="768"/>
      <c r="R380" s="768"/>
      <c r="S380" s="768"/>
      <c r="T380" s="966"/>
    </row>
    <row r="381" spans="1:21" ht="15.75">
      <c r="A381" s="768"/>
      <c r="B381" s="934" t="s">
        <v>998</v>
      </c>
      <c r="C381" s="935"/>
      <c r="D381" s="768"/>
      <c r="E381" s="768"/>
      <c r="F381" s="768"/>
      <c r="G381" s="768"/>
      <c r="H381" s="768"/>
      <c r="I381" s="768"/>
      <c r="J381" s="768"/>
      <c r="K381" s="768"/>
      <c r="L381" s="768"/>
      <c r="M381" s="768"/>
      <c r="N381" s="768"/>
      <c r="O381" s="768"/>
      <c r="P381" s="768"/>
      <c r="Q381" s="768"/>
      <c r="R381" s="768"/>
      <c r="S381" s="768"/>
      <c r="T381" s="965"/>
    </row>
    <row r="382" spans="1:21" ht="16.5" thickBot="1">
      <c r="A382" s="768"/>
      <c r="B382" s="938"/>
      <c r="C382" s="939" t="s">
        <v>666</v>
      </c>
      <c r="D382" s="768"/>
      <c r="E382" s="768"/>
      <c r="F382" s="768"/>
      <c r="G382" s="768"/>
      <c r="H382" s="768"/>
      <c r="I382" s="768"/>
      <c r="J382" s="768"/>
      <c r="K382" s="768"/>
      <c r="L382" s="768"/>
      <c r="M382" s="768"/>
      <c r="N382" s="768"/>
      <c r="O382" s="768"/>
      <c r="P382" s="768"/>
      <c r="Q382" s="768"/>
      <c r="R382" s="768"/>
      <c r="S382" s="768"/>
      <c r="T382" s="967">
        <f>+$S$102</f>
        <v>35</v>
      </c>
    </row>
    <row r="383" spans="1:21" ht="15.75">
      <c r="A383" s="768"/>
      <c r="B383" s="936"/>
      <c r="C383" s="937" t="s">
        <v>97</v>
      </c>
      <c r="D383" s="768"/>
      <c r="E383" s="768"/>
      <c r="F383" s="768"/>
      <c r="G383" s="768"/>
      <c r="H383" s="768"/>
      <c r="I383" s="768"/>
      <c r="J383" s="768"/>
      <c r="K383" s="768"/>
      <c r="L383" s="768"/>
      <c r="M383" s="768"/>
      <c r="N383" s="768"/>
      <c r="O383" s="768"/>
      <c r="P383" s="768"/>
      <c r="Q383" s="768"/>
      <c r="R383" s="768"/>
      <c r="S383" s="768"/>
      <c r="T383" s="966">
        <f>SUM(T382:T382)</f>
        <v>35</v>
      </c>
    </row>
    <row r="384" spans="1:21" ht="15.75">
      <c r="A384" s="768"/>
      <c r="B384" s="936"/>
      <c r="C384" s="937"/>
      <c r="D384" s="768"/>
      <c r="E384" s="768"/>
      <c r="F384" s="768"/>
      <c r="G384" s="768"/>
      <c r="H384" s="768"/>
      <c r="I384" s="768"/>
      <c r="J384" s="768"/>
      <c r="K384" s="768"/>
      <c r="L384" s="768"/>
      <c r="M384" s="768"/>
      <c r="N384" s="768"/>
      <c r="O384" s="768"/>
      <c r="P384" s="768"/>
      <c r="Q384" s="768"/>
      <c r="R384" s="768"/>
      <c r="S384" s="768"/>
      <c r="T384" s="966"/>
    </row>
    <row r="385" spans="1:20" ht="15.75">
      <c r="A385" s="768"/>
      <c r="B385" s="934"/>
      <c r="C385" s="937" t="s">
        <v>676</v>
      </c>
      <c r="D385" s="768"/>
      <c r="E385" s="768"/>
      <c r="F385" s="768"/>
      <c r="G385" s="768"/>
      <c r="H385" s="768"/>
      <c r="I385" s="768"/>
      <c r="J385" s="768"/>
      <c r="K385" s="768"/>
      <c r="L385" s="768"/>
      <c r="M385" s="768"/>
      <c r="N385" s="768"/>
      <c r="O385" s="768"/>
      <c r="P385" s="768"/>
      <c r="Q385" s="768"/>
      <c r="R385" s="768"/>
      <c r="S385" s="768"/>
      <c r="T385" s="966"/>
    </row>
    <row r="386" spans="1:20" ht="16.5" thickBot="1">
      <c r="A386" s="768"/>
      <c r="B386" s="934"/>
      <c r="C386" s="939" t="s">
        <v>107</v>
      </c>
      <c r="D386" s="768"/>
      <c r="E386" s="768"/>
      <c r="F386" s="768"/>
      <c r="G386" s="768"/>
      <c r="H386" s="768"/>
      <c r="I386" s="768"/>
      <c r="J386" s="768"/>
      <c r="K386" s="768"/>
      <c r="L386" s="768"/>
      <c r="M386" s="768"/>
      <c r="N386" s="768"/>
      <c r="O386" s="768"/>
      <c r="P386" s="768"/>
      <c r="Q386" s="768"/>
      <c r="R386" s="768"/>
      <c r="S386" s="768"/>
      <c r="T386" s="967"/>
    </row>
    <row r="387" spans="1:20" ht="15.75">
      <c r="A387" s="768"/>
      <c r="B387" s="940"/>
      <c r="C387" s="937" t="s">
        <v>1015</v>
      </c>
      <c r="D387" s="768"/>
      <c r="E387" s="768"/>
      <c r="F387" s="768"/>
      <c r="G387" s="768"/>
      <c r="H387" s="768"/>
      <c r="I387" s="768"/>
      <c r="J387" s="768"/>
      <c r="K387" s="768"/>
      <c r="L387" s="768"/>
      <c r="M387" s="768"/>
      <c r="N387" s="768"/>
      <c r="O387" s="768"/>
      <c r="P387" s="768"/>
      <c r="Q387" s="768"/>
      <c r="R387" s="768"/>
      <c r="S387" s="768"/>
      <c r="T387" s="966"/>
    </row>
    <row r="388" spans="1:20" ht="15.75">
      <c r="A388" s="768"/>
      <c r="B388" s="934"/>
      <c r="C388" s="935"/>
      <c r="D388" s="768"/>
      <c r="E388" s="768"/>
      <c r="F388" s="768"/>
      <c r="G388" s="768"/>
      <c r="H388" s="768"/>
      <c r="I388" s="768"/>
      <c r="J388" s="768"/>
      <c r="K388" s="768"/>
      <c r="L388" s="768"/>
      <c r="M388" s="768"/>
      <c r="N388" s="768"/>
      <c r="O388" s="768"/>
      <c r="P388" s="768"/>
      <c r="Q388" s="768"/>
      <c r="R388" s="768"/>
      <c r="S388" s="768"/>
      <c r="T388" s="965"/>
    </row>
    <row r="389" spans="1:20" ht="15.75">
      <c r="A389" s="768"/>
      <c r="B389" s="934" t="s">
        <v>1002</v>
      </c>
      <c r="C389" s="935"/>
      <c r="D389" s="768"/>
      <c r="E389" s="768"/>
      <c r="F389" s="768"/>
      <c r="G389" s="768"/>
      <c r="H389" s="768"/>
      <c r="I389" s="768"/>
      <c r="J389" s="768"/>
      <c r="K389" s="768"/>
      <c r="L389" s="768"/>
      <c r="M389" s="768"/>
      <c r="N389" s="768"/>
      <c r="O389" s="768"/>
      <c r="P389" s="768"/>
      <c r="Q389" s="768"/>
      <c r="R389" s="768"/>
      <c r="S389" s="768"/>
      <c r="T389" s="965"/>
    </row>
    <row r="390" spans="1:20" ht="15.75">
      <c r="A390" s="768"/>
      <c r="B390" s="934"/>
      <c r="C390" s="935" t="s">
        <v>899</v>
      </c>
      <c r="D390" s="768"/>
      <c r="E390" s="768"/>
      <c r="F390" s="768"/>
      <c r="G390" s="768"/>
      <c r="H390" s="768"/>
      <c r="I390" s="768"/>
      <c r="J390" s="768"/>
      <c r="K390" s="768"/>
      <c r="L390" s="768"/>
      <c r="M390" s="768"/>
      <c r="N390" s="768"/>
      <c r="O390" s="768"/>
      <c r="P390" s="768"/>
      <c r="Q390" s="768"/>
      <c r="R390" s="768"/>
      <c r="S390" s="768"/>
      <c r="T390" s="965">
        <f>+$S$129</f>
        <v>9</v>
      </c>
    </row>
    <row r="391" spans="1:20" ht="15.75">
      <c r="A391" s="768"/>
      <c r="B391" s="934"/>
      <c r="C391" s="935" t="s">
        <v>1005</v>
      </c>
      <c r="D391" s="768"/>
      <c r="E391" s="768"/>
      <c r="F391" s="768"/>
      <c r="G391" s="768"/>
      <c r="H391" s="768"/>
      <c r="I391" s="768"/>
      <c r="J391" s="768"/>
      <c r="K391" s="768"/>
      <c r="L391" s="768"/>
      <c r="M391" s="768"/>
      <c r="N391" s="768"/>
      <c r="O391" s="768"/>
      <c r="P391" s="768"/>
      <c r="Q391" s="768"/>
      <c r="R391" s="768"/>
      <c r="S391" s="768"/>
      <c r="T391" s="965">
        <f>+$S$138</f>
        <v>0</v>
      </c>
    </row>
    <row r="392" spans="1:20" ht="15.75">
      <c r="A392" s="768"/>
      <c r="B392" s="934"/>
      <c r="C392" s="935" t="s">
        <v>556</v>
      </c>
      <c r="D392" s="768"/>
      <c r="E392" s="768"/>
      <c r="F392" s="768"/>
      <c r="G392" s="768"/>
      <c r="H392" s="768"/>
      <c r="I392" s="768"/>
      <c r="J392" s="768"/>
      <c r="K392" s="768"/>
      <c r="L392" s="768"/>
      <c r="M392" s="768"/>
      <c r="N392" s="768"/>
      <c r="O392" s="768"/>
      <c r="P392" s="768"/>
      <c r="Q392" s="768"/>
      <c r="R392" s="768"/>
      <c r="S392" s="768"/>
      <c r="T392" s="965">
        <f>+$S$156</f>
        <v>0</v>
      </c>
    </row>
    <row r="393" spans="1:20" ht="15.75">
      <c r="A393" s="768"/>
      <c r="B393" s="934"/>
      <c r="C393" s="935" t="s">
        <v>555</v>
      </c>
      <c r="D393" s="768"/>
      <c r="E393" s="768"/>
      <c r="F393" s="768"/>
      <c r="G393" s="768"/>
      <c r="H393" s="768"/>
      <c r="I393" s="768"/>
      <c r="J393" s="768"/>
      <c r="K393" s="768"/>
      <c r="L393" s="768"/>
      <c r="M393" s="768"/>
      <c r="N393" s="768"/>
      <c r="O393" s="768"/>
      <c r="P393" s="768"/>
      <c r="Q393" s="768"/>
      <c r="R393" s="768"/>
      <c r="S393" s="768"/>
      <c r="T393" s="965">
        <f>+$S$183</f>
        <v>0</v>
      </c>
    </row>
    <row r="394" spans="1:20" ht="15.75">
      <c r="A394" s="768"/>
      <c r="B394" s="934"/>
      <c r="C394" s="935" t="s">
        <v>678</v>
      </c>
      <c r="D394" s="768"/>
      <c r="E394" s="768"/>
      <c r="F394" s="768"/>
      <c r="G394" s="768"/>
      <c r="H394" s="768"/>
      <c r="I394" s="768"/>
      <c r="J394" s="768"/>
      <c r="K394" s="768"/>
      <c r="L394" s="768"/>
      <c r="M394" s="768"/>
      <c r="N394" s="768"/>
      <c r="O394" s="768"/>
      <c r="P394" s="768"/>
      <c r="Q394" s="768"/>
      <c r="R394" s="768"/>
      <c r="S394" s="768"/>
      <c r="T394" s="965">
        <f>+$S$147</f>
        <v>1</v>
      </c>
    </row>
    <row r="395" spans="1:20" ht="15.75">
      <c r="A395" s="768"/>
      <c r="B395" s="934"/>
      <c r="C395" s="935" t="s">
        <v>667</v>
      </c>
      <c r="D395" s="768"/>
      <c r="E395" s="768"/>
      <c r="F395" s="768"/>
      <c r="G395" s="768"/>
      <c r="H395" s="768"/>
      <c r="I395" s="768"/>
      <c r="J395" s="768"/>
      <c r="K395" s="768"/>
      <c r="L395" s="768"/>
      <c r="M395" s="768"/>
      <c r="N395" s="768"/>
      <c r="O395" s="768"/>
      <c r="P395" s="768"/>
      <c r="Q395" s="768"/>
      <c r="R395" s="768"/>
      <c r="S395" s="768"/>
      <c r="T395" s="965">
        <f>+$S$165</f>
        <v>700</v>
      </c>
    </row>
    <row r="396" spans="1:20" ht="16.5" thickBot="1">
      <c r="A396" s="768"/>
      <c r="B396" s="941"/>
      <c r="C396" s="942" t="s">
        <v>909</v>
      </c>
      <c r="D396" s="768"/>
      <c r="E396" s="768"/>
      <c r="F396" s="768"/>
      <c r="G396" s="768"/>
      <c r="H396" s="768"/>
      <c r="I396" s="768"/>
      <c r="J396" s="768"/>
      <c r="K396" s="768"/>
      <c r="L396" s="768"/>
      <c r="M396" s="768"/>
      <c r="N396" s="768"/>
      <c r="O396" s="768"/>
      <c r="P396" s="768"/>
      <c r="Q396" s="768"/>
      <c r="R396" s="768"/>
      <c r="S396" s="768"/>
      <c r="T396" s="968">
        <f>+$S$174</f>
        <v>0</v>
      </c>
    </row>
    <row r="397" spans="1:20" ht="15.75">
      <c r="A397" s="768"/>
      <c r="B397" s="936"/>
      <c r="C397" s="937" t="s">
        <v>98</v>
      </c>
      <c r="D397" s="768"/>
      <c r="E397" s="768"/>
      <c r="F397" s="768"/>
      <c r="G397" s="768"/>
      <c r="H397" s="768"/>
      <c r="I397" s="768"/>
      <c r="J397" s="768"/>
      <c r="K397" s="768"/>
      <c r="L397" s="768"/>
      <c r="M397" s="768"/>
      <c r="N397" s="768"/>
      <c r="O397" s="768"/>
      <c r="P397" s="768"/>
      <c r="Q397" s="768"/>
      <c r="R397" s="768"/>
      <c r="S397" s="768"/>
      <c r="T397" s="966">
        <f>SUM(T390:T396)</f>
        <v>710</v>
      </c>
    </row>
    <row r="398" spans="1:20" ht="15.75">
      <c r="A398" s="768"/>
      <c r="B398" s="934"/>
      <c r="C398" s="935"/>
      <c r="D398" s="768"/>
      <c r="E398" s="768"/>
      <c r="F398" s="768"/>
      <c r="G398" s="768"/>
      <c r="H398" s="768"/>
      <c r="I398" s="768"/>
      <c r="J398" s="768"/>
      <c r="K398" s="768"/>
      <c r="L398" s="768"/>
      <c r="M398" s="768"/>
      <c r="N398" s="768"/>
      <c r="O398" s="768"/>
      <c r="P398" s="768"/>
      <c r="Q398" s="768"/>
      <c r="R398" s="768"/>
      <c r="S398" s="768"/>
      <c r="T398" s="965"/>
    </row>
    <row r="399" spans="1:20" ht="15.75">
      <c r="A399" s="768"/>
      <c r="B399" s="936"/>
      <c r="C399" s="937" t="s">
        <v>1016</v>
      </c>
      <c r="D399" s="768"/>
      <c r="E399" s="768"/>
      <c r="F399" s="768"/>
      <c r="G399" s="768"/>
      <c r="H399" s="768"/>
      <c r="I399" s="768"/>
      <c r="J399" s="768"/>
      <c r="K399" s="768"/>
      <c r="L399" s="768"/>
      <c r="M399" s="768"/>
      <c r="N399" s="768"/>
      <c r="O399" s="768"/>
      <c r="P399" s="768"/>
      <c r="Q399" s="768"/>
      <c r="R399" s="768"/>
      <c r="S399" s="768"/>
      <c r="T399" s="966">
        <f>+T397+T387+T379+T383</f>
        <v>1003386</v>
      </c>
    </row>
    <row r="400" spans="1:20" ht="16.5" thickBot="1">
      <c r="A400" s="768"/>
      <c r="B400" s="941"/>
      <c r="C400" s="942"/>
      <c r="D400" s="768"/>
      <c r="E400" s="768"/>
      <c r="F400" s="768"/>
      <c r="G400" s="768"/>
      <c r="H400" s="768"/>
      <c r="I400" s="768"/>
      <c r="J400" s="768"/>
      <c r="K400" s="768"/>
      <c r="L400" s="768"/>
      <c r="M400" s="768"/>
      <c r="N400" s="768"/>
      <c r="O400" s="768"/>
      <c r="P400" s="768"/>
      <c r="Q400" s="768"/>
      <c r="R400" s="768"/>
      <c r="S400" s="768"/>
      <c r="T400" s="968"/>
    </row>
    <row r="401" spans="1:20" ht="16.5" thickBot="1">
      <c r="A401" s="768"/>
      <c r="B401" s="936"/>
      <c r="C401" s="937"/>
      <c r="D401" s="768"/>
      <c r="E401" s="768"/>
      <c r="F401" s="768"/>
      <c r="G401" s="768"/>
      <c r="H401" s="768"/>
      <c r="I401" s="768"/>
      <c r="J401" s="768"/>
      <c r="K401" s="768"/>
      <c r="L401" s="768"/>
      <c r="M401" s="768"/>
      <c r="N401" s="768"/>
      <c r="O401" s="768"/>
      <c r="P401" s="768"/>
      <c r="Q401" s="768"/>
      <c r="R401" s="768"/>
      <c r="S401" s="768"/>
      <c r="T401" s="966"/>
    </row>
    <row r="402" spans="1:20" ht="15.75">
      <c r="A402" s="768"/>
      <c r="B402" s="943" t="s">
        <v>1017</v>
      </c>
      <c r="C402" s="944"/>
      <c r="D402" s="768"/>
      <c r="E402" s="768"/>
      <c r="F402" s="768"/>
      <c r="G402" s="768"/>
      <c r="H402" s="768"/>
      <c r="I402" s="768"/>
      <c r="J402" s="768"/>
      <c r="K402" s="768"/>
      <c r="L402" s="768"/>
      <c r="M402" s="768"/>
      <c r="N402" s="768"/>
      <c r="O402" s="768"/>
      <c r="P402" s="768"/>
      <c r="Q402" s="768"/>
      <c r="R402" s="768"/>
      <c r="S402" s="768"/>
      <c r="T402" s="969"/>
    </row>
    <row r="403" spans="1:20" ht="16.5" thickBot="1">
      <c r="A403" s="768"/>
      <c r="B403" s="945" t="s">
        <v>994</v>
      </c>
      <c r="C403" s="946"/>
      <c r="D403" s="768"/>
      <c r="E403" s="768"/>
      <c r="F403" s="768"/>
      <c r="G403" s="768"/>
      <c r="H403" s="768"/>
      <c r="I403" s="768"/>
      <c r="J403" s="768"/>
      <c r="K403" s="768"/>
      <c r="L403" s="768"/>
      <c r="M403" s="768"/>
      <c r="N403" s="768"/>
      <c r="O403" s="768"/>
      <c r="P403" s="768"/>
      <c r="Q403" s="768"/>
      <c r="R403" s="768"/>
      <c r="S403" s="768"/>
      <c r="T403" s="970"/>
    </row>
    <row r="404" spans="1:20" ht="15.75">
      <c r="A404" s="768"/>
      <c r="B404" s="936"/>
      <c r="C404" s="937" t="s">
        <v>1018</v>
      </c>
      <c r="D404" s="768"/>
      <c r="E404" s="768"/>
      <c r="F404" s="768"/>
      <c r="G404" s="768"/>
      <c r="H404" s="768"/>
      <c r="I404" s="768"/>
      <c r="J404" s="768"/>
      <c r="K404" s="768"/>
      <c r="L404" s="768"/>
      <c r="M404" s="768"/>
      <c r="N404" s="768"/>
      <c r="O404" s="768"/>
      <c r="P404" s="768"/>
      <c r="Q404" s="768"/>
      <c r="R404" s="768"/>
      <c r="S404" s="768"/>
      <c r="T404" s="966">
        <f>+$S$244</f>
        <v>27703</v>
      </c>
    </row>
    <row r="405" spans="1:20" ht="15.75">
      <c r="A405" s="768"/>
      <c r="B405" s="936"/>
      <c r="C405" s="937" t="s">
        <v>496</v>
      </c>
      <c r="D405" s="768"/>
      <c r="E405" s="768"/>
      <c r="F405" s="768"/>
      <c r="G405" s="768"/>
      <c r="H405" s="768"/>
      <c r="I405" s="768"/>
      <c r="J405" s="768"/>
      <c r="K405" s="768"/>
      <c r="L405" s="768"/>
      <c r="M405" s="768"/>
      <c r="N405" s="768"/>
      <c r="O405" s="768"/>
      <c r="P405" s="768"/>
      <c r="Q405" s="768"/>
      <c r="R405" s="768"/>
      <c r="S405" s="768"/>
      <c r="T405" s="966">
        <f>+$S$253</f>
        <v>24</v>
      </c>
    </row>
    <row r="406" spans="1:20" ht="16.5" thickBot="1">
      <c r="A406" s="768"/>
      <c r="B406" s="938"/>
      <c r="C406" s="939" t="s">
        <v>798</v>
      </c>
      <c r="D406" s="768"/>
      <c r="E406" s="768"/>
      <c r="F406" s="768"/>
      <c r="G406" s="768"/>
      <c r="H406" s="768"/>
      <c r="I406" s="768"/>
      <c r="J406" s="768"/>
      <c r="K406" s="768"/>
      <c r="L406" s="768"/>
      <c r="M406" s="768"/>
      <c r="N406" s="768"/>
      <c r="O406" s="768"/>
      <c r="P406" s="768"/>
      <c r="Q406" s="768"/>
      <c r="R406" s="768"/>
      <c r="S406" s="768"/>
      <c r="T406" s="967">
        <f>+$S$262</f>
        <v>1</v>
      </c>
    </row>
    <row r="407" spans="1:20" ht="15.75">
      <c r="A407" s="768"/>
      <c r="B407" s="936"/>
      <c r="C407" s="937" t="s">
        <v>99</v>
      </c>
      <c r="D407" s="768"/>
      <c r="E407" s="768"/>
      <c r="F407" s="768"/>
      <c r="G407" s="768"/>
      <c r="H407" s="768"/>
      <c r="I407" s="768"/>
      <c r="J407" s="768"/>
      <c r="K407" s="768"/>
      <c r="L407" s="768"/>
      <c r="M407" s="768"/>
      <c r="N407" s="768"/>
      <c r="O407" s="768"/>
      <c r="P407" s="768"/>
      <c r="Q407" s="768"/>
      <c r="R407" s="768"/>
      <c r="S407" s="768"/>
      <c r="T407" s="966">
        <f>SUM(T404:T406)</f>
        <v>27728</v>
      </c>
    </row>
    <row r="408" spans="1:20" ht="15.75">
      <c r="A408" s="768"/>
      <c r="B408" s="936"/>
      <c r="C408" s="937"/>
      <c r="D408" s="768"/>
      <c r="E408" s="768"/>
      <c r="F408" s="768"/>
      <c r="G408" s="768"/>
      <c r="H408" s="768"/>
      <c r="I408" s="768"/>
      <c r="J408" s="768"/>
      <c r="K408" s="768"/>
      <c r="L408" s="768"/>
      <c r="M408" s="768"/>
      <c r="N408" s="768"/>
      <c r="O408" s="768"/>
      <c r="P408" s="768"/>
      <c r="Q408" s="768"/>
      <c r="R408" s="768"/>
      <c r="S408" s="768"/>
      <c r="T408" s="966"/>
    </row>
    <row r="409" spans="1:20" ht="15.75">
      <c r="A409" s="768"/>
      <c r="B409" s="934"/>
      <c r="C409" s="937" t="s">
        <v>676</v>
      </c>
      <c r="D409" s="768"/>
      <c r="E409" s="768"/>
      <c r="F409" s="768"/>
      <c r="G409" s="768"/>
      <c r="H409" s="768"/>
      <c r="I409" s="768"/>
      <c r="J409" s="768"/>
      <c r="K409" s="768"/>
      <c r="L409" s="768"/>
      <c r="M409" s="768"/>
      <c r="N409" s="768"/>
      <c r="O409" s="768"/>
      <c r="P409" s="768"/>
      <c r="Q409" s="768"/>
      <c r="R409" s="768"/>
      <c r="S409" s="768"/>
      <c r="T409" s="966"/>
    </row>
    <row r="410" spans="1:20" ht="16.5" thickBot="1">
      <c r="A410" s="768"/>
      <c r="B410" s="934"/>
      <c r="C410" s="939" t="s">
        <v>107</v>
      </c>
      <c r="D410" s="768"/>
      <c r="E410" s="768"/>
      <c r="F410" s="768"/>
      <c r="G410" s="768"/>
      <c r="H410" s="768"/>
      <c r="I410" s="768"/>
      <c r="J410" s="768"/>
      <c r="K410" s="768"/>
      <c r="L410" s="768"/>
      <c r="M410" s="768"/>
      <c r="N410" s="768"/>
      <c r="O410" s="768"/>
      <c r="P410" s="768"/>
      <c r="Q410" s="768"/>
      <c r="R410" s="768"/>
      <c r="S410" s="768"/>
      <c r="T410" s="967"/>
    </row>
    <row r="411" spans="1:20" ht="15.75">
      <c r="A411" s="768"/>
      <c r="B411" s="940"/>
      <c r="C411" s="937" t="s">
        <v>1015</v>
      </c>
      <c r="D411" s="768"/>
      <c r="E411" s="768"/>
      <c r="F411" s="768"/>
      <c r="G411" s="768"/>
      <c r="H411" s="768"/>
      <c r="I411" s="768"/>
      <c r="J411" s="768"/>
      <c r="K411" s="768"/>
      <c r="L411" s="768"/>
      <c r="M411" s="768"/>
      <c r="N411" s="768"/>
      <c r="O411" s="768"/>
      <c r="P411" s="768"/>
      <c r="Q411" s="768"/>
      <c r="R411" s="768"/>
      <c r="S411" s="768"/>
      <c r="T411" s="966"/>
    </row>
    <row r="412" spans="1:20" ht="15.75">
      <c r="A412" s="768"/>
      <c r="B412" s="934"/>
      <c r="C412" s="935"/>
      <c r="D412" s="768"/>
      <c r="E412" s="768"/>
      <c r="F412" s="768"/>
      <c r="G412" s="768"/>
      <c r="H412" s="768"/>
      <c r="I412" s="768"/>
      <c r="J412" s="768"/>
      <c r="K412" s="768"/>
      <c r="L412" s="768"/>
      <c r="M412" s="768"/>
      <c r="N412" s="768"/>
      <c r="O412" s="768"/>
      <c r="P412" s="768"/>
      <c r="Q412" s="768"/>
      <c r="R412" s="768"/>
      <c r="S412" s="768"/>
      <c r="T412" s="965"/>
    </row>
    <row r="413" spans="1:20" ht="15.75">
      <c r="A413" s="768"/>
      <c r="B413" s="934"/>
      <c r="C413" s="935"/>
      <c r="D413" s="768"/>
      <c r="E413" s="768"/>
      <c r="F413" s="768"/>
      <c r="G413" s="768"/>
      <c r="H413" s="768"/>
      <c r="I413" s="768"/>
      <c r="J413" s="768"/>
      <c r="K413" s="768"/>
      <c r="L413" s="768"/>
      <c r="M413" s="768"/>
      <c r="N413" s="768"/>
      <c r="O413" s="768"/>
      <c r="P413" s="768"/>
      <c r="Q413" s="768"/>
      <c r="R413" s="768"/>
      <c r="S413" s="768"/>
      <c r="T413" s="965"/>
    </row>
    <row r="414" spans="1:20" ht="15.75">
      <c r="A414" s="768"/>
      <c r="B414" s="934" t="s">
        <v>998</v>
      </c>
      <c r="C414" s="935"/>
      <c r="D414" s="768"/>
      <c r="E414" s="768"/>
      <c r="F414" s="768"/>
      <c r="G414" s="768"/>
      <c r="H414" s="768"/>
      <c r="I414" s="768"/>
      <c r="J414" s="768"/>
      <c r="K414" s="768"/>
      <c r="L414" s="768"/>
      <c r="M414" s="768"/>
      <c r="N414" s="768"/>
      <c r="O414" s="768"/>
      <c r="P414" s="768"/>
      <c r="Q414" s="768"/>
      <c r="R414" s="768"/>
      <c r="S414" s="768"/>
      <c r="T414" s="965"/>
    </row>
    <row r="415" spans="1:20" ht="15.75">
      <c r="A415" s="768"/>
      <c r="B415" s="934"/>
      <c r="C415" s="937" t="s">
        <v>1019</v>
      </c>
      <c r="D415" s="768"/>
      <c r="E415" s="768"/>
      <c r="F415" s="768"/>
      <c r="G415" s="768"/>
      <c r="H415" s="768"/>
      <c r="I415" s="768"/>
      <c r="J415" s="768"/>
      <c r="K415" s="768"/>
      <c r="L415" s="768"/>
      <c r="M415" s="768"/>
      <c r="N415" s="768"/>
      <c r="O415" s="768"/>
      <c r="P415" s="768"/>
      <c r="Q415" s="768"/>
      <c r="R415" s="768"/>
      <c r="S415" s="768"/>
      <c r="T415" s="966">
        <f>+$S$289</f>
        <v>0</v>
      </c>
    </row>
    <row r="416" spans="1:20" ht="16.5" thickBot="1">
      <c r="A416" s="768"/>
      <c r="B416" s="938"/>
      <c r="C416" s="939" t="s">
        <v>666</v>
      </c>
      <c r="D416" s="768"/>
      <c r="E416" s="768"/>
      <c r="F416" s="768"/>
      <c r="G416" s="768"/>
      <c r="H416" s="768"/>
      <c r="I416" s="768"/>
      <c r="J416" s="768"/>
      <c r="K416" s="768"/>
      <c r="L416" s="768"/>
      <c r="M416" s="768"/>
      <c r="N416" s="768"/>
      <c r="O416" s="768"/>
      <c r="P416" s="768"/>
      <c r="Q416" s="768"/>
      <c r="R416" s="768"/>
      <c r="S416" s="768"/>
      <c r="T416" s="967">
        <f>+$S$280</f>
        <v>4</v>
      </c>
    </row>
    <row r="417" spans="1:20" ht="15.75">
      <c r="A417" s="768"/>
      <c r="B417" s="936"/>
      <c r="C417" s="937" t="s">
        <v>100</v>
      </c>
      <c r="D417" s="768"/>
      <c r="E417" s="768"/>
      <c r="F417" s="768"/>
      <c r="G417" s="768"/>
      <c r="H417" s="768"/>
      <c r="I417" s="768"/>
      <c r="J417" s="768"/>
      <c r="K417" s="768"/>
      <c r="L417" s="768"/>
      <c r="M417" s="768"/>
      <c r="N417" s="768"/>
      <c r="O417" s="768"/>
      <c r="P417" s="768"/>
      <c r="Q417" s="768"/>
      <c r="R417" s="768"/>
      <c r="S417" s="768"/>
      <c r="T417" s="966">
        <f>SUM(T415:T416)</f>
        <v>4</v>
      </c>
    </row>
    <row r="418" spans="1:20" ht="15.75">
      <c r="A418" s="768"/>
      <c r="B418" s="936"/>
      <c r="C418" s="937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966"/>
    </row>
    <row r="419" spans="1:20" ht="15.75">
      <c r="A419" s="768"/>
      <c r="B419" s="934" t="s">
        <v>1002</v>
      </c>
      <c r="C419" s="935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965"/>
    </row>
    <row r="420" spans="1:20" ht="15.75">
      <c r="A420" s="768"/>
      <c r="B420" s="934"/>
      <c r="C420" s="935" t="s">
        <v>1020</v>
      </c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965">
        <f>+$S$316</f>
        <v>2</v>
      </c>
    </row>
    <row r="421" spans="1:20" ht="16.5" thickBot="1">
      <c r="A421" s="768"/>
      <c r="B421" s="941"/>
      <c r="C421" s="942" t="s">
        <v>82</v>
      </c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968">
        <f>+$S$307</f>
        <v>3</v>
      </c>
    </row>
    <row r="422" spans="1:20" ht="15.75">
      <c r="A422" s="768"/>
      <c r="B422" s="934"/>
      <c r="C422" s="935" t="s">
        <v>101</v>
      </c>
      <c r="D422" s="768"/>
      <c r="E422" s="768"/>
      <c r="F422" s="768"/>
      <c r="G422" s="768"/>
      <c r="H422" s="768"/>
      <c r="I422" s="768"/>
      <c r="J422" s="768"/>
      <c r="K422" s="768"/>
      <c r="L422" s="768"/>
      <c r="M422" s="768"/>
      <c r="N422" s="768"/>
      <c r="O422" s="768"/>
      <c r="P422" s="768"/>
      <c r="Q422" s="768"/>
      <c r="R422" s="768"/>
      <c r="S422" s="768"/>
      <c r="T422" s="965">
        <f>SUM(T420:T421)</f>
        <v>5</v>
      </c>
    </row>
    <row r="423" spans="1:20" ht="15.75">
      <c r="A423" s="768"/>
      <c r="B423" s="934"/>
      <c r="C423" s="935"/>
      <c r="D423" s="768"/>
      <c r="E423" s="768"/>
      <c r="F423" s="768"/>
      <c r="G423" s="768"/>
      <c r="H423" s="768"/>
      <c r="I423" s="768"/>
      <c r="J423" s="768"/>
      <c r="K423" s="768"/>
      <c r="L423" s="768"/>
      <c r="M423" s="768"/>
      <c r="N423" s="768"/>
      <c r="O423" s="768"/>
      <c r="P423" s="768"/>
      <c r="Q423" s="768"/>
      <c r="R423" s="768"/>
      <c r="S423" s="768"/>
      <c r="T423" s="965"/>
    </row>
    <row r="424" spans="1:20" ht="15.75">
      <c r="A424" s="768"/>
      <c r="B424" s="936"/>
      <c r="C424" s="937" t="s">
        <v>1021</v>
      </c>
      <c r="D424" s="768"/>
      <c r="E424" s="768"/>
      <c r="F424" s="768"/>
      <c r="G424" s="768"/>
      <c r="H424" s="768"/>
      <c r="I424" s="768"/>
      <c r="J424" s="768"/>
      <c r="K424" s="768"/>
      <c r="L424" s="768"/>
      <c r="M424" s="768"/>
      <c r="N424" s="768"/>
      <c r="O424" s="768"/>
      <c r="P424" s="768"/>
      <c r="Q424" s="768"/>
      <c r="R424" s="768"/>
      <c r="S424" s="768"/>
      <c r="T424" s="966">
        <f>+T422+T417+T407+T411</f>
        <v>27737</v>
      </c>
    </row>
    <row r="425" spans="1:20" ht="16.5" thickBot="1">
      <c r="A425" s="768"/>
      <c r="B425" s="938"/>
      <c r="C425" s="939"/>
      <c r="D425" s="768"/>
      <c r="E425" s="768"/>
      <c r="F425" s="768"/>
      <c r="G425" s="768"/>
      <c r="H425" s="768"/>
      <c r="I425" s="768"/>
      <c r="J425" s="768"/>
      <c r="K425" s="768"/>
      <c r="L425" s="768"/>
      <c r="M425" s="768"/>
      <c r="N425" s="768"/>
      <c r="O425" s="768"/>
      <c r="P425" s="768"/>
      <c r="Q425" s="768"/>
      <c r="R425" s="768"/>
      <c r="S425" s="768"/>
      <c r="T425" s="967"/>
    </row>
    <row r="426" spans="1:20" ht="15.75">
      <c r="A426" s="768"/>
      <c r="B426" s="936"/>
      <c r="C426" s="937"/>
      <c r="D426" s="768"/>
      <c r="E426" s="768"/>
      <c r="F426" s="768"/>
      <c r="G426" s="768"/>
      <c r="H426" s="768"/>
      <c r="I426" s="768"/>
      <c r="J426" s="768"/>
      <c r="K426" s="768"/>
      <c r="L426" s="768"/>
      <c r="M426" s="768"/>
      <c r="N426" s="768"/>
      <c r="O426" s="768"/>
      <c r="P426" s="768"/>
      <c r="Q426" s="768"/>
      <c r="R426" s="768"/>
      <c r="S426" s="768"/>
      <c r="T426" s="966"/>
    </row>
    <row r="427" spans="1:20" ht="15.75">
      <c r="A427" s="768"/>
      <c r="B427" s="934" t="s">
        <v>1022</v>
      </c>
      <c r="C427" s="935"/>
      <c r="D427" s="768"/>
      <c r="E427" s="768"/>
      <c r="F427" s="768"/>
      <c r="G427" s="768"/>
      <c r="H427" s="768"/>
      <c r="I427" s="768"/>
      <c r="J427" s="768"/>
      <c r="K427" s="768"/>
      <c r="L427" s="768"/>
      <c r="M427" s="768"/>
      <c r="N427" s="768"/>
      <c r="O427" s="768"/>
      <c r="P427" s="768"/>
      <c r="Q427" s="768"/>
      <c r="R427" s="768"/>
      <c r="S427" s="768"/>
      <c r="T427" s="965">
        <f>+T422+T417+T407+T397+T379</f>
        <v>1031088</v>
      </c>
    </row>
    <row r="428" spans="1:20" ht="15.75">
      <c r="A428" s="768"/>
      <c r="B428" s="934" t="s">
        <v>1023</v>
      </c>
      <c r="C428" s="935"/>
      <c r="D428" s="768"/>
      <c r="E428" s="768"/>
      <c r="F428" s="768"/>
      <c r="G428" s="768"/>
      <c r="H428" s="768"/>
      <c r="I428" s="768"/>
      <c r="J428" s="768"/>
      <c r="K428" s="768"/>
      <c r="L428" s="768"/>
      <c r="M428" s="768"/>
      <c r="N428" s="768"/>
      <c r="O428" s="768"/>
      <c r="P428" s="768"/>
      <c r="Q428" s="768"/>
      <c r="R428" s="768"/>
      <c r="S428" s="768"/>
      <c r="T428" s="965">
        <f>+T404+T376</f>
        <v>1029850</v>
      </c>
    </row>
    <row r="429" spans="1:20" ht="15.75">
      <c r="A429" s="768"/>
      <c r="B429" s="934" t="s">
        <v>884</v>
      </c>
      <c r="C429" s="935"/>
      <c r="D429" s="768"/>
      <c r="E429" s="768"/>
      <c r="F429" s="768"/>
      <c r="G429" s="768"/>
      <c r="H429" s="768"/>
      <c r="I429" s="768"/>
      <c r="J429" s="768"/>
      <c r="K429" s="768"/>
      <c r="L429" s="768"/>
      <c r="M429" s="768"/>
      <c r="N429" s="768"/>
      <c r="O429" s="768"/>
      <c r="P429" s="768"/>
      <c r="Q429" s="768"/>
      <c r="R429" s="768"/>
      <c r="S429" s="768"/>
      <c r="T429" s="965">
        <f>+T440-T428</f>
        <v>1273</v>
      </c>
    </row>
    <row r="430" spans="1:20" ht="15.75">
      <c r="A430" s="768"/>
      <c r="B430" s="934" t="s">
        <v>885</v>
      </c>
      <c r="C430" s="935"/>
      <c r="D430" s="768"/>
      <c r="E430" s="768"/>
      <c r="F430" s="768"/>
      <c r="G430" s="768"/>
      <c r="H430" s="768"/>
      <c r="I430" s="768"/>
      <c r="J430" s="768"/>
      <c r="K430" s="768"/>
      <c r="L430" s="768"/>
      <c r="M430" s="768"/>
      <c r="N430" s="768"/>
      <c r="O430" s="768"/>
      <c r="P430" s="768"/>
      <c r="Q430" s="768"/>
      <c r="R430" s="768"/>
      <c r="S430" s="768"/>
      <c r="T430" s="965">
        <f>+T379+T407</f>
        <v>1030369</v>
      </c>
    </row>
    <row r="431" spans="1:20" ht="15.75">
      <c r="A431" s="768"/>
      <c r="B431" s="934" t="s">
        <v>1024</v>
      </c>
      <c r="C431" s="935"/>
      <c r="D431" s="768"/>
      <c r="E431" s="768"/>
      <c r="F431" s="768"/>
      <c r="G431" s="768"/>
      <c r="H431" s="768"/>
      <c r="I431" s="768"/>
      <c r="J431" s="768"/>
      <c r="K431" s="768"/>
      <c r="L431" s="768"/>
      <c r="M431" s="768"/>
      <c r="N431" s="768"/>
      <c r="O431" s="768"/>
      <c r="P431" s="768"/>
      <c r="Q431" s="768"/>
      <c r="R431" s="768"/>
      <c r="S431" s="768"/>
      <c r="T431" s="965">
        <f>+T417+T383</f>
        <v>39</v>
      </c>
    </row>
    <row r="432" spans="1:20" ht="15.75">
      <c r="A432" s="768"/>
      <c r="B432" s="934" t="s">
        <v>886</v>
      </c>
      <c r="C432" s="935"/>
      <c r="D432" s="768"/>
      <c r="E432" s="768"/>
      <c r="F432" s="768"/>
      <c r="G432" s="768"/>
      <c r="H432" s="768"/>
      <c r="I432" s="768"/>
      <c r="J432" s="768"/>
      <c r="K432" s="768"/>
      <c r="L432" s="768"/>
      <c r="M432" s="768"/>
      <c r="N432" s="768"/>
      <c r="O432" s="768"/>
      <c r="P432" s="768"/>
      <c r="Q432" s="768"/>
      <c r="R432" s="768"/>
      <c r="S432" s="768"/>
      <c r="T432" s="965">
        <f>+T422+T397</f>
        <v>715</v>
      </c>
    </row>
    <row r="433" spans="1:21" ht="15.75">
      <c r="A433" s="768"/>
      <c r="B433" s="934" t="s">
        <v>1025</v>
      </c>
      <c r="C433" s="935"/>
      <c r="D433" s="768"/>
      <c r="E433" s="768"/>
      <c r="F433" s="768"/>
      <c r="G433" s="768"/>
      <c r="H433" s="768"/>
      <c r="I433" s="768"/>
      <c r="J433" s="768"/>
      <c r="K433" s="768"/>
      <c r="L433" s="768"/>
      <c r="M433" s="768"/>
      <c r="N433" s="768"/>
      <c r="O433" s="768"/>
      <c r="P433" s="768"/>
      <c r="Q433" s="768"/>
      <c r="R433" s="768"/>
      <c r="S433" s="768"/>
      <c r="T433" s="965"/>
    </row>
    <row r="434" spans="1:21" ht="15.75">
      <c r="A434" s="768"/>
      <c r="B434" s="934" t="s">
        <v>1026</v>
      </c>
      <c r="C434" s="935"/>
      <c r="D434" s="768"/>
      <c r="E434" s="768"/>
      <c r="F434" s="768"/>
      <c r="G434" s="768"/>
      <c r="H434" s="768"/>
      <c r="I434" s="768"/>
      <c r="J434" s="768"/>
      <c r="K434" s="768"/>
      <c r="L434" s="768"/>
      <c r="M434" s="768"/>
      <c r="N434" s="768"/>
      <c r="O434" s="768"/>
      <c r="P434" s="768"/>
      <c r="Q434" s="768"/>
      <c r="R434" s="768"/>
      <c r="S434" s="768"/>
      <c r="T434" s="965"/>
    </row>
    <row r="435" spans="1:21" ht="15.75">
      <c r="A435" s="768"/>
      <c r="B435" s="934"/>
      <c r="C435" s="935"/>
      <c r="D435" s="768"/>
      <c r="E435" s="768"/>
      <c r="F435" s="768"/>
      <c r="G435" s="768"/>
      <c r="H435" s="768"/>
      <c r="I435" s="768"/>
      <c r="J435" s="768"/>
      <c r="K435" s="768"/>
      <c r="L435" s="768"/>
      <c r="M435" s="768"/>
      <c r="N435" s="768"/>
      <c r="O435" s="768"/>
      <c r="P435" s="768"/>
      <c r="Q435" s="768"/>
      <c r="R435" s="768"/>
      <c r="S435" s="768"/>
      <c r="T435" s="965"/>
    </row>
    <row r="436" spans="1:21" ht="15.75">
      <c r="A436" s="768"/>
      <c r="B436" s="934"/>
      <c r="C436" s="935"/>
      <c r="D436" s="768"/>
      <c r="E436" s="768"/>
      <c r="F436" s="768"/>
      <c r="G436" s="768"/>
      <c r="H436" s="768"/>
      <c r="I436" s="768"/>
      <c r="J436" s="768"/>
      <c r="K436" s="768"/>
      <c r="L436" s="768"/>
      <c r="M436" s="768"/>
      <c r="N436" s="768"/>
      <c r="O436" s="768"/>
      <c r="P436" s="768"/>
      <c r="Q436" s="768"/>
      <c r="R436" s="768"/>
      <c r="S436" s="768"/>
      <c r="T436" s="965"/>
    </row>
    <row r="437" spans="1:21" ht="15.75">
      <c r="A437" s="768"/>
      <c r="B437" s="934" t="s">
        <v>1027</v>
      </c>
      <c r="C437" s="935"/>
      <c r="D437" s="768"/>
      <c r="E437" s="768"/>
      <c r="F437" s="768"/>
      <c r="G437" s="768"/>
      <c r="H437" s="768"/>
      <c r="I437" s="768"/>
      <c r="J437" s="768"/>
      <c r="K437" s="768"/>
      <c r="L437" s="768"/>
      <c r="M437" s="768"/>
      <c r="N437" s="768"/>
      <c r="O437" s="768"/>
      <c r="P437" s="768"/>
      <c r="Q437" s="768"/>
      <c r="R437" s="768"/>
      <c r="S437" s="768"/>
      <c r="T437" s="965">
        <f>+T399</f>
        <v>1003386</v>
      </c>
    </row>
    <row r="438" spans="1:21" ht="15.75">
      <c r="A438" s="768"/>
      <c r="B438" s="934" t="s">
        <v>1028</v>
      </c>
      <c r="C438" s="935"/>
      <c r="D438" s="768"/>
      <c r="E438" s="768"/>
      <c r="F438" s="768"/>
      <c r="G438" s="768"/>
      <c r="H438" s="768"/>
      <c r="I438" s="768"/>
      <c r="J438" s="768"/>
      <c r="K438" s="768"/>
      <c r="L438" s="768"/>
      <c r="M438" s="768"/>
      <c r="N438" s="768"/>
      <c r="O438" s="768"/>
      <c r="P438" s="768"/>
      <c r="Q438" s="768"/>
      <c r="R438" s="768"/>
      <c r="S438" s="768"/>
      <c r="T438" s="965">
        <f>+T424</f>
        <v>27737</v>
      </c>
    </row>
    <row r="439" spans="1:21" ht="16.5" thickBot="1">
      <c r="A439" s="768"/>
      <c r="B439" s="941"/>
      <c r="C439" s="942"/>
      <c r="D439" s="768"/>
      <c r="E439" s="768"/>
      <c r="F439" s="768"/>
      <c r="G439" s="768"/>
      <c r="H439" s="768"/>
      <c r="I439" s="768"/>
      <c r="J439" s="768"/>
      <c r="K439" s="768"/>
      <c r="L439" s="768"/>
      <c r="M439" s="768"/>
      <c r="N439" s="768"/>
      <c r="O439" s="768"/>
      <c r="P439" s="768"/>
      <c r="Q439" s="768"/>
      <c r="R439" s="768"/>
      <c r="S439" s="768"/>
      <c r="T439" s="968"/>
    </row>
    <row r="440" spans="1:21" ht="16.5" thickBot="1">
      <c r="A440" s="768"/>
      <c r="B440" s="938" t="s">
        <v>1029</v>
      </c>
      <c r="C440" s="939"/>
      <c r="D440" s="768"/>
      <c r="E440" s="768"/>
      <c r="F440" s="768"/>
      <c r="G440" s="768"/>
      <c r="H440" s="768"/>
      <c r="I440" s="768"/>
      <c r="J440" s="768"/>
      <c r="K440" s="768"/>
      <c r="L440" s="768"/>
      <c r="M440" s="768"/>
      <c r="N440" s="768"/>
      <c r="O440" s="768"/>
      <c r="P440" s="768"/>
      <c r="Q440" s="768"/>
      <c r="R440" s="768"/>
      <c r="S440" s="768"/>
      <c r="T440" s="967">
        <f>SUM(T437:T439)</f>
        <v>1031123</v>
      </c>
    </row>
    <row r="441" spans="1:21" ht="16.5" thickBot="1">
      <c r="A441" s="768"/>
      <c r="B441" s="768"/>
      <c r="C441" s="768"/>
      <c r="D441" s="768"/>
      <c r="E441" s="768"/>
      <c r="F441" s="768"/>
      <c r="G441" s="768"/>
      <c r="H441" s="768"/>
      <c r="I441" s="768"/>
      <c r="J441" s="768"/>
      <c r="K441" s="768"/>
      <c r="L441" s="768"/>
      <c r="M441" s="768"/>
      <c r="N441" s="768"/>
      <c r="O441" s="768"/>
      <c r="P441" s="768"/>
      <c r="Q441" s="768"/>
      <c r="R441" s="768"/>
      <c r="S441" s="951"/>
      <c r="T441" s="971"/>
      <c r="U441" s="55"/>
    </row>
    <row r="442" spans="1:21" ht="16.5" thickBot="1">
      <c r="A442" s="768"/>
      <c r="B442" s="932" t="s">
        <v>139</v>
      </c>
      <c r="C442" s="933" t="s">
        <v>1030</v>
      </c>
      <c r="D442" s="768"/>
      <c r="E442" s="768"/>
      <c r="F442" s="768"/>
      <c r="G442" s="768"/>
      <c r="H442" s="768"/>
      <c r="I442" s="768"/>
      <c r="J442" s="768"/>
      <c r="K442" s="768"/>
      <c r="L442" s="768"/>
      <c r="M442" s="768"/>
      <c r="N442" s="768"/>
      <c r="O442" s="768"/>
      <c r="P442" s="768"/>
      <c r="Q442" s="768"/>
      <c r="R442" s="768"/>
      <c r="S442" s="768"/>
      <c r="T442" s="964" t="s">
        <v>1030</v>
      </c>
    </row>
    <row r="443" spans="1:21" ht="15.75">
      <c r="A443" s="768"/>
      <c r="B443" s="934" t="s">
        <v>994</v>
      </c>
      <c r="C443" s="935"/>
      <c r="D443" s="768"/>
      <c r="E443" s="768"/>
      <c r="F443" s="768"/>
      <c r="G443" s="768"/>
      <c r="H443" s="768"/>
      <c r="I443" s="768"/>
      <c r="J443" s="768"/>
      <c r="K443" s="768"/>
      <c r="L443" s="768"/>
      <c r="M443" s="768"/>
      <c r="N443" s="768"/>
      <c r="O443" s="768"/>
      <c r="P443" s="768"/>
      <c r="Q443" s="768"/>
      <c r="R443" s="768"/>
      <c r="S443" s="768"/>
      <c r="T443" s="965"/>
    </row>
    <row r="444" spans="1:21" ht="15.75">
      <c r="A444" s="768"/>
      <c r="B444" s="936"/>
      <c r="C444" s="937" t="s">
        <v>308</v>
      </c>
      <c r="D444" s="768"/>
      <c r="E444" s="768"/>
      <c r="F444" s="768"/>
      <c r="G444" s="768"/>
      <c r="H444" s="768"/>
      <c r="I444" s="768"/>
      <c r="J444" s="768"/>
      <c r="K444" s="768"/>
      <c r="L444" s="768"/>
      <c r="M444" s="768"/>
      <c r="N444" s="768"/>
      <c r="O444" s="768"/>
      <c r="P444" s="768"/>
      <c r="Q444" s="768"/>
      <c r="R444" s="768"/>
      <c r="S444" s="768"/>
      <c r="T444" s="966">
        <f>+$T$21</f>
        <v>992105.25</v>
      </c>
    </row>
    <row r="445" spans="1:21" ht="15.75">
      <c r="A445" s="768"/>
      <c r="B445" s="936"/>
      <c r="C445" s="937" t="s">
        <v>496</v>
      </c>
      <c r="D445" s="768"/>
      <c r="E445" s="768"/>
      <c r="F445" s="768"/>
      <c r="G445" s="768"/>
      <c r="H445" s="768"/>
      <c r="I445" s="768"/>
      <c r="J445" s="768"/>
      <c r="K445" s="768"/>
      <c r="L445" s="768"/>
      <c r="M445" s="768"/>
      <c r="N445" s="768"/>
      <c r="O445" s="768"/>
      <c r="P445" s="768"/>
      <c r="Q445" s="768"/>
      <c r="R445" s="768"/>
      <c r="S445" s="768"/>
      <c r="T445" s="966">
        <f>+$T$48</f>
        <v>529.91666666666663</v>
      </c>
    </row>
    <row r="446" spans="1:21" ht="16.5" thickBot="1">
      <c r="A446" s="768"/>
      <c r="B446" s="938"/>
      <c r="C446" s="939" t="s">
        <v>798</v>
      </c>
      <c r="D446" s="768"/>
      <c r="E446" s="768"/>
      <c r="F446" s="768"/>
      <c r="G446" s="768"/>
      <c r="H446" s="768"/>
      <c r="I446" s="768"/>
      <c r="J446" s="768"/>
      <c r="K446" s="768"/>
      <c r="L446" s="768"/>
      <c r="M446" s="768"/>
      <c r="N446" s="768"/>
      <c r="O446" s="768"/>
      <c r="P446" s="768"/>
      <c r="Q446" s="768"/>
      <c r="R446" s="768"/>
      <c r="S446" s="768"/>
      <c r="T446" s="967">
        <f>+$T$66</f>
        <v>1</v>
      </c>
    </row>
    <row r="447" spans="1:21" ht="15.75">
      <c r="A447" s="768"/>
      <c r="B447" s="936"/>
      <c r="C447" s="937" t="s">
        <v>96</v>
      </c>
      <c r="D447" s="768"/>
      <c r="E447" s="768"/>
      <c r="F447" s="768"/>
      <c r="G447" s="768"/>
      <c r="H447" s="768"/>
      <c r="I447" s="768"/>
      <c r="J447" s="768"/>
      <c r="K447" s="768"/>
      <c r="L447" s="768"/>
      <c r="M447" s="768"/>
      <c r="N447" s="768"/>
      <c r="O447" s="768"/>
      <c r="P447" s="768"/>
      <c r="Q447" s="768"/>
      <c r="R447" s="768"/>
      <c r="S447" s="768"/>
      <c r="T447" s="966">
        <f>SUM(T444:T446)</f>
        <v>992636.16666666663</v>
      </c>
    </row>
    <row r="448" spans="1:21" ht="15.75">
      <c r="A448" s="768"/>
      <c r="B448" s="936"/>
      <c r="C448" s="937"/>
      <c r="D448" s="768"/>
      <c r="E448" s="768"/>
      <c r="F448" s="768"/>
      <c r="G448" s="768"/>
      <c r="H448" s="768"/>
      <c r="I448" s="768"/>
      <c r="J448" s="768"/>
      <c r="K448" s="768"/>
      <c r="L448" s="768"/>
      <c r="M448" s="768"/>
      <c r="N448" s="768"/>
      <c r="O448" s="768"/>
      <c r="P448" s="768"/>
      <c r="Q448" s="768"/>
      <c r="R448" s="768"/>
      <c r="S448" s="768"/>
      <c r="T448" s="966"/>
    </row>
    <row r="449" spans="1:20" ht="15.75">
      <c r="A449" s="768"/>
      <c r="B449" s="934" t="s">
        <v>998</v>
      </c>
      <c r="C449" s="935"/>
      <c r="D449" s="768"/>
      <c r="E449" s="768"/>
      <c r="F449" s="768"/>
      <c r="G449" s="768"/>
      <c r="H449" s="768"/>
      <c r="I449" s="768"/>
      <c r="J449" s="768"/>
      <c r="K449" s="768"/>
      <c r="L449" s="768"/>
      <c r="M449" s="768"/>
      <c r="N449" s="768"/>
      <c r="O449" s="768"/>
      <c r="P449" s="768"/>
      <c r="Q449" s="768"/>
      <c r="R449" s="768"/>
      <c r="S449" s="768"/>
      <c r="T449" s="965"/>
    </row>
    <row r="450" spans="1:20" ht="16.5" thickBot="1">
      <c r="A450" s="768"/>
      <c r="B450" s="938"/>
      <c r="C450" s="939" t="s">
        <v>666</v>
      </c>
      <c r="D450" s="768"/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8"/>
      <c r="Q450" s="768"/>
      <c r="R450" s="768"/>
      <c r="S450" s="768"/>
      <c r="T450" s="967">
        <f>+$T$102</f>
        <v>40.833333333333336</v>
      </c>
    </row>
    <row r="451" spans="1:20" ht="15.75">
      <c r="A451" s="768"/>
      <c r="B451" s="936"/>
      <c r="C451" s="937" t="s">
        <v>97</v>
      </c>
      <c r="D451" s="768"/>
      <c r="E451" s="768"/>
      <c r="F451" s="768"/>
      <c r="G451" s="768"/>
      <c r="H451" s="768"/>
      <c r="I451" s="768"/>
      <c r="J451" s="768"/>
      <c r="K451" s="768"/>
      <c r="L451" s="768"/>
      <c r="M451" s="768"/>
      <c r="N451" s="768"/>
      <c r="O451" s="768"/>
      <c r="P451" s="768"/>
      <c r="Q451" s="768"/>
      <c r="R451" s="768"/>
      <c r="S451" s="768"/>
      <c r="T451" s="966">
        <f>SUM(T450:T450)</f>
        <v>40.833333333333336</v>
      </c>
    </row>
    <row r="452" spans="1:20" ht="15.75">
      <c r="A452" s="768"/>
      <c r="B452" s="936"/>
      <c r="C452" s="937"/>
      <c r="D452" s="768"/>
      <c r="E452" s="768"/>
      <c r="F452" s="768"/>
      <c r="G452" s="768"/>
      <c r="H452" s="768"/>
      <c r="I452" s="768"/>
      <c r="J452" s="768"/>
      <c r="K452" s="768"/>
      <c r="L452" s="768"/>
      <c r="M452" s="768"/>
      <c r="N452" s="768"/>
      <c r="O452" s="768"/>
      <c r="P452" s="768"/>
      <c r="Q452" s="768"/>
      <c r="R452" s="768"/>
      <c r="S452" s="768"/>
      <c r="T452" s="966"/>
    </row>
    <row r="453" spans="1:20" ht="15.75">
      <c r="A453" s="768"/>
      <c r="B453" s="934"/>
      <c r="C453" s="937" t="s">
        <v>676</v>
      </c>
      <c r="D453" s="768"/>
      <c r="E453" s="768"/>
      <c r="F453" s="768"/>
      <c r="G453" s="768"/>
      <c r="H453" s="768"/>
      <c r="I453" s="768"/>
      <c r="J453" s="768"/>
      <c r="K453" s="768"/>
      <c r="L453" s="768"/>
      <c r="M453" s="768"/>
      <c r="N453" s="768"/>
      <c r="O453" s="768"/>
      <c r="P453" s="768"/>
      <c r="Q453" s="768"/>
      <c r="R453" s="768"/>
      <c r="S453" s="768"/>
      <c r="T453" s="966"/>
    </row>
    <row r="454" spans="1:20" ht="16.5" thickBot="1">
      <c r="A454" s="768"/>
      <c r="B454" s="934"/>
      <c r="C454" s="939" t="s">
        <v>107</v>
      </c>
      <c r="D454" s="768"/>
      <c r="E454" s="768"/>
      <c r="F454" s="768"/>
      <c r="G454" s="768"/>
      <c r="H454" s="768"/>
      <c r="I454" s="768"/>
      <c r="J454" s="768"/>
      <c r="K454" s="768"/>
      <c r="L454" s="768"/>
      <c r="M454" s="768"/>
      <c r="N454" s="768"/>
      <c r="O454" s="768"/>
      <c r="P454" s="768"/>
      <c r="Q454" s="768"/>
      <c r="R454" s="768"/>
      <c r="S454" s="768"/>
      <c r="T454" s="967"/>
    </row>
    <row r="455" spans="1:20" ht="15.75">
      <c r="A455" s="768"/>
      <c r="B455" s="940"/>
      <c r="C455" s="937" t="s">
        <v>1015</v>
      </c>
      <c r="D455" s="768"/>
      <c r="E455" s="768"/>
      <c r="F455" s="768"/>
      <c r="G455" s="768"/>
      <c r="H455" s="768"/>
      <c r="I455" s="768"/>
      <c r="J455" s="768"/>
      <c r="K455" s="768"/>
      <c r="L455" s="768"/>
      <c r="M455" s="768"/>
      <c r="N455" s="768"/>
      <c r="O455" s="768"/>
      <c r="P455" s="768"/>
      <c r="Q455" s="768"/>
      <c r="R455" s="768"/>
      <c r="S455" s="768"/>
      <c r="T455" s="966"/>
    </row>
    <row r="456" spans="1:20" ht="15.75">
      <c r="A456" s="768"/>
      <c r="B456" s="934"/>
      <c r="C456" s="935"/>
      <c r="D456" s="768"/>
      <c r="E456" s="768"/>
      <c r="F456" s="768"/>
      <c r="G456" s="768"/>
      <c r="H456" s="768"/>
      <c r="I456" s="768"/>
      <c r="J456" s="768"/>
      <c r="K456" s="768"/>
      <c r="L456" s="768"/>
      <c r="M456" s="768"/>
      <c r="N456" s="768"/>
      <c r="O456" s="768"/>
      <c r="P456" s="768"/>
      <c r="Q456" s="768"/>
      <c r="R456" s="768"/>
      <c r="S456" s="768"/>
      <c r="T456" s="965"/>
    </row>
    <row r="457" spans="1:20" ht="15.75">
      <c r="A457" s="768"/>
      <c r="B457" s="934" t="s">
        <v>1002</v>
      </c>
      <c r="C457" s="935"/>
      <c r="D457" s="768"/>
      <c r="E457" s="768"/>
      <c r="F457" s="768"/>
      <c r="G457" s="768"/>
      <c r="H457" s="768"/>
      <c r="I457" s="768"/>
      <c r="J457" s="768"/>
      <c r="K457" s="768"/>
      <c r="L457" s="768"/>
      <c r="M457" s="768"/>
      <c r="N457" s="768"/>
      <c r="O457" s="768"/>
      <c r="P457" s="768"/>
      <c r="Q457" s="768"/>
      <c r="R457" s="768"/>
      <c r="S457" s="768"/>
      <c r="T457" s="965"/>
    </row>
    <row r="458" spans="1:20" ht="15.75">
      <c r="A458" s="768"/>
      <c r="B458" s="934"/>
      <c r="C458" s="935" t="s">
        <v>899</v>
      </c>
      <c r="D458" s="768"/>
      <c r="E458" s="768"/>
      <c r="F458" s="768"/>
      <c r="G458" s="768"/>
      <c r="H458" s="768"/>
      <c r="I458" s="768"/>
      <c r="J458" s="768"/>
      <c r="K458" s="768"/>
      <c r="L458" s="768"/>
      <c r="M458" s="768"/>
      <c r="N458" s="768"/>
      <c r="O458" s="768"/>
      <c r="P458" s="768"/>
      <c r="Q458" s="768"/>
      <c r="R458" s="768"/>
      <c r="S458" s="768"/>
      <c r="T458" s="965">
        <f>+$T$129</f>
        <v>9</v>
      </c>
    </row>
    <row r="459" spans="1:20" ht="15.75">
      <c r="A459" s="768"/>
      <c r="B459" s="934"/>
      <c r="C459" s="935" t="s">
        <v>1005</v>
      </c>
      <c r="D459" s="768"/>
      <c r="E459" s="768"/>
      <c r="F459" s="768"/>
      <c r="G459" s="768"/>
      <c r="H459" s="768"/>
      <c r="I459" s="768"/>
      <c r="J459" s="768"/>
      <c r="K459" s="768"/>
      <c r="L459" s="768"/>
      <c r="M459" s="768"/>
      <c r="N459" s="768"/>
      <c r="O459" s="768"/>
      <c r="P459" s="768"/>
      <c r="Q459" s="768"/>
      <c r="R459" s="768"/>
      <c r="S459" s="768"/>
      <c r="T459" s="965">
        <f>+$T$138</f>
        <v>0</v>
      </c>
    </row>
    <row r="460" spans="1:20" ht="15.75">
      <c r="A460" s="768"/>
      <c r="B460" s="934"/>
      <c r="C460" s="935" t="s">
        <v>556</v>
      </c>
      <c r="D460" s="768"/>
      <c r="E460" s="768"/>
      <c r="F460" s="768"/>
      <c r="G460" s="768"/>
      <c r="H460" s="768"/>
      <c r="I460" s="768"/>
      <c r="J460" s="768"/>
      <c r="K460" s="768"/>
      <c r="L460" s="768"/>
      <c r="M460" s="768"/>
      <c r="N460" s="768"/>
      <c r="O460" s="768"/>
      <c r="P460" s="768"/>
      <c r="Q460" s="768"/>
      <c r="R460" s="768"/>
      <c r="S460" s="768"/>
      <c r="T460" s="965">
        <f>+$T$156</f>
        <v>0</v>
      </c>
    </row>
    <row r="461" spans="1:20" ht="15.75">
      <c r="A461" s="768"/>
      <c r="B461" s="934"/>
      <c r="C461" s="935" t="s">
        <v>555</v>
      </c>
      <c r="D461" s="768"/>
      <c r="E461" s="768"/>
      <c r="F461" s="768"/>
      <c r="G461" s="768"/>
      <c r="H461" s="768"/>
      <c r="I461" s="768"/>
      <c r="J461" s="768"/>
      <c r="K461" s="768"/>
      <c r="L461" s="768"/>
      <c r="M461" s="768"/>
      <c r="N461" s="768"/>
      <c r="O461" s="768"/>
      <c r="P461" s="768"/>
      <c r="Q461" s="768"/>
      <c r="R461" s="768"/>
      <c r="S461" s="768"/>
      <c r="T461" s="965">
        <f>+$T$183</f>
        <v>0</v>
      </c>
    </row>
    <row r="462" spans="1:20" ht="15.75">
      <c r="A462" s="768"/>
      <c r="B462" s="934"/>
      <c r="C462" s="935" t="s">
        <v>678</v>
      </c>
      <c r="D462" s="768"/>
      <c r="E462" s="768"/>
      <c r="F462" s="768"/>
      <c r="G462" s="768"/>
      <c r="H462" s="768"/>
      <c r="I462" s="768"/>
      <c r="J462" s="768"/>
      <c r="K462" s="768"/>
      <c r="L462" s="768"/>
      <c r="M462" s="768"/>
      <c r="N462" s="768"/>
      <c r="O462" s="768"/>
      <c r="P462" s="768"/>
      <c r="Q462" s="768"/>
      <c r="R462" s="768"/>
      <c r="S462" s="768"/>
      <c r="T462" s="965">
        <f>+$T$147</f>
        <v>1</v>
      </c>
    </row>
    <row r="463" spans="1:20" ht="15.75">
      <c r="A463" s="768"/>
      <c r="B463" s="934"/>
      <c r="C463" s="935" t="s">
        <v>667</v>
      </c>
      <c r="D463" s="768"/>
      <c r="E463" s="768"/>
      <c r="F463" s="768"/>
      <c r="G463" s="768"/>
      <c r="H463" s="768"/>
      <c r="I463" s="768"/>
      <c r="J463" s="768"/>
      <c r="K463" s="768"/>
      <c r="L463" s="768"/>
      <c r="M463" s="768"/>
      <c r="N463" s="768"/>
      <c r="O463" s="768"/>
      <c r="P463" s="768"/>
      <c r="Q463" s="768"/>
      <c r="R463" s="768"/>
      <c r="S463" s="768"/>
      <c r="T463" s="965">
        <f>+$T$165</f>
        <v>618.08333333333337</v>
      </c>
    </row>
    <row r="464" spans="1:20" ht="16.5" thickBot="1">
      <c r="A464" s="768"/>
      <c r="B464" s="941"/>
      <c r="C464" s="942" t="s">
        <v>909</v>
      </c>
      <c r="D464" s="768"/>
      <c r="E464" s="768"/>
      <c r="F464" s="768"/>
      <c r="G464" s="768"/>
      <c r="H464" s="768"/>
      <c r="I464" s="768"/>
      <c r="J464" s="768"/>
      <c r="K464" s="768"/>
      <c r="L464" s="768"/>
      <c r="M464" s="768"/>
      <c r="N464" s="768"/>
      <c r="O464" s="768"/>
      <c r="P464" s="768"/>
      <c r="Q464" s="768"/>
      <c r="R464" s="768"/>
      <c r="S464" s="768"/>
      <c r="T464" s="968">
        <f>+$T$174</f>
        <v>0</v>
      </c>
    </row>
    <row r="465" spans="1:20" ht="15.75">
      <c r="A465" s="768"/>
      <c r="B465" s="936"/>
      <c r="C465" s="937" t="s">
        <v>98</v>
      </c>
      <c r="D465" s="768"/>
      <c r="E465" s="768"/>
      <c r="F465" s="768"/>
      <c r="G465" s="768"/>
      <c r="H465" s="768"/>
      <c r="I465" s="768"/>
      <c r="J465" s="768"/>
      <c r="K465" s="768"/>
      <c r="L465" s="768"/>
      <c r="M465" s="768"/>
      <c r="N465" s="768"/>
      <c r="O465" s="768"/>
      <c r="P465" s="768"/>
      <c r="Q465" s="768"/>
      <c r="R465" s="768"/>
      <c r="S465" s="768"/>
      <c r="T465" s="966">
        <f>SUM(T458:T464)</f>
        <v>628.08333333333337</v>
      </c>
    </row>
    <row r="466" spans="1:20" ht="15.75">
      <c r="A466" s="768"/>
      <c r="B466" s="934"/>
      <c r="C466" s="935"/>
      <c r="D466" s="768"/>
      <c r="E466" s="768"/>
      <c r="F466" s="768"/>
      <c r="G466" s="768"/>
      <c r="H466" s="768"/>
      <c r="I466" s="768"/>
      <c r="J466" s="768"/>
      <c r="K466" s="768"/>
      <c r="L466" s="768"/>
      <c r="M466" s="768"/>
      <c r="N466" s="768"/>
      <c r="O466" s="768"/>
      <c r="P466" s="768"/>
      <c r="Q466" s="768"/>
      <c r="R466" s="768"/>
      <c r="S466" s="768"/>
      <c r="T466" s="965"/>
    </row>
    <row r="467" spans="1:20" ht="15.75">
      <c r="A467" s="768"/>
      <c r="B467" s="936"/>
      <c r="C467" s="937" t="s">
        <v>1016</v>
      </c>
      <c r="D467" s="768"/>
      <c r="E467" s="768"/>
      <c r="F467" s="768"/>
      <c r="G467" s="768"/>
      <c r="H467" s="768"/>
      <c r="I467" s="768"/>
      <c r="J467" s="768"/>
      <c r="K467" s="768"/>
      <c r="L467" s="768"/>
      <c r="M467" s="768"/>
      <c r="N467" s="768"/>
      <c r="O467" s="768"/>
      <c r="P467" s="768"/>
      <c r="Q467" s="768"/>
      <c r="R467" s="768"/>
      <c r="S467" s="768"/>
      <c r="T467" s="966">
        <f>+T465+T455+T447+T451</f>
        <v>993305.08333333337</v>
      </c>
    </row>
    <row r="468" spans="1:20" ht="16.5" thickBot="1">
      <c r="A468" s="768"/>
      <c r="B468" s="941"/>
      <c r="C468" s="942"/>
      <c r="D468" s="768"/>
      <c r="E468" s="768"/>
      <c r="F468" s="768"/>
      <c r="G468" s="768"/>
      <c r="H468" s="768"/>
      <c r="I468" s="768"/>
      <c r="J468" s="768"/>
      <c r="K468" s="768"/>
      <c r="L468" s="768"/>
      <c r="M468" s="768"/>
      <c r="N468" s="768"/>
      <c r="O468" s="768"/>
      <c r="P468" s="768"/>
      <c r="Q468" s="768"/>
      <c r="R468" s="768"/>
      <c r="S468" s="768"/>
      <c r="T468" s="968"/>
    </row>
    <row r="469" spans="1:20" ht="16.5" thickBot="1">
      <c r="A469" s="768"/>
      <c r="B469" s="936"/>
      <c r="C469" s="937"/>
      <c r="D469" s="768"/>
      <c r="E469" s="768"/>
      <c r="F469" s="768"/>
      <c r="G469" s="768"/>
      <c r="H469" s="768"/>
      <c r="I469" s="768"/>
      <c r="J469" s="768"/>
      <c r="K469" s="768"/>
      <c r="L469" s="768"/>
      <c r="M469" s="768"/>
      <c r="N469" s="768"/>
      <c r="O469" s="768"/>
      <c r="P469" s="768"/>
      <c r="Q469" s="768"/>
      <c r="R469" s="768"/>
      <c r="S469" s="768"/>
      <c r="T469" s="966"/>
    </row>
    <row r="470" spans="1:20" ht="15.75">
      <c r="A470" s="768"/>
      <c r="B470" s="943" t="s">
        <v>1017</v>
      </c>
      <c r="C470" s="944"/>
      <c r="D470" s="768"/>
      <c r="E470" s="768"/>
      <c r="F470" s="768"/>
      <c r="G470" s="768"/>
      <c r="H470" s="768"/>
      <c r="I470" s="768"/>
      <c r="J470" s="768"/>
      <c r="K470" s="768"/>
      <c r="L470" s="768"/>
      <c r="M470" s="768"/>
      <c r="N470" s="768"/>
      <c r="O470" s="768"/>
      <c r="P470" s="768"/>
      <c r="Q470" s="768"/>
      <c r="R470" s="768"/>
      <c r="S470" s="768"/>
      <c r="T470" s="969"/>
    </row>
    <row r="471" spans="1:20" ht="16.5" thickBot="1">
      <c r="A471" s="768"/>
      <c r="B471" s="945" t="s">
        <v>994</v>
      </c>
      <c r="C471" s="946"/>
      <c r="D471" s="768"/>
      <c r="E471" s="768"/>
      <c r="F471" s="768"/>
      <c r="G471" s="768"/>
      <c r="H471" s="768"/>
      <c r="I471" s="768"/>
      <c r="J471" s="768"/>
      <c r="K471" s="768"/>
      <c r="L471" s="768"/>
      <c r="M471" s="768"/>
      <c r="N471" s="768"/>
      <c r="O471" s="768"/>
      <c r="P471" s="768"/>
      <c r="Q471" s="768"/>
      <c r="R471" s="768"/>
      <c r="S471" s="768"/>
      <c r="T471" s="970"/>
    </row>
    <row r="472" spans="1:20" ht="15.75">
      <c r="A472" s="768"/>
      <c r="B472" s="936"/>
      <c r="C472" s="937" t="s">
        <v>1018</v>
      </c>
      <c r="D472" s="768"/>
      <c r="E472" s="768"/>
      <c r="F472" s="768"/>
      <c r="G472" s="768"/>
      <c r="H472" s="768"/>
      <c r="I472" s="768"/>
      <c r="J472" s="768"/>
      <c r="K472" s="768"/>
      <c r="L472" s="768"/>
      <c r="M472" s="768"/>
      <c r="N472" s="768"/>
      <c r="O472" s="768"/>
      <c r="P472" s="768"/>
      <c r="Q472" s="768"/>
      <c r="R472" s="768"/>
      <c r="S472" s="768"/>
      <c r="T472" s="966">
        <f>+$T$244</f>
        <v>27583.166666666668</v>
      </c>
    </row>
    <row r="473" spans="1:20" ht="15.75">
      <c r="A473" s="768"/>
      <c r="B473" s="936"/>
      <c r="C473" s="937" t="s">
        <v>496</v>
      </c>
      <c r="D473" s="768"/>
      <c r="E473" s="768"/>
      <c r="F473" s="768"/>
      <c r="G473" s="768"/>
      <c r="H473" s="768"/>
      <c r="I473" s="768"/>
      <c r="J473" s="768"/>
      <c r="K473" s="768"/>
      <c r="L473" s="768"/>
      <c r="M473" s="768"/>
      <c r="N473" s="768"/>
      <c r="O473" s="768"/>
      <c r="P473" s="768"/>
      <c r="Q473" s="768"/>
      <c r="R473" s="768"/>
      <c r="S473" s="768"/>
      <c r="T473" s="966">
        <f>+$T$253</f>
        <v>24.416666666666668</v>
      </c>
    </row>
    <row r="474" spans="1:20" ht="16.5" thickBot="1">
      <c r="A474" s="768"/>
      <c r="B474" s="938"/>
      <c r="C474" s="939" t="s">
        <v>798</v>
      </c>
      <c r="D474" s="768"/>
      <c r="E474" s="768"/>
      <c r="F474" s="768"/>
      <c r="G474" s="768"/>
      <c r="H474" s="768"/>
      <c r="I474" s="768"/>
      <c r="J474" s="768"/>
      <c r="K474" s="768"/>
      <c r="L474" s="768"/>
      <c r="M474" s="768"/>
      <c r="N474" s="768"/>
      <c r="O474" s="768"/>
      <c r="P474" s="768"/>
      <c r="Q474" s="768"/>
      <c r="R474" s="768"/>
      <c r="S474" s="768"/>
      <c r="T474" s="967">
        <f>+$T$262</f>
        <v>1</v>
      </c>
    </row>
    <row r="475" spans="1:20" ht="15.75">
      <c r="A475" s="768"/>
      <c r="B475" s="936"/>
      <c r="C475" s="937" t="s">
        <v>99</v>
      </c>
      <c r="D475" s="768"/>
      <c r="E475" s="768"/>
      <c r="F475" s="768"/>
      <c r="G475" s="768"/>
      <c r="H475" s="768"/>
      <c r="I475" s="768"/>
      <c r="J475" s="768"/>
      <c r="K475" s="768"/>
      <c r="L475" s="768"/>
      <c r="M475" s="768"/>
      <c r="N475" s="768"/>
      <c r="O475" s="768"/>
      <c r="P475" s="768"/>
      <c r="Q475" s="768"/>
      <c r="R475" s="768"/>
      <c r="S475" s="768"/>
      <c r="T475" s="966">
        <f>SUM(T472:T474)</f>
        <v>27608.583333333336</v>
      </c>
    </row>
    <row r="476" spans="1:20" ht="15.75">
      <c r="A476" s="768"/>
      <c r="B476" s="936"/>
      <c r="C476" s="937"/>
      <c r="D476" s="768"/>
      <c r="E476" s="768"/>
      <c r="F476" s="768"/>
      <c r="G476" s="768"/>
      <c r="H476" s="768"/>
      <c r="I476" s="768"/>
      <c r="J476" s="768"/>
      <c r="K476" s="768"/>
      <c r="L476" s="768"/>
      <c r="M476" s="768"/>
      <c r="N476" s="768"/>
      <c r="O476" s="768"/>
      <c r="P476" s="768"/>
      <c r="Q476" s="768"/>
      <c r="R476" s="768"/>
      <c r="S476" s="768"/>
      <c r="T476" s="966"/>
    </row>
    <row r="477" spans="1:20" ht="15.75">
      <c r="A477" s="768"/>
      <c r="B477" s="934"/>
      <c r="C477" s="937" t="s">
        <v>676</v>
      </c>
      <c r="D477" s="768"/>
      <c r="E477" s="768"/>
      <c r="F477" s="768"/>
      <c r="G477" s="768"/>
      <c r="H477" s="768"/>
      <c r="I477" s="768"/>
      <c r="J477" s="768"/>
      <c r="K477" s="768"/>
      <c r="L477" s="768"/>
      <c r="M477" s="768"/>
      <c r="N477" s="768"/>
      <c r="O477" s="768"/>
      <c r="P477" s="768"/>
      <c r="Q477" s="768"/>
      <c r="R477" s="768"/>
      <c r="S477" s="768"/>
      <c r="T477" s="966"/>
    </row>
    <row r="478" spans="1:20" ht="16.5" thickBot="1">
      <c r="A478" s="768"/>
      <c r="B478" s="934"/>
      <c r="C478" s="939" t="s">
        <v>107</v>
      </c>
      <c r="D478" s="768"/>
      <c r="E478" s="768"/>
      <c r="F478" s="768"/>
      <c r="G478" s="768"/>
      <c r="H478" s="768"/>
      <c r="I478" s="768"/>
      <c r="J478" s="768"/>
      <c r="K478" s="768"/>
      <c r="L478" s="768"/>
      <c r="M478" s="768"/>
      <c r="N478" s="768"/>
      <c r="O478" s="768"/>
      <c r="P478" s="768"/>
      <c r="Q478" s="768"/>
      <c r="R478" s="768"/>
      <c r="S478" s="768"/>
      <c r="T478" s="967"/>
    </row>
    <row r="479" spans="1:20" ht="15.75">
      <c r="A479" s="768"/>
      <c r="B479" s="940"/>
      <c r="C479" s="937" t="s">
        <v>1015</v>
      </c>
      <c r="D479" s="768"/>
      <c r="E479" s="768"/>
      <c r="F479" s="768"/>
      <c r="G479" s="768"/>
      <c r="H479" s="768"/>
      <c r="I479" s="768"/>
      <c r="J479" s="768"/>
      <c r="K479" s="768"/>
      <c r="L479" s="768"/>
      <c r="M479" s="768"/>
      <c r="N479" s="768"/>
      <c r="O479" s="768"/>
      <c r="P479" s="768"/>
      <c r="Q479" s="768"/>
      <c r="R479" s="768"/>
      <c r="S479" s="768"/>
      <c r="T479" s="966"/>
    </row>
    <row r="480" spans="1:20" ht="15.75">
      <c r="A480" s="768"/>
      <c r="B480" s="934"/>
      <c r="C480" s="935"/>
      <c r="D480" s="768"/>
      <c r="E480" s="768"/>
      <c r="F480" s="768"/>
      <c r="G480" s="768"/>
      <c r="H480" s="768"/>
      <c r="I480" s="768"/>
      <c r="J480" s="768"/>
      <c r="K480" s="768"/>
      <c r="L480" s="768"/>
      <c r="M480" s="768"/>
      <c r="N480" s="768"/>
      <c r="O480" s="768"/>
      <c r="P480" s="768"/>
      <c r="Q480" s="768"/>
      <c r="R480" s="768"/>
      <c r="S480" s="768"/>
      <c r="T480" s="965"/>
    </row>
    <row r="481" spans="1:20" ht="15.75">
      <c r="A481" s="768"/>
      <c r="B481" s="934"/>
      <c r="C481" s="935"/>
      <c r="D481" s="768"/>
      <c r="E481" s="768"/>
      <c r="F481" s="768"/>
      <c r="G481" s="768"/>
      <c r="H481" s="768"/>
      <c r="I481" s="768"/>
      <c r="J481" s="768"/>
      <c r="K481" s="768"/>
      <c r="L481" s="768"/>
      <c r="M481" s="768"/>
      <c r="N481" s="768"/>
      <c r="O481" s="768"/>
      <c r="P481" s="768"/>
      <c r="Q481" s="768"/>
      <c r="R481" s="768"/>
      <c r="S481" s="768"/>
      <c r="T481" s="965"/>
    </row>
    <row r="482" spans="1:20" ht="15.75">
      <c r="A482" s="768"/>
      <c r="B482" s="934" t="s">
        <v>998</v>
      </c>
      <c r="C482" s="935"/>
      <c r="D482" s="768"/>
      <c r="E482" s="768"/>
      <c r="F482" s="768"/>
      <c r="G482" s="768"/>
      <c r="H482" s="768"/>
      <c r="I482" s="768"/>
      <c r="J482" s="768"/>
      <c r="K482" s="768"/>
      <c r="L482" s="768"/>
      <c r="M482" s="768"/>
      <c r="N482" s="768"/>
      <c r="O482" s="768"/>
      <c r="P482" s="768"/>
      <c r="Q482" s="768"/>
      <c r="R482" s="768"/>
      <c r="S482" s="768"/>
      <c r="T482" s="965"/>
    </row>
    <row r="483" spans="1:20" ht="15.75">
      <c r="A483" s="768"/>
      <c r="B483" s="934"/>
      <c r="C483" s="937" t="s">
        <v>1019</v>
      </c>
      <c r="D483" s="768"/>
      <c r="E483" s="768"/>
      <c r="F483" s="768"/>
      <c r="G483" s="768"/>
      <c r="H483" s="768"/>
      <c r="I483" s="768"/>
      <c r="J483" s="768"/>
      <c r="K483" s="768"/>
      <c r="L483" s="768"/>
      <c r="M483" s="768"/>
      <c r="N483" s="768"/>
      <c r="O483" s="768"/>
      <c r="P483" s="768"/>
      <c r="Q483" s="768"/>
      <c r="R483" s="768"/>
      <c r="S483" s="768"/>
      <c r="T483" s="966">
        <f>+$T$289</f>
        <v>0</v>
      </c>
    </row>
    <row r="484" spans="1:20" ht="16.5" thickBot="1">
      <c r="A484" s="768"/>
      <c r="B484" s="938"/>
      <c r="C484" s="939" t="s">
        <v>666</v>
      </c>
      <c r="D484" s="768"/>
      <c r="E484" s="768"/>
      <c r="F484" s="768"/>
      <c r="G484" s="768"/>
      <c r="H484" s="768"/>
      <c r="I484" s="768"/>
      <c r="J484" s="768"/>
      <c r="K484" s="768"/>
      <c r="L484" s="768"/>
      <c r="M484" s="768"/>
      <c r="N484" s="768"/>
      <c r="O484" s="768"/>
      <c r="P484" s="768"/>
      <c r="Q484" s="768"/>
      <c r="R484" s="768"/>
      <c r="S484" s="768"/>
      <c r="T484" s="967">
        <f>+$T$280</f>
        <v>4.833333333333333</v>
      </c>
    </row>
    <row r="485" spans="1:20" ht="15.75">
      <c r="A485" s="768"/>
      <c r="B485" s="936"/>
      <c r="C485" s="937" t="s">
        <v>100</v>
      </c>
      <c r="D485" s="768"/>
      <c r="E485" s="768"/>
      <c r="F485" s="768"/>
      <c r="G485" s="768"/>
      <c r="H485" s="768"/>
      <c r="I485" s="768"/>
      <c r="J485" s="768"/>
      <c r="K485" s="768"/>
      <c r="L485" s="768"/>
      <c r="M485" s="768"/>
      <c r="N485" s="768"/>
      <c r="O485" s="768"/>
      <c r="P485" s="768"/>
      <c r="Q485" s="768"/>
      <c r="R485" s="768"/>
      <c r="S485" s="768"/>
      <c r="T485" s="966">
        <f>SUM(T483:T484)</f>
        <v>4.833333333333333</v>
      </c>
    </row>
    <row r="486" spans="1:20" ht="15.75">
      <c r="A486" s="768"/>
      <c r="B486" s="936"/>
      <c r="C486" s="937"/>
      <c r="D486" s="768"/>
      <c r="E486" s="768"/>
      <c r="F486" s="768"/>
      <c r="G486" s="768"/>
      <c r="H486" s="768"/>
      <c r="I486" s="768"/>
      <c r="J486" s="768"/>
      <c r="K486" s="768"/>
      <c r="L486" s="768"/>
      <c r="M486" s="768"/>
      <c r="N486" s="768"/>
      <c r="O486" s="768"/>
      <c r="P486" s="768"/>
      <c r="Q486" s="768"/>
      <c r="R486" s="768"/>
      <c r="S486" s="768"/>
      <c r="T486" s="966"/>
    </row>
    <row r="487" spans="1:20" ht="15.75">
      <c r="A487" s="768"/>
      <c r="B487" s="934" t="s">
        <v>1002</v>
      </c>
      <c r="C487" s="935"/>
      <c r="D487" s="768"/>
      <c r="E487" s="768"/>
      <c r="F487" s="768"/>
      <c r="G487" s="768"/>
      <c r="H487" s="768"/>
      <c r="I487" s="768"/>
      <c r="J487" s="768"/>
      <c r="K487" s="768"/>
      <c r="L487" s="768"/>
      <c r="M487" s="768"/>
      <c r="N487" s="768"/>
      <c r="O487" s="768"/>
      <c r="P487" s="768"/>
      <c r="Q487" s="768"/>
      <c r="R487" s="768"/>
      <c r="S487" s="768"/>
      <c r="T487" s="965"/>
    </row>
    <row r="488" spans="1:20" ht="15.75">
      <c r="A488" s="768"/>
      <c r="B488" s="934"/>
      <c r="C488" s="935" t="s">
        <v>1020</v>
      </c>
      <c r="D488" s="768"/>
      <c r="E488" s="768"/>
      <c r="F488" s="768"/>
      <c r="G488" s="768"/>
      <c r="H488" s="768"/>
      <c r="I488" s="768"/>
      <c r="J488" s="768"/>
      <c r="K488" s="768"/>
      <c r="L488" s="768"/>
      <c r="M488" s="768"/>
      <c r="N488" s="768"/>
      <c r="O488" s="768"/>
      <c r="P488" s="768"/>
      <c r="Q488" s="768"/>
      <c r="R488" s="768"/>
      <c r="S488" s="768"/>
      <c r="T488" s="965">
        <f>+$T$316</f>
        <v>2</v>
      </c>
    </row>
    <row r="489" spans="1:20" ht="16.5" thickBot="1">
      <c r="A489" s="768"/>
      <c r="B489" s="941"/>
      <c r="C489" s="942" t="s">
        <v>82</v>
      </c>
      <c r="D489" s="768"/>
      <c r="E489" s="768"/>
      <c r="F489" s="768"/>
      <c r="G489" s="768"/>
      <c r="H489" s="768"/>
      <c r="I489" s="768"/>
      <c r="J489" s="768"/>
      <c r="K489" s="768"/>
      <c r="L489" s="768"/>
      <c r="M489" s="768"/>
      <c r="N489" s="768"/>
      <c r="O489" s="768"/>
      <c r="P489" s="768"/>
      <c r="Q489" s="768"/>
      <c r="R489" s="768"/>
      <c r="S489" s="768"/>
      <c r="T489" s="968">
        <f>+$T$307</f>
        <v>3</v>
      </c>
    </row>
    <row r="490" spans="1:20" ht="15.75">
      <c r="A490" s="768"/>
      <c r="B490" s="934"/>
      <c r="C490" s="935" t="s">
        <v>101</v>
      </c>
      <c r="D490" s="768"/>
      <c r="E490" s="768"/>
      <c r="F490" s="768"/>
      <c r="G490" s="768"/>
      <c r="H490" s="768"/>
      <c r="I490" s="768"/>
      <c r="J490" s="768"/>
      <c r="K490" s="768"/>
      <c r="L490" s="768"/>
      <c r="M490" s="768"/>
      <c r="N490" s="768"/>
      <c r="O490" s="768"/>
      <c r="P490" s="768"/>
      <c r="Q490" s="768"/>
      <c r="R490" s="768"/>
      <c r="S490" s="768"/>
      <c r="T490" s="965">
        <f>SUM(T488:T489)</f>
        <v>5</v>
      </c>
    </row>
    <row r="491" spans="1:20" ht="15.75">
      <c r="A491" s="768"/>
      <c r="B491" s="934"/>
      <c r="C491" s="935"/>
      <c r="D491" s="768"/>
      <c r="E491" s="768"/>
      <c r="F491" s="768"/>
      <c r="G491" s="768"/>
      <c r="H491" s="768"/>
      <c r="I491" s="768"/>
      <c r="J491" s="768"/>
      <c r="K491" s="768"/>
      <c r="L491" s="768"/>
      <c r="M491" s="768"/>
      <c r="N491" s="768"/>
      <c r="O491" s="768"/>
      <c r="P491" s="768"/>
      <c r="Q491" s="768"/>
      <c r="R491" s="768"/>
      <c r="S491" s="768"/>
      <c r="T491" s="965"/>
    </row>
    <row r="492" spans="1:20" ht="15.75">
      <c r="A492" s="768"/>
      <c r="B492" s="936"/>
      <c r="C492" s="937" t="s">
        <v>1021</v>
      </c>
      <c r="D492" s="768"/>
      <c r="E492" s="768"/>
      <c r="F492" s="768"/>
      <c r="G492" s="768"/>
      <c r="H492" s="768"/>
      <c r="I492" s="768"/>
      <c r="J492" s="768"/>
      <c r="K492" s="768"/>
      <c r="L492" s="768"/>
      <c r="M492" s="768"/>
      <c r="N492" s="768"/>
      <c r="O492" s="768"/>
      <c r="P492" s="768"/>
      <c r="Q492" s="768"/>
      <c r="R492" s="768"/>
      <c r="S492" s="768"/>
      <c r="T492" s="966">
        <f>+T490+T485+T475+T479</f>
        <v>27618.416666666668</v>
      </c>
    </row>
    <row r="493" spans="1:20" ht="16.5" thickBot="1">
      <c r="A493" s="768"/>
      <c r="B493" s="938"/>
      <c r="C493" s="939"/>
      <c r="D493" s="768"/>
      <c r="E493" s="768"/>
      <c r="F493" s="768"/>
      <c r="G493" s="768"/>
      <c r="H493" s="768"/>
      <c r="I493" s="768"/>
      <c r="J493" s="768"/>
      <c r="K493" s="768"/>
      <c r="L493" s="768"/>
      <c r="M493" s="768"/>
      <c r="N493" s="768"/>
      <c r="O493" s="768"/>
      <c r="P493" s="768"/>
      <c r="Q493" s="768"/>
      <c r="R493" s="768"/>
      <c r="S493" s="768"/>
      <c r="T493" s="967"/>
    </row>
    <row r="494" spans="1:20" ht="15.75">
      <c r="A494" s="768"/>
      <c r="B494" s="936"/>
      <c r="C494" s="937"/>
      <c r="D494" s="768"/>
      <c r="E494" s="768"/>
      <c r="F494" s="768"/>
      <c r="G494" s="768"/>
      <c r="H494" s="768"/>
      <c r="I494" s="768"/>
      <c r="J494" s="768"/>
      <c r="K494" s="768"/>
      <c r="L494" s="768"/>
      <c r="M494" s="768"/>
      <c r="N494" s="768"/>
      <c r="O494" s="768"/>
      <c r="P494" s="768"/>
      <c r="Q494" s="768"/>
      <c r="R494" s="768"/>
      <c r="S494" s="768"/>
      <c r="T494" s="966"/>
    </row>
    <row r="495" spans="1:20" ht="15.75">
      <c r="A495" s="768"/>
      <c r="B495" s="934" t="s">
        <v>1022</v>
      </c>
      <c r="C495" s="935"/>
      <c r="D495" s="768"/>
      <c r="E495" s="768"/>
      <c r="F495" s="768"/>
      <c r="G495" s="768"/>
      <c r="H495" s="768"/>
      <c r="I495" s="768"/>
      <c r="J495" s="768"/>
      <c r="K495" s="768"/>
      <c r="L495" s="768"/>
      <c r="M495" s="768"/>
      <c r="N495" s="768"/>
      <c r="O495" s="768"/>
      <c r="P495" s="768"/>
      <c r="Q495" s="768"/>
      <c r="R495" s="768"/>
      <c r="S495" s="768"/>
      <c r="T495" s="965">
        <f>+T490+T485+T475+T465+T447</f>
        <v>1020882.6666666666</v>
      </c>
    </row>
    <row r="496" spans="1:20" ht="15.75">
      <c r="A496" s="768"/>
      <c r="B496" s="934" t="s">
        <v>1023</v>
      </c>
      <c r="C496" s="935"/>
      <c r="D496" s="768"/>
      <c r="E496" s="768"/>
      <c r="F496" s="768"/>
      <c r="G496" s="768"/>
      <c r="H496" s="768"/>
      <c r="I496" s="768"/>
      <c r="J496" s="768"/>
      <c r="K496" s="768"/>
      <c r="L496" s="768"/>
      <c r="M496" s="768"/>
      <c r="N496" s="768"/>
      <c r="O496" s="768"/>
      <c r="P496" s="768"/>
      <c r="Q496" s="768"/>
      <c r="R496" s="768"/>
      <c r="S496" s="768"/>
      <c r="T496" s="965">
        <f>+T472+T444</f>
        <v>1019688.4166666666</v>
      </c>
    </row>
    <row r="497" spans="1:20" ht="15.75">
      <c r="A497" s="768"/>
      <c r="B497" s="934" t="s">
        <v>884</v>
      </c>
      <c r="C497" s="935"/>
      <c r="D497" s="768"/>
      <c r="E497" s="768"/>
      <c r="F497" s="768"/>
      <c r="G497" s="768"/>
      <c r="H497" s="768"/>
      <c r="I497" s="768"/>
      <c r="J497" s="768"/>
      <c r="K497" s="768"/>
      <c r="L497" s="768"/>
      <c r="M497" s="768"/>
      <c r="N497" s="768"/>
      <c r="O497" s="768"/>
      <c r="P497" s="768"/>
      <c r="Q497" s="768"/>
      <c r="R497" s="768"/>
      <c r="S497" s="768"/>
      <c r="T497" s="965">
        <f>+T508-T496</f>
        <v>1235.0833333333721</v>
      </c>
    </row>
    <row r="498" spans="1:20" ht="15.75">
      <c r="A498" s="768"/>
      <c r="B498" s="934" t="s">
        <v>885</v>
      </c>
      <c r="C498" s="935"/>
      <c r="D498" s="768"/>
      <c r="E498" s="768"/>
      <c r="F498" s="768"/>
      <c r="G498" s="768"/>
      <c r="H498" s="768"/>
      <c r="I498" s="768"/>
      <c r="J498" s="768"/>
      <c r="K498" s="768"/>
      <c r="L498" s="768"/>
      <c r="M498" s="768"/>
      <c r="N498" s="768"/>
      <c r="O498" s="768"/>
      <c r="P498" s="768"/>
      <c r="Q498" s="768"/>
      <c r="R498" s="768"/>
      <c r="S498" s="768"/>
      <c r="T498" s="965">
        <f>+T447+T475</f>
        <v>1020244.75</v>
      </c>
    </row>
    <row r="499" spans="1:20" ht="15.75">
      <c r="A499" s="768"/>
      <c r="B499" s="934" t="s">
        <v>1024</v>
      </c>
      <c r="C499" s="935"/>
      <c r="D499" s="768"/>
      <c r="E499" s="768"/>
      <c r="F499" s="768"/>
      <c r="G499" s="768"/>
      <c r="H499" s="768"/>
      <c r="I499" s="768"/>
      <c r="J499" s="768"/>
      <c r="K499" s="768"/>
      <c r="L499" s="768"/>
      <c r="M499" s="768"/>
      <c r="N499" s="768"/>
      <c r="O499" s="768"/>
      <c r="P499" s="768"/>
      <c r="Q499" s="768"/>
      <c r="R499" s="768"/>
      <c r="S499" s="768"/>
      <c r="T499" s="965">
        <f>+T485+T451</f>
        <v>45.666666666666671</v>
      </c>
    </row>
    <row r="500" spans="1:20" ht="15.75">
      <c r="A500" s="768"/>
      <c r="B500" s="934" t="s">
        <v>886</v>
      </c>
      <c r="C500" s="935"/>
      <c r="D500" s="768"/>
      <c r="E500" s="768"/>
      <c r="F500" s="768"/>
      <c r="G500" s="768"/>
      <c r="H500" s="768"/>
      <c r="I500" s="768"/>
      <c r="J500" s="768"/>
      <c r="K500" s="768"/>
      <c r="L500" s="768"/>
      <c r="M500" s="768"/>
      <c r="N500" s="768"/>
      <c r="O500" s="768"/>
      <c r="P500" s="768"/>
      <c r="Q500" s="768"/>
      <c r="R500" s="768"/>
      <c r="S500" s="768"/>
      <c r="T500" s="965">
        <f>+T490+T465</f>
        <v>633.08333333333337</v>
      </c>
    </row>
    <row r="501" spans="1:20" ht="15.75">
      <c r="A501" s="768"/>
      <c r="B501" s="934" t="s">
        <v>1025</v>
      </c>
      <c r="C501" s="935"/>
      <c r="D501" s="768"/>
      <c r="E501" s="768"/>
      <c r="F501" s="768"/>
      <c r="G501" s="768"/>
      <c r="H501" s="768"/>
      <c r="I501" s="768"/>
      <c r="J501" s="768"/>
      <c r="K501" s="768"/>
      <c r="L501" s="768"/>
      <c r="M501" s="768"/>
      <c r="N501" s="768"/>
      <c r="O501" s="768"/>
      <c r="P501" s="768"/>
      <c r="Q501" s="768"/>
      <c r="R501" s="768"/>
      <c r="S501" s="768"/>
      <c r="T501" s="965"/>
    </row>
    <row r="502" spans="1:20" ht="15.75">
      <c r="A502" s="768"/>
      <c r="B502" s="934" t="s">
        <v>1026</v>
      </c>
      <c r="C502" s="935"/>
      <c r="D502" s="768"/>
      <c r="E502" s="768"/>
      <c r="F502" s="768"/>
      <c r="G502" s="768"/>
      <c r="H502" s="768"/>
      <c r="I502" s="768"/>
      <c r="J502" s="768"/>
      <c r="K502" s="768"/>
      <c r="L502" s="768"/>
      <c r="M502" s="768"/>
      <c r="N502" s="768"/>
      <c r="O502" s="768"/>
      <c r="P502" s="768"/>
      <c r="Q502" s="768"/>
      <c r="R502" s="768"/>
      <c r="S502" s="768"/>
      <c r="T502" s="965"/>
    </row>
    <row r="503" spans="1:20" ht="15.75">
      <c r="A503" s="768"/>
      <c r="B503" s="934"/>
      <c r="C503" s="935"/>
      <c r="D503" s="768"/>
      <c r="E503" s="768"/>
      <c r="F503" s="768"/>
      <c r="G503" s="768"/>
      <c r="H503" s="768"/>
      <c r="I503" s="768"/>
      <c r="J503" s="768"/>
      <c r="K503" s="768"/>
      <c r="L503" s="768"/>
      <c r="M503" s="768"/>
      <c r="N503" s="768"/>
      <c r="O503" s="768"/>
      <c r="P503" s="768"/>
      <c r="Q503" s="768"/>
      <c r="R503" s="768"/>
      <c r="S503" s="768"/>
      <c r="T503" s="965"/>
    </row>
    <row r="504" spans="1:20" ht="15.75">
      <c r="A504" s="768"/>
      <c r="B504" s="934"/>
      <c r="C504" s="935"/>
      <c r="D504" s="768"/>
      <c r="E504" s="768"/>
      <c r="F504" s="768"/>
      <c r="G504" s="768"/>
      <c r="H504" s="768"/>
      <c r="I504" s="768"/>
      <c r="J504" s="768"/>
      <c r="K504" s="768"/>
      <c r="L504" s="768"/>
      <c r="M504" s="768"/>
      <c r="N504" s="768"/>
      <c r="O504" s="768"/>
      <c r="P504" s="768"/>
      <c r="Q504" s="768"/>
      <c r="R504" s="768"/>
      <c r="S504" s="768"/>
      <c r="T504" s="965"/>
    </row>
    <row r="505" spans="1:20" ht="15.75">
      <c r="A505" s="768"/>
      <c r="B505" s="934" t="s">
        <v>1027</v>
      </c>
      <c r="C505" s="935"/>
      <c r="D505" s="768"/>
      <c r="E505" s="768"/>
      <c r="F505" s="768"/>
      <c r="G505" s="768"/>
      <c r="H505" s="768"/>
      <c r="I505" s="768"/>
      <c r="J505" s="768"/>
      <c r="K505" s="768"/>
      <c r="L505" s="768"/>
      <c r="M505" s="768"/>
      <c r="N505" s="768"/>
      <c r="O505" s="768"/>
      <c r="P505" s="768"/>
      <c r="Q505" s="768"/>
      <c r="R505" s="768"/>
      <c r="S505" s="768"/>
      <c r="T505" s="965">
        <f>+T467</f>
        <v>993305.08333333337</v>
      </c>
    </row>
    <row r="506" spans="1:20" ht="15.75">
      <c r="A506" s="768"/>
      <c r="B506" s="934" t="s">
        <v>1028</v>
      </c>
      <c r="C506" s="935"/>
      <c r="D506" s="768"/>
      <c r="E506" s="768"/>
      <c r="F506" s="768"/>
      <c r="G506" s="768"/>
      <c r="H506" s="768"/>
      <c r="I506" s="768"/>
      <c r="J506" s="768"/>
      <c r="K506" s="768"/>
      <c r="L506" s="768"/>
      <c r="M506" s="768"/>
      <c r="N506" s="768"/>
      <c r="O506" s="768"/>
      <c r="P506" s="768"/>
      <c r="Q506" s="768"/>
      <c r="R506" s="768"/>
      <c r="S506" s="768"/>
      <c r="T506" s="965">
        <f>+T492</f>
        <v>27618.416666666668</v>
      </c>
    </row>
    <row r="507" spans="1:20" ht="16.5" thickBot="1">
      <c r="A507" s="768"/>
      <c r="B507" s="941"/>
      <c r="C507" s="942"/>
      <c r="D507" s="768"/>
      <c r="E507" s="768"/>
      <c r="F507" s="768"/>
      <c r="G507" s="768"/>
      <c r="H507" s="768"/>
      <c r="I507" s="768"/>
      <c r="J507" s="768"/>
      <c r="K507" s="768"/>
      <c r="L507" s="768"/>
      <c r="M507" s="768"/>
      <c r="N507" s="768"/>
      <c r="O507" s="768"/>
      <c r="P507" s="768"/>
      <c r="Q507" s="768"/>
      <c r="R507" s="768"/>
      <c r="S507" s="768"/>
      <c r="T507" s="968"/>
    </row>
    <row r="508" spans="1:20" ht="16.5" thickBot="1">
      <c r="A508" s="768"/>
      <c r="B508" s="938" t="s">
        <v>1029</v>
      </c>
      <c r="C508" s="939"/>
      <c r="D508" s="768"/>
      <c r="E508" s="768"/>
      <c r="F508" s="768"/>
      <c r="G508" s="768"/>
      <c r="H508" s="768"/>
      <c r="I508" s="768"/>
      <c r="J508" s="768"/>
      <c r="K508" s="768"/>
      <c r="L508" s="768"/>
      <c r="M508" s="768"/>
      <c r="N508" s="768"/>
      <c r="O508" s="768"/>
      <c r="P508" s="768"/>
      <c r="Q508" s="768"/>
      <c r="R508" s="768"/>
      <c r="S508" s="768"/>
      <c r="T508" s="967">
        <f>SUM(T505:T507)</f>
        <v>1020923.5</v>
      </c>
    </row>
    <row r="509" spans="1:20" ht="15.75">
      <c r="A509" s="768"/>
      <c r="B509" s="768"/>
      <c r="C509" s="768"/>
      <c r="D509" s="768"/>
      <c r="E509" s="768"/>
      <c r="F509" s="768"/>
      <c r="G509" s="768"/>
      <c r="H509" s="768"/>
      <c r="I509" s="768"/>
      <c r="J509" s="768"/>
      <c r="K509" s="768"/>
      <c r="L509" s="768"/>
      <c r="M509" s="768"/>
      <c r="N509" s="768"/>
      <c r="O509" s="768"/>
      <c r="P509" s="768"/>
      <c r="Q509" s="768"/>
      <c r="R509" s="768"/>
      <c r="T509" s="972"/>
    </row>
    <row r="510" spans="1:20" ht="15.75">
      <c r="A510" s="768"/>
      <c r="B510" s="768"/>
      <c r="C510" s="768"/>
      <c r="D510" s="768"/>
      <c r="E510" s="768"/>
      <c r="F510" s="768"/>
      <c r="G510" s="768"/>
      <c r="H510" s="768"/>
      <c r="I510" s="768"/>
      <c r="J510" s="768"/>
      <c r="K510" s="768"/>
      <c r="L510" s="768"/>
      <c r="M510" s="768"/>
      <c r="N510" s="768"/>
      <c r="O510" s="768"/>
      <c r="P510" s="768"/>
      <c r="Q510" s="768"/>
      <c r="R510" s="768"/>
      <c r="T510" s="972"/>
    </row>
    <row r="511" spans="1:20" ht="15.75">
      <c r="A511" s="768"/>
      <c r="B511" s="768"/>
      <c r="C511" s="768"/>
      <c r="D511" s="768"/>
      <c r="E511" s="768"/>
      <c r="F511" s="768"/>
      <c r="G511" s="768"/>
      <c r="H511" s="768"/>
      <c r="I511" s="768"/>
      <c r="J511" s="768"/>
      <c r="K511" s="768"/>
      <c r="L511" s="768"/>
      <c r="M511" s="768"/>
      <c r="N511" s="768"/>
      <c r="O511" s="768"/>
      <c r="P511" s="768"/>
      <c r="Q511" s="768"/>
      <c r="R511" s="768"/>
      <c r="T511" s="972"/>
    </row>
    <row r="512" spans="1:20" ht="15.75">
      <c r="A512" s="768"/>
      <c r="B512" s="768"/>
      <c r="C512" s="768"/>
      <c r="D512" s="768"/>
      <c r="E512" s="768"/>
      <c r="F512" s="768"/>
      <c r="G512" s="768"/>
      <c r="H512" s="768"/>
      <c r="I512" s="768"/>
      <c r="J512" s="768"/>
      <c r="K512" s="768"/>
      <c r="L512" s="768"/>
      <c r="M512" s="768"/>
      <c r="N512" s="768"/>
      <c r="O512" s="768"/>
      <c r="P512" s="768"/>
      <c r="Q512" s="768"/>
      <c r="R512" s="768"/>
      <c r="T512" s="972"/>
    </row>
    <row r="513" spans="1:20" ht="15.75">
      <c r="A513" s="768"/>
      <c r="B513" s="768"/>
      <c r="C513" s="768"/>
      <c r="D513" s="768"/>
      <c r="E513" s="768"/>
      <c r="F513" s="768"/>
      <c r="G513" s="768"/>
      <c r="H513" s="768"/>
      <c r="I513" s="768"/>
      <c r="J513" s="768"/>
      <c r="K513" s="768"/>
      <c r="L513" s="768"/>
      <c r="M513" s="768"/>
      <c r="N513" s="768"/>
      <c r="O513" s="768"/>
      <c r="P513" s="768"/>
      <c r="Q513" s="768"/>
      <c r="R513" s="768"/>
      <c r="T513" s="972"/>
    </row>
    <row r="514" spans="1:20" ht="15.75">
      <c r="A514" s="768"/>
      <c r="B514" s="768"/>
      <c r="C514" s="768"/>
      <c r="D514" s="768"/>
      <c r="E514" s="768"/>
      <c r="F514" s="768"/>
      <c r="G514" s="768"/>
      <c r="H514" s="768"/>
      <c r="I514" s="768"/>
      <c r="J514" s="768"/>
      <c r="K514" s="768"/>
      <c r="L514" s="768"/>
      <c r="M514" s="768"/>
      <c r="N514" s="768"/>
      <c r="O514" s="768"/>
      <c r="P514" s="768"/>
      <c r="Q514" s="768"/>
      <c r="R514" s="768"/>
      <c r="T514" s="972"/>
    </row>
    <row r="515" spans="1:20" ht="15.75">
      <c r="A515" s="768"/>
      <c r="B515" s="768"/>
      <c r="C515" s="768"/>
      <c r="D515" s="768"/>
      <c r="E515" s="768"/>
      <c r="F515" s="768"/>
      <c r="G515" s="768"/>
      <c r="H515" s="768"/>
      <c r="I515" s="768"/>
      <c r="J515" s="768"/>
      <c r="K515" s="768"/>
      <c r="L515" s="768"/>
      <c r="M515" s="768"/>
      <c r="N515" s="768"/>
      <c r="O515" s="768"/>
      <c r="P515" s="768"/>
      <c r="Q515" s="768"/>
      <c r="R515" s="768"/>
      <c r="T515" s="972"/>
    </row>
    <row r="516" spans="1:20" ht="15.75">
      <c r="A516" s="768"/>
      <c r="B516" s="768"/>
      <c r="C516" s="768"/>
      <c r="D516" s="768"/>
      <c r="E516" s="768"/>
      <c r="F516" s="768"/>
      <c r="G516" s="768"/>
      <c r="H516" s="768"/>
      <c r="I516" s="768"/>
      <c r="J516" s="768"/>
      <c r="K516" s="768"/>
      <c r="L516" s="768"/>
      <c r="M516" s="768"/>
      <c r="N516" s="768"/>
      <c r="O516" s="768"/>
      <c r="P516" s="768"/>
      <c r="Q516" s="768"/>
      <c r="R516" s="768"/>
      <c r="T516" s="972"/>
    </row>
    <row r="517" spans="1:20" ht="15.75">
      <c r="A517" s="768"/>
      <c r="B517" s="768"/>
      <c r="C517" s="768"/>
      <c r="D517" s="768"/>
      <c r="E517" s="768"/>
      <c r="F517" s="768"/>
      <c r="G517" s="768"/>
      <c r="H517" s="768"/>
      <c r="I517" s="768"/>
      <c r="J517" s="768"/>
      <c r="K517" s="768"/>
      <c r="L517" s="768"/>
      <c r="M517" s="768"/>
      <c r="N517" s="768"/>
      <c r="O517" s="768"/>
      <c r="P517" s="768"/>
      <c r="Q517" s="768"/>
      <c r="R517" s="768"/>
      <c r="T517" s="972"/>
    </row>
    <row r="518" spans="1:20" ht="15.75">
      <c r="A518" s="768"/>
      <c r="B518" s="768"/>
      <c r="C518" s="768"/>
      <c r="D518" s="768"/>
      <c r="E518" s="768"/>
      <c r="F518" s="768"/>
      <c r="G518" s="768"/>
      <c r="H518" s="768"/>
      <c r="I518" s="768"/>
      <c r="J518" s="768"/>
      <c r="K518" s="768"/>
      <c r="L518" s="768"/>
      <c r="M518" s="768"/>
      <c r="N518" s="768"/>
      <c r="O518" s="768"/>
      <c r="P518" s="768"/>
      <c r="Q518" s="768"/>
      <c r="R518" s="768"/>
      <c r="T518" s="972"/>
    </row>
    <row r="519" spans="1:20">
      <c r="T519" s="972"/>
    </row>
    <row r="520" spans="1:20">
      <c r="T520" s="972"/>
    </row>
    <row r="521" spans="1:20">
      <c r="T521" s="972"/>
    </row>
    <row r="522" spans="1:20">
      <c r="T522" s="972"/>
    </row>
    <row r="523" spans="1:20">
      <c r="T523" s="972"/>
    </row>
  </sheetData>
  <pageMargins left="0.7" right="0.7" top="0.75" bottom="0.75" header="0.3" footer="0.3"/>
  <pageSetup scale="35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74"/>
  <sheetViews>
    <sheetView zoomScaleNormal="100" workbookViewId="0">
      <selection activeCell="N21" sqref="N21"/>
    </sheetView>
  </sheetViews>
  <sheetFormatPr defaultColWidth="14.7109375" defaultRowHeight="12.75"/>
  <cols>
    <col min="1" max="1" width="5.7109375" style="2" customWidth="1"/>
    <col min="2" max="2" width="3.7109375" style="2" customWidth="1"/>
    <col min="3" max="3" width="5.7109375" style="2" customWidth="1"/>
    <col min="4" max="4" width="3.7109375" style="2" customWidth="1"/>
    <col min="5" max="5" width="29.28515625" style="2" customWidth="1"/>
    <col min="6" max="6" width="12.28515625" style="2" customWidth="1"/>
    <col min="7" max="7" width="19" style="2" bestFit="1" customWidth="1"/>
    <col min="8" max="8" width="14.140625" style="2" customWidth="1"/>
    <col min="9" max="18" width="12.28515625" style="2" customWidth="1"/>
    <col min="19" max="19" width="2.42578125" customWidth="1"/>
    <col min="20" max="66" width="14.7109375" style="2" customWidth="1"/>
    <col min="67" max="67" width="16.85546875" style="2" customWidth="1"/>
    <col min="68" max="78" width="14.7109375" style="2" customWidth="1"/>
    <col min="79" max="79" width="15.42578125" style="2" customWidth="1"/>
    <col min="80" max="93" width="14.7109375" style="2" customWidth="1"/>
    <col min="94" max="94" width="16.85546875" style="2" customWidth="1"/>
    <col min="95" max="96" width="14.7109375" style="2" customWidth="1"/>
    <col min="97" max="97" width="16.42578125" style="2" customWidth="1"/>
    <col min="98" max="111" width="14.7109375" style="2" customWidth="1"/>
    <col min="112" max="112" width="1" style="2" customWidth="1"/>
    <col min="113" max="113" width="14.7109375" style="2" customWidth="1"/>
    <col min="114" max="114" width="2" style="2" customWidth="1"/>
    <col min="115" max="118" width="14.7109375" style="2" customWidth="1"/>
    <col min="119" max="119" width="16.28515625" style="2" customWidth="1"/>
    <col min="120" max="16384" width="14.7109375" style="2"/>
  </cols>
  <sheetData>
    <row r="1" spans="1:21">
      <c r="A1" s="299" t="str">
        <f>+'Control Panel'!$B$1</f>
        <v>Dominion Energy</v>
      </c>
      <c r="B1" s="18"/>
      <c r="C1" s="18"/>
      <c r="D1" s="18"/>
      <c r="E1" s="18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T1" s="245"/>
    </row>
    <row r="2" spans="1:21">
      <c r="A2" s="299" t="str">
        <f>+'Control Panel'!$B$2</f>
        <v>Utah - Dec 2017 Adjusted Avg Results</v>
      </c>
      <c r="B2" s="18"/>
      <c r="C2" s="18"/>
      <c r="D2" s="18"/>
      <c r="E2" s="18"/>
    </row>
    <row r="3" spans="1:21" s="246" customFormat="1" ht="15" customHeight="1">
      <c r="A3" s="368" t="str">
        <f>+'Control Panel'!$B$3</f>
        <v>12 Months Ended : Dec-2017</v>
      </c>
      <c r="B3" s="18"/>
      <c r="C3" s="18"/>
      <c r="D3" s="18"/>
      <c r="E3" s="18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/>
      <c r="T3" s="446"/>
    </row>
    <row r="4" spans="1:21">
      <c r="A4" s="368"/>
      <c r="B4" s="18"/>
      <c r="C4" s="18"/>
      <c r="D4" s="18"/>
      <c r="E4" s="18"/>
      <c r="F4" s="247">
        <f>+Adjustments!F6</f>
        <v>1</v>
      </c>
      <c r="G4" s="247">
        <f>+Adjustments!G6</f>
        <v>2</v>
      </c>
      <c r="H4" s="247">
        <f>+Adjustments!H6</f>
        <v>3</v>
      </c>
      <c r="I4" s="247">
        <f>+Adjustments!I6</f>
        <v>4</v>
      </c>
      <c r="J4" s="247">
        <f>+Adjustments!J6</f>
        <v>5</v>
      </c>
      <c r="K4" s="247">
        <f>+Adjustments!K6</f>
        <v>6</v>
      </c>
      <c r="L4" s="247">
        <f>+Adjustments!L6</f>
        <v>7</v>
      </c>
      <c r="M4" s="247">
        <f>+Adjustments!M6</f>
        <v>8</v>
      </c>
      <c r="N4" s="247">
        <f>+Adjustments!N6</f>
        <v>9</v>
      </c>
      <c r="O4" s="247">
        <f>+Adjustments!O6</f>
        <v>10</v>
      </c>
      <c r="P4" s="247">
        <f>+Adjustments!P6</f>
        <v>11</v>
      </c>
      <c r="Q4" s="247">
        <f>+Adjustments!Q6</f>
        <v>12</v>
      </c>
      <c r="R4" s="247">
        <f>+Adjustments!R6</f>
        <v>13</v>
      </c>
      <c r="T4" s="247"/>
    </row>
    <row r="5" spans="1:21" s="246" customFormat="1" ht="22.5" customHeight="1">
      <c r="A5" s="321"/>
      <c r="B5" s="18"/>
      <c r="C5" s="18"/>
      <c r="D5" s="18"/>
      <c r="E5" s="18"/>
      <c r="F5" s="247" t="str">
        <f>+Adjustments!F8</f>
        <v>Y</v>
      </c>
      <c r="G5" s="247" t="str">
        <f>+Adjustments!G8</f>
        <v>Y</v>
      </c>
      <c r="H5" s="247" t="str">
        <f>+Adjustments!H8</f>
        <v>Y</v>
      </c>
      <c r="I5" s="247" t="str">
        <f>+Adjustments!I8</f>
        <v>Y</v>
      </c>
      <c r="J5" s="247" t="str">
        <f>+Adjustments!J8</f>
        <v>Y</v>
      </c>
      <c r="K5" s="247" t="str">
        <f>+Adjustments!K8</f>
        <v>Y</v>
      </c>
      <c r="L5" s="247" t="str">
        <f>+Adjustments!L8</f>
        <v>Y</v>
      </c>
      <c r="M5" s="247" t="str">
        <f>+Adjustments!M8</f>
        <v>Y</v>
      </c>
      <c r="N5" s="247" t="str">
        <f>+Adjustments!N8</f>
        <v>Y</v>
      </c>
      <c r="O5" s="247" t="str">
        <f>+Adjustments!O8</f>
        <v>Y</v>
      </c>
      <c r="P5" s="247" t="str">
        <f>+Adjustments!P8</f>
        <v>Y</v>
      </c>
      <c r="Q5" s="247" t="str">
        <f>+Adjustments!Q8</f>
        <v>Y</v>
      </c>
      <c r="R5" s="247" t="str">
        <f>+Adjustments!R8</f>
        <v>Y</v>
      </c>
      <c r="S5"/>
      <c r="T5" s="247"/>
    </row>
    <row r="6" spans="1:21" ht="49.5" customHeight="1" thickBot="1">
      <c r="A6" s="18"/>
      <c r="B6" s="18"/>
      <c r="C6" s="18"/>
      <c r="D6" s="18"/>
      <c r="E6" s="18"/>
      <c r="F6" s="248" t="str">
        <f>Adjustments!F9</f>
        <v>AVG RB DEC 2017</v>
      </c>
      <c r="G6" s="248" t="str">
        <f>Adjustments!G9</f>
        <v>Energy Efficiency Services Adjustment</v>
      </c>
      <c r="H6" s="248" t="str">
        <f>Adjustments!H9</f>
        <v>Underground Storage</v>
      </c>
      <c r="I6" s="248" t="str">
        <f>Adjustments!I9</f>
        <v>Wexpro</v>
      </c>
      <c r="J6" s="248" t="str">
        <f>Adjustments!J9</f>
        <v>Transition Costs</v>
      </c>
      <c r="K6" s="248" t="str">
        <f>Adjustments!K9</f>
        <v>Corp Overhead Adj</v>
      </c>
      <c r="L6" s="248" t="str">
        <f>Adjustments!L9</f>
        <v>Bad Debt</v>
      </c>
      <c r="M6" s="248" t="str">
        <f>Adjustments!M9</f>
        <v xml:space="preserve"> Incentives</v>
      </c>
      <c r="N6" s="248" t="str">
        <f>Adjustments!N9</f>
        <v xml:space="preserve"> Sporting Events </v>
      </c>
      <c r="O6" s="248" t="str">
        <f>Adjustments!O9</f>
        <v xml:space="preserve"> Advertising </v>
      </c>
      <c r="P6" s="248" t="str">
        <f>Adjustments!P9</f>
        <v xml:space="preserve"> Don &amp; Membership </v>
      </c>
      <c r="Q6" s="248" t="str">
        <f>Adjustments!Q9</f>
        <v xml:space="preserve"> Reserve accrual </v>
      </c>
      <c r="R6" s="248" t="str">
        <f>Adjustments!R9</f>
        <v xml:space="preserve"> Labor Adj </v>
      </c>
      <c r="T6" s="248" t="str">
        <f>Adjustments!S9</f>
        <v>TOTAL  ADJUSTMENTS</v>
      </c>
    </row>
    <row r="7" spans="1:21">
      <c r="A7" s="20"/>
      <c r="B7" s="18"/>
      <c r="C7" s="18"/>
      <c r="D7" s="18"/>
      <c r="E7" s="18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T7" s="17"/>
    </row>
    <row r="8" spans="1:21">
      <c r="A8" s="20">
        <v>1</v>
      </c>
      <c r="B8" s="356" t="s">
        <v>474</v>
      </c>
      <c r="C8" s="356"/>
      <c r="D8" s="356"/>
      <c r="E8" s="356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T8" s="17"/>
    </row>
    <row r="9" spans="1:21">
      <c r="A9" s="20"/>
      <c r="B9" s="18"/>
      <c r="C9" s="18"/>
      <c r="D9" s="18"/>
      <c r="E9" s="18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T9" s="17"/>
    </row>
    <row r="10" spans="1:21">
      <c r="A10" s="20">
        <f>+A8+1</f>
        <v>2</v>
      </c>
      <c r="B10" s="15" t="s">
        <v>174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T10" s="17"/>
    </row>
    <row r="11" spans="1:21">
      <c r="A11" s="20">
        <f t="shared" ref="A11:A16" si="0">+A10+1</f>
        <v>3</v>
      </c>
      <c r="B11" s="15"/>
      <c r="C11" s="17"/>
      <c r="D11" s="17" t="s">
        <v>475</v>
      </c>
      <c r="E11" s="17"/>
      <c r="F11" s="17">
        <f>Adjustments!F363+Adjustments!F365</f>
        <v>0</v>
      </c>
      <c r="G11" s="17">
        <f>Adjustments!G363+Adjustments!G365</f>
        <v>-20972049.120000001</v>
      </c>
      <c r="H11" s="17">
        <f>Adjustments!H363+Adjustments!H365</f>
        <v>0</v>
      </c>
      <c r="I11" s="17">
        <f>Adjustments!I363+Adjustments!I365</f>
        <v>0</v>
      </c>
      <c r="J11" s="17">
        <f>Adjustments!J363+Adjustments!J365</f>
        <v>0</v>
      </c>
      <c r="K11" s="17">
        <f>Adjustments!K363+Adjustments!K365</f>
        <v>0</v>
      </c>
      <c r="L11" s="17">
        <f>Adjustments!L363+Adjustments!L365</f>
        <v>0</v>
      </c>
      <c r="M11" s="17">
        <f>Adjustments!M363+Adjustments!M365</f>
        <v>0</v>
      </c>
      <c r="N11" s="17">
        <f>Adjustments!N363+Adjustments!N365</f>
        <v>0</v>
      </c>
      <c r="O11" s="17">
        <f>Adjustments!O363+Adjustments!O365</f>
        <v>0</v>
      </c>
      <c r="P11" s="17">
        <f>Adjustments!P363+Adjustments!P365</f>
        <v>0</v>
      </c>
      <c r="Q11" s="17">
        <f>Adjustments!Q363+Adjustments!Q365</f>
        <v>0</v>
      </c>
      <c r="R11" s="17">
        <f>Adjustments!R363+Adjustments!R365</f>
        <v>0</v>
      </c>
      <c r="T11" s="17">
        <f>Adjustments!S363+Adjustments!S365</f>
        <v>-20972049.120000001</v>
      </c>
      <c r="U11" s="7"/>
    </row>
    <row r="12" spans="1:21">
      <c r="A12" s="20">
        <f t="shared" si="0"/>
        <v>4</v>
      </c>
      <c r="B12" s="15"/>
      <c r="C12" s="17"/>
      <c r="D12" s="17" t="s">
        <v>476</v>
      </c>
      <c r="E12" s="17"/>
      <c r="F12" s="17">
        <f>Adjustments!F364</f>
        <v>0</v>
      </c>
      <c r="G12" s="17">
        <f>Adjustments!G364</f>
        <v>0</v>
      </c>
      <c r="H12" s="17">
        <f>Adjustments!H364</f>
        <v>0</v>
      </c>
      <c r="I12" s="17">
        <f>Adjustments!I364</f>
        <v>0</v>
      </c>
      <c r="J12" s="17">
        <f>Adjustments!J364</f>
        <v>0</v>
      </c>
      <c r="K12" s="17">
        <f>Adjustments!K364</f>
        <v>0</v>
      </c>
      <c r="L12" s="17">
        <f>Adjustments!L364</f>
        <v>0</v>
      </c>
      <c r="M12" s="17">
        <f>Adjustments!M364</f>
        <v>0</v>
      </c>
      <c r="N12" s="17">
        <f>Adjustments!N364</f>
        <v>0</v>
      </c>
      <c r="O12" s="17">
        <f>Adjustments!O364</f>
        <v>0</v>
      </c>
      <c r="P12" s="17">
        <f>Adjustments!P364</f>
        <v>0</v>
      </c>
      <c r="Q12" s="17">
        <f>Adjustments!Q364</f>
        <v>0</v>
      </c>
      <c r="R12" s="17">
        <f>Adjustments!R364</f>
        <v>0</v>
      </c>
      <c r="T12" s="17">
        <f>Adjustments!S364</f>
        <v>0</v>
      </c>
      <c r="U12" s="7"/>
    </row>
    <row r="13" spans="1:21">
      <c r="A13" s="20">
        <f t="shared" si="0"/>
        <v>5</v>
      </c>
      <c r="B13" s="15"/>
      <c r="C13" s="17"/>
      <c r="D13" s="17" t="s">
        <v>477</v>
      </c>
      <c r="E13" s="17"/>
      <c r="F13" s="17">
        <f>Adjustments!F366</f>
        <v>0</v>
      </c>
      <c r="G13" s="17">
        <f>Adjustments!G366</f>
        <v>0</v>
      </c>
      <c r="H13" s="17">
        <f>Adjustments!H366</f>
        <v>0</v>
      </c>
      <c r="I13" s="17">
        <f>Adjustments!I366</f>
        <v>0</v>
      </c>
      <c r="J13" s="17">
        <f>Adjustments!J366</f>
        <v>0</v>
      </c>
      <c r="K13" s="17">
        <f>Adjustments!K366</f>
        <v>0</v>
      </c>
      <c r="L13" s="17">
        <f>Adjustments!L366</f>
        <v>0</v>
      </c>
      <c r="M13" s="17">
        <f>Adjustments!M366</f>
        <v>0</v>
      </c>
      <c r="N13" s="17">
        <f>Adjustments!N366</f>
        <v>0</v>
      </c>
      <c r="O13" s="17">
        <f>Adjustments!O366</f>
        <v>0</v>
      </c>
      <c r="P13" s="17">
        <f>Adjustments!P366</f>
        <v>0</v>
      </c>
      <c r="Q13" s="17">
        <f>Adjustments!Q366</f>
        <v>0</v>
      </c>
      <c r="R13" s="17">
        <f>Adjustments!R366</f>
        <v>0</v>
      </c>
      <c r="T13" s="17">
        <f>Adjustments!S366</f>
        <v>0</v>
      </c>
      <c r="U13" s="7"/>
    </row>
    <row r="14" spans="1:21">
      <c r="A14" s="20">
        <f t="shared" si="0"/>
        <v>6</v>
      </c>
      <c r="B14" s="15"/>
      <c r="C14" s="17"/>
      <c r="D14" s="17" t="s">
        <v>478</v>
      </c>
      <c r="E14" s="17"/>
      <c r="F14" s="17">
        <f>Adjustments!F501+Adjustments!F505</f>
        <v>0</v>
      </c>
      <c r="G14" s="17">
        <f>Adjustments!G501+Adjustments!G505</f>
        <v>0</v>
      </c>
      <c r="H14" s="17">
        <f>Adjustments!H501+Adjustments!H505</f>
        <v>0</v>
      </c>
      <c r="I14" s="17">
        <f>Adjustments!I501+Adjustments!I505</f>
        <v>0</v>
      </c>
      <c r="J14" s="17">
        <f>Adjustments!J501+Adjustments!J505</f>
        <v>0</v>
      </c>
      <c r="K14" s="17">
        <f>Adjustments!K501+Adjustments!K505</f>
        <v>0</v>
      </c>
      <c r="L14" s="17">
        <f>Adjustments!L501+Adjustments!L505</f>
        <v>0</v>
      </c>
      <c r="M14" s="17">
        <f>Adjustments!M501+Adjustments!M505</f>
        <v>0</v>
      </c>
      <c r="N14" s="17">
        <f>Adjustments!N501+Adjustments!N505</f>
        <v>0</v>
      </c>
      <c r="O14" s="17">
        <f>Adjustments!O501+Adjustments!O505</f>
        <v>0</v>
      </c>
      <c r="P14" s="17">
        <f>Adjustments!P501+Adjustments!P505</f>
        <v>0</v>
      </c>
      <c r="Q14" s="17">
        <f>Adjustments!Q501+Adjustments!Q505</f>
        <v>0</v>
      </c>
      <c r="R14" s="17">
        <f>Adjustments!R501+Adjustments!R505</f>
        <v>0</v>
      </c>
      <c r="T14" s="17">
        <f>Adjustments!S501+Adjustments!S505</f>
        <v>0</v>
      </c>
      <c r="U14" s="7"/>
    </row>
    <row r="15" spans="1:21" ht="13.5" thickBot="1">
      <c r="A15" s="20">
        <f t="shared" si="0"/>
        <v>7</v>
      </c>
      <c r="B15" s="15"/>
      <c r="C15" s="17"/>
      <c r="D15" s="17" t="s">
        <v>479</v>
      </c>
      <c r="E15" s="17"/>
      <c r="F15" s="17">
        <f>Adjustments!F502+Adjustments!F506</f>
        <v>0</v>
      </c>
      <c r="G15" s="17">
        <f>Adjustments!G502+Adjustments!G506</f>
        <v>0</v>
      </c>
      <c r="H15" s="17">
        <f>Adjustments!H502+Adjustments!H506</f>
        <v>0</v>
      </c>
      <c r="I15" s="17">
        <f>Adjustments!I502+Adjustments!I506</f>
        <v>0</v>
      </c>
      <c r="J15" s="17">
        <f>Adjustments!J502+Adjustments!J506</f>
        <v>0</v>
      </c>
      <c r="K15" s="17">
        <f>Adjustments!K502+Adjustments!K506</f>
        <v>0</v>
      </c>
      <c r="L15" s="17">
        <f>Adjustments!L502+Adjustments!L506</f>
        <v>0</v>
      </c>
      <c r="M15" s="17">
        <f>Adjustments!M502+Adjustments!M506</f>
        <v>0</v>
      </c>
      <c r="N15" s="17">
        <f>Adjustments!N502+Adjustments!N506</f>
        <v>0</v>
      </c>
      <c r="O15" s="17">
        <f>Adjustments!O502+Adjustments!O506</f>
        <v>0</v>
      </c>
      <c r="P15" s="17">
        <f>Adjustments!P502+Adjustments!P506</f>
        <v>0</v>
      </c>
      <c r="Q15" s="17">
        <f>Adjustments!Q502+Adjustments!Q506</f>
        <v>0</v>
      </c>
      <c r="R15" s="17">
        <f>Adjustments!R502+Adjustments!R506</f>
        <v>0</v>
      </c>
      <c r="T15" s="17">
        <f>Adjustments!S502+Adjustments!S506</f>
        <v>0</v>
      </c>
      <c r="U15" s="7"/>
    </row>
    <row r="16" spans="1:21">
      <c r="A16" s="20">
        <f t="shared" si="0"/>
        <v>8</v>
      </c>
      <c r="B16" s="15"/>
      <c r="C16" s="15" t="s">
        <v>484</v>
      </c>
      <c r="D16" s="17"/>
      <c r="E16" s="17"/>
      <c r="F16" s="25">
        <f>SUM(F11:F15)</f>
        <v>0</v>
      </c>
      <c r="G16" s="25">
        <f t="shared" ref="G16:H16" si="1">SUM(G11:G15)</f>
        <v>-20972049.120000001</v>
      </c>
      <c r="H16" s="25">
        <f t="shared" si="1"/>
        <v>0</v>
      </c>
      <c r="I16" s="25">
        <f t="shared" ref="I16:J16" si="2">SUM(I11:I15)</f>
        <v>0</v>
      </c>
      <c r="J16" s="25">
        <f t="shared" si="2"/>
        <v>0</v>
      </c>
      <c r="K16" s="25">
        <f t="shared" ref="K16:R16" si="3">SUM(K11:K15)</f>
        <v>0</v>
      </c>
      <c r="L16" s="25">
        <f t="shared" si="3"/>
        <v>0</v>
      </c>
      <c r="M16" s="25">
        <f t="shared" si="3"/>
        <v>0</v>
      </c>
      <c r="N16" s="25">
        <f t="shared" si="3"/>
        <v>0</v>
      </c>
      <c r="O16" s="25">
        <f t="shared" si="3"/>
        <v>0</v>
      </c>
      <c r="P16" s="25">
        <f t="shared" si="3"/>
        <v>0</v>
      </c>
      <c r="Q16" s="25">
        <f t="shared" si="3"/>
        <v>0</v>
      </c>
      <c r="R16" s="25">
        <f t="shared" si="3"/>
        <v>0</v>
      </c>
      <c r="T16" s="25">
        <f>SUM(T11:T15)</f>
        <v>-20972049.120000001</v>
      </c>
      <c r="U16" s="7"/>
    </row>
    <row r="17" spans="1:21">
      <c r="A17" s="20"/>
      <c r="B17" s="1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T17" s="17"/>
      <c r="U17" s="7"/>
    </row>
    <row r="18" spans="1:21">
      <c r="A18" s="20">
        <f>+A16+1</f>
        <v>9</v>
      </c>
      <c r="B18" s="15" t="s">
        <v>175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T18" s="17"/>
      <c r="U18" s="7"/>
    </row>
    <row r="19" spans="1:21">
      <c r="A19" s="20">
        <f>+A18+1</f>
        <v>10</v>
      </c>
      <c r="B19" s="15"/>
      <c r="C19" s="17" t="s">
        <v>468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T19" s="17"/>
      <c r="U19" s="7"/>
    </row>
    <row r="20" spans="1:21">
      <c r="A20" s="20">
        <f>+A19+1</f>
        <v>11</v>
      </c>
      <c r="B20" s="15"/>
      <c r="C20" s="17"/>
      <c r="D20" s="17" t="s">
        <v>714</v>
      </c>
      <c r="E20" s="17"/>
      <c r="F20" s="17">
        <f>Adjustments!F632+Adjustments!F635</f>
        <v>0</v>
      </c>
      <c r="G20" s="17">
        <f>Adjustments!G632+Adjustments!G635</f>
        <v>0</v>
      </c>
      <c r="H20" s="17">
        <f>Adjustments!H632+Adjustments!H635</f>
        <v>0</v>
      </c>
      <c r="I20" s="17">
        <f>Adjustments!I632+Adjustments!I635</f>
        <v>0</v>
      </c>
      <c r="J20" s="17">
        <f>Adjustments!J632+Adjustments!J635</f>
        <v>0</v>
      </c>
      <c r="K20" s="17">
        <f>Adjustments!K632+Adjustments!K635</f>
        <v>0</v>
      </c>
      <c r="L20" s="17">
        <f>Adjustments!L632+Adjustments!L635</f>
        <v>0</v>
      </c>
      <c r="M20" s="17">
        <f>Adjustments!M632+Adjustments!M635</f>
        <v>0</v>
      </c>
      <c r="N20" s="17">
        <f>Adjustments!N632+Adjustments!N635</f>
        <v>0</v>
      </c>
      <c r="O20" s="17">
        <f>Adjustments!O632+Adjustments!O635</f>
        <v>0</v>
      </c>
      <c r="P20" s="17">
        <f>Adjustments!P632+Adjustments!P635</f>
        <v>0</v>
      </c>
      <c r="Q20" s="17">
        <f>Adjustments!Q632+Adjustments!Q635</f>
        <v>0</v>
      </c>
      <c r="R20" s="17">
        <f>Adjustments!R632+Adjustments!R635</f>
        <v>0</v>
      </c>
      <c r="T20" s="17">
        <f>Adjustments!S632+Adjustments!S635</f>
        <v>0</v>
      </c>
      <c r="U20" s="7"/>
    </row>
    <row r="21" spans="1:21" ht="13.5" thickBot="1">
      <c r="A21" s="20">
        <f>+A20+1</f>
        <v>12</v>
      </c>
      <c r="B21" s="15"/>
      <c r="C21" s="17"/>
      <c r="D21" s="17" t="s">
        <v>715</v>
      </c>
      <c r="E21" s="17"/>
      <c r="F21" s="17">
        <f>Adjustments!F634+Adjustments!F636</f>
        <v>0</v>
      </c>
      <c r="G21" s="17">
        <f>Adjustments!G634+Adjustments!G636</f>
        <v>0</v>
      </c>
      <c r="H21" s="17">
        <f>Adjustments!H634+Adjustments!H636</f>
        <v>0</v>
      </c>
      <c r="I21" s="17">
        <f>Adjustments!I634+Adjustments!I636</f>
        <v>0</v>
      </c>
      <c r="J21" s="17">
        <f>Adjustments!J634+Adjustments!J636</f>
        <v>0</v>
      </c>
      <c r="K21" s="17">
        <f>Adjustments!K634+Adjustments!K636</f>
        <v>0</v>
      </c>
      <c r="L21" s="17">
        <f>Adjustments!L634+Adjustments!L636</f>
        <v>0</v>
      </c>
      <c r="M21" s="17">
        <f>Adjustments!M634+Adjustments!M636</f>
        <v>0</v>
      </c>
      <c r="N21" s="17">
        <f>Adjustments!N634+Adjustments!N636</f>
        <v>0</v>
      </c>
      <c r="O21" s="17">
        <f>Adjustments!O634+Adjustments!O636</f>
        <v>0</v>
      </c>
      <c r="P21" s="17">
        <f>Adjustments!P634+Adjustments!P636</f>
        <v>0</v>
      </c>
      <c r="Q21" s="17">
        <f>Adjustments!Q634+Adjustments!Q636</f>
        <v>0</v>
      </c>
      <c r="R21" s="17">
        <f>Adjustments!R634+Adjustments!R636</f>
        <v>0</v>
      </c>
      <c r="T21" s="17">
        <f>Adjustments!S634+Adjustments!S636</f>
        <v>0</v>
      </c>
      <c r="U21" s="7"/>
    </row>
    <row r="22" spans="1:21">
      <c r="A22" s="20">
        <f>+A21+1</f>
        <v>13</v>
      </c>
      <c r="B22" s="15"/>
      <c r="C22" s="17"/>
      <c r="D22" s="17" t="s">
        <v>485</v>
      </c>
      <c r="E22" s="17"/>
      <c r="F22" s="25">
        <f>SUM(F20:F21)</f>
        <v>0</v>
      </c>
      <c r="G22" s="25">
        <f t="shared" ref="G22:H22" si="4">SUM(G20:G21)</f>
        <v>0</v>
      </c>
      <c r="H22" s="25">
        <f t="shared" si="4"/>
        <v>0</v>
      </c>
      <c r="I22" s="25">
        <f t="shared" ref="I22:J22" si="5">SUM(I20:I21)</f>
        <v>0</v>
      </c>
      <c r="J22" s="25">
        <f t="shared" si="5"/>
        <v>0</v>
      </c>
      <c r="K22" s="25">
        <f t="shared" ref="K22:R22" si="6">SUM(K20:K21)</f>
        <v>0</v>
      </c>
      <c r="L22" s="25">
        <f t="shared" si="6"/>
        <v>0</v>
      </c>
      <c r="M22" s="25">
        <f t="shared" si="6"/>
        <v>0</v>
      </c>
      <c r="N22" s="25">
        <f t="shared" si="6"/>
        <v>0</v>
      </c>
      <c r="O22" s="25">
        <f t="shared" si="6"/>
        <v>0</v>
      </c>
      <c r="P22" s="25">
        <f t="shared" si="6"/>
        <v>0</v>
      </c>
      <c r="Q22" s="25">
        <f t="shared" si="6"/>
        <v>0</v>
      </c>
      <c r="R22" s="25">
        <f t="shared" si="6"/>
        <v>0</v>
      </c>
      <c r="T22" s="25">
        <f>SUM(T20:T21)</f>
        <v>0</v>
      </c>
      <c r="U22" s="7"/>
    </row>
    <row r="23" spans="1:21">
      <c r="A23" s="20"/>
      <c r="B23" s="15"/>
      <c r="C23" s="17"/>
      <c r="D23" s="17"/>
      <c r="E23" s="1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T23" s="9"/>
      <c r="U23" s="7"/>
    </row>
    <row r="24" spans="1:21">
      <c r="A24" s="20">
        <f>+A22+1</f>
        <v>14</v>
      </c>
      <c r="B24" s="15"/>
      <c r="C24" s="17"/>
      <c r="D24" s="17" t="s">
        <v>716</v>
      </c>
      <c r="E24" s="17"/>
      <c r="F24" s="9">
        <f>Adjustments!F631</f>
        <v>0</v>
      </c>
      <c r="G24" s="9">
        <f>Adjustments!G631</f>
        <v>0</v>
      </c>
      <c r="H24" s="9">
        <f>Adjustments!H631</f>
        <v>0</v>
      </c>
      <c r="I24" s="9">
        <f>Adjustments!I631</f>
        <v>0</v>
      </c>
      <c r="J24" s="9">
        <f>Adjustments!J631</f>
        <v>0</v>
      </c>
      <c r="K24" s="9">
        <f>Adjustments!K631</f>
        <v>0</v>
      </c>
      <c r="L24" s="9">
        <f>Adjustments!L631</f>
        <v>0</v>
      </c>
      <c r="M24" s="9">
        <f>Adjustments!M631</f>
        <v>0</v>
      </c>
      <c r="N24" s="9">
        <f>Adjustments!N631</f>
        <v>0</v>
      </c>
      <c r="O24" s="9">
        <f>Adjustments!O631</f>
        <v>0</v>
      </c>
      <c r="P24" s="9">
        <f>Adjustments!P631</f>
        <v>0</v>
      </c>
      <c r="Q24" s="9">
        <f>Adjustments!Q631</f>
        <v>0</v>
      </c>
      <c r="R24" s="9">
        <f>Adjustments!R631</f>
        <v>0</v>
      </c>
      <c r="T24" s="9">
        <f>Adjustments!S631</f>
        <v>0</v>
      </c>
      <c r="U24" s="7"/>
    </row>
    <row r="25" spans="1:21" ht="13.5" thickBot="1">
      <c r="A25" s="20">
        <f>+A24+1</f>
        <v>15</v>
      </c>
      <c r="B25" s="15"/>
      <c r="C25" s="17"/>
      <c r="D25" s="17" t="s">
        <v>717</v>
      </c>
      <c r="E25" s="17"/>
      <c r="F25" s="9">
        <f>Adjustments!F633</f>
        <v>0</v>
      </c>
      <c r="G25" s="9">
        <f>Adjustments!G633</f>
        <v>0</v>
      </c>
      <c r="H25" s="9">
        <f>Adjustments!H633</f>
        <v>0</v>
      </c>
      <c r="I25" s="9">
        <f>Adjustments!I633</f>
        <v>0</v>
      </c>
      <c r="J25" s="9">
        <f>Adjustments!J633</f>
        <v>0</v>
      </c>
      <c r="K25" s="9">
        <f>Adjustments!K633</f>
        <v>0</v>
      </c>
      <c r="L25" s="9">
        <f>Adjustments!L633</f>
        <v>0</v>
      </c>
      <c r="M25" s="9">
        <f>Adjustments!M633</f>
        <v>0</v>
      </c>
      <c r="N25" s="9">
        <f>Adjustments!N633</f>
        <v>0</v>
      </c>
      <c r="O25" s="9">
        <f>Adjustments!O633</f>
        <v>0</v>
      </c>
      <c r="P25" s="9">
        <f>Adjustments!P633</f>
        <v>0</v>
      </c>
      <c r="Q25" s="9">
        <f>Adjustments!Q633</f>
        <v>0</v>
      </c>
      <c r="R25" s="9">
        <f>Adjustments!R633</f>
        <v>0</v>
      </c>
      <c r="T25" s="9">
        <f>Adjustments!S633</f>
        <v>0</v>
      </c>
      <c r="U25" s="7"/>
    </row>
    <row r="26" spans="1:21">
      <c r="A26" s="20">
        <f>+A25+1</f>
        <v>16</v>
      </c>
      <c r="B26" s="15"/>
      <c r="C26" s="17"/>
      <c r="D26" s="17" t="s">
        <v>718</v>
      </c>
      <c r="E26" s="17"/>
      <c r="F26" s="25">
        <f>SUM(F24:F25)</f>
        <v>0</v>
      </c>
      <c r="G26" s="25">
        <f t="shared" ref="G26:H26" si="7">SUM(G24:G25)</f>
        <v>0</v>
      </c>
      <c r="H26" s="25">
        <f t="shared" si="7"/>
        <v>0</v>
      </c>
      <c r="I26" s="25">
        <f t="shared" ref="I26:J26" si="8">SUM(I24:I25)</f>
        <v>0</v>
      </c>
      <c r="J26" s="25">
        <f t="shared" si="8"/>
        <v>0</v>
      </c>
      <c r="K26" s="25">
        <f t="shared" ref="K26:R26" si="9">SUM(K24:K25)</f>
        <v>0</v>
      </c>
      <c r="L26" s="25">
        <f t="shared" si="9"/>
        <v>0</v>
      </c>
      <c r="M26" s="25">
        <f t="shared" si="9"/>
        <v>0</v>
      </c>
      <c r="N26" s="25">
        <f t="shared" si="9"/>
        <v>0</v>
      </c>
      <c r="O26" s="25">
        <f t="shared" si="9"/>
        <v>0</v>
      </c>
      <c r="P26" s="25">
        <f t="shared" si="9"/>
        <v>0</v>
      </c>
      <c r="Q26" s="25">
        <f t="shared" si="9"/>
        <v>0</v>
      </c>
      <c r="R26" s="25">
        <f t="shared" si="9"/>
        <v>0</v>
      </c>
      <c r="T26" s="25">
        <f>SUM(T24:T25)</f>
        <v>0</v>
      </c>
      <c r="U26" s="7"/>
    </row>
    <row r="27" spans="1:21">
      <c r="A27" s="20"/>
      <c r="B27" s="15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T27" s="17"/>
      <c r="U27" s="7"/>
    </row>
    <row r="28" spans="1:21">
      <c r="A28" s="20">
        <f>+A26+1</f>
        <v>17</v>
      </c>
      <c r="B28" s="15"/>
      <c r="C28" s="17" t="s">
        <v>486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T28" s="17"/>
      <c r="U28" s="7"/>
    </row>
    <row r="29" spans="1:21">
      <c r="A29" s="20">
        <f t="shared" ref="A29:A34" si="10">+A28+1</f>
        <v>18</v>
      </c>
      <c r="B29" s="15"/>
      <c r="C29" s="17"/>
      <c r="D29" s="17" t="s">
        <v>427</v>
      </c>
      <c r="E29" s="17"/>
      <c r="F29" s="17">
        <f>Adjustments!F649</f>
        <v>0</v>
      </c>
      <c r="G29" s="17">
        <f>Adjustments!G649</f>
        <v>0</v>
      </c>
      <c r="H29" s="17">
        <f>Adjustments!H649</f>
        <v>0</v>
      </c>
      <c r="I29" s="17">
        <f>Adjustments!I649</f>
        <v>0</v>
      </c>
      <c r="J29" s="17">
        <f>Adjustments!J649</f>
        <v>0</v>
      </c>
      <c r="K29" s="17">
        <f>Adjustments!K649</f>
        <v>0</v>
      </c>
      <c r="L29" s="17">
        <f>Adjustments!L649</f>
        <v>0</v>
      </c>
      <c r="M29" s="17">
        <f>Adjustments!M649</f>
        <v>0</v>
      </c>
      <c r="N29" s="17">
        <f>Adjustments!N649</f>
        <v>0</v>
      </c>
      <c r="O29" s="17">
        <f>Adjustments!O649</f>
        <v>0</v>
      </c>
      <c r="P29" s="17">
        <f>Adjustments!P649</f>
        <v>0</v>
      </c>
      <c r="Q29" s="17">
        <f>Adjustments!Q649</f>
        <v>0</v>
      </c>
      <c r="R29" s="17">
        <f>Adjustments!R649</f>
        <v>0</v>
      </c>
      <c r="T29" s="17">
        <f>Adjustments!S649</f>
        <v>0</v>
      </c>
      <c r="U29" s="7"/>
    </row>
    <row r="30" spans="1:21">
      <c r="A30" s="20">
        <f t="shared" si="10"/>
        <v>19</v>
      </c>
      <c r="B30" s="15"/>
      <c r="C30" s="17"/>
      <c r="D30" s="17" t="s">
        <v>487</v>
      </c>
      <c r="E30" s="17"/>
      <c r="F30" s="17">
        <f>Adjustments!F752</f>
        <v>0</v>
      </c>
      <c r="G30" s="17">
        <f>Adjustments!G752</f>
        <v>0</v>
      </c>
      <c r="H30" s="17">
        <f>Adjustments!H752</f>
        <v>0</v>
      </c>
      <c r="I30" s="17">
        <f>Adjustments!I752</f>
        <v>0</v>
      </c>
      <c r="J30" s="17">
        <f>Adjustments!J752</f>
        <v>0</v>
      </c>
      <c r="K30" s="17">
        <f>Adjustments!K752</f>
        <v>0</v>
      </c>
      <c r="L30" s="17">
        <f>Adjustments!L752</f>
        <v>0</v>
      </c>
      <c r="M30" s="17">
        <f>Adjustments!M752</f>
        <v>0</v>
      </c>
      <c r="N30" s="17">
        <f>Adjustments!N752</f>
        <v>0</v>
      </c>
      <c r="O30" s="17">
        <f>Adjustments!O752</f>
        <v>0</v>
      </c>
      <c r="P30" s="17">
        <f>Adjustments!P752</f>
        <v>0</v>
      </c>
      <c r="Q30" s="17">
        <f>Adjustments!Q752</f>
        <v>0</v>
      </c>
      <c r="R30" s="17">
        <f>Adjustments!R752</f>
        <v>0</v>
      </c>
      <c r="T30" s="17">
        <f>Adjustments!S752</f>
        <v>0</v>
      </c>
      <c r="U30" s="7"/>
    </row>
    <row r="31" spans="1:21">
      <c r="A31" s="20">
        <f t="shared" si="10"/>
        <v>20</v>
      </c>
      <c r="B31" s="15"/>
      <c r="C31" s="17"/>
      <c r="D31" s="17" t="s">
        <v>488</v>
      </c>
      <c r="E31" s="17"/>
      <c r="F31" s="17">
        <f>Adjustments!F805</f>
        <v>0</v>
      </c>
      <c r="G31" s="17">
        <f>Adjustments!G805</f>
        <v>0</v>
      </c>
      <c r="H31" s="17">
        <f>Adjustments!H805</f>
        <v>0</v>
      </c>
      <c r="I31" s="17">
        <f>Adjustments!I805</f>
        <v>0</v>
      </c>
      <c r="J31" s="17">
        <f>Adjustments!J805</f>
        <v>0</v>
      </c>
      <c r="K31" s="17">
        <f>Adjustments!K805</f>
        <v>0</v>
      </c>
      <c r="L31" s="17">
        <f>Adjustments!L805</f>
        <v>-1000511.2476272971</v>
      </c>
      <c r="M31" s="17">
        <f>Adjustments!M805</f>
        <v>0</v>
      </c>
      <c r="N31" s="17">
        <f>Adjustments!N805</f>
        <v>0</v>
      </c>
      <c r="O31" s="17">
        <f>Adjustments!O805</f>
        <v>0</v>
      </c>
      <c r="P31" s="17">
        <f>Adjustments!P805</f>
        <v>0</v>
      </c>
      <c r="Q31" s="17">
        <f>Adjustments!Q805</f>
        <v>0</v>
      </c>
      <c r="R31" s="17">
        <f>Adjustments!R805</f>
        <v>0</v>
      </c>
      <c r="T31" s="17">
        <f>Adjustments!S805</f>
        <v>-1000511.2476272971</v>
      </c>
      <c r="U31" s="7"/>
    </row>
    <row r="32" spans="1:21">
      <c r="A32" s="20">
        <f t="shared" si="10"/>
        <v>21</v>
      </c>
      <c r="B32" s="15"/>
      <c r="C32" s="17"/>
      <c r="D32" s="17" t="s">
        <v>489</v>
      </c>
      <c r="E32" s="17"/>
      <c r="F32" s="17">
        <f>Adjustments!F833</f>
        <v>0</v>
      </c>
      <c r="G32" s="17">
        <f>Adjustments!G833</f>
        <v>-20972049.120000001</v>
      </c>
      <c r="H32" s="17">
        <f>Adjustments!H833</f>
        <v>0</v>
      </c>
      <c r="I32" s="17">
        <f>Adjustments!I833</f>
        <v>0</v>
      </c>
      <c r="J32" s="17">
        <f>Adjustments!J833</f>
        <v>0</v>
      </c>
      <c r="K32" s="17">
        <f>Adjustments!K833</f>
        <v>0</v>
      </c>
      <c r="L32" s="17">
        <f>Adjustments!L833</f>
        <v>0</v>
      </c>
      <c r="M32" s="17">
        <f>Adjustments!M833</f>
        <v>0</v>
      </c>
      <c r="N32" s="17">
        <f>Adjustments!N833</f>
        <v>0</v>
      </c>
      <c r="O32" s="17">
        <f>Adjustments!O833</f>
        <v>-5896.3974999999991</v>
      </c>
      <c r="P32" s="17">
        <f>Adjustments!P833</f>
        <v>0</v>
      </c>
      <c r="Q32" s="17">
        <f>Adjustments!Q833</f>
        <v>0</v>
      </c>
      <c r="R32" s="17">
        <f>Adjustments!R833</f>
        <v>0</v>
      </c>
      <c r="T32" s="17">
        <f>Adjustments!S833</f>
        <v>-20977945.517500002</v>
      </c>
      <c r="U32" s="7"/>
    </row>
    <row r="33" spans="1:21" ht="13.5" thickBot="1">
      <c r="A33" s="20">
        <f t="shared" si="10"/>
        <v>22</v>
      </c>
      <c r="B33" s="15"/>
      <c r="C33" s="17"/>
      <c r="D33" s="17" t="s">
        <v>490</v>
      </c>
      <c r="E33" s="17"/>
      <c r="F33" s="17">
        <f>Adjustments!F889</f>
        <v>0</v>
      </c>
      <c r="G33" s="17">
        <f>Adjustments!G889</f>
        <v>0</v>
      </c>
      <c r="H33" s="17">
        <f>Adjustments!H889</f>
        <v>0</v>
      </c>
      <c r="I33" s="17">
        <f>Adjustments!I889</f>
        <v>0</v>
      </c>
      <c r="J33" s="17">
        <f>Adjustments!J889</f>
        <v>7601327</v>
      </c>
      <c r="K33" s="17">
        <f>Adjustments!K889</f>
        <v>19706988.559999999</v>
      </c>
      <c r="L33" s="17">
        <f>Adjustments!L889</f>
        <v>0</v>
      </c>
      <c r="M33" s="17">
        <f>Adjustments!M889</f>
        <v>-1085729.9009643851</v>
      </c>
      <c r="N33" s="17">
        <f>Adjustments!N889</f>
        <v>0</v>
      </c>
      <c r="O33" s="17">
        <f>Adjustments!O889</f>
        <v>0</v>
      </c>
      <c r="P33" s="17">
        <f ca="1">Adjustments!P889</f>
        <v>-186415.64848199999</v>
      </c>
      <c r="Q33" s="17">
        <f>Adjustments!Q889</f>
        <v>-4667</v>
      </c>
      <c r="R33" s="17">
        <f>Adjustments!R889</f>
        <v>2669523.4140752926</v>
      </c>
      <c r="T33" s="17">
        <f ca="1">Adjustments!S889</f>
        <v>28701026.424628906</v>
      </c>
      <c r="U33" s="7"/>
    </row>
    <row r="34" spans="1:21">
      <c r="A34" s="20">
        <f t="shared" si="10"/>
        <v>23</v>
      </c>
      <c r="B34" s="15"/>
      <c r="C34" s="17"/>
      <c r="D34" s="17" t="s">
        <v>491</v>
      </c>
      <c r="E34" s="17"/>
      <c r="F34" s="25">
        <f>SUM(F29:F33)</f>
        <v>0</v>
      </c>
      <c r="G34" s="25">
        <f t="shared" ref="G34:H34" si="11">SUM(G29:G33)</f>
        <v>-20972049.120000001</v>
      </c>
      <c r="H34" s="25">
        <f t="shared" si="11"/>
        <v>0</v>
      </c>
      <c r="I34" s="25">
        <f t="shared" ref="I34:J34" si="12">SUM(I29:I33)</f>
        <v>0</v>
      </c>
      <c r="J34" s="25">
        <f t="shared" si="12"/>
        <v>7601327</v>
      </c>
      <c r="K34" s="25">
        <f t="shared" ref="K34:R34" si="13">SUM(K29:K33)</f>
        <v>19706988.559999999</v>
      </c>
      <c r="L34" s="25">
        <f t="shared" si="13"/>
        <v>-1000511.2476272971</v>
      </c>
      <c r="M34" s="25">
        <f t="shared" si="13"/>
        <v>-1085729.9009643851</v>
      </c>
      <c r="N34" s="25">
        <f t="shared" si="13"/>
        <v>0</v>
      </c>
      <c r="O34" s="25">
        <f t="shared" si="13"/>
        <v>-5896.3974999999991</v>
      </c>
      <c r="P34" s="25">
        <f t="shared" ca="1" si="13"/>
        <v>-186415.64848199999</v>
      </c>
      <c r="Q34" s="25">
        <f t="shared" si="13"/>
        <v>-4667</v>
      </c>
      <c r="R34" s="25">
        <f t="shared" si="13"/>
        <v>2669523.4140752926</v>
      </c>
      <c r="T34" s="25">
        <f ca="1">SUM(T29:T33)</f>
        <v>6722569.6595016085</v>
      </c>
      <c r="U34" s="7"/>
    </row>
    <row r="35" spans="1:21">
      <c r="A35" s="20"/>
      <c r="B35" s="15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T35" s="17"/>
      <c r="U35" s="7"/>
    </row>
    <row r="36" spans="1:21">
      <c r="A36" s="20">
        <f>+A34+1</f>
        <v>24</v>
      </c>
      <c r="B36" s="15"/>
      <c r="C36" s="17" t="s">
        <v>492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T36" s="17"/>
      <c r="U36" s="7"/>
    </row>
    <row r="37" spans="1:21">
      <c r="A37" s="20">
        <f>+A36+1</f>
        <v>25</v>
      </c>
      <c r="B37" s="15"/>
      <c r="C37" s="17"/>
      <c r="D37" s="17" t="s">
        <v>451</v>
      </c>
      <c r="E37" s="17"/>
      <c r="F37" s="17">
        <f>Adjustments!F913</f>
        <v>0</v>
      </c>
      <c r="G37" s="17">
        <f>Adjustments!G913</f>
        <v>0</v>
      </c>
      <c r="H37" s="17">
        <f>Adjustments!H913</f>
        <v>0</v>
      </c>
      <c r="I37" s="17">
        <f>Adjustments!I913</f>
        <v>0</v>
      </c>
      <c r="J37" s="17">
        <f>Adjustments!J913</f>
        <v>0</v>
      </c>
      <c r="K37" s="17">
        <f>Adjustments!K913</f>
        <v>0</v>
      </c>
      <c r="L37" s="17">
        <f>Adjustments!L913</f>
        <v>0</v>
      </c>
      <c r="M37" s="17">
        <f>Adjustments!M913</f>
        <v>0</v>
      </c>
      <c r="N37" s="17">
        <f>Adjustments!N913</f>
        <v>0</v>
      </c>
      <c r="O37" s="17">
        <f>Adjustments!O913</f>
        <v>0</v>
      </c>
      <c r="P37" s="17">
        <f>Adjustments!P913</f>
        <v>0</v>
      </c>
      <c r="Q37" s="17">
        <f>Adjustments!Q913</f>
        <v>0</v>
      </c>
      <c r="R37" s="17">
        <f>Adjustments!R913</f>
        <v>0</v>
      </c>
      <c r="T37" s="17">
        <f>Adjustments!S913</f>
        <v>0</v>
      </c>
      <c r="U37" s="7"/>
    </row>
    <row r="38" spans="1:21">
      <c r="A38" s="20">
        <f>+A37+1</f>
        <v>26</v>
      </c>
      <c r="B38" s="15"/>
      <c r="C38" s="17"/>
      <c r="D38" s="17" t="s">
        <v>588</v>
      </c>
      <c r="E38" s="17"/>
      <c r="F38" s="17">
        <f>Adjustments!F921</f>
        <v>0</v>
      </c>
      <c r="G38" s="17">
        <f>Adjustments!G921</f>
        <v>0</v>
      </c>
      <c r="H38" s="17">
        <f>Adjustments!H921</f>
        <v>0</v>
      </c>
      <c r="I38" s="17">
        <f>Adjustments!I921</f>
        <v>0</v>
      </c>
      <c r="J38" s="17">
        <f>Adjustments!J921</f>
        <v>0</v>
      </c>
      <c r="K38" s="17">
        <f>Adjustments!K921</f>
        <v>0</v>
      </c>
      <c r="L38" s="17">
        <f>Adjustments!L921</f>
        <v>0</v>
      </c>
      <c r="M38" s="17">
        <f>Adjustments!M921</f>
        <v>0</v>
      </c>
      <c r="N38" s="17">
        <f>Adjustments!N921</f>
        <v>0</v>
      </c>
      <c r="O38" s="17">
        <f>Adjustments!O921</f>
        <v>0</v>
      </c>
      <c r="P38" s="17">
        <f>Adjustments!P921</f>
        <v>0</v>
      </c>
      <c r="Q38" s="17">
        <f>Adjustments!Q921</f>
        <v>0</v>
      </c>
      <c r="R38" s="17">
        <f>Adjustments!R921</f>
        <v>0</v>
      </c>
      <c r="T38" s="17">
        <f>Adjustments!S921</f>
        <v>0</v>
      </c>
      <c r="U38" s="7"/>
    </row>
    <row r="39" spans="1:21" ht="13.5" thickBot="1">
      <c r="A39" s="20">
        <f>+A38+1</f>
        <v>27</v>
      </c>
      <c r="B39" s="15"/>
      <c r="C39" s="17"/>
      <c r="D39" s="17" t="s">
        <v>590</v>
      </c>
      <c r="E39" s="17"/>
      <c r="F39" s="17">
        <f>Adjustments!F923+Adjustments!F925+Adjustments!F927+Adjustments!F929</f>
        <v>0</v>
      </c>
      <c r="G39" s="17">
        <f>Adjustments!G923+Adjustments!G925+Adjustments!G927+Adjustments!G929</f>
        <v>0</v>
      </c>
      <c r="H39" s="17">
        <f>Adjustments!H923+Adjustments!H925+Adjustments!H927+Adjustments!H929</f>
        <v>0</v>
      </c>
      <c r="I39" s="17">
        <f>Adjustments!I923+Adjustments!I925+Adjustments!I927+Adjustments!I929</f>
        <v>0</v>
      </c>
      <c r="J39" s="17">
        <f>Adjustments!J923+Adjustments!J925+Adjustments!J927+Adjustments!J929</f>
        <v>-2895304.1410877551</v>
      </c>
      <c r="K39" s="17">
        <f>Adjustments!K923+Adjustments!K925+Adjustments!K927+Adjustments!K929</f>
        <v>-7506284.8350211764</v>
      </c>
      <c r="L39" s="17">
        <f>Adjustments!L923+Adjustments!L925+Adjustments!L927+Adjustments!L929</f>
        <v>381089.2964426066</v>
      </c>
      <c r="M39" s="17">
        <f>Adjustments!M923+Adjustments!M925+Adjustments!M927+Adjustments!M929</f>
        <v>413548.61833532259</v>
      </c>
      <c r="N39" s="17">
        <f>Adjustments!N923+Adjustments!N925+Adjustments!N927+Adjustments!N929</f>
        <v>0</v>
      </c>
      <c r="O39" s="17">
        <f>Adjustments!O923+Adjustments!O925+Adjustments!O927+Adjustments!O929</f>
        <v>2245.9057608295871</v>
      </c>
      <c r="P39" s="17">
        <f ca="1">Adjustments!P923+Adjustments!P925+Adjustments!P927+Adjustments!P929</f>
        <v>71004.707337744301</v>
      </c>
      <c r="Q39" s="17">
        <f>Adjustments!Q923+Adjustments!Q925+Adjustments!Q927+Adjustments!Q929</f>
        <v>1777.634934855</v>
      </c>
      <c r="R39" s="17">
        <f>Adjustments!R923+Adjustments!R925+Adjustments!R927+Adjustments!R929</f>
        <v>-1016806.9595615235</v>
      </c>
      <c r="T39" s="17">
        <f ca="1">Adjustments!S923+Adjustments!S925+Adjustments!S927+Adjustments!S929</f>
        <v>-10548729.772859093</v>
      </c>
      <c r="U39" s="7"/>
    </row>
    <row r="40" spans="1:21">
      <c r="A40" s="20">
        <f>+A39+1</f>
        <v>28</v>
      </c>
      <c r="B40" s="15"/>
      <c r="C40" s="17"/>
      <c r="D40" s="17" t="s">
        <v>499</v>
      </c>
      <c r="E40" s="17"/>
      <c r="F40" s="25">
        <f>SUM(F37:F39)</f>
        <v>0</v>
      </c>
      <c r="G40" s="25">
        <f t="shared" ref="G40:H40" si="14">SUM(G37:G39)</f>
        <v>0</v>
      </c>
      <c r="H40" s="25">
        <f t="shared" si="14"/>
        <v>0</v>
      </c>
      <c r="I40" s="25">
        <f t="shared" ref="I40:J40" si="15">SUM(I37:I39)</f>
        <v>0</v>
      </c>
      <c r="J40" s="25">
        <f t="shared" si="15"/>
        <v>-2895304.1410877551</v>
      </c>
      <c r="K40" s="25">
        <f t="shared" ref="K40:R40" si="16">SUM(K37:K39)</f>
        <v>-7506284.8350211764</v>
      </c>
      <c r="L40" s="25">
        <f t="shared" si="16"/>
        <v>381089.2964426066</v>
      </c>
      <c r="M40" s="25">
        <f t="shared" si="16"/>
        <v>413548.61833532259</v>
      </c>
      <c r="N40" s="25">
        <f t="shared" si="16"/>
        <v>0</v>
      </c>
      <c r="O40" s="25">
        <f t="shared" si="16"/>
        <v>2245.9057608295871</v>
      </c>
      <c r="P40" s="25">
        <f t="shared" ca="1" si="16"/>
        <v>71004.707337744301</v>
      </c>
      <c r="Q40" s="25">
        <f t="shared" si="16"/>
        <v>1777.634934855</v>
      </c>
      <c r="R40" s="25">
        <f t="shared" si="16"/>
        <v>-1016806.9595615235</v>
      </c>
      <c r="T40" s="25">
        <f ca="1">SUM(T37:T39)</f>
        <v>-10548729.772859093</v>
      </c>
      <c r="U40" s="7"/>
    </row>
    <row r="41" spans="1:21" ht="6.95" customHeight="1" thickBot="1">
      <c r="A41" s="20"/>
      <c r="B41" s="15"/>
      <c r="C41" s="17"/>
      <c r="D41" s="17"/>
      <c r="E41" s="1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T41" s="26"/>
      <c r="U41" s="7"/>
    </row>
    <row r="42" spans="1:21" ht="6.95" customHeight="1" thickTop="1">
      <c r="A42" s="20"/>
      <c r="B42" s="15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T42" s="17"/>
      <c r="U42" s="7"/>
    </row>
    <row r="43" spans="1:21">
      <c r="A43" s="20">
        <f>+A40+1</f>
        <v>29</v>
      </c>
      <c r="B43" s="15"/>
      <c r="C43" s="15" t="s">
        <v>500</v>
      </c>
      <c r="D43" s="17"/>
      <c r="E43" s="17"/>
      <c r="F43" s="17">
        <f>+F22+F26+F34+F40</f>
        <v>0</v>
      </c>
      <c r="G43" s="17">
        <f t="shared" ref="G43:H43" si="17">+G22+G26+G34+G40</f>
        <v>-20972049.120000001</v>
      </c>
      <c r="H43" s="17">
        <f t="shared" si="17"/>
        <v>0</v>
      </c>
      <c r="I43" s="17">
        <f t="shared" ref="I43:J43" si="18">+I22+I26+I34+I40</f>
        <v>0</v>
      </c>
      <c r="J43" s="17">
        <f t="shared" si="18"/>
        <v>4706022.8589122444</v>
      </c>
      <c r="K43" s="17">
        <f t="shared" ref="K43:R43" si="19">+K22+K26+K34+K40</f>
        <v>12200703.724978823</v>
      </c>
      <c r="L43" s="17">
        <f t="shared" si="19"/>
        <v>-619421.95118469046</v>
      </c>
      <c r="M43" s="17">
        <f t="shared" si="19"/>
        <v>-672181.28262906254</v>
      </c>
      <c r="N43" s="17">
        <f t="shared" si="19"/>
        <v>0</v>
      </c>
      <c r="O43" s="17">
        <f t="shared" si="19"/>
        <v>-3650.4917391704121</v>
      </c>
      <c r="P43" s="17">
        <f t="shared" ca="1" si="19"/>
        <v>-115410.94114425569</v>
      </c>
      <c r="Q43" s="17">
        <f t="shared" si="19"/>
        <v>-2889.3650651449998</v>
      </c>
      <c r="R43" s="17">
        <f t="shared" si="19"/>
        <v>1652716.4545137691</v>
      </c>
      <c r="T43" s="17">
        <f ca="1">+T22+T26+T34+T40</f>
        <v>-3826160.1133574843</v>
      </c>
      <c r="U43" s="7"/>
    </row>
    <row r="44" spans="1:21" ht="6.95" customHeight="1" thickBot="1">
      <c r="A44" s="20"/>
      <c r="B44" s="15"/>
      <c r="C44" s="17"/>
      <c r="D44" s="17"/>
      <c r="E44" s="17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T44" s="26"/>
      <c r="U44" s="7"/>
    </row>
    <row r="45" spans="1:21" ht="6.95" customHeight="1" thickTop="1">
      <c r="A45" s="20"/>
      <c r="B45" s="15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T45" s="17"/>
      <c r="U45" s="7"/>
    </row>
    <row r="46" spans="1:21">
      <c r="A46" s="20">
        <f>+A43+1</f>
        <v>30</v>
      </c>
      <c r="B46" s="15" t="s">
        <v>501</v>
      </c>
      <c r="C46" s="17"/>
      <c r="D46" s="17"/>
      <c r="E46" s="17"/>
      <c r="F46" s="17">
        <f>+F16-F43</f>
        <v>0</v>
      </c>
      <c r="G46" s="17">
        <f t="shared" ref="G46:H46" si="20">+G16-G43</f>
        <v>0</v>
      </c>
      <c r="H46" s="17">
        <f t="shared" si="20"/>
        <v>0</v>
      </c>
      <c r="I46" s="17">
        <f t="shared" ref="I46:J46" si="21">+I16-I43</f>
        <v>0</v>
      </c>
      <c r="J46" s="17">
        <f t="shared" si="21"/>
        <v>-4706022.8589122444</v>
      </c>
      <c r="K46" s="17">
        <f t="shared" ref="K46:R46" si="22">+K16-K43</f>
        <v>-12200703.724978823</v>
      </c>
      <c r="L46" s="17">
        <f t="shared" si="22"/>
        <v>619421.95118469046</v>
      </c>
      <c r="M46" s="17">
        <f t="shared" si="22"/>
        <v>672181.28262906254</v>
      </c>
      <c r="N46" s="17">
        <f t="shared" si="22"/>
        <v>0</v>
      </c>
      <c r="O46" s="17">
        <f t="shared" si="22"/>
        <v>3650.4917391704121</v>
      </c>
      <c r="P46" s="17">
        <f t="shared" ca="1" si="22"/>
        <v>115410.94114425569</v>
      </c>
      <c r="Q46" s="17">
        <f t="shared" si="22"/>
        <v>2889.3650651449998</v>
      </c>
      <c r="R46" s="17">
        <f t="shared" si="22"/>
        <v>-1652716.4545137691</v>
      </c>
      <c r="T46" s="17">
        <f ca="1">+T16-T43</f>
        <v>-17145889.006642517</v>
      </c>
      <c r="U46" s="7"/>
    </row>
    <row r="47" spans="1:21" ht="13.5" thickBot="1">
      <c r="A47" s="20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T47" s="175"/>
    </row>
    <row r="48" spans="1:21">
      <c r="A48" s="20"/>
    </row>
    <row r="49" spans="1:21">
      <c r="A49" s="20">
        <f>+A46+1</f>
        <v>31</v>
      </c>
      <c r="B49" s="367" t="s">
        <v>171</v>
      </c>
      <c r="C49" s="367"/>
      <c r="D49" s="367"/>
      <c r="E49" s="36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T49" s="17"/>
    </row>
    <row r="50" spans="1:21">
      <c r="A50" s="20"/>
      <c r="B50" s="19"/>
      <c r="C50" s="19"/>
      <c r="D50" s="19"/>
      <c r="E50" s="19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T50" s="17"/>
    </row>
    <row r="51" spans="1:21">
      <c r="A51" s="20">
        <f>+A49+1</f>
        <v>32</v>
      </c>
      <c r="B51" s="15" t="s">
        <v>276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T51" s="17"/>
    </row>
    <row r="52" spans="1:21">
      <c r="A52" s="20">
        <f t="shared" ref="A52:A58" si="23">+A51+1</f>
        <v>33</v>
      </c>
      <c r="C52" s="16">
        <v>101</v>
      </c>
      <c r="D52" s="17" t="s">
        <v>284</v>
      </c>
      <c r="E52" s="17"/>
      <c r="F52" s="17">
        <f>Adjustments!F1082</f>
        <v>-93089835.190000102</v>
      </c>
      <c r="G52" s="17">
        <f>Adjustments!G1082</f>
        <v>0</v>
      </c>
      <c r="H52" s="17">
        <f>Adjustments!H1082</f>
        <v>0</v>
      </c>
      <c r="I52" s="17">
        <f>Adjustments!I1082</f>
        <v>-5037992.5680000009</v>
      </c>
      <c r="J52" s="17">
        <f>Adjustments!J1082</f>
        <v>0</v>
      </c>
      <c r="K52" s="17">
        <f>Adjustments!K1082</f>
        <v>0</v>
      </c>
      <c r="L52" s="17">
        <f>Adjustments!L1082</f>
        <v>0</v>
      </c>
      <c r="M52" s="17">
        <f>Adjustments!M1082</f>
        <v>0</v>
      </c>
      <c r="N52" s="17">
        <f>Adjustments!N1082</f>
        <v>0</v>
      </c>
      <c r="O52" s="17">
        <f>Adjustments!O1082</f>
        <v>0</v>
      </c>
      <c r="P52" s="17">
        <f>Adjustments!P1082</f>
        <v>0</v>
      </c>
      <c r="Q52" s="17">
        <f>Adjustments!Q1082</f>
        <v>0</v>
      </c>
      <c r="R52" s="17">
        <f>Adjustments!R1082</f>
        <v>0</v>
      </c>
      <c r="T52" s="17">
        <f>Adjustments!S1082</f>
        <v>-98127827.758000106</v>
      </c>
      <c r="U52" s="7"/>
    </row>
    <row r="53" spans="1:21">
      <c r="A53" s="20">
        <f t="shared" si="23"/>
        <v>34</v>
      </c>
      <c r="C53" s="16">
        <v>105</v>
      </c>
      <c r="D53" s="17" t="s">
        <v>285</v>
      </c>
      <c r="E53" s="17"/>
      <c r="F53" s="17">
        <f>Adjustments!F1086</f>
        <v>0</v>
      </c>
      <c r="G53" s="17">
        <f>Adjustments!G1086</f>
        <v>0</v>
      </c>
      <c r="H53" s="17">
        <f>Adjustments!H1086</f>
        <v>0</v>
      </c>
      <c r="I53" s="17">
        <f>Adjustments!I1086</f>
        <v>0</v>
      </c>
      <c r="J53" s="17">
        <f>Adjustments!J1086</f>
        <v>0</v>
      </c>
      <c r="K53" s="17">
        <f>Adjustments!K1086</f>
        <v>0</v>
      </c>
      <c r="L53" s="17">
        <f>Adjustments!L1086</f>
        <v>0</v>
      </c>
      <c r="M53" s="17">
        <f>Adjustments!M1086</f>
        <v>0</v>
      </c>
      <c r="N53" s="17">
        <f>Adjustments!N1086</f>
        <v>0</v>
      </c>
      <c r="O53" s="17">
        <f>Adjustments!O1086</f>
        <v>0</v>
      </c>
      <c r="P53" s="17">
        <f>Adjustments!P1086</f>
        <v>0</v>
      </c>
      <c r="Q53" s="17">
        <f>Adjustments!Q1086</f>
        <v>0</v>
      </c>
      <c r="R53" s="17">
        <f>Adjustments!R1086</f>
        <v>0</v>
      </c>
      <c r="T53" s="17">
        <f>Adjustments!S1086</f>
        <v>0</v>
      </c>
      <c r="U53" s="7"/>
    </row>
    <row r="54" spans="1:21">
      <c r="A54" s="20">
        <f t="shared" si="23"/>
        <v>35</v>
      </c>
      <c r="C54" s="16">
        <v>106</v>
      </c>
      <c r="D54" s="17" t="s">
        <v>503</v>
      </c>
      <c r="E54" s="17"/>
      <c r="F54" s="17">
        <f>Adjustments!F1093</f>
        <v>-11186061.967666671</v>
      </c>
      <c r="G54" s="17">
        <f>Adjustments!G1093</f>
        <v>0</v>
      </c>
      <c r="H54" s="17">
        <f>Adjustments!H1093</f>
        <v>0</v>
      </c>
      <c r="I54" s="17">
        <f>Adjustments!I1093</f>
        <v>0</v>
      </c>
      <c r="J54" s="17">
        <f>Adjustments!J1093</f>
        <v>0</v>
      </c>
      <c r="K54" s="17">
        <f>Adjustments!K1093</f>
        <v>0</v>
      </c>
      <c r="L54" s="17">
        <f>Adjustments!L1093</f>
        <v>0</v>
      </c>
      <c r="M54" s="17">
        <f>Adjustments!M1093</f>
        <v>0</v>
      </c>
      <c r="N54" s="17">
        <f>Adjustments!N1093</f>
        <v>0</v>
      </c>
      <c r="O54" s="17">
        <f>Adjustments!O1093</f>
        <v>0</v>
      </c>
      <c r="P54" s="17">
        <f>Adjustments!P1093</f>
        <v>0</v>
      </c>
      <c r="Q54" s="17">
        <f>Adjustments!Q1093</f>
        <v>0</v>
      </c>
      <c r="R54" s="17">
        <f>Adjustments!R1093</f>
        <v>0</v>
      </c>
      <c r="T54" s="17">
        <f>Adjustments!S1093</f>
        <v>-11186061.967666671</v>
      </c>
      <c r="U54" s="7"/>
    </row>
    <row r="55" spans="1:21">
      <c r="A55" s="20">
        <f t="shared" si="23"/>
        <v>36</v>
      </c>
      <c r="C55" s="16">
        <v>108</v>
      </c>
      <c r="D55" s="17" t="s">
        <v>508</v>
      </c>
      <c r="E55" s="17"/>
      <c r="F55" s="17">
        <f>Adjustments!F1100</f>
        <v>13381269.619166654</v>
      </c>
      <c r="G55" s="17">
        <f>Adjustments!G1100</f>
        <v>0</v>
      </c>
      <c r="H55" s="17">
        <f>Adjustments!H1100</f>
        <v>0</v>
      </c>
      <c r="I55" s="17">
        <f>Adjustments!I1100</f>
        <v>4363257.5729400013</v>
      </c>
      <c r="J55" s="17">
        <f>Adjustments!J1100</f>
        <v>0</v>
      </c>
      <c r="K55" s="17">
        <f>Adjustments!K1100</f>
        <v>0</v>
      </c>
      <c r="L55" s="17">
        <f>Adjustments!L1100</f>
        <v>0</v>
      </c>
      <c r="M55" s="17">
        <f>Adjustments!M1100</f>
        <v>0</v>
      </c>
      <c r="N55" s="17">
        <f>Adjustments!N1100</f>
        <v>0</v>
      </c>
      <c r="O55" s="17">
        <f>Adjustments!O1100</f>
        <v>0</v>
      </c>
      <c r="P55" s="17">
        <f>Adjustments!P1100</f>
        <v>0</v>
      </c>
      <c r="Q55" s="17">
        <f>Adjustments!Q1100</f>
        <v>0</v>
      </c>
      <c r="R55" s="17">
        <f>Adjustments!R1100</f>
        <v>0</v>
      </c>
      <c r="T55" s="17">
        <f>Adjustments!S1100</f>
        <v>17744527.192106657</v>
      </c>
      <c r="U55" s="7"/>
    </row>
    <row r="56" spans="1:21">
      <c r="A56" s="20">
        <f t="shared" si="23"/>
        <v>37</v>
      </c>
      <c r="C56" s="16">
        <v>111</v>
      </c>
      <c r="D56" s="17" t="s">
        <v>509</v>
      </c>
      <c r="E56" s="17"/>
      <c r="F56" s="17">
        <f>Adjustments!F1107</f>
        <v>8395.53125</v>
      </c>
      <c r="G56" s="17">
        <f>Adjustments!G1107</f>
        <v>0</v>
      </c>
      <c r="H56" s="17">
        <f>Adjustments!H1107</f>
        <v>0</v>
      </c>
      <c r="I56" s="17">
        <f>Adjustments!I1107</f>
        <v>386938.51111125003</v>
      </c>
      <c r="J56" s="17">
        <f>Adjustments!J1107</f>
        <v>0</v>
      </c>
      <c r="K56" s="17">
        <f>Adjustments!K1107</f>
        <v>0</v>
      </c>
      <c r="L56" s="17">
        <f>Adjustments!L1107</f>
        <v>0</v>
      </c>
      <c r="M56" s="17">
        <f>Adjustments!M1107</f>
        <v>0</v>
      </c>
      <c r="N56" s="17">
        <f>Adjustments!N1107</f>
        <v>0</v>
      </c>
      <c r="O56" s="17">
        <f>Adjustments!O1107</f>
        <v>0</v>
      </c>
      <c r="P56" s="17">
        <f>Adjustments!P1107</f>
        <v>0</v>
      </c>
      <c r="Q56" s="17">
        <f>Adjustments!Q1107</f>
        <v>0</v>
      </c>
      <c r="R56" s="17">
        <f>Adjustments!R1107</f>
        <v>0</v>
      </c>
      <c r="T56" s="17">
        <f>Adjustments!S1107</f>
        <v>395334.04236125003</v>
      </c>
      <c r="U56" s="7"/>
    </row>
    <row r="57" spans="1:21" ht="13.5" thickBot="1">
      <c r="A57" s="20">
        <f t="shared" si="23"/>
        <v>38</v>
      </c>
      <c r="C57" s="16">
        <v>254</v>
      </c>
      <c r="D57" s="355" t="s">
        <v>1112</v>
      </c>
      <c r="E57" s="17"/>
      <c r="F57" s="17">
        <f>Adjustments!F1114</f>
        <v>234822088.63916662</v>
      </c>
      <c r="G57" s="17">
        <f>Adjustments!G1114</f>
        <v>0</v>
      </c>
      <c r="H57" s="17">
        <f>Adjustments!H1114</f>
        <v>0</v>
      </c>
      <c r="I57" s="17">
        <f>Adjustments!I1114</f>
        <v>0</v>
      </c>
      <c r="J57" s="17">
        <f>Adjustments!J1114</f>
        <v>0</v>
      </c>
      <c r="K57" s="17">
        <f>Adjustments!K1114</f>
        <v>0</v>
      </c>
      <c r="L57" s="17">
        <f>Adjustments!L1114</f>
        <v>0</v>
      </c>
      <c r="M57" s="17">
        <f>Adjustments!M1114</f>
        <v>0</v>
      </c>
      <c r="N57" s="17">
        <f>Adjustments!N1114</f>
        <v>0</v>
      </c>
      <c r="O57" s="17">
        <f>Adjustments!O1114</f>
        <v>0</v>
      </c>
      <c r="P57" s="17">
        <f>Adjustments!P1114</f>
        <v>0</v>
      </c>
      <c r="Q57" s="17">
        <f>Adjustments!Q1114</f>
        <v>0</v>
      </c>
      <c r="R57" s="17">
        <f>Adjustments!R1114</f>
        <v>0</v>
      </c>
      <c r="T57" s="17">
        <f>Adjustments!S1114</f>
        <v>234822088.63916662</v>
      </c>
      <c r="U57" s="7"/>
    </row>
    <row r="58" spans="1:21">
      <c r="A58" s="20">
        <f t="shared" si="23"/>
        <v>39</v>
      </c>
      <c r="C58" s="28" t="s">
        <v>172</v>
      </c>
      <c r="D58" s="17"/>
      <c r="E58" s="17"/>
      <c r="F58" s="25">
        <f>SUM(F52:F57)</f>
        <v>143935856.63191652</v>
      </c>
      <c r="G58" s="25">
        <f t="shared" ref="G58:H58" si="24">SUM(G52:G57)</f>
        <v>0</v>
      </c>
      <c r="H58" s="25">
        <f t="shared" si="24"/>
        <v>0</v>
      </c>
      <c r="I58" s="25">
        <f t="shared" ref="I58:J58" si="25">SUM(I52:I57)</f>
        <v>-287796.48394874961</v>
      </c>
      <c r="J58" s="25">
        <f t="shared" si="25"/>
        <v>0</v>
      </c>
      <c r="K58" s="25">
        <f t="shared" ref="K58:R58" si="26">SUM(K52:K57)</f>
        <v>0</v>
      </c>
      <c r="L58" s="25">
        <f t="shared" si="26"/>
        <v>0</v>
      </c>
      <c r="M58" s="25">
        <f t="shared" si="26"/>
        <v>0</v>
      </c>
      <c r="N58" s="25">
        <f t="shared" si="26"/>
        <v>0</v>
      </c>
      <c r="O58" s="25">
        <f t="shared" si="26"/>
        <v>0</v>
      </c>
      <c r="P58" s="25">
        <f t="shared" si="26"/>
        <v>0</v>
      </c>
      <c r="Q58" s="25">
        <f t="shared" si="26"/>
        <v>0</v>
      </c>
      <c r="R58" s="25">
        <f t="shared" si="26"/>
        <v>0</v>
      </c>
      <c r="T58" s="25">
        <f>SUM(T52:T57)</f>
        <v>143648060.14796776</v>
      </c>
    </row>
    <row r="59" spans="1:21">
      <c r="A59" s="20"/>
      <c r="B59" s="2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T59" s="17"/>
    </row>
    <row r="60" spans="1:21">
      <c r="A60" s="20">
        <f>+A58+1</f>
        <v>40</v>
      </c>
      <c r="B60" s="15" t="s">
        <v>176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T60" s="17"/>
    </row>
    <row r="61" spans="1:21">
      <c r="A61" s="20">
        <f t="shared" ref="A61:A71" si="27">+A60+1</f>
        <v>41</v>
      </c>
      <c r="C61" s="16">
        <v>154</v>
      </c>
      <c r="D61" s="17" t="s">
        <v>504</v>
      </c>
      <c r="E61" s="17"/>
      <c r="F61" s="17">
        <f>Adjustments!F1132</f>
        <v>738593.95083332947</v>
      </c>
      <c r="G61" s="17">
        <f>Adjustments!G1132</f>
        <v>0</v>
      </c>
      <c r="H61" s="17">
        <f>Adjustments!H1132</f>
        <v>0</v>
      </c>
      <c r="I61" s="17">
        <f>Adjustments!I1132</f>
        <v>0</v>
      </c>
      <c r="J61" s="17">
        <f>Adjustments!J1132</f>
        <v>0</v>
      </c>
      <c r="K61" s="17">
        <f>Adjustments!K1132</f>
        <v>0</v>
      </c>
      <c r="L61" s="17">
        <f>Adjustments!L1132</f>
        <v>0</v>
      </c>
      <c r="M61" s="17">
        <f>Adjustments!M1132</f>
        <v>0</v>
      </c>
      <c r="N61" s="17">
        <f>Adjustments!N1132</f>
        <v>0</v>
      </c>
      <c r="O61" s="17">
        <f>Adjustments!O1132</f>
        <v>0</v>
      </c>
      <c r="P61" s="17">
        <f>Adjustments!P1132</f>
        <v>0</v>
      </c>
      <c r="Q61" s="17">
        <f>Adjustments!Q1132</f>
        <v>0</v>
      </c>
      <c r="R61" s="17">
        <f>Adjustments!R1132</f>
        <v>0</v>
      </c>
      <c r="T61" s="17">
        <f>Adjustments!S1132</f>
        <v>738593.95083332947</v>
      </c>
      <c r="U61" s="7"/>
    </row>
    <row r="62" spans="1:21">
      <c r="A62" s="20">
        <f t="shared" si="27"/>
        <v>42</v>
      </c>
      <c r="C62" s="16" t="s">
        <v>529</v>
      </c>
      <c r="D62" s="17" t="s">
        <v>295</v>
      </c>
      <c r="E62" s="17"/>
      <c r="F62" s="17">
        <f>Adjustments!F1136</f>
        <v>0</v>
      </c>
      <c r="G62" s="17">
        <f>Adjustments!G1136</f>
        <v>0</v>
      </c>
      <c r="H62" s="17">
        <f>Adjustments!H1136</f>
        <v>-52891066.75</v>
      </c>
      <c r="I62" s="17">
        <f>Adjustments!I1136</f>
        <v>0</v>
      </c>
      <c r="J62" s="17">
        <f>Adjustments!J1136</f>
        <v>0</v>
      </c>
      <c r="K62" s="17">
        <f>Adjustments!K1136</f>
        <v>0</v>
      </c>
      <c r="L62" s="17">
        <f>Adjustments!L1136</f>
        <v>0</v>
      </c>
      <c r="M62" s="17">
        <f>Adjustments!M1136</f>
        <v>0</v>
      </c>
      <c r="N62" s="17">
        <f>Adjustments!N1136</f>
        <v>0</v>
      </c>
      <c r="O62" s="17">
        <f>Adjustments!O1136</f>
        <v>0</v>
      </c>
      <c r="P62" s="17">
        <f>Adjustments!P1136</f>
        <v>0</v>
      </c>
      <c r="Q62" s="17">
        <f>Adjustments!Q1136</f>
        <v>0</v>
      </c>
      <c r="R62" s="17">
        <f>Adjustments!R1136</f>
        <v>0</v>
      </c>
      <c r="T62" s="17">
        <f>Adjustments!S1136</f>
        <v>-52891066.75</v>
      </c>
      <c r="U62" s="7"/>
    </row>
    <row r="63" spans="1:21">
      <c r="A63" s="20">
        <f t="shared" si="27"/>
        <v>43</v>
      </c>
      <c r="C63" s="16">
        <v>165</v>
      </c>
      <c r="D63" s="17" t="s">
        <v>296</v>
      </c>
      <c r="E63" s="17"/>
      <c r="F63" s="17">
        <f>Adjustments!F1140</f>
        <v>-276003.70500000007</v>
      </c>
      <c r="G63" s="17">
        <f>Adjustments!G1140</f>
        <v>0</v>
      </c>
      <c r="H63" s="17">
        <f>Adjustments!H1140</f>
        <v>0</v>
      </c>
      <c r="I63" s="17">
        <f>Adjustments!I1140</f>
        <v>0</v>
      </c>
      <c r="J63" s="17">
        <f>Adjustments!J1140</f>
        <v>0</v>
      </c>
      <c r="K63" s="17">
        <f>Adjustments!K1140</f>
        <v>0</v>
      </c>
      <c r="L63" s="17">
        <f>Adjustments!L1140</f>
        <v>0</v>
      </c>
      <c r="M63" s="17">
        <f>Adjustments!M1140</f>
        <v>0</v>
      </c>
      <c r="N63" s="17">
        <f>Adjustments!N1140</f>
        <v>0</v>
      </c>
      <c r="O63" s="17">
        <f>Adjustments!O1140</f>
        <v>0</v>
      </c>
      <c r="P63" s="17">
        <f>Adjustments!P1140</f>
        <v>0</v>
      </c>
      <c r="Q63" s="17">
        <f>Adjustments!Q1140</f>
        <v>0</v>
      </c>
      <c r="R63" s="17">
        <f>Adjustments!R1140</f>
        <v>0</v>
      </c>
      <c r="T63" s="17">
        <f>Adjustments!S1140</f>
        <v>-276003.70500000007</v>
      </c>
      <c r="U63" s="7"/>
    </row>
    <row r="64" spans="1:21">
      <c r="A64" s="20"/>
      <c r="C64" s="16">
        <v>190</v>
      </c>
      <c r="D64" s="17" t="s">
        <v>34</v>
      </c>
      <c r="E64" s="17"/>
      <c r="F64" s="17">
        <f>Adjustments!F1147+Adjustments!F1154</f>
        <v>-67630374.916666657</v>
      </c>
      <c r="G64" s="17">
        <f>Adjustments!G1147+Adjustments!G1154</f>
        <v>0</v>
      </c>
      <c r="H64" s="17">
        <f>Adjustments!H1147+Adjustments!H1154</f>
        <v>0</v>
      </c>
      <c r="I64" s="17">
        <f>Adjustments!I1147+Adjustments!I1154</f>
        <v>0</v>
      </c>
      <c r="J64" s="17">
        <f>Adjustments!J1147+Adjustments!J1154</f>
        <v>0</v>
      </c>
      <c r="K64" s="17">
        <f>Adjustments!K1147+Adjustments!K1154</f>
        <v>0</v>
      </c>
      <c r="L64" s="17">
        <f>Adjustments!L1147+Adjustments!L1154</f>
        <v>0</v>
      </c>
      <c r="M64" s="17">
        <f>Adjustments!M1147+Adjustments!M1154</f>
        <v>0</v>
      </c>
      <c r="N64" s="17">
        <f>Adjustments!N1147+Adjustments!N1154</f>
        <v>0</v>
      </c>
      <c r="O64" s="17">
        <f>Adjustments!O1147+Adjustments!O1154</f>
        <v>0</v>
      </c>
      <c r="P64" s="17">
        <f>Adjustments!P1147+Adjustments!P1154</f>
        <v>0</v>
      </c>
      <c r="Q64" s="17">
        <f>Adjustments!Q1147+Adjustments!Q1154</f>
        <v>0</v>
      </c>
      <c r="R64" s="17">
        <f>Adjustments!R1147+Adjustments!R1154</f>
        <v>0</v>
      </c>
      <c r="T64" s="17">
        <f>Adjustments!S1147+Adjustments!S1154</f>
        <v>-67630374.916666657</v>
      </c>
      <c r="U64" s="7"/>
    </row>
    <row r="65" spans="1:21">
      <c r="A65" s="20">
        <f>+A63+1</f>
        <v>44</v>
      </c>
      <c r="C65" s="16" t="s">
        <v>530</v>
      </c>
      <c r="D65" s="17" t="s">
        <v>297</v>
      </c>
      <c r="E65" s="17"/>
      <c r="F65" s="17">
        <f>Adjustments!F1159</f>
        <v>-1163518.2795833326</v>
      </c>
      <c r="G65" s="17">
        <f>Adjustments!G1159</f>
        <v>0</v>
      </c>
      <c r="H65" s="17">
        <f>Adjustments!H1159</f>
        <v>0</v>
      </c>
      <c r="I65" s="17">
        <f>Adjustments!I1159</f>
        <v>0</v>
      </c>
      <c r="J65" s="17">
        <f>Adjustments!J1159</f>
        <v>0</v>
      </c>
      <c r="K65" s="17">
        <f>Adjustments!K1159</f>
        <v>0</v>
      </c>
      <c r="L65" s="17">
        <f>Adjustments!L1159</f>
        <v>0</v>
      </c>
      <c r="M65" s="17">
        <f>Adjustments!M1159</f>
        <v>0</v>
      </c>
      <c r="N65" s="17">
        <f>Adjustments!N1159</f>
        <v>0</v>
      </c>
      <c r="O65" s="17">
        <f>Adjustments!O1159</f>
        <v>0</v>
      </c>
      <c r="P65" s="17">
        <f>Adjustments!P1159</f>
        <v>0</v>
      </c>
      <c r="Q65" s="17">
        <f>Adjustments!Q1159</f>
        <v>0</v>
      </c>
      <c r="R65" s="17">
        <f>Adjustments!R1159</f>
        <v>0</v>
      </c>
      <c r="T65" s="17">
        <f>Adjustments!S1159</f>
        <v>-1163518.2795833326</v>
      </c>
      <c r="U65" s="7"/>
    </row>
    <row r="66" spans="1:21">
      <c r="A66" s="20">
        <f t="shared" si="27"/>
        <v>45</v>
      </c>
      <c r="C66" s="213">
        <v>252</v>
      </c>
      <c r="D66" s="17" t="s">
        <v>480</v>
      </c>
      <c r="E66" s="17"/>
      <c r="F66" s="17">
        <f>Adjustments!F1164</f>
        <v>-5363162.6720833369</v>
      </c>
      <c r="G66" s="17">
        <f>Adjustments!G1164</f>
        <v>0</v>
      </c>
      <c r="H66" s="17">
        <f>Adjustments!H1164</f>
        <v>0</v>
      </c>
      <c r="I66" s="17">
        <f>Adjustments!I1164</f>
        <v>0</v>
      </c>
      <c r="J66" s="17">
        <f>Adjustments!J1164</f>
        <v>0</v>
      </c>
      <c r="K66" s="17">
        <f>Adjustments!K1164</f>
        <v>0</v>
      </c>
      <c r="L66" s="17">
        <f>Adjustments!L1164</f>
        <v>0</v>
      </c>
      <c r="M66" s="17">
        <f>Adjustments!M1164</f>
        <v>0</v>
      </c>
      <c r="N66" s="17">
        <f>Adjustments!N1164</f>
        <v>0</v>
      </c>
      <c r="O66" s="17">
        <f>Adjustments!O1164</f>
        <v>0</v>
      </c>
      <c r="P66" s="17">
        <f>Adjustments!P1164</f>
        <v>0</v>
      </c>
      <c r="Q66" s="17">
        <f>Adjustments!Q1164</f>
        <v>0</v>
      </c>
      <c r="R66" s="17">
        <f>Adjustments!R1164</f>
        <v>0</v>
      </c>
      <c r="T66" s="17">
        <f>Adjustments!S1164</f>
        <v>-5363162.6720833369</v>
      </c>
      <c r="U66" s="7"/>
    </row>
    <row r="67" spans="1:21">
      <c r="A67" s="20">
        <f t="shared" si="27"/>
        <v>46</v>
      </c>
      <c r="C67" s="16" t="s">
        <v>531</v>
      </c>
      <c r="D67" s="17" t="s">
        <v>298</v>
      </c>
      <c r="E67" s="17"/>
      <c r="F67" s="17">
        <f>Adjustments!F1168</f>
        <v>-7421.0112499999959</v>
      </c>
      <c r="G67" s="17">
        <f>Adjustments!G1168</f>
        <v>0</v>
      </c>
      <c r="H67" s="17">
        <f>Adjustments!H1168</f>
        <v>0</v>
      </c>
      <c r="I67" s="17">
        <f>Adjustments!I1168</f>
        <v>0</v>
      </c>
      <c r="J67" s="17">
        <f>Adjustments!J1168</f>
        <v>0</v>
      </c>
      <c r="K67" s="17">
        <f>Adjustments!K1168</f>
        <v>0</v>
      </c>
      <c r="L67" s="17">
        <f>Adjustments!L1168</f>
        <v>0</v>
      </c>
      <c r="M67" s="17">
        <f>Adjustments!M1168</f>
        <v>0</v>
      </c>
      <c r="N67" s="17">
        <f>Adjustments!N1168</f>
        <v>0</v>
      </c>
      <c r="O67" s="17">
        <f>Adjustments!O1168</f>
        <v>0</v>
      </c>
      <c r="P67" s="17">
        <f>Adjustments!P1168</f>
        <v>0</v>
      </c>
      <c r="Q67" s="17">
        <f>Adjustments!Q1168</f>
        <v>0</v>
      </c>
      <c r="R67" s="17">
        <f>Adjustments!R1168</f>
        <v>0</v>
      </c>
      <c r="T67" s="17">
        <f>Adjustments!S1168</f>
        <v>-7421.0112499999959</v>
      </c>
      <c r="U67" s="7"/>
    </row>
    <row r="68" spans="1:21" ht="13.5" customHeight="1">
      <c r="A68" s="20">
        <f t="shared" si="27"/>
        <v>47</v>
      </c>
      <c r="C68" s="16">
        <v>255</v>
      </c>
      <c r="D68" s="17" t="s">
        <v>299</v>
      </c>
      <c r="E68" s="17"/>
      <c r="F68" s="17">
        <f>Adjustments!F1175</f>
        <v>-36399.331250000003</v>
      </c>
      <c r="G68" s="17">
        <f>Adjustments!G1175</f>
        <v>0</v>
      </c>
      <c r="H68" s="17">
        <f>Adjustments!H1175</f>
        <v>0</v>
      </c>
      <c r="I68" s="17">
        <f>Adjustments!I1175</f>
        <v>0</v>
      </c>
      <c r="J68" s="17">
        <f>Adjustments!J1175</f>
        <v>0</v>
      </c>
      <c r="K68" s="17">
        <f>Adjustments!K1175</f>
        <v>0</v>
      </c>
      <c r="L68" s="17">
        <f>Adjustments!L1175</f>
        <v>0</v>
      </c>
      <c r="M68" s="17">
        <f>Adjustments!M1175</f>
        <v>0</v>
      </c>
      <c r="N68" s="17">
        <f>Adjustments!N1175</f>
        <v>0</v>
      </c>
      <c r="O68" s="17">
        <f>Adjustments!O1175</f>
        <v>0</v>
      </c>
      <c r="P68" s="17">
        <f>Adjustments!P1175</f>
        <v>0</v>
      </c>
      <c r="Q68" s="17">
        <f>Adjustments!Q1175</f>
        <v>0</v>
      </c>
      <c r="R68" s="17">
        <f>Adjustments!R1175</f>
        <v>0</v>
      </c>
      <c r="T68" s="17">
        <f>Adjustments!S1175</f>
        <v>-36399.331250000003</v>
      </c>
      <c r="U68" s="7"/>
    </row>
    <row r="69" spans="1:21" ht="13.5" customHeight="1">
      <c r="A69" s="20">
        <f t="shared" si="27"/>
        <v>48</v>
      </c>
      <c r="C69" s="16">
        <v>282</v>
      </c>
      <c r="D69" s="17" t="s">
        <v>34</v>
      </c>
      <c r="E69" s="17"/>
      <c r="F69" s="17">
        <f>(Adjustments!F1182+Adjustments!F1189+Adjustments!F1193)</f>
        <v>-150379434.49124989</v>
      </c>
      <c r="G69" s="17">
        <f>(Adjustments!G1182+Adjustments!G1189+Adjustments!G1193)</f>
        <v>0</v>
      </c>
      <c r="H69" s="17">
        <f>(Adjustments!H1182+Adjustments!H1189+Adjustments!H1193)</f>
        <v>0</v>
      </c>
      <c r="I69" s="17">
        <f>(Adjustments!I1182+Adjustments!I1189+Adjustments!I1193)</f>
        <v>0</v>
      </c>
      <c r="J69" s="17">
        <f>(Adjustments!J1182+Adjustments!J1189+Adjustments!J1193)</f>
        <v>0</v>
      </c>
      <c r="K69" s="17">
        <f>(Adjustments!K1182+Adjustments!K1189+Adjustments!K1193)</f>
        <v>0</v>
      </c>
      <c r="L69" s="17">
        <f>(Adjustments!L1182+Adjustments!L1189+Adjustments!L1193)</f>
        <v>0</v>
      </c>
      <c r="M69" s="17">
        <f>(Adjustments!M1182+Adjustments!M1189+Adjustments!M1193)</f>
        <v>0</v>
      </c>
      <c r="N69" s="17">
        <f>(Adjustments!N1182+Adjustments!N1189+Adjustments!N1193)</f>
        <v>0</v>
      </c>
      <c r="O69" s="17">
        <f>(Adjustments!O1182+Adjustments!O1189+Adjustments!O1193)</f>
        <v>0</v>
      </c>
      <c r="P69" s="17">
        <f>(Adjustments!P1182+Adjustments!P1189+Adjustments!P1193)</f>
        <v>0</v>
      </c>
      <c r="Q69" s="17">
        <f>(Adjustments!Q1182+Adjustments!Q1189+Adjustments!Q1193)</f>
        <v>0</v>
      </c>
      <c r="R69" s="17">
        <f>(Adjustments!R1182+Adjustments!R1189+Adjustments!R1193)</f>
        <v>0</v>
      </c>
      <c r="T69" s="17">
        <f>(Adjustments!S1182+Adjustments!S1189+Adjustments!S1193)</f>
        <v>-150379434.49124989</v>
      </c>
      <c r="U69" s="7"/>
    </row>
    <row r="70" spans="1:21" ht="13.5" customHeight="1" thickBot="1">
      <c r="A70" s="20">
        <f t="shared" si="27"/>
        <v>49</v>
      </c>
      <c r="C70" s="17"/>
      <c r="D70" s="17" t="s">
        <v>505</v>
      </c>
      <c r="E70" s="17"/>
      <c r="F70" s="17">
        <f>Adjustments!F1231</f>
        <v>0</v>
      </c>
      <c r="G70" s="17">
        <f>Adjustments!G1231</f>
        <v>-58319.533854246569</v>
      </c>
      <c r="H70" s="17">
        <f>Adjustments!H1231</f>
        <v>0</v>
      </c>
      <c r="I70" s="17">
        <f>Adjustments!I1231</f>
        <v>0</v>
      </c>
      <c r="J70" s="17">
        <f>Adjustments!J1231</f>
        <v>13086.611511769665</v>
      </c>
      <c r="K70" s="17">
        <f>Adjustments!K1231</f>
        <v>33927.984331105494</v>
      </c>
      <c r="L70" s="17">
        <f>Adjustments!L1231</f>
        <v>-1722.5021382259199</v>
      </c>
      <c r="M70" s="17">
        <f>Adjustments!M1231</f>
        <v>-1869.2164434753381</v>
      </c>
      <c r="N70" s="17">
        <f>Adjustments!N1231</f>
        <v>0</v>
      </c>
      <c r="O70" s="17">
        <f>Adjustments!O1231</f>
        <v>-10.151367439062927</v>
      </c>
      <c r="P70" s="17">
        <f ca="1">Adjustments!P1231</f>
        <v>-320.93727468882059</v>
      </c>
      <c r="Q70" s="17">
        <f>Adjustments!Q1231</f>
        <v>-8.034809701704587</v>
      </c>
      <c r="R70" s="17">
        <f>Adjustments!R1231</f>
        <v>4595.9101406341797</v>
      </c>
      <c r="T70" s="17">
        <f ca="1">Adjustments!S1231</f>
        <v>-10639.869904268073</v>
      </c>
      <c r="U70" s="7"/>
    </row>
    <row r="71" spans="1:21" ht="13.5" customHeight="1">
      <c r="A71" s="20">
        <f t="shared" si="27"/>
        <v>50</v>
      </c>
      <c r="C71" s="28" t="s">
        <v>173</v>
      </c>
      <c r="D71" s="17"/>
      <c r="E71" s="17"/>
      <c r="F71" s="25">
        <f>SUM(F61:F70)</f>
        <v>-224117720.45624989</v>
      </c>
      <c r="G71" s="25">
        <f t="shared" ref="G71:H71" si="28">SUM(G61:G70)</f>
        <v>-58319.533854246569</v>
      </c>
      <c r="H71" s="25">
        <f t="shared" si="28"/>
        <v>-52891066.75</v>
      </c>
      <c r="I71" s="25">
        <f t="shared" ref="I71:J71" si="29">SUM(I61:I70)</f>
        <v>0</v>
      </c>
      <c r="J71" s="25">
        <f t="shared" si="29"/>
        <v>13086.611511769665</v>
      </c>
      <c r="K71" s="25">
        <f t="shared" ref="K71:R71" si="30">SUM(K61:K70)</f>
        <v>33927.984331105494</v>
      </c>
      <c r="L71" s="25">
        <f t="shared" si="30"/>
        <v>-1722.5021382259199</v>
      </c>
      <c r="M71" s="25">
        <f t="shared" si="30"/>
        <v>-1869.2164434753381</v>
      </c>
      <c r="N71" s="25">
        <f t="shared" si="30"/>
        <v>0</v>
      </c>
      <c r="O71" s="25">
        <f t="shared" si="30"/>
        <v>-10.151367439062927</v>
      </c>
      <c r="P71" s="25">
        <f t="shared" ca="1" si="30"/>
        <v>-320.93727468882059</v>
      </c>
      <c r="Q71" s="25">
        <f t="shared" si="30"/>
        <v>-8.034809701704587</v>
      </c>
      <c r="R71" s="25">
        <f t="shared" si="30"/>
        <v>4595.9101406341797</v>
      </c>
      <c r="T71" s="25">
        <f ca="1">SUM(T61:T70)</f>
        <v>-277019427.07615417</v>
      </c>
      <c r="U71" s="7"/>
    </row>
    <row r="72" spans="1:21" ht="13.5" customHeight="1" thickBot="1">
      <c r="A72" s="20"/>
      <c r="B72" s="15"/>
      <c r="C72" s="17"/>
      <c r="D72" s="17"/>
      <c r="E72" s="17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T72" s="26"/>
    </row>
    <row r="73" spans="1:21" ht="13.5" customHeight="1" thickTop="1">
      <c r="A73" s="20"/>
      <c r="B73" s="15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T73" s="17"/>
    </row>
    <row r="74" spans="1:21" ht="13.5" customHeight="1">
      <c r="A74" s="20">
        <f>+A71+1</f>
        <v>51</v>
      </c>
      <c r="B74" s="28" t="s">
        <v>790</v>
      </c>
      <c r="C74" s="17"/>
      <c r="D74" s="17"/>
      <c r="E74" s="17"/>
      <c r="F74" s="17">
        <f>+F58+F71</f>
        <v>-80181863.82433337</v>
      </c>
      <c r="G74" s="17">
        <f t="shared" ref="G74:H74" si="31">+G58+G71</f>
        <v>-58319.533854246569</v>
      </c>
      <c r="H74" s="17">
        <f t="shared" si="31"/>
        <v>-52891066.75</v>
      </c>
      <c r="I74" s="17">
        <f t="shared" ref="I74:J74" si="32">+I58+I71</f>
        <v>-287796.48394874961</v>
      </c>
      <c r="J74" s="17">
        <f t="shared" si="32"/>
        <v>13086.611511769665</v>
      </c>
      <c r="K74" s="17">
        <f t="shared" ref="K74:R74" si="33">+K58+K71</f>
        <v>33927.984331105494</v>
      </c>
      <c r="L74" s="17">
        <f t="shared" si="33"/>
        <v>-1722.5021382259199</v>
      </c>
      <c r="M74" s="17">
        <f t="shared" si="33"/>
        <v>-1869.2164434753381</v>
      </c>
      <c r="N74" s="17">
        <f t="shared" si="33"/>
        <v>0</v>
      </c>
      <c r="O74" s="17">
        <f t="shared" si="33"/>
        <v>-10.151367439062927</v>
      </c>
      <c r="P74" s="17">
        <f t="shared" ca="1" si="33"/>
        <v>-320.93727468882059</v>
      </c>
      <c r="Q74" s="17">
        <f t="shared" si="33"/>
        <v>-8.034809701704587</v>
      </c>
      <c r="R74" s="17">
        <f t="shared" si="33"/>
        <v>4595.9101406341797</v>
      </c>
      <c r="T74" s="17">
        <f ca="1">+T58+T71</f>
        <v>-133371366.92818642</v>
      </c>
      <c r="U74" s="7"/>
    </row>
  </sheetData>
  <phoneticPr fontId="0" type="noConversion"/>
  <printOptions verticalCentered="1"/>
  <pageMargins left="0.43" right="0.25" top="0.25" bottom="0" header="0.19" footer="0.19"/>
  <pageSetup scale="55" firstPageNumber="3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48"/>
  <sheetViews>
    <sheetView workbookViewId="0">
      <selection activeCell="H15" sqref="H15"/>
    </sheetView>
  </sheetViews>
  <sheetFormatPr defaultColWidth="9.140625" defaultRowHeight="12.75"/>
  <cols>
    <col min="1" max="1" width="5.7109375" style="2" customWidth="1"/>
    <col min="2" max="2" width="15.7109375" style="2" customWidth="1"/>
    <col min="3" max="4" width="5.7109375" style="2" customWidth="1"/>
    <col min="5" max="5" width="25.7109375" style="2" customWidth="1"/>
    <col min="6" max="7" width="16" style="2" customWidth="1"/>
    <col min="8" max="9" width="15.85546875" style="2" customWidth="1"/>
    <col min="10" max="10" width="3.5703125" style="2" customWidth="1"/>
    <col min="11" max="15" width="15.85546875" style="2" customWidth="1"/>
    <col min="16" max="16" width="4.5703125" style="2" customWidth="1"/>
    <col min="17" max="17" width="1.85546875" style="2" customWidth="1"/>
    <col min="18" max="19" width="12.7109375" style="2" customWidth="1"/>
    <col min="20" max="20" width="4.7109375" style="2" customWidth="1"/>
    <col min="21" max="21" width="12.7109375" style="2" customWidth="1"/>
    <col min="22" max="22" width="16.140625" style="2" customWidth="1"/>
    <col min="23" max="24" width="12.7109375" style="2" hidden="1" customWidth="1"/>
    <col min="25" max="25" width="18.42578125" style="2" customWidth="1"/>
    <col min="26" max="26" width="6.140625" style="2" customWidth="1"/>
    <col min="27" max="28" width="5.7109375" style="2" customWidth="1"/>
    <col min="29" max="29" width="25.7109375" style="2" customWidth="1"/>
    <col min="30" max="30" width="4.85546875" style="2" customWidth="1"/>
    <col min="31" max="31" width="12.7109375" style="2" customWidth="1"/>
    <col min="32" max="32" width="1.42578125" style="2" customWidth="1"/>
    <col min="33" max="33" width="15.7109375" style="2" bestFit="1" customWidth="1"/>
    <col min="34" max="34" width="13.7109375" style="2" customWidth="1"/>
    <col min="35" max="36" width="5.140625" style="2" customWidth="1"/>
    <col min="37" max="37" width="6.140625" style="2" customWidth="1"/>
    <col min="38" max="39" width="5.7109375" style="2" customWidth="1"/>
    <col min="40" max="40" width="25.7109375" style="2" customWidth="1"/>
    <col min="41" max="41" width="9.140625" style="2"/>
    <col min="42" max="44" width="12.7109375" style="2" customWidth="1"/>
    <col min="45" max="16384" width="9.140625" style="2"/>
  </cols>
  <sheetData>
    <row r="1" spans="1:13">
      <c r="B1" s="14" t="s">
        <v>657</v>
      </c>
      <c r="C1" s="121"/>
      <c r="D1" s="58"/>
      <c r="E1" s="58"/>
      <c r="F1" s="58"/>
      <c r="G1" s="58"/>
      <c r="H1" s="55"/>
      <c r="I1" s="55"/>
      <c r="K1" s="55"/>
      <c r="L1" s="55"/>
      <c r="M1" s="55"/>
    </row>
    <row r="2" spans="1:13">
      <c r="B2" s="121" t="str">
        <f>'Control Panel'!$B$1</f>
        <v>Dominion Energy</v>
      </c>
      <c r="C2" s="121"/>
      <c r="D2" s="58"/>
      <c r="E2" s="58"/>
      <c r="F2" s="58"/>
      <c r="G2" s="58"/>
      <c r="H2" s="55"/>
      <c r="I2" s="55"/>
      <c r="M2" s="55"/>
    </row>
    <row r="3" spans="1:13">
      <c r="B3" s="14" t="str">
        <f>'Control Panel'!$B$2</f>
        <v>Utah - Dec 2017 Adjusted Avg Results</v>
      </c>
      <c r="C3" s="261"/>
      <c r="D3" s="16"/>
      <c r="E3" s="58"/>
      <c r="F3" s="58"/>
      <c r="G3" s="58"/>
      <c r="H3" s="55"/>
      <c r="I3" s="55"/>
      <c r="M3" s="55"/>
    </row>
    <row r="4" spans="1:13">
      <c r="B4" s="14" t="str">
        <f>'Control Panel'!$B$3</f>
        <v>12 Months Ended : Dec-2017</v>
      </c>
      <c r="C4" s="261"/>
      <c r="D4" s="17"/>
      <c r="E4" s="17"/>
      <c r="F4" s="58"/>
      <c r="G4" s="58"/>
      <c r="H4" s="54"/>
      <c r="I4" s="54"/>
      <c r="M4" s="55"/>
    </row>
    <row r="5" spans="1:13">
      <c r="B5" s="47"/>
      <c r="C5" s="17"/>
      <c r="D5" s="17"/>
      <c r="E5" s="17"/>
      <c r="F5" s="49"/>
      <c r="G5" s="49"/>
      <c r="H5" s="55"/>
      <c r="I5" s="55"/>
      <c r="K5" s="55"/>
      <c r="L5" s="55"/>
      <c r="M5" s="55"/>
    </row>
    <row r="6" spans="1:13">
      <c r="B6" s="102"/>
      <c r="C6" s="17"/>
      <c r="D6" s="17"/>
      <c r="E6" s="17"/>
      <c r="F6" s="58"/>
      <c r="G6" s="58"/>
      <c r="H6" s="55"/>
      <c r="I6" s="55"/>
      <c r="K6" s="5" t="s">
        <v>756</v>
      </c>
      <c r="L6" s="5" t="s">
        <v>540</v>
      </c>
      <c r="M6" s="55">
        <v>1</v>
      </c>
    </row>
    <row r="7" spans="1:13" ht="36" customHeight="1">
      <c r="A7" s="394"/>
      <c r="B7" s="414"/>
      <c r="C7" s="415"/>
      <c r="D7" s="415"/>
      <c r="E7" s="415"/>
      <c r="F7" s="415"/>
      <c r="G7" s="415"/>
      <c r="H7" s="416" t="s">
        <v>1607</v>
      </c>
      <c r="I7" s="416" t="s">
        <v>1607</v>
      </c>
      <c r="J7" s="246"/>
      <c r="K7" s="416" t="s">
        <v>1607</v>
      </c>
      <c r="L7" s="454"/>
      <c r="M7" s="55">
        <v>2</v>
      </c>
    </row>
    <row r="8" spans="1:13">
      <c r="B8" s="130"/>
      <c r="C8" s="58"/>
      <c r="D8" s="58"/>
      <c r="E8" s="58"/>
      <c r="F8" s="58"/>
      <c r="G8" s="58"/>
      <c r="H8" s="5"/>
      <c r="I8" s="5"/>
      <c r="M8" s="55">
        <f t="shared" ref="M8:M66" si="0">+M7+1</f>
        <v>3</v>
      </c>
    </row>
    <row r="9" spans="1:13" ht="13.5" thickBot="1">
      <c r="B9" s="151" t="s">
        <v>828</v>
      </c>
      <c r="C9" s="152"/>
      <c r="D9" s="1415" t="s">
        <v>829</v>
      </c>
      <c r="E9" s="1415"/>
      <c r="F9" s="152"/>
      <c r="G9" s="152"/>
      <c r="H9" s="22"/>
      <c r="I9" s="22"/>
      <c r="K9" s="22"/>
      <c r="L9" s="22"/>
      <c r="M9" s="55">
        <f t="shared" si="0"/>
        <v>4</v>
      </c>
    </row>
    <row r="10" spans="1:13">
      <c r="A10" s="2">
        <v>369</v>
      </c>
      <c r="B10" s="130" t="s">
        <v>157</v>
      </c>
      <c r="C10" s="49"/>
      <c r="D10" s="49"/>
      <c r="E10" s="49"/>
      <c r="F10" s="49"/>
      <c r="G10" s="49"/>
      <c r="H10" s="496"/>
      <c r="I10" s="496"/>
      <c r="K10" s="9"/>
      <c r="L10" s="9"/>
      <c r="M10" s="55">
        <f t="shared" si="0"/>
        <v>5</v>
      </c>
    </row>
    <row r="11" spans="1:13">
      <c r="A11" s="2">
        <v>370</v>
      </c>
      <c r="B11" s="153"/>
      <c r="C11" s="49"/>
      <c r="D11" s="49"/>
      <c r="E11" s="49"/>
      <c r="F11" s="49"/>
      <c r="G11" s="49"/>
      <c r="H11" s="496"/>
      <c r="I11" s="496"/>
      <c r="K11" s="9"/>
      <c r="L11" s="9"/>
      <c r="M11" s="55">
        <f t="shared" si="0"/>
        <v>6</v>
      </c>
    </row>
    <row r="12" spans="1:13">
      <c r="A12" s="2">
        <v>371</v>
      </c>
      <c r="B12" s="154"/>
      <c r="C12" s="49"/>
      <c r="D12" s="49"/>
      <c r="E12" s="49"/>
      <c r="F12" s="49"/>
      <c r="G12" s="49"/>
      <c r="H12" s="511"/>
      <c r="I12" s="511"/>
      <c r="K12" s="155"/>
      <c r="L12" s="155"/>
      <c r="M12" s="55">
        <f t="shared" si="0"/>
        <v>7</v>
      </c>
    </row>
    <row r="13" spans="1:13">
      <c r="A13" s="2">
        <v>372</v>
      </c>
      <c r="B13" s="154"/>
      <c r="C13" s="49"/>
      <c r="D13" s="49"/>
      <c r="E13" s="49"/>
      <c r="F13" s="49"/>
      <c r="G13" s="49"/>
      <c r="H13" s="496"/>
      <c r="I13" s="496"/>
      <c r="K13" s="9"/>
      <c r="L13" s="9"/>
      <c r="M13" s="55">
        <f t="shared" si="0"/>
        <v>8</v>
      </c>
    </row>
    <row r="14" spans="1:13">
      <c r="A14" s="2">
        <v>373</v>
      </c>
      <c r="B14" s="154">
        <v>483</v>
      </c>
      <c r="C14" s="172" t="s">
        <v>418</v>
      </c>
      <c r="D14" s="49"/>
      <c r="E14" s="49"/>
      <c r="F14" s="49"/>
      <c r="G14" s="49"/>
      <c r="H14" s="496"/>
      <c r="I14" s="496"/>
      <c r="K14" s="9"/>
      <c r="L14" s="9"/>
      <c r="M14" s="55">
        <f t="shared" si="0"/>
        <v>9</v>
      </c>
    </row>
    <row r="15" spans="1:13">
      <c r="A15" s="2">
        <v>374</v>
      </c>
      <c r="B15" s="154"/>
      <c r="C15" s="49"/>
      <c r="D15" s="49" t="s">
        <v>13</v>
      </c>
      <c r="E15" s="49"/>
      <c r="F15" s="216" t="s">
        <v>548</v>
      </c>
      <c r="G15" s="216"/>
      <c r="H15" s="357">
        <f>[16]XNV!$S$13</f>
        <v>1922718.8614775999</v>
      </c>
      <c r="I15" s="357">
        <f>[16]XNV!$S$13</f>
        <v>1922718.8614775999</v>
      </c>
      <c r="K15" s="9">
        <f>HLOOKUP($K$7,OtherRevScenarios,M14,FALSE)</f>
        <v>1922718.8614775999</v>
      </c>
      <c r="L15" s="9">
        <f t="shared" ref="L15:L46" si="1">+K15-H15</f>
        <v>0</v>
      </c>
      <c r="M15" s="55">
        <f t="shared" si="0"/>
        <v>10</v>
      </c>
    </row>
    <row r="16" spans="1:13">
      <c r="A16" s="2">
        <v>375</v>
      </c>
      <c r="B16" s="154"/>
      <c r="C16" s="49"/>
      <c r="D16" s="49" t="s">
        <v>24</v>
      </c>
      <c r="E16" s="49"/>
      <c r="F16" s="216" t="s">
        <v>548</v>
      </c>
      <c r="G16" s="216"/>
      <c r="H16" s="357">
        <f>[16]XNV!$S$14</f>
        <v>71559.988522400032</v>
      </c>
      <c r="I16" s="357">
        <f>[16]XNV!$S$14</f>
        <v>71559.988522400032</v>
      </c>
      <c r="K16" s="9">
        <f t="shared" ref="K16:K46" si="2">HLOOKUP($K$7,OtherRevScenarios,M15,FALSE)</f>
        <v>71559.988522400032</v>
      </c>
      <c r="L16" s="9">
        <f t="shared" si="1"/>
        <v>0</v>
      </c>
      <c r="M16" s="55">
        <f t="shared" si="0"/>
        <v>11</v>
      </c>
    </row>
    <row r="17" spans="1:13">
      <c r="A17" s="2">
        <v>376</v>
      </c>
      <c r="B17" s="154"/>
      <c r="C17" s="49"/>
      <c r="D17" s="49" t="s">
        <v>160</v>
      </c>
      <c r="E17" s="49"/>
      <c r="F17" s="216"/>
      <c r="G17" s="216"/>
      <c r="H17" s="388">
        <f>[16]XNV!$S$15</f>
        <v>1994278.85</v>
      </c>
      <c r="I17" s="388">
        <f>[16]XNV!$S$15</f>
        <v>1994278.85</v>
      </c>
      <c r="K17" s="157">
        <f t="shared" si="2"/>
        <v>1994278.85</v>
      </c>
      <c r="L17" s="157">
        <f t="shared" si="1"/>
        <v>0</v>
      </c>
      <c r="M17" s="55">
        <f t="shared" si="0"/>
        <v>12</v>
      </c>
    </row>
    <row r="18" spans="1:13">
      <c r="A18" s="2">
        <v>377</v>
      </c>
      <c r="B18" s="154"/>
      <c r="C18" s="49"/>
      <c r="D18" s="49"/>
      <c r="E18" s="49"/>
      <c r="F18" s="216"/>
      <c r="G18" s="216"/>
      <c r="H18" s="357"/>
      <c r="I18" s="357"/>
      <c r="K18" s="9">
        <f t="shared" si="2"/>
        <v>0</v>
      </c>
      <c r="L18" s="9">
        <f t="shared" si="1"/>
        <v>0</v>
      </c>
      <c r="M18" s="55">
        <f t="shared" si="0"/>
        <v>13</v>
      </c>
    </row>
    <row r="19" spans="1:13">
      <c r="A19" s="2">
        <v>378</v>
      </c>
      <c r="B19" s="154">
        <v>487</v>
      </c>
      <c r="C19" s="49" t="s">
        <v>163</v>
      </c>
      <c r="D19" s="49"/>
      <c r="E19" s="49"/>
      <c r="F19" s="216"/>
      <c r="G19" s="216"/>
      <c r="H19" s="357"/>
      <c r="I19" s="357"/>
      <c r="K19" s="9">
        <f t="shared" si="2"/>
        <v>0</v>
      </c>
      <c r="L19" s="9">
        <f t="shared" si="1"/>
        <v>0</v>
      </c>
      <c r="M19" s="55">
        <f t="shared" si="0"/>
        <v>14</v>
      </c>
    </row>
    <row r="20" spans="1:13">
      <c r="A20" s="2">
        <v>379</v>
      </c>
      <c r="B20" s="154"/>
      <c r="C20" s="49"/>
      <c r="D20" s="49" t="s">
        <v>13</v>
      </c>
      <c r="E20" s="49"/>
      <c r="F20" s="216" t="s">
        <v>549</v>
      </c>
      <c r="G20" s="216"/>
      <c r="H20" s="357">
        <f>[16]XNV!$S$18</f>
        <v>2002957.85</v>
      </c>
      <c r="I20" s="357">
        <f>[16]XNV!$S$18</f>
        <v>2002957.85</v>
      </c>
      <c r="K20" s="9">
        <f t="shared" si="2"/>
        <v>2002957.85</v>
      </c>
      <c r="L20" s="9">
        <f t="shared" si="1"/>
        <v>0</v>
      </c>
      <c r="M20" s="55">
        <f t="shared" si="0"/>
        <v>15</v>
      </c>
    </row>
    <row r="21" spans="1:13">
      <c r="A21" s="2">
        <v>380</v>
      </c>
      <c r="B21" s="154"/>
      <c r="C21" s="49"/>
      <c r="D21" s="49" t="s">
        <v>24</v>
      </c>
      <c r="E21" s="49"/>
      <c r="F21" s="216" t="s">
        <v>549</v>
      </c>
      <c r="G21" s="216"/>
      <c r="H21" s="357">
        <f>[16]XNV!$S$19</f>
        <v>101544.61</v>
      </c>
      <c r="I21" s="357">
        <f>[16]XNV!$S$19</f>
        <v>101544.61</v>
      </c>
      <c r="K21" s="9">
        <f t="shared" si="2"/>
        <v>101544.61</v>
      </c>
      <c r="L21" s="9">
        <f t="shared" si="1"/>
        <v>0</v>
      </c>
      <c r="M21" s="55">
        <f t="shared" si="0"/>
        <v>16</v>
      </c>
    </row>
    <row r="22" spans="1:13">
      <c r="A22" s="2">
        <v>381</v>
      </c>
      <c r="B22" s="154"/>
      <c r="C22" s="49"/>
      <c r="D22" s="49" t="s">
        <v>160</v>
      </c>
      <c r="E22" s="49"/>
      <c r="F22" s="216"/>
      <c r="G22" s="216"/>
      <c r="H22" s="388">
        <f>[16]XNV!$S$20</f>
        <v>2104502.46</v>
      </c>
      <c r="I22" s="388">
        <f>[16]XNV!$S$20</f>
        <v>2104502.46</v>
      </c>
      <c r="K22" s="157">
        <f t="shared" si="2"/>
        <v>2104502.46</v>
      </c>
      <c r="L22" s="157">
        <f t="shared" si="1"/>
        <v>0</v>
      </c>
      <c r="M22" s="55">
        <f t="shared" si="0"/>
        <v>17</v>
      </c>
    </row>
    <row r="23" spans="1:13">
      <c r="A23" s="2">
        <v>382</v>
      </c>
      <c r="B23" s="154"/>
      <c r="C23" s="49"/>
      <c r="D23" s="49"/>
      <c r="E23" s="49"/>
      <c r="F23" s="216"/>
      <c r="G23" s="216"/>
      <c r="H23" s="357"/>
      <c r="I23" s="357"/>
      <c r="K23" s="9">
        <f t="shared" si="2"/>
        <v>0</v>
      </c>
      <c r="L23" s="9">
        <f t="shared" si="1"/>
        <v>0</v>
      </c>
      <c r="M23" s="55">
        <f t="shared" si="0"/>
        <v>18</v>
      </c>
    </row>
    <row r="24" spans="1:13">
      <c r="A24" s="2">
        <v>383</v>
      </c>
      <c r="B24" s="154" t="s">
        <v>183</v>
      </c>
      <c r="C24" s="49" t="s">
        <v>300</v>
      </c>
      <c r="D24" s="49"/>
      <c r="E24" s="49"/>
      <c r="F24" s="216"/>
      <c r="G24" s="216"/>
      <c r="H24" s="357"/>
      <c r="I24" s="357"/>
      <c r="K24" s="9">
        <f t="shared" si="2"/>
        <v>0</v>
      </c>
      <c r="L24" s="9">
        <f t="shared" si="1"/>
        <v>0</v>
      </c>
      <c r="M24" s="55">
        <f t="shared" si="0"/>
        <v>19</v>
      </c>
    </row>
    <row r="25" spans="1:13">
      <c r="A25" s="2">
        <v>384</v>
      </c>
      <c r="B25" s="154"/>
      <c r="C25" s="49"/>
      <c r="D25" s="49" t="s">
        <v>13</v>
      </c>
      <c r="E25" s="49"/>
      <c r="F25" s="216" t="s">
        <v>549</v>
      </c>
      <c r="G25" s="216"/>
      <c r="H25" s="357">
        <f>[16]XNV!$S$23</f>
        <v>0</v>
      </c>
      <c r="I25" s="357">
        <f>[16]XNV!$S$23</f>
        <v>0</v>
      </c>
      <c r="K25" s="9">
        <f t="shared" si="2"/>
        <v>0</v>
      </c>
      <c r="L25" s="9">
        <f t="shared" si="1"/>
        <v>0</v>
      </c>
      <c r="M25" s="55">
        <f t="shared" si="0"/>
        <v>20</v>
      </c>
    </row>
    <row r="26" spans="1:13">
      <c r="A26" s="2">
        <v>385</v>
      </c>
      <c r="B26" s="154"/>
      <c r="C26" s="49"/>
      <c r="D26" s="49" t="s">
        <v>24</v>
      </c>
      <c r="E26" s="49"/>
      <c r="F26" s="216" t="s">
        <v>549</v>
      </c>
      <c r="G26" s="216"/>
      <c r="H26" s="357">
        <f>[16]XNV!$S$24</f>
        <v>0</v>
      </c>
      <c r="I26" s="357">
        <f>[16]XNV!$S$24</f>
        <v>0</v>
      </c>
      <c r="K26" s="9">
        <f t="shared" si="2"/>
        <v>0</v>
      </c>
      <c r="L26" s="9">
        <f t="shared" si="1"/>
        <v>0</v>
      </c>
      <c r="M26" s="55">
        <f t="shared" si="0"/>
        <v>21</v>
      </c>
    </row>
    <row r="27" spans="1:13">
      <c r="A27" s="2">
        <v>386</v>
      </c>
      <c r="B27" s="154"/>
      <c r="C27" s="49"/>
      <c r="D27" s="49" t="s">
        <v>160</v>
      </c>
      <c r="E27" s="49"/>
      <c r="F27" s="216"/>
      <c r="G27" s="216"/>
      <c r="H27" s="388">
        <f>[16]XNV!$S$25</f>
        <v>0</v>
      </c>
      <c r="I27" s="388">
        <f>[16]XNV!$S$25</f>
        <v>0</v>
      </c>
      <c r="K27" s="157">
        <f t="shared" si="2"/>
        <v>0</v>
      </c>
      <c r="L27" s="157">
        <f t="shared" si="1"/>
        <v>0</v>
      </c>
      <c r="M27" s="55">
        <f t="shared" si="0"/>
        <v>22</v>
      </c>
    </row>
    <row r="28" spans="1:13">
      <c r="A28" s="2">
        <v>387</v>
      </c>
      <c r="B28" s="154"/>
      <c r="C28" s="49"/>
      <c r="D28" s="49"/>
      <c r="E28" s="49"/>
      <c r="F28" s="216"/>
      <c r="G28" s="216"/>
      <c r="H28" s="357"/>
      <c r="I28" s="357"/>
      <c r="K28" s="9">
        <f t="shared" si="2"/>
        <v>0</v>
      </c>
      <c r="L28" s="9">
        <f t="shared" si="1"/>
        <v>0</v>
      </c>
      <c r="M28" s="55">
        <f t="shared" si="0"/>
        <v>23</v>
      </c>
    </row>
    <row r="29" spans="1:13">
      <c r="A29" s="2">
        <v>388</v>
      </c>
      <c r="B29" s="154" t="s">
        <v>184</v>
      </c>
      <c r="C29" s="49" t="s">
        <v>301</v>
      </c>
      <c r="D29" s="49"/>
      <c r="E29" s="49"/>
      <c r="F29" s="216"/>
      <c r="G29" s="216"/>
      <c r="H29" s="357"/>
      <c r="I29" s="357"/>
      <c r="K29" s="9">
        <f t="shared" si="2"/>
        <v>0</v>
      </c>
      <c r="L29" s="9">
        <f t="shared" si="1"/>
        <v>0</v>
      </c>
      <c r="M29" s="55">
        <f t="shared" si="0"/>
        <v>24</v>
      </c>
    </row>
    <row r="30" spans="1:13">
      <c r="A30" s="2">
        <v>389</v>
      </c>
      <c r="B30" s="154"/>
      <c r="C30" s="49"/>
      <c r="D30" s="49" t="s">
        <v>13</v>
      </c>
      <c r="E30" s="49"/>
      <c r="F30" s="216" t="s">
        <v>549</v>
      </c>
      <c r="G30" s="216"/>
      <c r="H30" s="357">
        <f>[16]XNV!$S$28</f>
        <v>2201.5</v>
      </c>
      <c r="I30" s="357">
        <f>[16]XNV!$S$28</f>
        <v>2201.5</v>
      </c>
      <c r="K30" s="9">
        <f t="shared" si="2"/>
        <v>2201.5</v>
      </c>
      <c r="L30" s="9">
        <f t="shared" si="1"/>
        <v>0</v>
      </c>
      <c r="M30" s="55">
        <f t="shared" si="0"/>
        <v>25</v>
      </c>
    </row>
    <row r="31" spans="1:13">
      <c r="A31" s="2">
        <v>390</v>
      </c>
      <c r="B31" s="154"/>
      <c r="C31" s="49"/>
      <c r="D31" s="49" t="s">
        <v>24</v>
      </c>
      <c r="E31" s="49"/>
      <c r="F31" s="216" t="s">
        <v>549</v>
      </c>
      <c r="G31" s="216"/>
      <c r="H31" s="357">
        <f>[16]XNV!$S$29</f>
        <v>823.5</v>
      </c>
      <c r="I31" s="357">
        <f>[16]XNV!$S$29</f>
        <v>823.5</v>
      </c>
      <c r="K31" s="9">
        <f t="shared" si="2"/>
        <v>823.5</v>
      </c>
      <c r="L31" s="9">
        <f t="shared" si="1"/>
        <v>0</v>
      </c>
      <c r="M31" s="55">
        <f t="shared" si="0"/>
        <v>26</v>
      </c>
    </row>
    <row r="32" spans="1:13">
      <c r="A32" s="2">
        <v>391</v>
      </c>
      <c r="B32" s="154"/>
      <c r="C32" s="49"/>
      <c r="D32" s="49" t="s">
        <v>160</v>
      </c>
      <c r="E32" s="49"/>
      <c r="F32" s="216"/>
      <c r="G32" s="216"/>
      <c r="H32" s="388">
        <f>[16]XNV!$S$30</f>
        <v>3025</v>
      </c>
      <c r="I32" s="388">
        <f>[16]XNV!$S$30</f>
        <v>3025</v>
      </c>
      <c r="K32" s="157">
        <f t="shared" si="2"/>
        <v>3025</v>
      </c>
      <c r="L32" s="157">
        <f t="shared" si="1"/>
        <v>0</v>
      </c>
      <c r="M32" s="55">
        <f t="shared" si="0"/>
        <v>27</v>
      </c>
    </row>
    <row r="33" spans="1:13">
      <c r="A33" s="2">
        <v>392</v>
      </c>
      <c r="B33" s="154"/>
      <c r="C33" s="49"/>
      <c r="D33" s="49"/>
      <c r="E33" s="49"/>
      <c r="F33" s="216"/>
      <c r="G33" s="216"/>
      <c r="H33" s="357"/>
      <c r="I33" s="357"/>
      <c r="K33" s="9">
        <f t="shared" si="2"/>
        <v>0</v>
      </c>
      <c r="L33" s="9">
        <f t="shared" si="1"/>
        <v>0</v>
      </c>
      <c r="M33" s="55">
        <f t="shared" si="0"/>
        <v>28</v>
      </c>
    </row>
    <row r="34" spans="1:13">
      <c r="A34" s="2">
        <v>393</v>
      </c>
      <c r="B34" s="154" t="s">
        <v>185</v>
      </c>
      <c r="C34" s="49" t="s">
        <v>302</v>
      </c>
      <c r="D34" s="49"/>
      <c r="E34" s="49"/>
      <c r="F34" s="216"/>
      <c r="G34" s="216"/>
      <c r="H34" s="357"/>
      <c r="I34" s="357"/>
      <c r="K34" s="9">
        <f t="shared" si="2"/>
        <v>0</v>
      </c>
      <c r="L34" s="9">
        <f t="shared" si="1"/>
        <v>0</v>
      </c>
      <c r="M34" s="55">
        <f t="shared" si="0"/>
        <v>29</v>
      </c>
    </row>
    <row r="35" spans="1:13">
      <c r="A35" s="2">
        <v>394</v>
      </c>
      <c r="B35" s="154"/>
      <c r="C35" s="49"/>
      <c r="D35" s="49" t="s">
        <v>13</v>
      </c>
      <c r="E35" s="49"/>
      <c r="F35" s="216" t="s">
        <v>549</v>
      </c>
      <c r="G35" s="216"/>
      <c r="H35" s="357">
        <f>[16]XNV!$S$33</f>
        <v>72082.070000000007</v>
      </c>
      <c r="I35" s="357">
        <f>[16]XNV!$S$33</f>
        <v>72082.070000000007</v>
      </c>
      <c r="K35" s="9">
        <f t="shared" si="2"/>
        <v>72082.070000000007</v>
      </c>
      <c r="L35" s="9">
        <f t="shared" si="1"/>
        <v>0</v>
      </c>
      <c r="M35" s="55">
        <f t="shared" si="0"/>
        <v>30</v>
      </c>
    </row>
    <row r="36" spans="1:13">
      <c r="A36" s="2">
        <v>395</v>
      </c>
      <c r="B36" s="154"/>
      <c r="C36" s="49"/>
      <c r="D36" s="49" t="s">
        <v>24</v>
      </c>
      <c r="E36" s="49"/>
      <c r="F36" s="216" t="s">
        <v>549</v>
      </c>
      <c r="G36" s="216"/>
      <c r="H36" s="357">
        <f>[16]XNV!$S$34</f>
        <v>957</v>
      </c>
      <c r="I36" s="357">
        <f>[16]XNV!$S$34</f>
        <v>957</v>
      </c>
      <c r="K36" s="9">
        <f t="shared" si="2"/>
        <v>957</v>
      </c>
      <c r="L36" s="9">
        <f t="shared" si="1"/>
        <v>0</v>
      </c>
      <c r="M36" s="55">
        <f t="shared" si="0"/>
        <v>31</v>
      </c>
    </row>
    <row r="37" spans="1:13">
      <c r="A37" s="2">
        <v>396</v>
      </c>
      <c r="B37" s="154"/>
      <c r="C37" s="49"/>
      <c r="D37" s="49" t="s">
        <v>160</v>
      </c>
      <c r="E37" s="49"/>
      <c r="F37" s="216"/>
      <c r="G37" s="216"/>
      <c r="H37" s="388">
        <f>[16]XNV!$S$35</f>
        <v>73039.070000000007</v>
      </c>
      <c r="I37" s="388">
        <f>[16]XNV!$S$35</f>
        <v>73039.070000000007</v>
      </c>
      <c r="K37" s="157">
        <f t="shared" si="2"/>
        <v>73039.070000000007</v>
      </c>
      <c r="L37" s="157">
        <f t="shared" si="1"/>
        <v>0</v>
      </c>
      <c r="M37" s="55">
        <f t="shared" si="0"/>
        <v>32</v>
      </c>
    </row>
    <row r="38" spans="1:13">
      <c r="A38" s="2">
        <v>397</v>
      </c>
      <c r="B38" s="154"/>
      <c r="C38" s="49"/>
      <c r="D38" s="49"/>
      <c r="E38" s="49"/>
      <c r="F38" s="216"/>
      <c r="G38" s="216"/>
      <c r="H38" s="357"/>
      <c r="I38" s="357"/>
      <c r="K38" s="9">
        <f t="shared" si="2"/>
        <v>0</v>
      </c>
      <c r="L38" s="9">
        <f t="shared" si="1"/>
        <v>0</v>
      </c>
      <c r="M38" s="55">
        <f t="shared" si="0"/>
        <v>33</v>
      </c>
    </row>
    <row r="39" spans="1:13">
      <c r="A39" s="2">
        <v>398</v>
      </c>
      <c r="B39" s="195" t="s">
        <v>395</v>
      </c>
      <c r="C39" s="52" t="s">
        <v>303</v>
      </c>
      <c r="D39" s="52"/>
      <c r="E39" s="52"/>
      <c r="F39" s="216"/>
      <c r="G39" s="216"/>
      <c r="H39" s="357"/>
      <c r="I39" s="357"/>
      <c r="K39" s="9">
        <f t="shared" si="2"/>
        <v>0</v>
      </c>
      <c r="L39" s="9">
        <f t="shared" si="1"/>
        <v>0</v>
      </c>
      <c r="M39" s="55">
        <f t="shared" si="0"/>
        <v>34</v>
      </c>
    </row>
    <row r="40" spans="1:13">
      <c r="A40" s="2">
        <v>399</v>
      </c>
      <c r="B40" s="195"/>
      <c r="C40" s="52"/>
      <c r="D40" s="52" t="s">
        <v>13</v>
      </c>
      <c r="E40" s="52"/>
      <c r="F40" s="216" t="s">
        <v>549</v>
      </c>
      <c r="G40" s="216"/>
      <c r="H40" s="357">
        <f>[16]XNV!$S$38</f>
        <v>2374708</v>
      </c>
      <c r="I40" s="357">
        <f>[16]XNV!$S$38</f>
        <v>2374708</v>
      </c>
      <c r="K40" s="9">
        <f t="shared" si="2"/>
        <v>2374708</v>
      </c>
      <c r="L40" s="9">
        <f t="shared" si="1"/>
        <v>0</v>
      </c>
      <c r="M40" s="55">
        <f t="shared" si="0"/>
        <v>35</v>
      </c>
    </row>
    <row r="41" spans="1:13">
      <c r="A41" s="2">
        <v>400</v>
      </c>
      <c r="B41" s="195"/>
      <c r="C41" s="52"/>
      <c r="D41" s="52" t="s">
        <v>24</v>
      </c>
      <c r="E41" s="52"/>
      <c r="F41" s="216" t="s">
        <v>549</v>
      </c>
      <c r="G41" s="216"/>
      <c r="H41" s="357">
        <f>[16]XNV!$S$39</f>
        <v>9075</v>
      </c>
      <c r="I41" s="357">
        <f>[16]XNV!$S$39</f>
        <v>9075</v>
      </c>
      <c r="K41" s="9">
        <f t="shared" si="2"/>
        <v>9075</v>
      </c>
      <c r="L41" s="9">
        <f t="shared" si="1"/>
        <v>0</v>
      </c>
      <c r="M41" s="55">
        <f t="shared" si="0"/>
        <v>36</v>
      </c>
    </row>
    <row r="42" spans="1:13">
      <c r="A42" s="2">
        <v>401</v>
      </c>
      <c r="B42" s="195"/>
      <c r="C42" s="52"/>
      <c r="D42" s="52" t="s">
        <v>160</v>
      </c>
      <c r="E42" s="52"/>
      <c r="F42" s="216"/>
      <c r="G42" s="216"/>
      <c r="H42" s="388">
        <f>[16]XNV!$S$40</f>
        <v>2383783</v>
      </c>
      <c r="I42" s="388">
        <f>[16]XNV!$S$40</f>
        <v>2383783</v>
      </c>
      <c r="K42" s="157">
        <f t="shared" si="2"/>
        <v>2383783</v>
      </c>
      <c r="L42" s="157">
        <f t="shared" si="1"/>
        <v>0</v>
      </c>
      <c r="M42" s="55">
        <f t="shared" si="0"/>
        <v>37</v>
      </c>
    </row>
    <row r="43" spans="1:13">
      <c r="A43" s="2">
        <v>402</v>
      </c>
      <c r="B43" s="195"/>
      <c r="C43" s="52"/>
      <c r="D43" s="52"/>
      <c r="E43" s="52"/>
      <c r="F43" s="216"/>
      <c r="G43" s="216"/>
      <c r="H43" s="357"/>
      <c r="I43" s="357"/>
      <c r="K43" s="9">
        <f t="shared" si="2"/>
        <v>0</v>
      </c>
      <c r="L43" s="9">
        <f t="shared" si="1"/>
        <v>0</v>
      </c>
      <c r="M43" s="55">
        <f t="shared" si="0"/>
        <v>38</v>
      </c>
    </row>
    <row r="44" spans="1:13">
      <c r="A44" s="2">
        <v>403</v>
      </c>
      <c r="B44" s="195" t="s">
        <v>396</v>
      </c>
      <c r="C44" s="52" t="s">
        <v>304</v>
      </c>
      <c r="D44" s="52"/>
      <c r="E44" s="52"/>
      <c r="F44" s="216"/>
      <c r="G44" s="216"/>
      <c r="H44" s="357"/>
      <c r="I44" s="357"/>
      <c r="K44" s="9">
        <f t="shared" si="2"/>
        <v>0</v>
      </c>
      <c r="L44" s="9">
        <f t="shared" si="1"/>
        <v>0</v>
      </c>
      <c r="M44" s="55">
        <f t="shared" si="0"/>
        <v>39</v>
      </c>
    </row>
    <row r="45" spans="1:13">
      <c r="A45" s="2">
        <v>404</v>
      </c>
      <c r="B45" s="195"/>
      <c r="C45" s="52"/>
      <c r="D45" s="52" t="s">
        <v>13</v>
      </c>
      <c r="E45" s="52"/>
      <c r="F45" s="216" t="s">
        <v>549</v>
      </c>
      <c r="G45" s="216"/>
      <c r="H45" s="357">
        <f>[16]XNV!$S$43</f>
        <v>0</v>
      </c>
      <c r="I45" s="357">
        <f>[16]XNV!$S$43</f>
        <v>0</v>
      </c>
      <c r="K45" s="9">
        <f t="shared" si="2"/>
        <v>0</v>
      </c>
      <c r="L45" s="9">
        <f t="shared" si="1"/>
        <v>0</v>
      </c>
      <c r="M45" s="55">
        <f t="shared" si="0"/>
        <v>40</v>
      </c>
    </row>
    <row r="46" spans="1:13">
      <c r="A46" s="2">
        <v>405</v>
      </c>
      <c r="B46" s="195"/>
      <c r="C46" s="52"/>
      <c r="D46" s="52" t="s">
        <v>24</v>
      </c>
      <c r="E46" s="52"/>
      <c r="F46" s="216" t="s">
        <v>549</v>
      </c>
      <c r="G46" s="216"/>
      <c r="H46" s="357">
        <f>[16]XNV!$S$44</f>
        <v>0</v>
      </c>
      <c r="I46" s="357">
        <f>[16]XNV!$S$44</f>
        <v>0</v>
      </c>
      <c r="K46" s="9">
        <f t="shared" si="2"/>
        <v>0</v>
      </c>
      <c r="L46" s="9">
        <f t="shared" si="1"/>
        <v>0</v>
      </c>
      <c r="M46" s="55">
        <f t="shared" si="0"/>
        <v>41</v>
      </c>
    </row>
    <row r="47" spans="1:13">
      <c r="A47" s="2">
        <v>406</v>
      </c>
      <c r="B47" s="195"/>
      <c r="C47" s="52"/>
      <c r="D47" s="52" t="s">
        <v>160</v>
      </c>
      <c r="E47" s="52"/>
      <c r="F47" s="216"/>
      <c r="G47" s="216"/>
      <c r="H47" s="388">
        <f>[16]XNV!$S$45</f>
        <v>0</v>
      </c>
      <c r="I47" s="388">
        <f>[16]XNV!$S$45</f>
        <v>0</v>
      </c>
      <c r="K47" s="157">
        <f t="shared" ref="K47:K78" si="3">HLOOKUP($K$7,OtherRevScenarios,M46,FALSE)</f>
        <v>0</v>
      </c>
      <c r="L47" s="157">
        <f t="shared" ref="L47:L78" si="4">+K47-H47</f>
        <v>0</v>
      </c>
      <c r="M47" s="55">
        <f t="shared" si="0"/>
        <v>42</v>
      </c>
    </row>
    <row r="48" spans="1:13">
      <c r="A48" s="2">
        <v>407</v>
      </c>
      <c r="B48" s="195"/>
      <c r="C48" s="52"/>
      <c r="D48" s="52"/>
      <c r="E48" s="52"/>
      <c r="F48" s="216"/>
      <c r="G48" s="216"/>
      <c r="H48" s="357"/>
      <c r="I48" s="357"/>
      <c r="K48" s="9">
        <f t="shared" si="3"/>
        <v>0</v>
      </c>
      <c r="L48" s="9">
        <f t="shared" si="4"/>
        <v>0</v>
      </c>
      <c r="M48" s="55">
        <f t="shared" si="0"/>
        <v>43</v>
      </c>
    </row>
    <row r="49" spans="1:13">
      <c r="A49" s="2">
        <v>408</v>
      </c>
      <c r="B49" s="195" t="s">
        <v>397</v>
      </c>
      <c r="C49" s="52" t="s">
        <v>305</v>
      </c>
      <c r="D49" s="52"/>
      <c r="E49" s="52"/>
      <c r="F49" s="216"/>
      <c r="G49" s="216"/>
      <c r="H49" s="357"/>
      <c r="I49" s="357"/>
      <c r="K49" s="9">
        <f t="shared" si="3"/>
        <v>0</v>
      </c>
      <c r="L49" s="9">
        <f t="shared" si="4"/>
        <v>0</v>
      </c>
      <c r="M49" s="55">
        <f t="shared" si="0"/>
        <v>44</v>
      </c>
    </row>
    <row r="50" spans="1:13">
      <c r="A50" s="2">
        <v>409</v>
      </c>
      <c r="B50" s="195"/>
      <c r="C50" s="52"/>
      <c r="D50" s="52" t="s">
        <v>13</v>
      </c>
      <c r="E50" s="52"/>
      <c r="F50" s="216" t="s">
        <v>549</v>
      </c>
      <c r="G50" s="216"/>
      <c r="H50" s="357">
        <f>[16]XNV!$S$48</f>
        <v>245060</v>
      </c>
      <c r="I50" s="357">
        <f>[16]XNV!$S$48</f>
        <v>245060</v>
      </c>
      <c r="K50" s="9">
        <f t="shared" si="3"/>
        <v>245060</v>
      </c>
      <c r="L50" s="9">
        <f t="shared" si="4"/>
        <v>0</v>
      </c>
      <c r="M50" s="55">
        <f t="shared" si="0"/>
        <v>45</v>
      </c>
    </row>
    <row r="51" spans="1:13">
      <c r="A51" s="2">
        <v>410</v>
      </c>
      <c r="B51" s="195"/>
      <c r="C51" s="52"/>
      <c r="D51" s="52" t="s">
        <v>24</v>
      </c>
      <c r="E51" s="52"/>
      <c r="F51" s="216" t="s">
        <v>549</v>
      </c>
      <c r="G51" s="216"/>
      <c r="H51" s="357">
        <f>[16]XNV!$S$49</f>
        <v>5040</v>
      </c>
      <c r="I51" s="357">
        <f>[16]XNV!$S$49</f>
        <v>5040</v>
      </c>
      <c r="K51" s="9">
        <f t="shared" si="3"/>
        <v>5040</v>
      </c>
      <c r="L51" s="9">
        <f t="shared" si="4"/>
        <v>0</v>
      </c>
      <c r="M51" s="55">
        <f t="shared" si="0"/>
        <v>46</v>
      </c>
    </row>
    <row r="52" spans="1:13">
      <c r="A52" s="2">
        <v>411</v>
      </c>
      <c r="B52" s="195"/>
      <c r="C52" s="52"/>
      <c r="D52" s="52" t="s">
        <v>160</v>
      </c>
      <c r="E52" s="52"/>
      <c r="F52" s="216"/>
      <c r="G52" s="216"/>
      <c r="H52" s="388">
        <f>[16]XNV!$S$50</f>
        <v>250100</v>
      </c>
      <c r="I52" s="388">
        <f>[16]XNV!$S$50</f>
        <v>250100</v>
      </c>
      <c r="K52" s="157">
        <f t="shared" si="3"/>
        <v>250100</v>
      </c>
      <c r="L52" s="157">
        <f t="shared" si="4"/>
        <v>0</v>
      </c>
      <c r="M52" s="55">
        <f t="shared" si="0"/>
        <v>47</v>
      </c>
    </row>
    <row r="53" spans="1:13">
      <c r="A53" s="2">
        <v>412</v>
      </c>
      <c r="B53" s="195"/>
      <c r="C53" s="52"/>
      <c r="D53" s="52"/>
      <c r="E53" s="52"/>
      <c r="F53" s="216"/>
      <c r="G53" s="216"/>
      <c r="H53" s="357"/>
      <c r="I53" s="357"/>
      <c r="K53" s="9">
        <f t="shared" si="3"/>
        <v>0</v>
      </c>
      <c r="L53" s="9">
        <f t="shared" si="4"/>
        <v>0</v>
      </c>
      <c r="M53" s="55">
        <f t="shared" si="0"/>
        <v>48</v>
      </c>
    </row>
    <row r="54" spans="1:13">
      <c r="A54" s="2">
        <v>413</v>
      </c>
      <c r="B54" s="195" t="s">
        <v>398</v>
      </c>
      <c r="C54" s="52" t="s">
        <v>399</v>
      </c>
      <c r="D54" s="52"/>
      <c r="E54" s="52"/>
      <c r="F54" s="216"/>
      <c r="G54" s="216"/>
      <c r="H54" s="357"/>
      <c r="I54" s="357"/>
      <c r="K54" s="9">
        <f t="shared" si="3"/>
        <v>0</v>
      </c>
      <c r="L54" s="9">
        <f t="shared" si="4"/>
        <v>0</v>
      </c>
      <c r="M54" s="55">
        <f t="shared" si="0"/>
        <v>49</v>
      </c>
    </row>
    <row r="55" spans="1:13">
      <c r="A55" s="2">
        <v>414</v>
      </c>
      <c r="B55" s="195"/>
      <c r="C55" s="52"/>
      <c r="D55" s="52" t="s">
        <v>13</v>
      </c>
      <c r="E55" s="52"/>
      <c r="F55" s="216" t="s">
        <v>549</v>
      </c>
      <c r="G55" s="216"/>
      <c r="H55" s="357">
        <f>[16]XNV!$S$53</f>
        <v>0</v>
      </c>
      <c r="I55" s="357">
        <f>[16]XNV!$S$53</f>
        <v>0</v>
      </c>
      <c r="K55" s="9">
        <f t="shared" si="3"/>
        <v>0</v>
      </c>
      <c r="L55" s="9">
        <f t="shared" si="4"/>
        <v>0</v>
      </c>
      <c r="M55" s="55">
        <f t="shared" si="0"/>
        <v>50</v>
      </c>
    </row>
    <row r="56" spans="1:13">
      <c r="A56" s="2">
        <v>415</v>
      </c>
      <c r="B56" s="195"/>
      <c r="C56" s="52"/>
      <c r="D56" s="52" t="s">
        <v>24</v>
      </c>
      <c r="E56" s="52"/>
      <c r="F56" s="216" t="s">
        <v>549</v>
      </c>
      <c r="G56" s="216"/>
      <c r="H56" s="357">
        <f>[16]XNV!$S$54</f>
        <v>0</v>
      </c>
      <c r="I56" s="357">
        <f>[16]XNV!$S$54</f>
        <v>0</v>
      </c>
      <c r="K56" s="9">
        <f t="shared" si="3"/>
        <v>0</v>
      </c>
      <c r="L56" s="9">
        <f t="shared" si="4"/>
        <v>0</v>
      </c>
      <c r="M56" s="55">
        <f t="shared" si="0"/>
        <v>51</v>
      </c>
    </row>
    <row r="57" spans="1:13">
      <c r="A57" s="2">
        <v>416</v>
      </c>
      <c r="B57" s="195"/>
      <c r="C57" s="52"/>
      <c r="D57" s="52" t="s">
        <v>160</v>
      </c>
      <c r="E57" s="52"/>
      <c r="F57" s="216"/>
      <c r="G57" s="216"/>
      <c r="H57" s="388">
        <f>[16]XNV!$S$55</f>
        <v>0</v>
      </c>
      <c r="I57" s="388">
        <f>[16]XNV!$S$55</f>
        <v>0</v>
      </c>
      <c r="K57" s="157">
        <f t="shared" si="3"/>
        <v>0</v>
      </c>
      <c r="L57" s="157">
        <f t="shared" si="4"/>
        <v>0</v>
      </c>
      <c r="M57" s="55">
        <f t="shared" si="0"/>
        <v>52</v>
      </c>
    </row>
    <row r="58" spans="1:13">
      <c r="A58" s="2">
        <v>417</v>
      </c>
      <c r="B58" s="195"/>
      <c r="C58" s="52"/>
      <c r="D58" s="52"/>
      <c r="E58" s="52"/>
      <c r="F58" s="216"/>
      <c r="G58" s="216"/>
      <c r="H58" s="357"/>
      <c r="I58" s="357"/>
      <c r="K58" s="9">
        <f t="shared" si="3"/>
        <v>0</v>
      </c>
      <c r="L58" s="9">
        <f t="shared" si="4"/>
        <v>0</v>
      </c>
      <c r="M58" s="55">
        <f t="shared" si="0"/>
        <v>53</v>
      </c>
    </row>
    <row r="59" spans="1:13">
      <c r="A59" s="2">
        <v>418</v>
      </c>
      <c r="B59" s="195" t="s">
        <v>400</v>
      </c>
      <c r="C59" s="52" t="s">
        <v>306</v>
      </c>
      <c r="D59" s="52"/>
      <c r="E59" s="52"/>
      <c r="F59" s="216"/>
      <c r="G59" s="216"/>
      <c r="H59" s="357"/>
      <c r="I59" s="357"/>
      <c r="K59" s="9">
        <f t="shared" si="3"/>
        <v>0</v>
      </c>
      <c r="L59" s="9">
        <f t="shared" si="4"/>
        <v>0</v>
      </c>
      <c r="M59" s="55">
        <f t="shared" si="0"/>
        <v>54</v>
      </c>
    </row>
    <row r="60" spans="1:13">
      <c r="A60" s="2">
        <v>419</v>
      </c>
      <c r="B60" s="195"/>
      <c r="C60" s="52"/>
      <c r="D60" s="52" t="s">
        <v>13</v>
      </c>
      <c r="E60" s="52"/>
      <c r="F60" s="216" t="s">
        <v>549</v>
      </c>
      <c r="G60" s="216"/>
      <c r="H60" s="357">
        <f>[16]XNV!$S$58</f>
        <v>0</v>
      </c>
      <c r="I60" s="357">
        <f>[16]XNV!$S$58</f>
        <v>0</v>
      </c>
      <c r="K60" s="9">
        <f t="shared" si="3"/>
        <v>0</v>
      </c>
      <c r="L60" s="9">
        <f t="shared" si="4"/>
        <v>0</v>
      </c>
      <c r="M60" s="55">
        <f t="shared" si="0"/>
        <v>55</v>
      </c>
    </row>
    <row r="61" spans="1:13">
      <c r="A61" s="2">
        <v>420</v>
      </c>
      <c r="B61" s="195"/>
      <c r="C61" s="52"/>
      <c r="D61" s="52" t="s">
        <v>24</v>
      </c>
      <c r="E61" s="52"/>
      <c r="F61" s="216" t="s">
        <v>549</v>
      </c>
      <c r="G61" s="216"/>
      <c r="H61" s="357">
        <f>[16]XNV!$S$59</f>
        <v>0</v>
      </c>
      <c r="I61" s="357">
        <f>[16]XNV!$S$59</f>
        <v>0</v>
      </c>
      <c r="K61" s="9">
        <f t="shared" si="3"/>
        <v>0</v>
      </c>
      <c r="L61" s="9">
        <f t="shared" si="4"/>
        <v>0</v>
      </c>
      <c r="M61" s="55">
        <f t="shared" si="0"/>
        <v>56</v>
      </c>
    </row>
    <row r="62" spans="1:13">
      <c r="A62" s="2">
        <v>421</v>
      </c>
      <c r="B62" s="195"/>
      <c r="C62" s="52"/>
      <c r="D62" s="52" t="s">
        <v>160</v>
      </c>
      <c r="E62" s="52"/>
      <c r="F62" s="216"/>
      <c r="G62" s="216"/>
      <c r="H62" s="388">
        <f>[16]XNV!$S$60</f>
        <v>0</v>
      </c>
      <c r="I62" s="388">
        <f>[16]XNV!$S$60</f>
        <v>0</v>
      </c>
      <c r="K62" s="157">
        <f t="shared" si="3"/>
        <v>0</v>
      </c>
      <c r="L62" s="157">
        <f t="shared" si="4"/>
        <v>0</v>
      </c>
      <c r="M62" s="55">
        <f t="shared" si="0"/>
        <v>57</v>
      </c>
    </row>
    <row r="63" spans="1:13">
      <c r="A63" s="2">
        <v>422</v>
      </c>
      <c r="B63" s="195"/>
      <c r="C63" s="52"/>
      <c r="D63" s="52"/>
      <c r="E63" s="52"/>
      <c r="F63" s="216"/>
      <c r="G63" s="216"/>
      <c r="H63" s="357"/>
      <c r="I63" s="357"/>
      <c r="K63" s="9">
        <f t="shared" si="3"/>
        <v>0</v>
      </c>
      <c r="L63" s="9">
        <f t="shared" si="4"/>
        <v>0</v>
      </c>
      <c r="M63" s="55">
        <f t="shared" si="0"/>
        <v>58</v>
      </c>
    </row>
    <row r="64" spans="1:13">
      <c r="A64" s="2">
        <v>423</v>
      </c>
      <c r="B64" s="196" t="s">
        <v>401</v>
      </c>
      <c r="C64" s="52" t="s">
        <v>307</v>
      </c>
      <c r="D64" s="52"/>
      <c r="E64" s="52"/>
      <c r="F64" s="216"/>
      <c r="G64" s="216"/>
      <c r="H64" s="357"/>
      <c r="I64" s="357"/>
      <c r="K64" s="9">
        <f t="shared" si="3"/>
        <v>0</v>
      </c>
      <c r="L64" s="9">
        <f t="shared" si="4"/>
        <v>0</v>
      </c>
      <c r="M64" s="55">
        <f t="shared" si="0"/>
        <v>59</v>
      </c>
    </row>
    <row r="65" spans="1:13">
      <c r="A65" s="2">
        <v>424</v>
      </c>
      <c r="B65" s="195"/>
      <c r="C65" s="52"/>
      <c r="D65" s="52" t="s">
        <v>13</v>
      </c>
      <c r="E65" s="52"/>
      <c r="F65" s="216" t="s">
        <v>549</v>
      </c>
      <c r="G65" s="216"/>
      <c r="H65" s="357">
        <f>[16]XNV!$S$63</f>
        <v>0</v>
      </c>
      <c r="I65" s="357">
        <f>[16]XNV!$S$63</f>
        <v>0</v>
      </c>
      <c r="K65" s="9">
        <f t="shared" si="3"/>
        <v>0</v>
      </c>
      <c r="L65" s="9">
        <f t="shared" si="4"/>
        <v>0</v>
      </c>
      <c r="M65" s="55">
        <f t="shared" si="0"/>
        <v>60</v>
      </c>
    </row>
    <row r="66" spans="1:13">
      <c r="A66" s="2">
        <v>425</v>
      </c>
      <c r="B66" s="195"/>
      <c r="C66" s="52"/>
      <c r="D66" s="52" t="s">
        <v>24</v>
      </c>
      <c r="E66" s="52"/>
      <c r="F66" s="216" t="s">
        <v>549</v>
      </c>
      <c r="G66" s="216"/>
      <c r="H66" s="357">
        <f>[16]XNV!$S$64</f>
        <v>0</v>
      </c>
      <c r="I66" s="357">
        <f>[16]XNV!$S$64</f>
        <v>0</v>
      </c>
      <c r="K66" s="9">
        <f t="shared" si="3"/>
        <v>0</v>
      </c>
      <c r="L66" s="9">
        <f t="shared" si="4"/>
        <v>0</v>
      </c>
      <c r="M66" s="55">
        <f t="shared" si="0"/>
        <v>61</v>
      </c>
    </row>
    <row r="67" spans="1:13">
      <c r="A67" s="2">
        <v>426</v>
      </c>
      <c r="B67" s="195"/>
      <c r="C67" s="52"/>
      <c r="D67" s="52" t="s">
        <v>160</v>
      </c>
      <c r="E67" s="52"/>
      <c r="F67" s="216"/>
      <c r="G67" s="216"/>
      <c r="H67" s="388">
        <f>[16]XNV!$S$65</f>
        <v>0</v>
      </c>
      <c r="I67" s="388">
        <f>[16]XNV!$S$65</f>
        <v>0</v>
      </c>
      <c r="K67" s="157">
        <f t="shared" si="3"/>
        <v>0</v>
      </c>
      <c r="L67" s="157">
        <f t="shared" si="4"/>
        <v>0</v>
      </c>
      <c r="M67" s="55">
        <f t="shared" ref="M67:M130" si="5">+M66+1</f>
        <v>62</v>
      </c>
    </row>
    <row r="68" spans="1:13">
      <c r="A68" s="2">
        <v>427</v>
      </c>
      <c r="B68" s="195"/>
      <c r="C68" s="52"/>
      <c r="D68" s="52"/>
      <c r="E68" s="52"/>
      <c r="F68" s="216"/>
      <c r="G68" s="216"/>
      <c r="H68" s="357"/>
      <c r="I68" s="357"/>
      <c r="K68" s="9">
        <f t="shared" si="3"/>
        <v>0</v>
      </c>
      <c r="L68" s="9">
        <f t="shared" si="4"/>
        <v>0</v>
      </c>
      <c r="M68" s="55">
        <f t="shared" si="5"/>
        <v>63</v>
      </c>
    </row>
    <row r="69" spans="1:13">
      <c r="A69" s="2">
        <v>428</v>
      </c>
      <c r="B69" s="195" t="s">
        <v>402</v>
      </c>
      <c r="C69" s="52" t="s">
        <v>309</v>
      </c>
      <c r="D69" s="52"/>
      <c r="E69" s="52"/>
      <c r="F69" s="216"/>
      <c r="G69" s="216"/>
      <c r="H69" s="357"/>
      <c r="I69" s="357"/>
      <c r="K69" s="9">
        <f t="shared" si="3"/>
        <v>0</v>
      </c>
      <c r="L69" s="9">
        <f t="shared" si="4"/>
        <v>0</v>
      </c>
      <c r="M69" s="55">
        <f t="shared" si="5"/>
        <v>64</v>
      </c>
    </row>
    <row r="70" spans="1:13">
      <c r="A70" s="2">
        <v>429</v>
      </c>
      <c r="B70" s="195"/>
      <c r="C70" s="52"/>
      <c r="D70" s="52" t="s">
        <v>13</v>
      </c>
      <c r="E70" s="52"/>
      <c r="F70" s="216" t="s">
        <v>549</v>
      </c>
      <c r="G70" s="216"/>
      <c r="H70" s="357">
        <f>[16]XNV!$S$68</f>
        <v>0</v>
      </c>
      <c r="I70" s="357">
        <f>[16]XNV!$S$68</f>
        <v>0</v>
      </c>
      <c r="K70" s="9">
        <f t="shared" si="3"/>
        <v>0</v>
      </c>
      <c r="L70" s="9">
        <f t="shared" si="4"/>
        <v>0</v>
      </c>
      <c r="M70" s="55">
        <f t="shared" si="5"/>
        <v>65</v>
      </c>
    </row>
    <row r="71" spans="1:13">
      <c r="A71" s="2">
        <v>430</v>
      </c>
      <c r="B71" s="195"/>
      <c r="C71" s="52"/>
      <c r="D71" s="52" t="s">
        <v>24</v>
      </c>
      <c r="E71" s="52"/>
      <c r="F71" s="216" t="s">
        <v>549</v>
      </c>
      <c r="G71" s="216"/>
      <c r="H71" s="357">
        <f>[16]XNV!$S$69</f>
        <v>0</v>
      </c>
      <c r="I71" s="357">
        <f>[16]XNV!$S$69</f>
        <v>0</v>
      </c>
      <c r="K71" s="9">
        <f t="shared" si="3"/>
        <v>0</v>
      </c>
      <c r="L71" s="9">
        <f t="shared" si="4"/>
        <v>0</v>
      </c>
      <c r="M71" s="55">
        <f t="shared" si="5"/>
        <v>66</v>
      </c>
    </row>
    <row r="72" spans="1:13">
      <c r="A72" s="2">
        <v>431</v>
      </c>
      <c r="B72" s="195"/>
      <c r="C72" s="52"/>
      <c r="D72" s="52" t="s">
        <v>160</v>
      </c>
      <c r="E72" s="52"/>
      <c r="F72" s="216"/>
      <c r="G72" s="216"/>
      <c r="H72" s="388">
        <f>[16]XNV!$S$70</f>
        <v>0</v>
      </c>
      <c r="I72" s="388">
        <f>[16]XNV!$S$70</f>
        <v>0</v>
      </c>
      <c r="K72" s="157">
        <f t="shared" si="3"/>
        <v>0</v>
      </c>
      <c r="L72" s="157">
        <f t="shared" si="4"/>
        <v>0</v>
      </c>
      <c r="M72" s="55">
        <f t="shared" si="5"/>
        <v>67</v>
      </c>
    </row>
    <row r="73" spans="1:13">
      <c r="A73" s="2">
        <v>432</v>
      </c>
      <c r="B73" s="195"/>
      <c r="C73" s="52"/>
      <c r="D73" s="52"/>
      <c r="E73" s="52"/>
      <c r="F73" s="216"/>
      <c r="G73" s="216"/>
      <c r="H73" s="357"/>
      <c r="I73" s="357"/>
      <c r="K73" s="9">
        <f t="shared" si="3"/>
        <v>0</v>
      </c>
      <c r="L73" s="9">
        <f t="shared" si="4"/>
        <v>0</v>
      </c>
      <c r="M73" s="55">
        <f t="shared" si="5"/>
        <v>68</v>
      </c>
    </row>
    <row r="74" spans="1:13">
      <c r="A74" s="2">
        <v>433</v>
      </c>
      <c r="B74" s="195" t="s">
        <v>403</v>
      </c>
      <c r="C74" s="52" t="s">
        <v>310</v>
      </c>
      <c r="D74" s="52"/>
      <c r="E74" s="52"/>
      <c r="F74" s="216"/>
      <c r="G74" s="216"/>
      <c r="H74" s="357"/>
      <c r="I74" s="357"/>
      <c r="K74" s="9">
        <f t="shared" si="3"/>
        <v>0</v>
      </c>
      <c r="L74" s="9">
        <f t="shared" si="4"/>
        <v>0</v>
      </c>
      <c r="M74" s="55">
        <f t="shared" si="5"/>
        <v>69</v>
      </c>
    </row>
    <row r="75" spans="1:13">
      <c r="A75" s="2">
        <v>434</v>
      </c>
      <c r="B75" s="195"/>
      <c r="C75" s="52"/>
      <c r="D75" s="52" t="s">
        <v>13</v>
      </c>
      <c r="E75" s="52"/>
      <c r="F75" s="216" t="s">
        <v>549</v>
      </c>
      <c r="G75" s="216"/>
      <c r="H75" s="357">
        <f>[16]XNV!$S$73</f>
        <v>0</v>
      </c>
      <c r="I75" s="357">
        <f>[16]XNV!$S$73</f>
        <v>0</v>
      </c>
      <c r="K75" s="9">
        <f t="shared" si="3"/>
        <v>0</v>
      </c>
      <c r="L75" s="9">
        <f t="shared" si="4"/>
        <v>0</v>
      </c>
      <c r="M75" s="55">
        <f t="shared" si="5"/>
        <v>70</v>
      </c>
    </row>
    <row r="76" spans="1:13">
      <c r="A76" s="2">
        <v>435</v>
      </c>
      <c r="B76" s="195"/>
      <c r="C76" s="52"/>
      <c r="D76" s="52" t="s">
        <v>24</v>
      </c>
      <c r="E76" s="52"/>
      <c r="F76" s="216" t="s">
        <v>549</v>
      </c>
      <c r="G76" s="216"/>
      <c r="H76" s="357">
        <f>[16]XNV!$S$74</f>
        <v>0</v>
      </c>
      <c r="I76" s="357">
        <f>[16]XNV!$S$74</f>
        <v>0</v>
      </c>
      <c r="K76" s="9">
        <f t="shared" si="3"/>
        <v>0</v>
      </c>
      <c r="L76" s="9">
        <f t="shared" si="4"/>
        <v>0</v>
      </c>
      <c r="M76" s="55">
        <f t="shared" si="5"/>
        <v>71</v>
      </c>
    </row>
    <row r="77" spans="1:13">
      <c r="A77" s="2">
        <v>436</v>
      </c>
      <c r="B77" s="195"/>
      <c r="C77" s="52"/>
      <c r="D77" s="52" t="s">
        <v>160</v>
      </c>
      <c r="E77" s="52"/>
      <c r="F77" s="216"/>
      <c r="G77" s="216"/>
      <c r="H77" s="388">
        <f>[16]XNV!$S$75</f>
        <v>0</v>
      </c>
      <c r="I77" s="388">
        <f>[16]XNV!$S$75</f>
        <v>0</v>
      </c>
      <c r="K77" s="157">
        <f t="shared" si="3"/>
        <v>0</v>
      </c>
      <c r="L77" s="157">
        <f t="shared" si="4"/>
        <v>0</v>
      </c>
      <c r="M77" s="55">
        <f t="shared" si="5"/>
        <v>72</v>
      </c>
    </row>
    <row r="78" spans="1:13">
      <c r="A78" s="2">
        <v>437</v>
      </c>
      <c r="B78" s="195"/>
      <c r="C78" s="52"/>
      <c r="D78" s="52"/>
      <c r="E78" s="52"/>
      <c r="F78" s="216"/>
      <c r="G78" s="216"/>
      <c r="H78" s="357"/>
      <c r="I78" s="357"/>
      <c r="K78" s="9">
        <f t="shared" si="3"/>
        <v>0</v>
      </c>
      <c r="L78" s="9">
        <f t="shared" si="4"/>
        <v>0</v>
      </c>
      <c r="M78" s="55">
        <f t="shared" si="5"/>
        <v>73</v>
      </c>
    </row>
    <row r="79" spans="1:13">
      <c r="A79" s="2">
        <v>438</v>
      </c>
      <c r="B79" s="195" t="s">
        <v>404</v>
      </c>
      <c r="C79" s="52" t="s">
        <v>311</v>
      </c>
      <c r="D79" s="52"/>
      <c r="E79" s="52"/>
      <c r="F79" s="216"/>
      <c r="G79" s="216"/>
      <c r="H79" s="357"/>
      <c r="I79" s="357"/>
      <c r="K79" s="9">
        <f t="shared" ref="K79:K110" si="6">HLOOKUP($K$7,OtherRevScenarios,M78,FALSE)</f>
        <v>0</v>
      </c>
      <c r="L79" s="9">
        <f t="shared" ref="L79:L110" si="7">+K79-H79</f>
        <v>0</v>
      </c>
      <c r="M79" s="55">
        <f t="shared" si="5"/>
        <v>74</v>
      </c>
    </row>
    <row r="80" spans="1:13">
      <c r="A80" s="2">
        <v>439</v>
      </c>
      <c r="B80" s="195"/>
      <c r="C80" s="52"/>
      <c r="D80" s="52" t="s">
        <v>13</v>
      </c>
      <c r="E80" s="52"/>
      <c r="F80" s="216" t="s">
        <v>549</v>
      </c>
      <c r="G80" s="216"/>
      <c r="H80" s="357">
        <f>[16]XNV!$S$78</f>
        <v>0</v>
      </c>
      <c r="I80" s="357">
        <f>[16]XNV!$S$78</f>
        <v>0</v>
      </c>
      <c r="K80" s="9">
        <f t="shared" si="6"/>
        <v>0</v>
      </c>
      <c r="L80" s="9">
        <f t="shared" si="7"/>
        <v>0</v>
      </c>
      <c r="M80" s="55">
        <f t="shared" si="5"/>
        <v>75</v>
      </c>
    </row>
    <row r="81" spans="1:13">
      <c r="A81" s="2">
        <v>440</v>
      </c>
      <c r="B81" s="195"/>
      <c r="C81" s="52"/>
      <c r="D81" s="52" t="s">
        <v>24</v>
      </c>
      <c r="E81" s="52"/>
      <c r="F81" s="216" t="s">
        <v>549</v>
      </c>
      <c r="G81" s="216"/>
      <c r="H81" s="357">
        <f>[16]XNV!$S$79</f>
        <v>0</v>
      </c>
      <c r="I81" s="357">
        <f>[16]XNV!$S$79</f>
        <v>0</v>
      </c>
      <c r="K81" s="9">
        <f t="shared" si="6"/>
        <v>0</v>
      </c>
      <c r="L81" s="9">
        <f t="shared" si="7"/>
        <v>0</v>
      </c>
      <c r="M81" s="55">
        <f t="shared" si="5"/>
        <v>76</v>
      </c>
    </row>
    <row r="82" spans="1:13">
      <c r="A82" s="2">
        <v>441</v>
      </c>
      <c r="B82" s="195"/>
      <c r="C82" s="52"/>
      <c r="D82" s="52" t="s">
        <v>160</v>
      </c>
      <c r="E82" s="52"/>
      <c r="F82" s="216"/>
      <c r="G82" s="216"/>
      <c r="H82" s="388">
        <f>[16]XNV!$S$80</f>
        <v>0</v>
      </c>
      <c r="I82" s="388">
        <f>[16]XNV!$S$80</f>
        <v>0</v>
      </c>
      <c r="K82" s="157">
        <f t="shared" si="6"/>
        <v>0</v>
      </c>
      <c r="L82" s="157">
        <f t="shared" si="7"/>
        <v>0</v>
      </c>
      <c r="M82" s="55">
        <f t="shared" si="5"/>
        <v>77</v>
      </c>
    </row>
    <row r="83" spans="1:13">
      <c r="A83" s="2">
        <v>442</v>
      </c>
      <c r="B83" s="195"/>
      <c r="C83" s="52"/>
      <c r="D83" s="52"/>
      <c r="E83" s="52"/>
      <c r="F83" s="216"/>
      <c r="G83" s="216"/>
      <c r="H83" s="357"/>
      <c r="I83" s="357"/>
      <c r="K83" s="9">
        <f t="shared" si="6"/>
        <v>0</v>
      </c>
      <c r="L83" s="9">
        <f t="shared" si="7"/>
        <v>0</v>
      </c>
      <c r="M83" s="55">
        <f t="shared" si="5"/>
        <v>78</v>
      </c>
    </row>
    <row r="84" spans="1:13">
      <c r="A84" s="2">
        <v>443</v>
      </c>
      <c r="B84" s="195" t="s">
        <v>405</v>
      </c>
      <c r="C84" s="52" t="s">
        <v>312</v>
      </c>
      <c r="D84" s="52"/>
      <c r="E84" s="52"/>
      <c r="F84" s="216"/>
      <c r="G84" s="216"/>
      <c r="H84" s="357"/>
      <c r="I84" s="357"/>
      <c r="K84" s="9">
        <f t="shared" si="6"/>
        <v>0</v>
      </c>
      <c r="L84" s="9">
        <f t="shared" si="7"/>
        <v>0</v>
      </c>
      <c r="M84" s="55">
        <f t="shared" si="5"/>
        <v>79</v>
      </c>
    </row>
    <row r="85" spans="1:13">
      <c r="A85" s="2">
        <v>444</v>
      </c>
      <c r="B85" s="195"/>
      <c r="C85" s="52"/>
      <c r="D85" s="52" t="s">
        <v>13</v>
      </c>
      <c r="E85" s="52"/>
      <c r="F85" s="216" t="s">
        <v>549</v>
      </c>
      <c r="G85" s="216"/>
      <c r="H85" s="357">
        <f>[16]XNV!$S$83</f>
        <v>0</v>
      </c>
      <c r="I85" s="357">
        <f>[16]XNV!$S$83</f>
        <v>0</v>
      </c>
      <c r="K85" s="9">
        <f t="shared" si="6"/>
        <v>0</v>
      </c>
      <c r="L85" s="9">
        <f t="shared" si="7"/>
        <v>0</v>
      </c>
      <c r="M85" s="55">
        <f t="shared" si="5"/>
        <v>80</v>
      </c>
    </row>
    <row r="86" spans="1:13">
      <c r="A86" s="2">
        <v>445</v>
      </c>
      <c r="B86" s="195"/>
      <c r="C86" s="52"/>
      <c r="D86" s="52" t="s">
        <v>24</v>
      </c>
      <c r="E86" s="52"/>
      <c r="F86" s="216" t="s">
        <v>549</v>
      </c>
      <c r="G86" s="216"/>
      <c r="H86" s="357">
        <f>[16]XNV!$S$84</f>
        <v>0</v>
      </c>
      <c r="I86" s="357">
        <f>[16]XNV!$S$84</f>
        <v>0</v>
      </c>
      <c r="K86" s="9">
        <f t="shared" si="6"/>
        <v>0</v>
      </c>
      <c r="L86" s="9">
        <f t="shared" si="7"/>
        <v>0</v>
      </c>
      <c r="M86" s="55">
        <f t="shared" si="5"/>
        <v>81</v>
      </c>
    </row>
    <row r="87" spans="1:13">
      <c r="A87" s="2">
        <v>446</v>
      </c>
      <c r="B87" s="195"/>
      <c r="C87" s="52"/>
      <c r="D87" s="52" t="s">
        <v>160</v>
      </c>
      <c r="E87" s="52"/>
      <c r="F87" s="216"/>
      <c r="G87" s="216"/>
      <c r="H87" s="388">
        <f>[16]XNV!$S$85</f>
        <v>0</v>
      </c>
      <c r="I87" s="388">
        <f>[16]XNV!$S$85</f>
        <v>0</v>
      </c>
      <c r="K87" s="157">
        <f t="shared" si="6"/>
        <v>0</v>
      </c>
      <c r="L87" s="157">
        <f t="shared" si="7"/>
        <v>0</v>
      </c>
      <c r="M87" s="55">
        <f t="shared" si="5"/>
        <v>82</v>
      </c>
    </row>
    <row r="88" spans="1:13">
      <c r="A88" s="2">
        <v>447</v>
      </c>
      <c r="B88" s="154"/>
      <c r="C88" s="49"/>
      <c r="D88" s="49"/>
      <c r="E88" s="49"/>
      <c r="F88" s="216"/>
      <c r="G88" s="216"/>
      <c r="H88" s="357"/>
      <c r="I88" s="357"/>
      <c r="K88" s="9">
        <f t="shared" si="6"/>
        <v>0</v>
      </c>
      <c r="L88" s="9">
        <f t="shared" si="7"/>
        <v>0</v>
      </c>
      <c r="M88" s="55">
        <f t="shared" si="5"/>
        <v>83</v>
      </c>
    </row>
    <row r="89" spans="1:13">
      <c r="A89" s="2">
        <v>448</v>
      </c>
      <c r="B89" s="154">
        <v>4891</v>
      </c>
      <c r="C89" s="49" t="s">
        <v>313</v>
      </c>
      <c r="D89" s="49"/>
      <c r="E89" s="49"/>
      <c r="F89" s="216"/>
      <c r="G89" s="216"/>
      <c r="H89" s="357"/>
      <c r="I89" s="357"/>
      <c r="K89" s="9">
        <f t="shared" si="6"/>
        <v>0</v>
      </c>
      <c r="L89" s="9">
        <f t="shared" si="7"/>
        <v>0</v>
      </c>
      <c r="M89" s="55">
        <f t="shared" si="5"/>
        <v>84</v>
      </c>
    </row>
    <row r="90" spans="1:13">
      <c r="A90" s="2">
        <v>449</v>
      </c>
      <c r="B90" s="154"/>
      <c r="C90" s="49"/>
      <c r="D90" s="49" t="s">
        <v>13</v>
      </c>
      <c r="E90" s="49"/>
      <c r="F90" s="216" t="s">
        <v>549</v>
      </c>
      <c r="G90" s="216"/>
      <c r="H90" s="357">
        <f>[16]XNV!$S$88</f>
        <v>0</v>
      </c>
      <c r="I90" s="357">
        <f>[16]XNV!$S$88</f>
        <v>0</v>
      </c>
      <c r="K90" s="9">
        <f t="shared" si="6"/>
        <v>0</v>
      </c>
      <c r="L90" s="9">
        <f t="shared" si="7"/>
        <v>0</v>
      </c>
      <c r="M90" s="55">
        <f t="shared" si="5"/>
        <v>85</v>
      </c>
    </row>
    <row r="91" spans="1:13">
      <c r="A91" s="2">
        <v>450</v>
      </c>
      <c r="B91" s="154"/>
      <c r="C91" s="49"/>
      <c r="D91" s="49" t="s">
        <v>24</v>
      </c>
      <c r="E91" s="49"/>
      <c r="F91" s="216" t="s">
        <v>549</v>
      </c>
      <c r="G91" s="216"/>
      <c r="H91" s="357">
        <f>[16]XNV!$S$89</f>
        <v>0</v>
      </c>
      <c r="I91" s="357">
        <f>[16]XNV!$S$89</f>
        <v>0</v>
      </c>
      <c r="K91" s="9">
        <f t="shared" si="6"/>
        <v>0</v>
      </c>
      <c r="L91" s="9">
        <f t="shared" si="7"/>
        <v>0</v>
      </c>
      <c r="M91" s="55">
        <f t="shared" si="5"/>
        <v>86</v>
      </c>
    </row>
    <row r="92" spans="1:13">
      <c r="A92" s="2">
        <v>451</v>
      </c>
      <c r="B92" s="154"/>
      <c r="C92" s="49"/>
      <c r="D92" s="49" t="s">
        <v>160</v>
      </c>
      <c r="E92" s="49"/>
      <c r="F92" s="216"/>
      <c r="G92" s="216"/>
      <c r="H92" s="388">
        <f>[16]XNV!$S$90</f>
        <v>0</v>
      </c>
      <c r="I92" s="388">
        <f>[16]XNV!$S$90</f>
        <v>0</v>
      </c>
      <c r="K92" s="157">
        <f t="shared" si="6"/>
        <v>0</v>
      </c>
      <c r="L92" s="157">
        <f t="shared" si="7"/>
        <v>0</v>
      </c>
      <c r="M92" s="55">
        <f t="shared" si="5"/>
        <v>87</v>
      </c>
    </row>
    <row r="93" spans="1:13">
      <c r="A93" s="2">
        <v>452</v>
      </c>
      <c r="B93" s="154"/>
      <c r="C93" s="49"/>
      <c r="D93" s="49"/>
      <c r="E93" s="49"/>
      <c r="F93" s="216"/>
      <c r="G93" s="216"/>
      <c r="H93" s="357"/>
      <c r="I93" s="357"/>
      <c r="K93" s="9">
        <f t="shared" si="6"/>
        <v>0</v>
      </c>
      <c r="L93" s="9">
        <f t="shared" si="7"/>
        <v>0</v>
      </c>
      <c r="M93" s="55">
        <f t="shared" si="5"/>
        <v>88</v>
      </c>
    </row>
    <row r="94" spans="1:13">
      <c r="A94" s="2">
        <v>453</v>
      </c>
      <c r="B94" s="154">
        <v>490</v>
      </c>
      <c r="C94" s="49" t="s">
        <v>314</v>
      </c>
      <c r="D94" s="49"/>
      <c r="E94" s="49"/>
      <c r="F94" s="216"/>
      <c r="G94" s="216"/>
      <c r="H94" s="357"/>
      <c r="I94" s="357"/>
      <c r="K94" s="9">
        <f t="shared" si="6"/>
        <v>0</v>
      </c>
      <c r="L94" s="9">
        <f t="shared" si="7"/>
        <v>0</v>
      </c>
      <c r="M94" s="55">
        <f t="shared" si="5"/>
        <v>89</v>
      </c>
    </row>
    <row r="95" spans="1:13">
      <c r="A95" s="2">
        <v>454</v>
      </c>
      <c r="B95" s="154"/>
      <c r="C95" s="49"/>
      <c r="D95" s="49" t="s">
        <v>13</v>
      </c>
      <c r="E95" s="49"/>
      <c r="F95" s="216" t="s">
        <v>548</v>
      </c>
      <c r="G95" s="216"/>
      <c r="H95" s="357">
        <f>[16]XNV!$S$93</f>
        <v>5277157.1893031001</v>
      </c>
      <c r="I95" s="357">
        <f>[16]XNV!$S$93</f>
        <v>5277157.1893031001</v>
      </c>
      <c r="K95" s="9">
        <f t="shared" si="6"/>
        <v>5277157.1893031001</v>
      </c>
      <c r="L95" s="9">
        <f t="shared" si="7"/>
        <v>0</v>
      </c>
      <c r="M95" s="55">
        <f t="shared" si="5"/>
        <v>90</v>
      </c>
    </row>
    <row r="96" spans="1:13">
      <c r="A96" s="2">
        <v>455</v>
      </c>
      <c r="B96" s="154"/>
      <c r="C96" s="49"/>
      <c r="D96" s="49" t="s">
        <v>24</v>
      </c>
      <c r="E96" s="49"/>
      <c r="F96" s="216" t="s">
        <v>548</v>
      </c>
      <c r="G96" s="216"/>
      <c r="H96" s="357">
        <f>[16]XNV!$S$94</f>
        <v>179117.15069690009</v>
      </c>
      <c r="I96" s="357">
        <f>[16]XNV!$S$94</f>
        <v>179117.15069690009</v>
      </c>
      <c r="K96" s="9">
        <f t="shared" si="6"/>
        <v>179117.15069690009</v>
      </c>
      <c r="L96" s="9">
        <f t="shared" si="7"/>
        <v>0</v>
      </c>
      <c r="M96" s="55">
        <f t="shared" si="5"/>
        <v>91</v>
      </c>
    </row>
    <row r="97" spans="1:13">
      <c r="A97" s="2">
        <v>456</v>
      </c>
      <c r="B97" s="154"/>
      <c r="C97" s="49"/>
      <c r="D97" s="49" t="s">
        <v>160</v>
      </c>
      <c r="E97" s="49"/>
      <c r="F97" s="216"/>
      <c r="G97" s="216"/>
      <c r="H97" s="388">
        <f>[16]XNV!$S$95</f>
        <v>5456274.3400000008</v>
      </c>
      <c r="I97" s="388">
        <f>[16]XNV!$S$95</f>
        <v>5456274.3400000008</v>
      </c>
      <c r="K97" s="157">
        <f t="shared" si="6"/>
        <v>5456274.3400000008</v>
      </c>
      <c r="L97" s="157">
        <f t="shared" si="7"/>
        <v>0</v>
      </c>
      <c r="M97" s="55">
        <f t="shared" si="5"/>
        <v>92</v>
      </c>
    </row>
    <row r="98" spans="1:13">
      <c r="A98" s="2">
        <v>457</v>
      </c>
      <c r="B98" s="154"/>
      <c r="C98" s="49"/>
      <c r="D98" s="49"/>
      <c r="E98" s="49"/>
      <c r="F98" s="216"/>
      <c r="G98" s="216"/>
      <c r="H98" s="357"/>
      <c r="I98" s="357"/>
      <c r="K98" s="9">
        <f t="shared" si="6"/>
        <v>0</v>
      </c>
      <c r="L98" s="9">
        <f t="shared" si="7"/>
        <v>0</v>
      </c>
      <c r="M98" s="55">
        <f t="shared" si="5"/>
        <v>93</v>
      </c>
    </row>
    <row r="99" spans="1:13">
      <c r="A99" s="2">
        <v>458</v>
      </c>
      <c r="B99" s="154">
        <v>491</v>
      </c>
      <c r="C99" s="49" t="s">
        <v>315</v>
      </c>
      <c r="D99" s="49"/>
      <c r="E99" s="49"/>
      <c r="F99" s="216"/>
      <c r="G99" s="216"/>
      <c r="H99" s="357"/>
      <c r="I99" s="357"/>
      <c r="K99" s="9">
        <f t="shared" si="6"/>
        <v>0</v>
      </c>
      <c r="L99" s="9">
        <f t="shared" si="7"/>
        <v>0</v>
      </c>
      <c r="M99" s="55">
        <f t="shared" si="5"/>
        <v>94</v>
      </c>
    </row>
    <row r="100" spans="1:13">
      <c r="A100" s="2">
        <v>459</v>
      </c>
      <c r="B100" s="154"/>
      <c r="C100" s="49"/>
      <c r="D100" s="49" t="s">
        <v>13</v>
      </c>
      <c r="E100" s="49"/>
      <c r="F100" s="216" t="s">
        <v>548</v>
      </c>
      <c r="G100" s="216"/>
      <c r="H100" s="357">
        <f>[16]XNV!$S$98</f>
        <v>0</v>
      </c>
      <c r="I100" s="357">
        <f>[16]XNV!$S$98</f>
        <v>0</v>
      </c>
      <c r="K100" s="9">
        <f t="shared" si="6"/>
        <v>0</v>
      </c>
      <c r="L100" s="9">
        <f t="shared" si="7"/>
        <v>0</v>
      </c>
      <c r="M100" s="55">
        <f t="shared" si="5"/>
        <v>95</v>
      </c>
    </row>
    <row r="101" spans="1:13">
      <c r="A101" s="2">
        <v>460</v>
      </c>
      <c r="B101" s="154"/>
      <c r="C101" s="49"/>
      <c r="D101" s="49" t="s">
        <v>24</v>
      </c>
      <c r="E101" s="49"/>
      <c r="F101" s="216" t="s">
        <v>549</v>
      </c>
      <c r="G101" s="216"/>
      <c r="H101" s="357">
        <f>[16]XNV!$S$99</f>
        <v>0</v>
      </c>
      <c r="I101" s="357">
        <f>[16]XNV!$S$99</f>
        <v>0</v>
      </c>
      <c r="K101" s="9">
        <f t="shared" si="6"/>
        <v>0</v>
      </c>
      <c r="L101" s="9">
        <f t="shared" si="7"/>
        <v>0</v>
      </c>
      <c r="M101" s="55">
        <f t="shared" si="5"/>
        <v>96</v>
      </c>
    </row>
    <row r="102" spans="1:13">
      <c r="A102" s="2">
        <v>461</v>
      </c>
      <c r="B102" s="154"/>
      <c r="C102" s="49"/>
      <c r="D102" s="49" t="s">
        <v>160</v>
      </c>
      <c r="E102" s="49"/>
      <c r="F102" s="216"/>
      <c r="G102" s="216"/>
      <c r="H102" s="388">
        <f>[16]XNV!$S$100</f>
        <v>0</v>
      </c>
      <c r="I102" s="388">
        <f>[16]XNV!$S$100</f>
        <v>0</v>
      </c>
      <c r="K102" s="157">
        <f t="shared" si="6"/>
        <v>0</v>
      </c>
      <c r="L102" s="157">
        <f t="shared" si="7"/>
        <v>0</v>
      </c>
      <c r="M102" s="55">
        <f t="shared" si="5"/>
        <v>97</v>
      </c>
    </row>
    <row r="103" spans="1:13">
      <c r="A103" s="2">
        <v>462</v>
      </c>
      <c r="B103" s="154"/>
      <c r="C103" s="49"/>
      <c r="D103" s="49"/>
      <c r="E103" s="49"/>
      <c r="F103" s="216"/>
      <c r="G103" s="216"/>
      <c r="H103" s="357"/>
      <c r="I103" s="357"/>
      <c r="K103" s="9">
        <f t="shared" si="6"/>
        <v>0</v>
      </c>
      <c r="L103" s="9">
        <f t="shared" si="7"/>
        <v>0</v>
      </c>
      <c r="M103" s="55">
        <f t="shared" si="5"/>
        <v>98</v>
      </c>
    </row>
    <row r="104" spans="1:13">
      <c r="A104" s="2">
        <v>463</v>
      </c>
      <c r="B104" s="154">
        <v>492</v>
      </c>
      <c r="C104" s="49" t="s">
        <v>316</v>
      </c>
      <c r="D104" s="49"/>
      <c r="E104" s="49"/>
      <c r="F104" s="216"/>
      <c r="G104" s="216"/>
      <c r="H104" s="357"/>
      <c r="I104" s="357"/>
      <c r="K104" s="9">
        <f t="shared" si="6"/>
        <v>0</v>
      </c>
      <c r="L104" s="9">
        <f t="shared" si="7"/>
        <v>0</v>
      </c>
      <c r="M104" s="55">
        <f t="shared" si="5"/>
        <v>99</v>
      </c>
    </row>
    <row r="105" spans="1:13">
      <c r="A105" s="2">
        <v>464</v>
      </c>
      <c r="B105" s="154"/>
      <c r="C105" s="49"/>
      <c r="D105" s="49" t="s">
        <v>13</v>
      </c>
      <c r="E105" s="49"/>
      <c r="F105" s="216" t="s">
        <v>548</v>
      </c>
      <c r="G105" s="216"/>
      <c r="H105" s="357">
        <f>[16]XNV!$S$103</f>
        <v>1746447.8848289</v>
      </c>
      <c r="I105" s="357">
        <f>[16]XNV!$S$103</f>
        <v>1746447.8848289</v>
      </c>
      <c r="K105" s="9">
        <f t="shared" si="6"/>
        <v>1746447.8848289</v>
      </c>
      <c r="L105" s="9">
        <f t="shared" si="7"/>
        <v>0</v>
      </c>
      <c r="M105" s="55">
        <f t="shared" si="5"/>
        <v>100</v>
      </c>
    </row>
    <row r="106" spans="1:13">
      <c r="A106" s="2">
        <v>465</v>
      </c>
      <c r="B106" s="154"/>
      <c r="C106" s="49"/>
      <c r="D106" s="49" t="s">
        <v>24</v>
      </c>
      <c r="E106" s="49"/>
      <c r="F106" s="216" t="s">
        <v>548</v>
      </c>
      <c r="G106" s="216"/>
      <c r="H106" s="357">
        <f>[16]XNV!$S$104</f>
        <v>62998.605171099989</v>
      </c>
      <c r="I106" s="357">
        <f>[16]XNV!$S$104</f>
        <v>62998.605171099989</v>
      </c>
      <c r="K106" s="9">
        <f t="shared" si="6"/>
        <v>62998.605171099989</v>
      </c>
      <c r="L106" s="9">
        <f t="shared" si="7"/>
        <v>0</v>
      </c>
      <c r="M106" s="55">
        <f t="shared" si="5"/>
        <v>101</v>
      </c>
    </row>
    <row r="107" spans="1:13">
      <c r="A107" s="2">
        <v>466</v>
      </c>
      <c r="B107" s="154"/>
      <c r="C107" s="49"/>
      <c r="D107" s="49" t="s">
        <v>160</v>
      </c>
      <c r="E107" s="49"/>
      <c r="F107" s="216"/>
      <c r="G107" s="216"/>
      <c r="H107" s="388">
        <f>[16]XNV!$S$105</f>
        <v>1809446.49</v>
      </c>
      <c r="I107" s="388">
        <f>[16]XNV!$S$105</f>
        <v>1809446.49</v>
      </c>
      <c r="K107" s="157">
        <f t="shared" si="6"/>
        <v>1809446.49</v>
      </c>
      <c r="L107" s="157">
        <f t="shared" si="7"/>
        <v>0</v>
      </c>
      <c r="M107" s="55">
        <f t="shared" si="5"/>
        <v>102</v>
      </c>
    </row>
    <row r="108" spans="1:13">
      <c r="A108" s="2">
        <v>467</v>
      </c>
      <c r="B108" s="154"/>
      <c r="C108" s="49"/>
      <c r="D108" s="49"/>
      <c r="E108" s="49"/>
      <c r="F108" s="216"/>
      <c r="G108" s="216"/>
      <c r="H108" s="357"/>
      <c r="I108" s="357"/>
      <c r="K108" s="9">
        <f t="shared" si="6"/>
        <v>0</v>
      </c>
      <c r="L108" s="9">
        <f t="shared" si="7"/>
        <v>0</v>
      </c>
      <c r="M108" s="55">
        <f t="shared" si="5"/>
        <v>103</v>
      </c>
    </row>
    <row r="109" spans="1:13">
      <c r="A109" s="2">
        <v>468</v>
      </c>
      <c r="B109" s="154">
        <v>493</v>
      </c>
      <c r="C109" s="49" t="s">
        <v>317</v>
      </c>
      <c r="D109" s="49"/>
      <c r="E109" s="49"/>
      <c r="F109" s="216"/>
      <c r="G109" s="216"/>
      <c r="H109" s="357"/>
      <c r="I109" s="357"/>
      <c r="K109" s="9">
        <f t="shared" si="6"/>
        <v>0</v>
      </c>
      <c r="L109" s="9">
        <f t="shared" si="7"/>
        <v>0</v>
      </c>
      <c r="M109" s="55">
        <f t="shared" si="5"/>
        <v>104</v>
      </c>
    </row>
    <row r="110" spans="1:13">
      <c r="A110" s="2">
        <v>469</v>
      </c>
      <c r="B110" s="154"/>
      <c r="C110" s="49"/>
      <c r="D110" s="49" t="s">
        <v>13</v>
      </c>
      <c r="E110" s="49"/>
      <c r="F110" s="216" t="s">
        <v>548</v>
      </c>
      <c r="G110" s="216"/>
      <c r="H110" s="357">
        <f>[16]XNV!$S$108</f>
        <v>0</v>
      </c>
      <c r="I110" s="357">
        <f>[16]XNV!$S$108</f>
        <v>0</v>
      </c>
      <c r="K110" s="9">
        <f t="shared" si="6"/>
        <v>0</v>
      </c>
      <c r="L110" s="9">
        <f t="shared" si="7"/>
        <v>0</v>
      </c>
      <c r="M110" s="55">
        <f t="shared" si="5"/>
        <v>105</v>
      </c>
    </row>
    <row r="111" spans="1:13">
      <c r="A111" s="2">
        <v>470</v>
      </c>
      <c r="B111" s="154"/>
      <c r="C111" s="49"/>
      <c r="D111" s="49" t="s">
        <v>24</v>
      </c>
      <c r="E111" s="49"/>
      <c r="F111" s="216" t="s">
        <v>549</v>
      </c>
      <c r="G111" s="216"/>
      <c r="H111" s="357">
        <f>[16]XNV!$S$109</f>
        <v>0</v>
      </c>
      <c r="I111" s="357">
        <f>[16]XNV!$S$109</f>
        <v>0</v>
      </c>
      <c r="K111" s="9">
        <f t="shared" ref="K111:K142" si="8">HLOOKUP($K$7,OtherRevScenarios,M110,FALSE)</f>
        <v>0</v>
      </c>
      <c r="L111" s="9">
        <f t="shared" ref="L111:L134" si="9">+K111-H111</f>
        <v>0</v>
      </c>
      <c r="M111" s="55">
        <f t="shared" si="5"/>
        <v>106</v>
      </c>
    </row>
    <row r="112" spans="1:13">
      <c r="A112" s="2">
        <v>471</v>
      </c>
      <c r="B112" s="154"/>
      <c r="C112" s="49"/>
      <c r="D112" s="49" t="s">
        <v>160</v>
      </c>
      <c r="E112" s="49"/>
      <c r="F112" s="216"/>
      <c r="G112" s="216"/>
      <c r="H112" s="388">
        <f>[16]XNV!$S$110</f>
        <v>0</v>
      </c>
      <c r="I112" s="388">
        <f>[16]XNV!$S$110</f>
        <v>0</v>
      </c>
      <c r="K112" s="157">
        <f t="shared" si="8"/>
        <v>0</v>
      </c>
      <c r="L112" s="157">
        <f t="shared" si="9"/>
        <v>0</v>
      </c>
      <c r="M112" s="55">
        <f t="shared" si="5"/>
        <v>107</v>
      </c>
    </row>
    <row r="113" spans="1:13">
      <c r="A113" s="2">
        <v>472</v>
      </c>
      <c r="B113" s="154"/>
      <c r="C113" s="49"/>
      <c r="D113" s="49"/>
      <c r="E113" s="49"/>
      <c r="F113" s="216"/>
      <c r="G113" s="216"/>
      <c r="H113" s="357"/>
      <c r="I113" s="357"/>
      <c r="K113" s="9">
        <f t="shared" si="8"/>
        <v>0</v>
      </c>
      <c r="L113" s="9">
        <f t="shared" si="9"/>
        <v>0</v>
      </c>
      <c r="M113" s="55">
        <f t="shared" si="5"/>
        <v>108</v>
      </c>
    </row>
    <row r="114" spans="1:13">
      <c r="A114" s="2">
        <v>473</v>
      </c>
      <c r="B114" s="154">
        <v>495</v>
      </c>
      <c r="C114" s="49" t="s">
        <v>320</v>
      </c>
      <c r="D114" s="49"/>
      <c r="E114" s="49"/>
      <c r="F114" s="216"/>
      <c r="G114" s="216"/>
      <c r="H114" s="357"/>
      <c r="I114" s="357"/>
      <c r="K114" s="9">
        <f t="shared" si="8"/>
        <v>0</v>
      </c>
      <c r="L114" s="9">
        <f t="shared" si="9"/>
        <v>0</v>
      </c>
      <c r="M114" s="55">
        <f t="shared" si="5"/>
        <v>109</v>
      </c>
    </row>
    <row r="115" spans="1:13">
      <c r="A115" s="2">
        <v>474</v>
      </c>
      <c r="B115" s="154"/>
      <c r="C115" s="49"/>
      <c r="D115" s="49" t="s">
        <v>13</v>
      </c>
      <c r="E115" s="49"/>
      <c r="F115" s="216" t="s">
        <v>548</v>
      </c>
      <c r="G115" s="216"/>
      <c r="H115" s="357">
        <f>[16]XNV!$S$113</f>
        <v>-263367.86752480001</v>
      </c>
      <c r="I115" s="357">
        <f>[16]XNV!$S$113</f>
        <v>-263367.86752480001</v>
      </c>
      <c r="K115" s="9">
        <f t="shared" si="8"/>
        <v>-263367.86752480001</v>
      </c>
      <c r="L115" s="9">
        <f t="shared" si="9"/>
        <v>0</v>
      </c>
      <c r="M115" s="55">
        <f t="shared" si="5"/>
        <v>110</v>
      </c>
    </row>
    <row r="116" spans="1:13">
      <c r="A116" s="2">
        <v>475</v>
      </c>
      <c r="B116" s="154"/>
      <c r="C116" s="49"/>
      <c r="D116" s="49" t="s">
        <v>24</v>
      </c>
      <c r="E116" s="49"/>
      <c r="F116" s="216" t="s">
        <v>549</v>
      </c>
      <c r="G116" s="216"/>
      <c r="H116" s="357">
        <f>[16]XNV!$S$114</f>
        <v>-9909.1524752000041</v>
      </c>
      <c r="I116" s="357">
        <f>[16]XNV!$S$114</f>
        <v>-9909.1524752000041</v>
      </c>
      <c r="K116" s="9">
        <f t="shared" si="8"/>
        <v>-9909.1524752000041</v>
      </c>
      <c r="L116" s="9">
        <f t="shared" si="9"/>
        <v>0</v>
      </c>
      <c r="M116" s="55">
        <f t="shared" si="5"/>
        <v>111</v>
      </c>
    </row>
    <row r="117" spans="1:13">
      <c r="A117" s="2">
        <v>476</v>
      </c>
      <c r="B117" s="154"/>
      <c r="C117" s="49"/>
      <c r="D117" s="49" t="s">
        <v>160</v>
      </c>
      <c r="E117" s="49"/>
      <c r="F117" s="216"/>
      <c r="G117" s="216"/>
      <c r="H117" s="388">
        <f>[16]XNV!$S$115</f>
        <v>-273277.02</v>
      </c>
      <c r="I117" s="388">
        <f>[16]XNV!$S$115</f>
        <v>-273277.02</v>
      </c>
      <c r="K117" s="157">
        <f t="shared" si="8"/>
        <v>-273277.02</v>
      </c>
      <c r="L117" s="157">
        <f t="shared" si="9"/>
        <v>0</v>
      </c>
      <c r="M117" s="55">
        <f t="shared" si="5"/>
        <v>112</v>
      </c>
    </row>
    <row r="118" spans="1:13">
      <c r="A118" s="2">
        <v>477</v>
      </c>
      <c r="B118" s="154"/>
      <c r="C118" s="49"/>
      <c r="D118" s="49"/>
      <c r="E118" s="49"/>
      <c r="F118" s="216"/>
      <c r="G118" s="216"/>
      <c r="H118" s="357"/>
      <c r="I118" s="357"/>
      <c r="K118" s="9">
        <f t="shared" si="8"/>
        <v>0</v>
      </c>
      <c r="L118" s="9">
        <f t="shared" si="9"/>
        <v>0</v>
      </c>
      <c r="M118" s="55">
        <f t="shared" si="5"/>
        <v>113</v>
      </c>
    </row>
    <row r="119" spans="1:13">
      <c r="A119" s="2">
        <v>478</v>
      </c>
      <c r="B119" s="154">
        <v>4951</v>
      </c>
      <c r="C119" s="49" t="s">
        <v>321</v>
      </c>
      <c r="D119" s="49"/>
      <c r="E119" s="49"/>
      <c r="F119" s="216"/>
      <c r="G119" s="216"/>
      <c r="H119" s="357"/>
      <c r="I119" s="357"/>
      <c r="K119" s="9">
        <f t="shared" si="8"/>
        <v>0</v>
      </c>
      <c r="L119" s="9">
        <f t="shared" si="9"/>
        <v>0</v>
      </c>
      <c r="M119" s="55">
        <f t="shared" si="5"/>
        <v>114</v>
      </c>
    </row>
    <row r="120" spans="1:13">
      <c r="A120" s="2">
        <v>479</v>
      </c>
      <c r="B120" s="154"/>
      <c r="C120" s="49"/>
      <c r="D120" s="49" t="s">
        <v>13</v>
      </c>
      <c r="E120" s="49"/>
      <c r="F120" s="216" t="s">
        <v>548</v>
      </c>
      <c r="G120" s="216"/>
      <c r="H120" s="357">
        <f>[16]XNV!$S$118</f>
        <v>10370524.584048901</v>
      </c>
      <c r="I120" s="357">
        <f>[16]XNV!$S$118</f>
        <v>10370524.584048901</v>
      </c>
      <c r="K120" s="9">
        <f t="shared" si="8"/>
        <v>10370524.584048901</v>
      </c>
      <c r="L120" s="9">
        <f t="shared" si="9"/>
        <v>0</v>
      </c>
      <c r="M120" s="55">
        <f t="shared" si="5"/>
        <v>115</v>
      </c>
    </row>
    <row r="121" spans="1:13">
      <c r="A121" s="2">
        <v>480</v>
      </c>
      <c r="B121" s="154"/>
      <c r="C121" s="49"/>
      <c r="D121" s="49" t="s">
        <v>24</v>
      </c>
      <c r="E121" s="49"/>
      <c r="F121" s="216" t="s">
        <v>548</v>
      </c>
      <c r="G121" s="216"/>
      <c r="H121" s="357">
        <f>[16]XNV!$S$119</f>
        <v>375650.00595109991</v>
      </c>
      <c r="I121" s="357">
        <f>[16]XNV!$S$119</f>
        <v>375650.00595109991</v>
      </c>
      <c r="K121" s="9">
        <f t="shared" si="8"/>
        <v>375650.00595109991</v>
      </c>
      <c r="L121" s="9">
        <f t="shared" si="9"/>
        <v>0</v>
      </c>
      <c r="M121" s="55">
        <f t="shared" si="5"/>
        <v>116</v>
      </c>
    </row>
    <row r="122" spans="1:13">
      <c r="A122" s="2">
        <v>481</v>
      </c>
      <c r="B122" s="154"/>
      <c r="C122" s="49"/>
      <c r="D122" s="49" t="s">
        <v>160</v>
      </c>
      <c r="E122" s="49"/>
      <c r="F122" s="216"/>
      <c r="G122" s="216"/>
      <c r="H122" s="388">
        <f>[16]XNV!$S$120</f>
        <v>10746174.590000002</v>
      </c>
      <c r="I122" s="388">
        <f>[16]XNV!$S$120</f>
        <v>10746174.590000002</v>
      </c>
      <c r="K122" s="157">
        <f t="shared" si="8"/>
        <v>10746174.590000002</v>
      </c>
      <c r="L122" s="157">
        <f t="shared" si="9"/>
        <v>0</v>
      </c>
      <c r="M122" s="55">
        <f t="shared" si="5"/>
        <v>117</v>
      </c>
    </row>
    <row r="123" spans="1:13">
      <c r="A123" s="2">
        <v>482</v>
      </c>
      <c r="B123" s="154"/>
      <c r="C123" s="49"/>
      <c r="D123" s="49"/>
      <c r="E123" s="49"/>
      <c r="F123" s="216"/>
      <c r="G123" s="216"/>
      <c r="H123" s="357"/>
      <c r="I123" s="357"/>
      <c r="K123" s="9">
        <f t="shared" si="8"/>
        <v>0</v>
      </c>
      <c r="L123" s="9">
        <f t="shared" si="9"/>
        <v>0</v>
      </c>
      <c r="M123" s="55">
        <f t="shared" si="5"/>
        <v>118</v>
      </c>
    </row>
    <row r="124" spans="1:13">
      <c r="A124" s="2">
        <v>483</v>
      </c>
      <c r="B124" s="154">
        <v>4952</v>
      </c>
      <c r="C124" s="49" t="s">
        <v>322</v>
      </c>
      <c r="D124" s="49"/>
      <c r="E124" s="49"/>
      <c r="F124" s="216"/>
      <c r="G124" s="216"/>
      <c r="H124" s="357"/>
      <c r="I124" s="357"/>
      <c r="K124" s="9">
        <f t="shared" si="8"/>
        <v>0</v>
      </c>
      <c r="L124" s="9">
        <f t="shared" si="9"/>
        <v>0</v>
      </c>
      <c r="M124" s="55">
        <f t="shared" si="5"/>
        <v>119</v>
      </c>
    </row>
    <row r="125" spans="1:13">
      <c r="A125" s="2">
        <v>484</v>
      </c>
      <c r="B125" s="154"/>
      <c r="C125" s="49"/>
      <c r="D125" s="49" t="s">
        <v>13</v>
      </c>
      <c r="E125" s="49"/>
      <c r="F125" s="216" t="s">
        <v>548</v>
      </c>
      <c r="G125" s="216"/>
      <c r="H125" s="357">
        <f>[16]XNV!$S$123</f>
        <v>118657.68864000001</v>
      </c>
      <c r="I125" s="357">
        <f>[16]XNV!$S$123</f>
        <v>118657.68864000001</v>
      </c>
      <c r="K125" s="9">
        <f t="shared" si="8"/>
        <v>118657.68864000001</v>
      </c>
      <c r="L125" s="9">
        <f t="shared" si="9"/>
        <v>0</v>
      </c>
      <c r="M125" s="55">
        <f t="shared" si="5"/>
        <v>120</v>
      </c>
    </row>
    <row r="126" spans="1:13">
      <c r="A126" s="2">
        <v>485</v>
      </c>
      <c r="B126" s="154"/>
      <c r="C126" s="49"/>
      <c r="D126" s="49" t="s">
        <v>24</v>
      </c>
      <c r="E126" s="49"/>
      <c r="F126" s="216" t="s">
        <v>548</v>
      </c>
      <c r="G126" s="216"/>
      <c r="H126" s="357">
        <f>[16]XNV!$S$124</f>
        <v>4187.3113599999997</v>
      </c>
      <c r="I126" s="357">
        <f>[16]XNV!$S$124</f>
        <v>4187.3113599999997</v>
      </c>
      <c r="K126" s="9">
        <f t="shared" si="8"/>
        <v>4187.3113599999997</v>
      </c>
      <c r="L126" s="9">
        <f t="shared" si="9"/>
        <v>0</v>
      </c>
      <c r="M126" s="55">
        <f t="shared" si="5"/>
        <v>121</v>
      </c>
    </row>
    <row r="127" spans="1:13">
      <c r="A127" s="2">
        <v>486</v>
      </c>
      <c r="B127" s="154"/>
      <c r="C127" s="49"/>
      <c r="D127" s="49" t="s">
        <v>160</v>
      </c>
      <c r="E127" s="49"/>
      <c r="F127" s="216"/>
      <c r="G127" s="216"/>
      <c r="H127" s="388">
        <f>[16]XNV!$S$125</f>
        <v>122845</v>
      </c>
      <c r="I127" s="388">
        <f>[16]XNV!$S$125</f>
        <v>122845</v>
      </c>
      <c r="K127" s="157">
        <f t="shared" si="8"/>
        <v>122845</v>
      </c>
      <c r="L127" s="157">
        <f t="shared" si="9"/>
        <v>0</v>
      </c>
      <c r="M127" s="55">
        <f t="shared" si="5"/>
        <v>122</v>
      </c>
    </row>
    <row r="128" spans="1:13">
      <c r="A128" s="2">
        <v>487</v>
      </c>
      <c r="B128" s="154"/>
      <c r="C128" s="49"/>
      <c r="D128" s="49"/>
      <c r="E128" s="49"/>
      <c r="F128" s="216"/>
      <c r="G128" s="216"/>
      <c r="H128" s="357"/>
      <c r="I128" s="357"/>
      <c r="K128" s="9">
        <f t="shared" si="8"/>
        <v>0</v>
      </c>
      <c r="L128" s="9">
        <f t="shared" si="9"/>
        <v>0</v>
      </c>
      <c r="M128" s="55">
        <f t="shared" si="5"/>
        <v>123</v>
      </c>
    </row>
    <row r="129" spans="1:13">
      <c r="A129" s="2">
        <v>488</v>
      </c>
      <c r="B129" s="154">
        <v>4974</v>
      </c>
      <c r="C129" s="49" t="s">
        <v>326</v>
      </c>
      <c r="D129" s="49"/>
      <c r="E129" s="49"/>
      <c r="F129" s="216"/>
      <c r="G129" s="216"/>
      <c r="H129" s="357"/>
      <c r="I129" s="357"/>
      <c r="K129" s="9">
        <f t="shared" si="8"/>
        <v>0</v>
      </c>
      <c r="L129" s="9">
        <f t="shared" si="9"/>
        <v>0</v>
      </c>
      <c r="M129" s="55">
        <f t="shared" si="5"/>
        <v>124</v>
      </c>
    </row>
    <row r="130" spans="1:13">
      <c r="A130" s="2">
        <v>489</v>
      </c>
      <c r="B130" s="153"/>
      <c r="C130" s="49"/>
      <c r="D130" s="49" t="s">
        <v>13</v>
      </c>
      <c r="E130" s="49"/>
      <c r="F130" s="216" t="s">
        <v>549</v>
      </c>
      <c r="G130" s="216"/>
      <c r="H130" s="357">
        <f>[16]XNV!$S$128</f>
        <v>0</v>
      </c>
      <c r="I130" s="357">
        <f>[16]XNV!$S$128</f>
        <v>0</v>
      </c>
      <c r="K130" s="9">
        <f t="shared" si="8"/>
        <v>0</v>
      </c>
      <c r="L130" s="9">
        <f t="shared" si="9"/>
        <v>0</v>
      </c>
      <c r="M130" s="55">
        <f t="shared" si="5"/>
        <v>125</v>
      </c>
    </row>
    <row r="131" spans="1:13">
      <c r="A131" s="2">
        <v>490</v>
      </c>
      <c r="B131" s="153"/>
      <c r="C131" s="49"/>
      <c r="D131" s="49" t="s">
        <v>24</v>
      </c>
      <c r="E131" s="49"/>
      <c r="F131" s="216" t="s">
        <v>549</v>
      </c>
      <c r="G131" s="216"/>
      <c r="H131" s="357">
        <f>[16]XNV!$S$129</f>
        <v>0</v>
      </c>
      <c r="I131" s="357">
        <f>[16]XNV!$S$129</f>
        <v>0</v>
      </c>
      <c r="K131" s="9">
        <f t="shared" si="8"/>
        <v>0</v>
      </c>
      <c r="L131" s="9">
        <f t="shared" si="9"/>
        <v>0</v>
      </c>
      <c r="M131" s="55">
        <f t="shared" ref="M131:M148" si="10">+M130+1</f>
        <v>126</v>
      </c>
    </row>
    <row r="132" spans="1:13">
      <c r="A132" s="2">
        <v>491</v>
      </c>
      <c r="B132" s="153"/>
      <c r="C132" s="49"/>
      <c r="D132" s="49" t="s">
        <v>160</v>
      </c>
      <c r="E132" s="49"/>
      <c r="F132" s="49"/>
      <c r="G132" s="49"/>
      <c r="H132" s="388">
        <f>[16]XNV!$S$130</f>
        <v>0</v>
      </c>
      <c r="I132" s="388">
        <f>[16]XNV!$S$130</f>
        <v>0</v>
      </c>
      <c r="K132" s="157">
        <f t="shared" si="8"/>
        <v>0</v>
      </c>
      <c r="L132" s="157">
        <f t="shared" si="9"/>
        <v>0</v>
      </c>
      <c r="M132" s="55">
        <f t="shared" si="10"/>
        <v>127</v>
      </c>
    </row>
    <row r="133" spans="1:13" ht="13.5" thickBot="1">
      <c r="A133" s="2">
        <v>492</v>
      </c>
      <c r="B133" s="153"/>
      <c r="C133" s="49"/>
      <c r="D133" s="49"/>
      <c r="E133" s="49"/>
      <c r="F133" s="49"/>
      <c r="G133" s="49"/>
      <c r="H133" s="579"/>
      <c r="I133" s="579"/>
      <c r="K133" s="26">
        <f t="shared" si="8"/>
        <v>0</v>
      </c>
      <c r="L133" s="26">
        <f t="shared" si="9"/>
        <v>0</v>
      </c>
      <c r="M133" s="55">
        <f t="shared" si="10"/>
        <v>128</v>
      </c>
    </row>
    <row r="134" spans="1:13" ht="13.5" thickTop="1">
      <c r="A134" s="2">
        <v>493</v>
      </c>
      <c r="B134" s="130" t="s">
        <v>538</v>
      </c>
      <c r="C134" s="49"/>
      <c r="D134" s="49"/>
      <c r="E134" s="49"/>
      <c r="F134" s="49"/>
      <c r="G134" s="49"/>
      <c r="H134" s="357">
        <f>[16]XNV!$S$132</f>
        <v>0</v>
      </c>
      <c r="I134" s="357">
        <f>[16]XNV!$S$132</f>
        <v>0</v>
      </c>
      <c r="K134" s="9">
        <f t="shared" si="8"/>
        <v>0</v>
      </c>
      <c r="L134" s="9">
        <f t="shared" si="9"/>
        <v>0</v>
      </c>
      <c r="M134" s="55">
        <f t="shared" si="10"/>
        <v>129</v>
      </c>
    </row>
    <row r="135" spans="1:13">
      <c r="A135" s="2">
        <v>494</v>
      </c>
      <c r="B135" s="153"/>
      <c r="C135" s="58" t="s">
        <v>541</v>
      </c>
      <c r="D135" s="49"/>
      <c r="E135" s="49"/>
      <c r="F135" s="49"/>
      <c r="G135" s="49"/>
      <c r="H135" s="357"/>
      <c r="I135" s="357"/>
      <c r="K135" s="9"/>
      <c r="L135" s="9"/>
      <c r="M135" s="55">
        <f t="shared" si="10"/>
        <v>130</v>
      </c>
    </row>
    <row r="136" spans="1:13">
      <c r="A136" s="2">
        <v>495</v>
      </c>
      <c r="B136" s="153"/>
      <c r="C136" s="49"/>
      <c r="D136" s="49" t="s">
        <v>542</v>
      </c>
      <c r="E136" s="49"/>
      <c r="F136" s="49"/>
      <c r="G136" s="49"/>
      <c r="H136" s="357">
        <f>H15+H95+H100+H105+H110+H115+H120+H125</f>
        <v>19172138.340773702</v>
      </c>
      <c r="I136" s="357">
        <f>I15+I95+I100+I105+I110+I115+I120+I125</f>
        <v>19172138.340773702</v>
      </c>
      <c r="K136" s="357">
        <f t="shared" si="8"/>
        <v>19172138.340773702</v>
      </c>
      <c r="L136" s="357">
        <f>+K136-H136</f>
        <v>0</v>
      </c>
      <c r="M136" s="55">
        <f t="shared" si="10"/>
        <v>131</v>
      </c>
    </row>
    <row r="137" spans="1:13">
      <c r="A137" s="2">
        <v>496</v>
      </c>
      <c r="B137" s="153"/>
      <c r="C137" s="49"/>
      <c r="D137" s="49" t="s">
        <v>543</v>
      </c>
      <c r="E137" s="49"/>
      <c r="F137" s="49"/>
      <c r="G137" s="49"/>
      <c r="H137" s="358">
        <f>+H130+H90+H85+H80+H75+H70+H65+H60+H55+H50+H45+H40+H35+H30+H25+H20</f>
        <v>4697009.42</v>
      </c>
      <c r="I137" s="358">
        <f>+I130+I90+I85+I80+I75+I70+I65+I60+I55+I50+I45+I40+I35+I30+I25+I20</f>
        <v>4697009.42</v>
      </c>
      <c r="K137" s="358">
        <f t="shared" si="8"/>
        <v>4697009.42</v>
      </c>
      <c r="L137" s="358">
        <f>+K137-H137</f>
        <v>0</v>
      </c>
      <c r="M137" s="55">
        <f t="shared" si="10"/>
        <v>132</v>
      </c>
    </row>
    <row r="138" spans="1:13">
      <c r="A138" s="2">
        <v>497</v>
      </c>
      <c r="B138" s="153"/>
      <c r="C138" s="49"/>
      <c r="D138" s="58" t="s">
        <v>544</v>
      </c>
      <c r="E138" s="49"/>
      <c r="F138" s="49"/>
      <c r="G138" s="49"/>
      <c r="H138" s="157">
        <f>H15+H20+H25+H30+H35+H40+H45+H50+H55+H60+H65+H70+H75+H80+H85+H90+H95+H100+H105+H110+H115+H120+H125+H130</f>
        <v>23869147.760773696</v>
      </c>
      <c r="I138" s="157">
        <f>I15+I20+I25+I30+I35+I40+I45+I50+I55+I60+I65+I70+I75+I80+I85+I90+I95+I100+I105+I110+I115+I120+I125+I130</f>
        <v>23869147.760773696</v>
      </c>
      <c r="K138" s="157">
        <f t="shared" si="8"/>
        <v>23869147.760773696</v>
      </c>
      <c r="L138" s="157">
        <f>+K138-H138</f>
        <v>0</v>
      </c>
      <c r="M138" s="55">
        <f t="shared" si="10"/>
        <v>133</v>
      </c>
    </row>
    <row r="139" spans="1:13">
      <c r="A139" s="2">
        <v>498</v>
      </c>
      <c r="B139" s="153"/>
      <c r="C139" s="58" t="s">
        <v>545</v>
      </c>
      <c r="D139" s="49"/>
      <c r="E139" s="49"/>
      <c r="F139" s="49"/>
      <c r="G139" s="49"/>
      <c r="H139" s="31"/>
      <c r="I139" s="31"/>
      <c r="K139" s="31"/>
      <c r="L139" s="31"/>
      <c r="M139" s="55">
        <f t="shared" si="10"/>
        <v>134</v>
      </c>
    </row>
    <row r="140" spans="1:13">
      <c r="A140" s="2">
        <v>499</v>
      </c>
      <c r="B140" s="153"/>
      <c r="C140" s="49"/>
      <c r="D140" s="49" t="s">
        <v>542</v>
      </c>
      <c r="E140" s="49"/>
      <c r="F140" s="49"/>
      <c r="G140" s="49"/>
      <c r="H140" s="358">
        <f>+H126+H121+H106+H96+H16</f>
        <v>693513.06170149997</v>
      </c>
      <c r="I140" s="358">
        <f>+I126+I121+I106+I96+I16</f>
        <v>693513.06170149997</v>
      </c>
      <c r="K140" s="358">
        <f t="shared" si="8"/>
        <v>693513.06170149997</v>
      </c>
      <c r="L140" s="358">
        <f>+K140-H140</f>
        <v>0</v>
      </c>
      <c r="M140" s="55">
        <f t="shared" si="10"/>
        <v>135</v>
      </c>
    </row>
    <row r="141" spans="1:13">
      <c r="A141" s="2">
        <v>500</v>
      </c>
      <c r="B141" s="153"/>
      <c r="C141" s="49"/>
      <c r="D141" s="49" t="s">
        <v>543</v>
      </c>
      <c r="E141" s="49"/>
      <c r="F141" s="49"/>
      <c r="G141" s="49"/>
      <c r="H141" s="358">
        <f>+H131+H116+H111+H101+H91+H86+H81+H66+H61+H56+H51+H46+H41+H36+H31+H26+H21</f>
        <v>107530.9575248</v>
      </c>
      <c r="I141" s="358">
        <f>+I131+I116+I111+I101+I91+I86+I81+I66+I61+I56+I51+I46+I41+I36+I31+I26+I21</f>
        <v>107530.9575248</v>
      </c>
      <c r="K141" s="358">
        <f t="shared" si="8"/>
        <v>107530.9575248</v>
      </c>
      <c r="L141" s="358">
        <f>+K141-H141</f>
        <v>0</v>
      </c>
      <c r="M141" s="55">
        <f t="shared" si="10"/>
        <v>136</v>
      </c>
    </row>
    <row r="142" spans="1:13">
      <c r="A142" s="2">
        <v>501</v>
      </c>
      <c r="B142" s="153"/>
      <c r="C142" s="49"/>
      <c r="D142" s="58" t="s">
        <v>546</v>
      </c>
      <c r="E142" s="49"/>
      <c r="F142" s="49"/>
      <c r="G142" s="49"/>
      <c r="H142" s="157">
        <f>H16+H21+H26+H31+H36+H41+H46+H51+H56+H61+H66+H71+H76+H81+H86+H91+H96+H101+H106+H111+H116+H121+H126+H131</f>
        <v>801044.01922630006</v>
      </c>
      <c r="I142" s="157">
        <f>I16+I21+I26+I31+I36+I41+I46+I51+I56+I61+I66+I71+I76+I81+I86+I91+I96+I101+I106+I111+I116+I121+I126+I131</f>
        <v>801044.01922630006</v>
      </c>
      <c r="K142" s="157">
        <f t="shared" si="8"/>
        <v>801044.01922630006</v>
      </c>
      <c r="L142" s="157">
        <f>+K142-H142</f>
        <v>0</v>
      </c>
      <c r="M142" s="55">
        <f t="shared" si="10"/>
        <v>137</v>
      </c>
    </row>
    <row r="143" spans="1:13" ht="13.5" thickBot="1">
      <c r="A143" s="2">
        <v>502</v>
      </c>
      <c r="B143" s="153"/>
      <c r="C143" s="49"/>
      <c r="D143" s="49"/>
      <c r="E143" s="49"/>
      <c r="F143" s="49"/>
      <c r="G143" s="49"/>
      <c r="H143" s="175"/>
      <c r="I143" s="175"/>
      <c r="K143" s="175"/>
      <c r="L143" s="175"/>
      <c r="M143" s="55">
        <f t="shared" si="10"/>
        <v>138</v>
      </c>
    </row>
    <row r="144" spans="1:13">
      <c r="A144" s="2">
        <v>503</v>
      </c>
      <c r="B144" s="153"/>
      <c r="C144" s="158" t="s">
        <v>547</v>
      </c>
      <c r="D144" s="49"/>
      <c r="E144" s="49"/>
      <c r="F144" s="49"/>
      <c r="G144" s="49"/>
      <c r="H144" s="9">
        <f>H17+H22+H27+H32+H37+H42+H47+H52+H57+H62+H67+H72+H77+H82+H87+H92+H97+H102+H107+H112+H117+H122+H127+H132</f>
        <v>24670191.780000001</v>
      </c>
      <c r="I144" s="9">
        <f>I17+I22+I27+I32+I37+I42+I47+I52+I57+I62+I67+I72+I77+I82+I87+I92+I97+I102+I107+I112+I117+I122+I127+I132</f>
        <v>24670191.780000001</v>
      </c>
      <c r="K144" s="9">
        <f>K17+K22+K27+K32+K37+K42+K47+K52+K57+K62+K67+K72+K77+K82+K87+K92+K97+K102+K107+K112+K117+K122+K127+K132</f>
        <v>24670191.780000001</v>
      </c>
      <c r="L144" s="9">
        <f>+K144-H144</f>
        <v>0</v>
      </c>
      <c r="M144" s="55">
        <f t="shared" si="10"/>
        <v>139</v>
      </c>
    </row>
    <row r="145" spans="3:13">
      <c r="K145" s="9"/>
      <c r="L145" s="9"/>
      <c r="M145" s="55">
        <f t="shared" si="10"/>
        <v>140</v>
      </c>
    </row>
    <row r="146" spans="3:13">
      <c r="C146" s="158" t="s">
        <v>479</v>
      </c>
      <c r="H146" s="7">
        <f>+H137+H141</f>
        <v>4804540.3775247997</v>
      </c>
      <c r="I146" s="7">
        <f>+I137+I141</f>
        <v>4804540.3775247997</v>
      </c>
      <c r="K146" s="358"/>
      <c r="L146" s="358"/>
      <c r="M146" s="55">
        <f t="shared" si="10"/>
        <v>141</v>
      </c>
    </row>
    <row r="147" spans="3:13">
      <c r="M147" s="55">
        <f t="shared" si="10"/>
        <v>142</v>
      </c>
    </row>
    <row r="148" spans="3:13">
      <c r="M148" s="55">
        <f t="shared" si="10"/>
        <v>143</v>
      </c>
    </row>
  </sheetData>
  <mergeCells count="1">
    <mergeCell ref="D9:E9"/>
  </mergeCells>
  <phoneticPr fontId="0" type="noConversion"/>
  <pageMargins left="0.35" right="0.75" top="0.41" bottom="0.43" header="0.2" footer="0.28000000000000003"/>
  <pageSetup scale="10" fitToWidth="2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Z60"/>
  <sheetViews>
    <sheetView zoomScale="85" zoomScaleNormal="85" workbookViewId="0">
      <selection activeCell="A2" sqref="A2:A4"/>
    </sheetView>
  </sheetViews>
  <sheetFormatPr defaultColWidth="9.140625" defaultRowHeight="12.75"/>
  <cols>
    <col min="1" max="1" width="5.140625" style="599" customWidth="1"/>
    <col min="2" max="2" width="56.28515625" style="596" bestFit="1" customWidth="1"/>
    <col min="3" max="3" width="12.85546875" style="596" customWidth="1"/>
    <col min="4" max="4" width="11.7109375" style="596" customWidth="1"/>
    <col min="5" max="5" width="15.7109375" style="596" customWidth="1"/>
    <col min="6" max="6" width="3" style="596" bestFit="1" customWidth="1"/>
    <col min="7" max="8" width="9.140625" style="596"/>
    <col min="9" max="9" width="7.42578125" style="2" customWidth="1"/>
    <col min="10" max="10" width="73.5703125" style="2" bestFit="1" customWidth="1"/>
    <col min="11" max="11" width="12.28515625" style="55" customWidth="1"/>
    <col min="12" max="12" width="24.7109375" style="55" bestFit="1" customWidth="1"/>
    <col min="13" max="13" width="14.5703125" style="2" bestFit="1" customWidth="1"/>
    <col min="14" max="14" width="7.42578125" style="2" customWidth="1"/>
    <col min="15" max="15" width="33.5703125" style="2" customWidth="1"/>
    <col min="16" max="16" width="23.28515625" style="2" customWidth="1"/>
    <col min="17" max="17" width="26.28515625" style="2" customWidth="1"/>
    <col min="18" max="18" width="15.140625" style="2" customWidth="1"/>
    <col min="19" max="19" width="19.5703125" style="2" customWidth="1"/>
    <col min="20" max="21" width="3.5703125" style="2" customWidth="1"/>
    <col min="22" max="22" width="20.85546875" style="2" bestFit="1" customWidth="1"/>
    <col min="23" max="23" width="3.5703125" style="2" customWidth="1"/>
    <col min="24" max="24" width="21.140625" style="2" bestFit="1" customWidth="1"/>
    <col min="25" max="25" width="3.5703125" style="2" customWidth="1"/>
    <col min="26" max="26" width="19.5703125" style="2" customWidth="1"/>
    <col min="27" max="28" width="3.5703125" style="2" customWidth="1"/>
    <col min="29" max="52" width="8.85546875" style="2" customWidth="1"/>
    <col min="53" max="16384" width="9.140625" style="596"/>
  </cols>
  <sheetData>
    <row r="1" spans="1:52" s="595" customFormat="1" ht="15">
      <c r="A1" s="225"/>
      <c r="B1" s="225"/>
      <c r="C1" s="225"/>
      <c r="D1" s="596"/>
      <c r="E1" s="225"/>
      <c r="I1" s="823"/>
      <c r="J1" s="1088"/>
      <c r="K1" s="1089"/>
      <c r="L1" s="108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5.75">
      <c r="A2" s="299" t="str">
        <f>+'Control Panel'!$B$1</f>
        <v>Dominion Energy</v>
      </c>
      <c r="B2" s="50"/>
      <c r="C2" s="597"/>
      <c r="E2" s="597"/>
      <c r="I2" s="823"/>
      <c r="J2" s="1090" t="s">
        <v>1132</v>
      </c>
      <c r="K2" s="1090"/>
      <c r="L2" s="1089"/>
    </row>
    <row r="3" spans="1:52" ht="15.75">
      <c r="A3" s="299" t="str">
        <f>+'Control Panel'!$B$2</f>
        <v>Utah - Dec 2017 Adjusted Avg Results</v>
      </c>
      <c r="B3" s="50"/>
      <c r="C3" s="597"/>
      <c r="E3" s="597"/>
      <c r="I3" s="823"/>
      <c r="J3" s="1094" t="str">
        <f>"12 Mos " &amp; TEXT(J5,"mmm-yyy")</f>
        <v>12 Mos Dec-2017</v>
      </c>
      <c r="K3" s="1224"/>
      <c r="L3" s="1091"/>
    </row>
    <row r="4" spans="1:52" ht="15">
      <c r="A4" s="368" t="str">
        <f>+'Control Panel'!$B$3</f>
        <v>12 Months Ended : Dec-2017</v>
      </c>
      <c r="B4" s="50"/>
      <c r="C4" s="597"/>
      <c r="E4" s="597"/>
      <c r="I4" s="1088"/>
      <c r="J4" s="1088"/>
      <c r="K4" s="1089"/>
      <c r="L4" s="1089"/>
    </row>
    <row r="5" spans="1:52" ht="15.75">
      <c r="A5" s="598"/>
      <c r="C5" s="597"/>
      <c r="E5" s="597"/>
      <c r="I5" s="823"/>
      <c r="J5" s="1092">
        <v>43070</v>
      </c>
      <c r="K5" s="1225"/>
      <c r="L5" s="1225"/>
    </row>
    <row r="6" spans="1:52" ht="15.75">
      <c r="I6" s="823">
        <v>1</v>
      </c>
      <c r="J6" s="1094"/>
      <c r="K6" s="1089"/>
      <c r="L6" s="1093"/>
    </row>
    <row r="7" spans="1:52" ht="15.75">
      <c r="B7" s="597"/>
      <c r="C7" s="597"/>
      <c r="E7" s="597"/>
      <c r="I7" s="823">
        <f t="shared" ref="I7:I49" si="0">+I6+1</f>
        <v>2</v>
      </c>
      <c r="J7" s="1088"/>
      <c r="K7" s="1089"/>
      <c r="L7" s="1093" t="s">
        <v>160</v>
      </c>
    </row>
    <row r="8" spans="1:52" ht="15.75">
      <c r="A8" s="596"/>
      <c r="B8" s="600" t="s">
        <v>890</v>
      </c>
      <c r="I8" s="823">
        <f t="shared" si="0"/>
        <v>3</v>
      </c>
      <c r="J8" s="1093" t="s">
        <v>1072</v>
      </c>
      <c r="K8" s="1089"/>
      <c r="L8" s="1093" t="s">
        <v>1073</v>
      </c>
    </row>
    <row r="9" spans="1:52" ht="16.5" thickBot="1">
      <c r="C9" s="396" t="s">
        <v>1568</v>
      </c>
      <c r="E9" s="396" t="str">
        <f>'Control Panel'!B39</f>
        <v xml:space="preserve"> Labor Adj </v>
      </c>
      <c r="F9" s="596">
        <v>1</v>
      </c>
      <c r="I9" s="823">
        <f t="shared" si="0"/>
        <v>4</v>
      </c>
      <c r="J9" s="1212" t="s">
        <v>1074</v>
      </c>
      <c r="K9" s="1089"/>
      <c r="L9" s="1093" t="s">
        <v>655</v>
      </c>
    </row>
    <row r="10" spans="1:52" ht="15">
      <c r="B10" s="601"/>
      <c r="C10" s="602"/>
      <c r="E10" s="602" t="s">
        <v>756</v>
      </c>
      <c r="F10" s="596">
        <f>+F9+1</f>
        <v>2</v>
      </c>
      <c r="I10" s="823">
        <f t="shared" si="0"/>
        <v>5</v>
      </c>
      <c r="J10" s="1088" t="s">
        <v>1133</v>
      </c>
      <c r="K10" s="1089"/>
      <c r="L10" s="1252">
        <v>24830604.719999999</v>
      </c>
    </row>
    <row r="11" spans="1:52" ht="15">
      <c r="B11" s="597"/>
      <c r="C11" s="603"/>
      <c r="E11" s="603"/>
      <c r="F11" s="596">
        <f t="shared" ref="F11:F60" si="1">+F10+1</f>
        <v>3</v>
      </c>
      <c r="I11" s="823">
        <f t="shared" si="0"/>
        <v>6</v>
      </c>
      <c r="J11" s="1088" t="s">
        <v>1134</v>
      </c>
      <c r="K11" s="1089"/>
      <c r="L11" s="1095">
        <v>904985.62999999989</v>
      </c>
    </row>
    <row r="12" spans="1:52" ht="15">
      <c r="B12" s="597"/>
      <c r="C12" s="604"/>
      <c r="D12" s="604"/>
      <c r="E12" s="604"/>
      <c r="F12" s="596">
        <f t="shared" si="1"/>
        <v>4</v>
      </c>
      <c r="I12" s="823">
        <f t="shared" si="0"/>
        <v>7</v>
      </c>
      <c r="J12" s="1088" t="s">
        <v>123</v>
      </c>
      <c r="K12" s="1089"/>
      <c r="L12" s="1095">
        <v>27214256.850000001</v>
      </c>
    </row>
    <row r="13" spans="1:52" ht="15.75" thickBot="1">
      <c r="B13" s="597"/>
      <c r="C13" s="604"/>
      <c r="D13" s="604"/>
      <c r="E13" s="605"/>
      <c r="F13" s="596">
        <f t="shared" si="1"/>
        <v>5</v>
      </c>
      <c r="I13" s="823">
        <f t="shared" si="0"/>
        <v>8</v>
      </c>
      <c r="J13" s="1213" t="s">
        <v>1135</v>
      </c>
      <c r="K13" s="1096"/>
      <c r="L13" s="1095">
        <v>2308712.8300000005</v>
      </c>
    </row>
    <row r="14" spans="1:52" ht="15">
      <c r="B14" s="597"/>
      <c r="C14" s="604"/>
      <c r="D14" s="604"/>
      <c r="E14" s="606">
        <f t="shared" ref="E14" si="2">HLOOKUP($E$9,LABORSCENARIO,F14,FALSE)</f>
        <v>0</v>
      </c>
      <c r="F14" s="596">
        <f t="shared" si="1"/>
        <v>6</v>
      </c>
      <c r="I14" s="823">
        <f t="shared" si="0"/>
        <v>9</v>
      </c>
      <c r="J14" s="1088" t="s">
        <v>1136</v>
      </c>
      <c r="K14" s="1089"/>
      <c r="L14" s="1214">
        <v>55258560.030000001</v>
      </c>
    </row>
    <row r="15" spans="1:52" ht="16.5" thickBot="1">
      <c r="A15" s="599">
        <v>1</v>
      </c>
      <c r="B15" s="607" t="s">
        <v>41</v>
      </c>
      <c r="C15" s="608">
        <f>L46</f>
        <v>2669523.4140752926</v>
      </c>
      <c r="E15" s="609">
        <f>HLOOKUP($E$9,LABORSCENARIO,F15,FALSE)</f>
        <v>2669523.4140752926</v>
      </c>
      <c r="F15" s="596">
        <f t="shared" si="1"/>
        <v>7</v>
      </c>
      <c r="I15" s="823">
        <f t="shared" si="0"/>
        <v>10</v>
      </c>
      <c r="J15" s="1090"/>
      <c r="K15" s="1089"/>
      <c r="L15" s="1089"/>
    </row>
    <row r="16" spans="1:52" ht="15.75" thickTop="1">
      <c r="A16" s="599">
        <v>2</v>
      </c>
      <c r="B16" s="607" t="s">
        <v>13</v>
      </c>
      <c r="C16" s="610">
        <f>C15*C21</f>
        <v>2583753.6325391629</v>
      </c>
      <c r="E16" s="610">
        <f>HLOOKUP($E$9,LABORSCENARIO,F16,FALSE)</f>
        <v>2583753.6325391629</v>
      </c>
      <c r="F16" s="596">
        <f t="shared" si="1"/>
        <v>8</v>
      </c>
      <c r="I16" s="823">
        <f t="shared" si="0"/>
        <v>11</v>
      </c>
      <c r="J16" s="1215" t="s">
        <v>9</v>
      </c>
      <c r="K16" s="1089"/>
      <c r="L16" s="1216">
        <v>7251384</v>
      </c>
    </row>
    <row r="17" spans="1:12" ht="15.75">
      <c r="A17" s="599">
        <v>3</v>
      </c>
      <c r="B17" s="607" t="s">
        <v>24</v>
      </c>
      <c r="C17" s="610">
        <f>C15*C22</f>
        <v>85769.781536129623</v>
      </c>
      <c r="E17" s="610">
        <f>HLOOKUP($E$9,LABORSCENARIO,F17,FALSE)</f>
        <v>85769.781536129623</v>
      </c>
      <c r="F17" s="596">
        <f t="shared" si="1"/>
        <v>9</v>
      </c>
      <c r="I17" s="823">
        <f t="shared" si="0"/>
        <v>12</v>
      </c>
      <c r="J17" s="1202" t="s">
        <v>1075</v>
      </c>
      <c r="K17" s="1217"/>
      <c r="L17" s="1218">
        <v>62509944.030000001</v>
      </c>
    </row>
    <row r="18" spans="1:12" ht="15">
      <c r="A18" s="599">
        <v>4</v>
      </c>
      <c r="E18" s="610"/>
      <c r="F18" s="596">
        <f t="shared" si="1"/>
        <v>10</v>
      </c>
      <c r="I18" s="823">
        <f t="shared" si="0"/>
        <v>13</v>
      </c>
      <c r="J18" s="1088"/>
      <c r="K18" s="1089"/>
      <c r="L18" s="1089"/>
    </row>
    <row r="19" spans="1:12" ht="15">
      <c r="A19" s="599">
        <v>5</v>
      </c>
      <c r="B19" s="611"/>
      <c r="E19" s="610"/>
      <c r="F19" s="596">
        <f t="shared" si="1"/>
        <v>11</v>
      </c>
      <c r="I19" s="823">
        <f t="shared" si="0"/>
        <v>14</v>
      </c>
      <c r="J19" s="1088" t="s">
        <v>123</v>
      </c>
      <c r="K19" s="1089"/>
      <c r="L19" s="1216">
        <v>27214256.850000001</v>
      </c>
    </row>
    <row r="20" spans="1:12" ht="15">
      <c r="A20" s="599">
        <v>6</v>
      </c>
      <c r="B20" s="611"/>
      <c r="E20" s="610"/>
      <c r="F20" s="596">
        <f t="shared" si="1"/>
        <v>12</v>
      </c>
      <c r="I20" s="823">
        <f t="shared" si="0"/>
        <v>15</v>
      </c>
      <c r="J20" s="1088" t="s">
        <v>1137</v>
      </c>
      <c r="K20" s="1089"/>
      <c r="L20" s="1216">
        <v>4999735.99</v>
      </c>
    </row>
    <row r="21" spans="1:12" ht="15">
      <c r="A21" s="599">
        <v>7</v>
      </c>
      <c r="B21" s="611" t="s">
        <v>1147</v>
      </c>
      <c r="C21" s="1226">
        <f>SUM(EXPENSES!$F$380,EXPENSES!$F$323,EXPENSES!$F$295,EXPENSES!$F$241)/EXPENSES!$F$383</f>
        <v>0.96787075135437994</v>
      </c>
      <c r="E21" s="610"/>
      <c r="F21" s="596">
        <f t="shared" si="1"/>
        <v>13</v>
      </c>
      <c r="I21" s="823">
        <f t="shared" si="0"/>
        <v>16</v>
      </c>
      <c r="J21" s="1088" t="s">
        <v>1135</v>
      </c>
      <c r="K21" s="1089"/>
      <c r="L21" s="1216">
        <v>242700.87000000002</v>
      </c>
    </row>
    <row r="22" spans="1:12" ht="15.75">
      <c r="A22" s="599">
        <v>8</v>
      </c>
      <c r="B22" s="611" t="s">
        <v>1148</v>
      </c>
      <c r="C22" s="1226">
        <f>1-C21</f>
        <v>3.2129248645620057E-2</v>
      </c>
      <c r="F22" s="596">
        <f t="shared" si="1"/>
        <v>14</v>
      </c>
      <c r="I22" s="823">
        <f t="shared" si="0"/>
        <v>17</v>
      </c>
      <c r="J22" s="1202" t="s">
        <v>1138</v>
      </c>
      <c r="K22" s="1217"/>
      <c r="L22" s="1219">
        <v>32456693.710000005</v>
      </c>
    </row>
    <row r="23" spans="1:12" ht="15">
      <c r="A23" s="599">
        <v>9</v>
      </c>
      <c r="B23" s="611"/>
      <c r="E23" s="610"/>
      <c r="F23" s="596">
        <f t="shared" si="1"/>
        <v>15</v>
      </c>
      <c r="I23" s="823">
        <f t="shared" si="0"/>
        <v>18</v>
      </c>
      <c r="J23" s="1088"/>
      <c r="K23" s="1089"/>
      <c r="L23" s="1089"/>
    </row>
    <row r="24" spans="1:12" ht="15">
      <c r="A24" s="599">
        <v>10</v>
      </c>
      <c r="B24" s="611"/>
      <c r="E24" s="610"/>
      <c r="F24" s="596">
        <f t="shared" si="1"/>
        <v>16</v>
      </c>
      <c r="I24" s="823">
        <f t="shared" si="0"/>
        <v>19</v>
      </c>
      <c r="K24" s="1089"/>
      <c r="L24" s="1089"/>
    </row>
    <row r="25" spans="1:12" ht="15.75">
      <c r="A25" s="599">
        <v>11</v>
      </c>
      <c r="B25" s="611"/>
      <c r="E25" s="610"/>
      <c r="F25" s="596">
        <f t="shared" si="1"/>
        <v>17</v>
      </c>
      <c r="I25" s="823">
        <f t="shared" si="0"/>
        <v>20</v>
      </c>
      <c r="J25" s="1090" t="s">
        <v>1076</v>
      </c>
      <c r="K25" s="1089"/>
      <c r="L25" s="1089"/>
    </row>
    <row r="26" spans="1:12" ht="16.5" thickBot="1">
      <c r="A26" s="599">
        <v>12</v>
      </c>
      <c r="F26" s="596">
        <f t="shared" si="1"/>
        <v>18</v>
      </c>
      <c r="I26" s="823">
        <f t="shared" si="0"/>
        <v>21</v>
      </c>
      <c r="J26" s="1097" t="s">
        <v>1139</v>
      </c>
      <c r="K26" s="1089"/>
      <c r="L26" s="1089"/>
    </row>
    <row r="27" spans="1:12" ht="15">
      <c r="A27" s="599">
        <v>13</v>
      </c>
      <c r="F27" s="596">
        <f t="shared" si="1"/>
        <v>19</v>
      </c>
      <c r="I27" s="823">
        <f t="shared" si="0"/>
        <v>22</v>
      </c>
      <c r="J27" s="1098" t="s">
        <v>1077</v>
      </c>
      <c r="K27" s="1089"/>
      <c r="L27" s="1095">
        <v>-9230557</v>
      </c>
    </row>
    <row r="28" spans="1:12" ht="15">
      <c r="A28" s="599">
        <v>14</v>
      </c>
      <c r="F28" s="596">
        <f t="shared" si="1"/>
        <v>20</v>
      </c>
      <c r="I28" s="823">
        <f t="shared" si="0"/>
        <v>23</v>
      </c>
      <c r="J28" s="1098" t="s">
        <v>1140</v>
      </c>
      <c r="K28" s="1089"/>
      <c r="L28" s="1095">
        <v>9528322.9799999986</v>
      </c>
    </row>
    <row r="29" spans="1:12" ht="15">
      <c r="A29" s="596"/>
      <c r="F29" s="596">
        <f t="shared" si="1"/>
        <v>21</v>
      </c>
      <c r="I29" s="823">
        <f t="shared" si="0"/>
        <v>24</v>
      </c>
      <c r="J29" s="1098" t="s">
        <v>1141</v>
      </c>
      <c r="K29" s="1089"/>
      <c r="L29" s="1095">
        <v>4131278.7600000002</v>
      </c>
    </row>
    <row r="30" spans="1:12" ht="15">
      <c r="A30" s="596"/>
      <c r="F30" s="596">
        <f t="shared" si="1"/>
        <v>22</v>
      </c>
      <c r="I30" s="823">
        <f t="shared" si="0"/>
        <v>25</v>
      </c>
      <c r="J30" s="1098" t="s">
        <v>1142</v>
      </c>
      <c r="K30" s="1089"/>
      <c r="L30" s="1095">
        <v>-1959989</v>
      </c>
    </row>
    <row r="31" spans="1:12" ht="15">
      <c r="A31" s="596"/>
      <c r="F31" s="596">
        <f t="shared" si="1"/>
        <v>23</v>
      </c>
      <c r="I31" s="823">
        <f t="shared" si="0"/>
        <v>26</v>
      </c>
      <c r="J31" s="1098" t="s">
        <v>1143</v>
      </c>
      <c r="K31" s="1089"/>
      <c r="L31" s="1095">
        <v>11744338.940000001</v>
      </c>
    </row>
    <row r="32" spans="1:12" ht="15">
      <c r="A32" s="596"/>
      <c r="F32" s="596">
        <f t="shared" si="1"/>
        <v>24</v>
      </c>
      <c r="I32" s="823">
        <f t="shared" si="0"/>
        <v>27</v>
      </c>
      <c r="J32" s="1098" t="s">
        <v>1135</v>
      </c>
      <c r="K32" s="1089"/>
      <c r="L32" s="1095">
        <v>3975723.8800000027</v>
      </c>
    </row>
    <row r="33" spans="1:12" ht="15.75">
      <c r="A33" s="596"/>
      <c r="F33" s="596">
        <f t="shared" si="1"/>
        <v>25</v>
      </c>
      <c r="I33" s="823">
        <f t="shared" si="0"/>
        <v>28</v>
      </c>
      <c r="J33" s="1202" t="s">
        <v>1078</v>
      </c>
      <c r="K33" s="1217"/>
      <c r="L33" s="1218">
        <v>18189118.560000002</v>
      </c>
    </row>
    <row r="34" spans="1:12" ht="15">
      <c r="A34" s="596"/>
      <c r="F34" s="596">
        <f t="shared" si="1"/>
        <v>26</v>
      </c>
      <c r="I34" s="823">
        <f t="shared" si="0"/>
        <v>29</v>
      </c>
      <c r="J34" s="1088"/>
      <c r="K34" s="1089"/>
      <c r="L34" s="1089"/>
    </row>
    <row r="35" spans="1:12" ht="15.75">
      <c r="A35" s="596"/>
      <c r="F35" s="596">
        <f t="shared" si="1"/>
        <v>27</v>
      </c>
      <c r="I35" s="823">
        <f t="shared" si="0"/>
        <v>30</v>
      </c>
      <c r="J35" s="1202" t="s">
        <v>1144</v>
      </c>
      <c r="K35" s="1089"/>
      <c r="L35" s="1099">
        <v>8695970.6799999997</v>
      </c>
    </row>
    <row r="36" spans="1:12" ht="15.75">
      <c r="A36" s="596"/>
      <c r="F36" s="596">
        <f t="shared" si="1"/>
        <v>28</v>
      </c>
      <c r="I36" s="823">
        <f t="shared" si="0"/>
        <v>31</v>
      </c>
      <c r="J36" s="1202"/>
      <c r="K36" s="1089"/>
      <c r="L36" s="1099"/>
    </row>
    <row r="37" spans="1:12" ht="15.75">
      <c r="A37" s="596"/>
      <c r="F37" s="596">
        <f t="shared" si="1"/>
        <v>29</v>
      </c>
      <c r="I37" s="823">
        <f t="shared" si="0"/>
        <v>32</v>
      </c>
      <c r="J37" s="1202" t="s">
        <v>1145</v>
      </c>
      <c r="K37" s="1089"/>
      <c r="L37" s="1220">
        <v>80699062.590000004</v>
      </c>
    </row>
    <row r="38" spans="1:12" ht="15.75">
      <c r="A38" s="596"/>
      <c r="F38" s="596">
        <f t="shared" si="1"/>
        <v>30</v>
      </c>
      <c r="I38" s="823">
        <f t="shared" si="0"/>
        <v>33</v>
      </c>
      <c r="J38" s="1088"/>
      <c r="K38" s="1089"/>
      <c r="L38" s="1100"/>
    </row>
    <row r="39" spans="1:12" ht="15.75">
      <c r="A39" s="596"/>
      <c r="F39" s="596">
        <f t="shared" si="1"/>
        <v>31</v>
      </c>
      <c r="I39" s="823">
        <f t="shared" si="0"/>
        <v>34</v>
      </c>
      <c r="J39" s="1202" t="s">
        <v>1146</v>
      </c>
      <c r="K39" s="1089"/>
      <c r="L39" s="1221">
        <v>41152664.390000001</v>
      </c>
    </row>
    <row r="40" spans="1:12" ht="15">
      <c r="A40" s="596"/>
      <c r="F40" s="596">
        <f t="shared" si="1"/>
        <v>32</v>
      </c>
      <c r="I40" s="823">
        <f t="shared" si="0"/>
        <v>35</v>
      </c>
      <c r="J40" s="1088"/>
      <c r="K40" s="1089"/>
      <c r="L40" s="1089"/>
    </row>
    <row r="41" spans="1:12" ht="15">
      <c r="A41" s="596"/>
      <c r="F41" s="596">
        <f t="shared" si="1"/>
        <v>33</v>
      </c>
      <c r="I41" s="823">
        <f t="shared" si="0"/>
        <v>36</v>
      </c>
      <c r="J41" s="1102" t="s">
        <v>1079</v>
      </c>
      <c r="K41" s="1089"/>
    </row>
    <row r="42" spans="1:12" ht="15.75">
      <c r="F42" s="596">
        <f t="shared" si="1"/>
        <v>34</v>
      </c>
      <c r="I42" s="823">
        <f t="shared" si="0"/>
        <v>37</v>
      </c>
      <c r="J42" s="1103" t="s">
        <v>1618</v>
      </c>
      <c r="K42" s="1104">
        <v>0.5430321790318493</v>
      </c>
      <c r="L42" s="1222">
        <v>43822187.804075293</v>
      </c>
    </row>
    <row r="43" spans="1:12" ht="15.75">
      <c r="F43" s="596">
        <f t="shared" si="1"/>
        <v>35</v>
      </c>
      <c r="I43" s="823">
        <f t="shared" si="0"/>
        <v>38</v>
      </c>
      <c r="J43" s="1103" t="s">
        <v>1617</v>
      </c>
      <c r="K43" s="1104">
        <v>0.50995219856617668</v>
      </c>
      <c r="L43" s="1222">
        <v>41152664.390000001</v>
      </c>
    </row>
    <row r="44" spans="1:12" ht="15.75">
      <c r="F44" s="596">
        <f t="shared" si="1"/>
        <v>36</v>
      </c>
      <c r="I44" s="823">
        <f t="shared" si="0"/>
        <v>39</v>
      </c>
      <c r="K44" s="1089"/>
      <c r="L44" s="1222"/>
    </row>
    <row r="45" spans="1:12" ht="15.75">
      <c r="F45" s="596">
        <f t="shared" si="1"/>
        <v>37</v>
      </c>
      <c r="I45" s="823">
        <f t="shared" si="0"/>
        <v>40</v>
      </c>
      <c r="K45" s="1089"/>
      <c r="L45" s="1222"/>
    </row>
    <row r="46" spans="1:12" ht="15.75">
      <c r="F46" s="596">
        <f t="shared" si="1"/>
        <v>38</v>
      </c>
      <c r="I46" s="823">
        <f t="shared" si="0"/>
        <v>41</v>
      </c>
      <c r="J46" s="1202" t="s">
        <v>891</v>
      </c>
      <c r="K46" s="1089"/>
      <c r="L46" s="1223">
        <v>2669523.4140752926</v>
      </c>
    </row>
    <row r="47" spans="1:12" ht="15.75">
      <c r="F47" s="596">
        <f t="shared" si="1"/>
        <v>39</v>
      </c>
      <c r="I47" s="823">
        <f t="shared" si="0"/>
        <v>42</v>
      </c>
      <c r="J47" s="1088"/>
      <c r="L47" s="1101"/>
    </row>
    <row r="48" spans="1:12" ht="15">
      <c r="F48" s="596">
        <f t="shared" si="1"/>
        <v>40</v>
      </c>
      <c r="I48" s="823">
        <f t="shared" si="0"/>
        <v>43</v>
      </c>
      <c r="J48" s="607" t="s">
        <v>13</v>
      </c>
      <c r="K48" s="1366">
        <f>C21</f>
        <v>0.96787075135437994</v>
      </c>
      <c r="L48" s="1216">
        <f>C16</f>
        <v>2583753.6325391629</v>
      </c>
    </row>
    <row r="49" spans="6:12" ht="15">
      <c r="F49" s="596">
        <f t="shared" si="1"/>
        <v>41</v>
      </c>
      <c r="I49" s="823">
        <f t="shared" si="0"/>
        <v>44</v>
      </c>
      <c r="J49" s="607" t="s">
        <v>24</v>
      </c>
      <c r="K49" s="1366">
        <f>C22</f>
        <v>3.2129248645620057E-2</v>
      </c>
      <c r="L49" s="1216">
        <f>C17</f>
        <v>85769.781536129623</v>
      </c>
    </row>
    <row r="50" spans="6:12" ht="15">
      <c r="F50" s="596">
        <f t="shared" si="1"/>
        <v>42</v>
      </c>
      <c r="I50" s="823"/>
      <c r="J50" s="1088"/>
      <c r="K50" s="1089"/>
      <c r="L50" s="1216"/>
    </row>
    <row r="51" spans="6:12" ht="15">
      <c r="F51" s="596">
        <f t="shared" si="1"/>
        <v>43</v>
      </c>
      <c r="I51" s="823"/>
    </row>
    <row r="52" spans="6:12">
      <c r="F52" s="596">
        <f t="shared" si="1"/>
        <v>44</v>
      </c>
    </row>
    <row r="53" spans="6:12">
      <c r="F53" s="596">
        <f t="shared" si="1"/>
        <v>45</v>
      </c>
    </row>
    <row r="54" spans="6:12">
      <c r="F54" s="596">
        <f t="shared" si="1"/>
        <v>46</v>
      </c>
    </row>
    <row r="55" spans="6:12">
      <c r="F55" s="596">
        <f t="shared" si="1"/>
        <v>47</v>
      </c>
    </row>
    <row r="56" spans="6:12">
      <c r="F56" s="596">
        <f t="shared" si="1"/>
        <v>48</v>
      </c>
    </row>
    <row r="57" spans="6:12">
      <c r="F57" s="596">
        <f t="shared" si="1"/>
        <v>49</v>
      </c>
    </row>
    <row r="58" spans="6:12">
      <c r="F58" s="596">
        <f t="shared" si="1"/>
        <v>50</v>
      </c>
    </row>
    <row r="59" spans="6:12">
      <c r="F59" s="596">
        <f t="shared" si="1"/>
        <v>51</v>
      </c>
    </row>
    <row r="60" spans="6:12">
      <c r="F60" s="596">
        <f t="shared" si="1"/>
        <v>52</v>
      </c>
    </row>
  </sheetData>
  <pageMargins left="0.75" right="0.75" top="1" bottom="1" header="0.5" footer="0.5"/>
  <pageSetup scale="7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1"/>
  <sheetViews>
    <sheetView zoomScaleNormal="100" workbookViewId="0">
      <selection activeCell="G19" sqref="G19"/>
    </sheetView>
  </sheetViews>
  <sheetFormatPr defaultRowHeight="12.75"/>
  <cols>
    <col min="2" max="2" width="36.140625" bestFit="1" customWidth="1"/>
    <col min="3" max="3" width="9.7109375" bestFit="1" customWidth="1"/>
    <col min="5" max="5" width="10.28515625" bestFit="1" customWidth="1"/>
    <col min="6" max="6" width="14" bestFit="1" customWidth="1"/>
    <col min="7" max="7" width="9.7109375" bestFit="1" customWidth="1"/>
    <col min="8" max="8" width="10.28515625" bestFit="1" customWidth="1"/>
    <col min="12" max="12" width="39.85546875" customWidth="1"/>
    <col min="13" max="13" width="9.7109375" bestFit="1" customWidth="1"/>
    <col min="15" max="15" width="11.140625" customWidth="1"/>
    <col min="16" max="16" width="12.140625" bestFit="1" customWidth="1"/>
    <col min="17" max="17" width="10" customWidth="1"/>
    <col min="18" max="18" width="17.140625" customWidth="1"/>
  </cols>
  <sheetData>
    <row r="2" spans="1:18">
      <c r="A2" s="299" t="str">
        <f>+'Control Panel'!$B$1</f>
        <v>Dominion Energy</v>
      </c>
      <c r="C2" s="2"/>
      <c r="D2" s="2"/>
      <c r="E2" s="2"/>
      <c r="F2" s="2"/>
      <c r="G2" s="2"/>
      <c r="H2" s="2"/>
      <c r="L2" s="2" t="s">
        <v>1625</v>
      </c>
    </row>
    <row r="3" spans="1:18">
      <c r="A3" s="299" t="str">
        <f>+'Control Panel'!$B$2</f>
        <v>Utah - Dec 2017 Adjusted Avg Results</v>
      </c>
      <c r="C3" s="2"/>
      <c r="D3" s="2"/>
      <c r="E3" s="2"/>
      <c r="F3" s="2"/>
      <c r="G3" s="2"/>
      <c r="H3" s="2"/>
      <c r="L3" s="2" t="s">
        <v>1506</v>
      </c>
    </row>
    <row r="4" spans="1:18">
      <c r="A4" s="368" t="str">
        <f>+'Control Panel'!$B$3</f>
        <v>12 Months Ended : Dec-2017</v>
      </c>
      <c r="L4" s="535" t="s">
        <v>1561</v>
      </c>
    </row>
    <row r="5" spans="1:18" ht="15.75">
      <c r="L5" s="2"/>
      <c r="M5" s="2"/>
      <c r="N5" s="1391" t="s">
        <v>1502</v>
      </c>
      <c r="O5" s="2"/>
      <c r="P5" s="2"/>
      <c r="Q5" s="1391" t="s">
        <v>1507</v>
      </c>
      <c r="R5" s="2"/>
    </row>
    <row r="6" spans="1:18" ht="15">
      <c r="B6" s="2"/>
      <c r="C6" s="1405" t="s">
        <v>1560</v>
      </c>
      <c r="D6" s="2"/>
      <c r="E6" s="2"/>
      <c r="F6" s="1406">
        <f>P51</f>
        <v>6726780.1699999999</v>
      </c>
      <c r="G6" s="2"/>
      <c r="L6" s="1392" t="s">
        <v>1508</v>
      </c>
      <c r="M6" s="1393" t="s">
        <v>1502</v>
      </c>
      <c r="N6" s="1393" t="s">
        <v>1509</v>
      </c>
      <c r="O6" s="1393" t="s">
        <v>1510</v>
      </c>
      <c r="P6" s="1393" t="s">
        <v>1511</v>
      </c>
      <c r="Q6" s="1393" t="s">
        <v>1509</v>
      </c>
      <c r="R6" s="1393" t="s">
        <v>1510</v>
      </c>
    </row>
    <row r="7" spans="1:18">
      <c r="B7" s="2"/>
      <c r="C7" s="1407" t="s">
        <v>1557</v>
      </c>
      <c r="D7" s="2"/>
      <c r="E7" s="2"/>
      <c r="F7" s="1406">
        <f>-P32</f>
        <v>-1800033.03</v>
      </c>
      <c r="G7" s="2"/>
      <c r="L7" s="1394" t="s">
        <v>1512</v>
      </c>
      <c r="M7" s="1395">
        <v>4.66</v>
      </c>
      <c r="N7" s="1395">
        <v>0</v>
      </c>
      <c r="O7" s="1395">
        <v>-4.66</v>
      </c>
      <c r="P7" s="1395">
        <v>-75.94</v>
      </c>
      <c r="Q7" s="1395">
        <v>0</v>
      </c>
      <c r="R7" s="1395">
        <v>75.94</v>
      </c>
    </row>
    <row r="8" spans="1:18" ht="13.5" thickBot="1">
      <c r="B8" s="2"/>
      <c r="C8" s="1407" t="s">
        <v>1558</v>
      </c>
      <c r="D8" s="2"/>
      <c r="E8" s="2"/>
      <c r="F8" s="1408">
        <f>SUM(F6:F7)</f>
        <v>4926747.1399999997</v>
      </c>
      <c r="G8" s="2"/>
      <c r="L8" s="1394" t="s">
        <v>1513</v>
      </c>
      <c r="M8" s="1395">
        <v>41.27</v>
      </c>
      <c r="N8" s="1395">
        <v>0</v>
      </c>
      <c r="O8" s="1395">
        <v>-41.27</v>
      </c>
      <c r="P8" s="1395">
        <v>41.27</v>
      </c>
      <c r="Q8" s="1395">
        <v>0</v>
      </c>
      <c r="R8" s="1395">
        <v>-41.27</v>
      </c>
    </row>
    <row r="9" spans="1:18" ht="13.5" thickTop="1">
      <c r="B9" s="2"/>
      <c r="C9" s="2"/>
      <c r="D9" s="2"/>
      <c r="E9" s="2"/>
      <c r="F9" s="2"/>
      <c r="G9" s="2"/>
      <c r="L9" s="1394" t="s">
        <v>1514</v>
      </c>
      <c r="M9" s="1395">
        <v>67450.320000000007</v>
      </c>
      <c r="N9" s="1395">
        <v>0</v>
      </c>
      <c r="O9" s="1395">
        <v>-67450.320000000007</v>
      </c>
      <c r="P9" s="1395">
        <v>-108185.17</v>
      </c>
      <c r="Q9" s="1395">
        <v>0</v>
      </c>
      <c r="R9" s="1395">
        <v>108185.17</v>
      </c>
    </row>
    <row r="10" spans="1:18">
      <c r="B10" s="2"/>
      <c r="C10" s="2"/>
      <c r="D10" s="2"/>
      <c r="E10" s="2"/>
      <c r="F10" s="2"/>
      <c r="G10" s="2"/>
      <c r="L10" s="1394" t="s">
        <v>1515</v>
      </c>
      <c r="M10" s="1395">
        <v>22626.15</v>
      </c>
      <c r="N10" s="1395">
        <v>0</v>
      </c>
      <c r="O10" s="1395">
        <v>-22626.15</v>
      </c>
      <c r="P10" s="1395">
        <v>43922.31</v>
      </c>
      <c r="Q10" s="1395">
        <v>0</v>
      </c>
      <c r="R10" s="1395">
        <v>-43922.31</v>
      </c>
    </row>
    <row r="11" spans="1:18">
      <c r="B11" s="2"/>
      <c r="C11" s="2"/>
      <c r="D11" s="2"/>
      <c r="E11" s="2"/>
      <c r="F11" s="2"/>
      <c r="G11" s="2"/>
      <c r="L11" s="1394" t="s">
        <v>1516</v>
      </c>
      <c r="M11" s="1395">
        <v>1582.85</v>
      </c>
      <c r="N11" s="1395">
        <v>0</v>
      </c>
      <c r="O11" s="1395">
        <v>-1582.85</v>
      </c>
      <c r="P11" s="1395">
        <v>2322.79</v>
      </c>
      <c r="Q11" s="1395">
        <v>0</v>
      </c>
      <c r="R11" s="1395">
        <v>-2322.79</v>
      </c>
    </row>
    <row r="12" spans="1:18">
      <c r="B12" s="2"/>
      <c r="C12" s="2"/>
      <c r="D12" s="2"/>
      <c r="E12" s="1409" t="s">
        <v>1147</v>
      </c>
      <c r="F12" s="1226">
        <f>SUM(EXPENSES!$F$380,EXPENSES!$F$323,EXPENSES!$F$295,EXPENSES!$F$241)/EXPENSES!$F$383</f>
        <v>0.96787075135437994</v>
      </c>
      <c r="G12" s="2"/>
      <c r="L12" s="1394" t="s">
        <v>1517</v>
      </c>
      <c r="M12" s="1395">
        <v>-3658.35</v>
      </c>
      <c r="N12" s="1395">
        <v>0</v>
      </c>
      <c r="O12" s="1395">
        <v>3658.35</v>
      </c>
      <c r="P12" s="1395">
        <v>-765.51</v>
      </c>
      <c r="Q12" s="1395">
        <v>0</v>
      </c>
      <c r="R12" s="1395">
        <v>765.51</v>
      </c>
    </row>
    <row r="13" spans="1:18">
      <c r="B13" s="2"/>
      <c r="C13" s="2"/>
      <c r="D13" s="2"/>
      <c r="E13" s="1409" t="s">
        <v>1148</v>
      </c>
      <c r="F13" s="1226">
        <f>1-F12</f>
        <v>3.2129248645620057E-2</v>
      </c>
      <c r="G13" s="2"/>
      <c r="L13" s="1394" t="s">
        <v>1518</v>
      </c>
      <c r="M13" s="1395">
        <v>0</v>
      </c>
      <c r="N13" s="1395">
        <v>0</v>
      </c>
      <c r="O13" s="1395">
        <v>0</v>
      </c>
      <c r="P13" s="1395">
        <v>127.91</v>
      </c>
      <c r="Q13" s="1395">
        <v>0</v>
      </c>
      <c r="R13" s="1395">
        <v>-127.91</v>
      </c>
    </row>
    <row r="14" spans="1:18">
      <c r="B14" s="2"/>
      <c r="C14" s="2"/>
      <c r="D14" s="2"/>
      <c r="E14" s="2"/>
      <c r="F14" s="2"/>
      <c r="G14" s="2"/>
      <c r="L14" s="1394" t="s">
        <v>1519</v>
      </c>
      <c r="M14" s="1395">
        <v>12102.7</v>
      </c>
      <c r="N14" s="1395">
        <v>0</v>
      </c>
      <c r="O14" s="1395">
        <v>-12102.7</v>
      </c>
      <c r="P14" s="1395">
        <v>39629.15</v>
      </c>
      <c r="Q14" s="1395">
        <v>0</v>
      </c>
      <c r="R14" s="1395">
        <v>-39629.15</v>
      </c>
    </row>
    <row r="15" spans="1:18">
      <c r="B15" s="2"/>
      <c r="C15" s="2"/>
      <c r="D15" s="2"/>
      <c r="E15" s="2"/>
      <c r="F15" s="2"/>
      <c r="G15" s="2"/>
      <c r="L15" s="1394" t="s">
        <v>1520</v>
      </c>
      <c r="M15" s="1395">
        <v>259.8</v>
      </c>
      <c r="N15" s="1395">
        <v>0</v>
      </c>
      <c r="O15" s="1395">
        <v>-259.8</v>
      </c>
      <c r="P15" s="1395">
        <v>25565.59</v>
      </c>
      <c r="Q15" s="1395">
        <v>0</v>
      </c>
      <c r="R15" s="1395">
        <v>-25565.59</v>
      </c>
    </row>
    <row r="16" spans="1:18">
      <c r="B16" s="2"/>
      <c r="C16" s="2"/>
      <c r="D16" s="2"/>
      <c r="E16" s="76" t="s">
        <v>1559</v>
      </c>
      <c r="F16" s="1410">
        <f>F8</f>
        <v>4926747.1399999997</v>
      </c>
      <c r="G16" s="2"/>
      <c r="L16" s="1394" t="s">
        <v>1521</v>
      </c>
      <c r="M16" s="1395">
        <v>29206.89</v>
      </c>
      <c r="N16" s="1395">
        <v>0</v>
      </c>
      <c r="O16" s="1395">
        <v>-29206.89</v>
      </c>
      <c r="P16" s="1395">
        <v>241372.01</v>
      </c>
      <c r="Q16" s="1395">
        <v>0</v>
      </c>
      <c r="R16" s="1395">
        <v>-241372.01</v>
      </c>
    </row>
    <row r="17" spans="2:18">
      <c r="B17" s="2"/>
      <c r="C17" s="2"/>
      <c r="D17" s="2"/>
      <c r="E17" s="2"/>
      <c r="F17" s="2"/>
      <c r="G17" s="2"/>
      <c r="L17" s="1394" t="s">
        <v>1522</v>
      </c>
      <c r="M17" s="1395">
        <v>41449.86</v>
      </c>
      <c r="N17" s="1395">
        <v>0</v>
      </c>
      <c r="O17" s="1395">
        <v>-41449.86</v>
      </c>
      <c r="P17" s="1395">
        <v>59272.17</v>
      </c>
      <c r="Q17" s="1395">
        <v>0</v>
      </c>
      <c r="R17" s="1395">
        <v>-59272.17</v>
      </c>
    </row>
    <row r="18" spans="2:18">
      <c r="B18" s="68"/>
      <c r="C18" s="2"/>
      <c r="D18" s="2"/>
      <c r="E18" s="76" t="s">
        <v>1503</v>
      </c>
      <c r="F18" s="1411">
        <f>F16*4</f>
        <v>19706988.559999999</v>
      </c>
      <c r="G18" s="2"/>
      <c r="L18" s="1394" t="s">
        <v>1523</v>
      </c>
      <c r="M18" s="1395">
        <v>0</v>
      </c>
      <c r="N18" s="1395">
        <v>0</v>
      </c>
      <c r="O18" s="1395">
        <v>0</v>
      </c>
      <c r="P18" s="1395">
        <v>113242.19</v>
      </c>
      <c r="Q18" s="1395">
        <v>0</v>
      </c>
      <c r="R18" s="1395">
        <v>-113242.19</v>
      </c>
    </row>
    <row r="19" spans="2:18">
      <c r="B19" s="68"/>
      <c r="C19" s="2"/>
      <c r="D19" s="1228"/>
      <c r="E19" s="2"/>
      <c r="F19" s="88"/>
      <c r="G19" s="2"/>
      <c r="L19" s="1394" t="s">
        <v>1524</v>
      </c>
      <c r="M19" s="1395">
        <v>227288.58</v>
      </c>
      <c r="N19" s="1395">
        <v>0</v>
      </c>
      <c r="O19" s="1395">
        <v>-227288.58</v>
      </c>
      <c r="P19" s="1395">
        <v>331798.24</v>
      </c>
      <c r="Q19" s="1395">
        <v>0</v>
      </c>
      <c r="R19" s="1395">
        <v>-331798.24</v>
      </c>
    </row>
    <row r="20" spans="2:18">
      <c r="B20" s="68"/>
      <c r="C20" s="2"/>
      <c r="D20" s="1228"/>
      <c r="E20" s="2"/>
      <c r="F20" s="88"/>
      <c r="G20" s="2"/>
      <c r="L20" s="1394" t="s">
        <v>1525</v>
      </c>
      <c r="M20" s="1395">
        <v>1658.55</v>
      </c>
      <c r="N20" s="1395">
        <v>0</v>
      </c>
      <c r="O20" s="1395">
        <v>-1658.55</v>
      </c>
      <c r="P20" s="1395">
        <v>4854.57</v>
      </c>
      <c r="Q20" s="1395">
        <v>0</v>
      </c>
      <c r="R20" s="1395">
        <v>-4854.57</v>
      </c>
    </row>
    <row r="21" spans="2:18">
      <c r="B21" s="68"/>
      <c r="C21" s="2"/>
      <c r="D21" s="68"/>
      <c r="E21" s="2"/>
      <c r="F21" s="88"/>
      <c r="G21" s="2"/>
      <c r="L21" s="1394" t="s">
        <v>1526</v>
      </c>
      <c r="M21" s="1395">
        <v>12267.27</v>
      </c>
      <c r="N21" s="1395">
        <v>0</v>
      </c>
      <c r="O21" s="1395">
        <v>-12267.27</v>
      </c>
      <c r="P21" s="1395">
        <v>66813.570000000007</v>
      </c>
      <c r="Q21" s="1395">
        <v>0</v>
      </c>
      <c r="R21" s="1395">
        <v>-66813.570000000007</v>
      </c>
    </row>
    <row r="22" spans="2:18">
      <c r="B22" s="2"/>
      <c r="C22" s="2"/>
      <c r="D22" s="77">
        <v>921</v>
      </c>
      <c r="E22" s="2"/>
      <c r="F22" s="1411"/>
      <c r="G22" s="2"/>
      <c r="L22" s="1394" t="s">
        <v>1527</v>
      </c>
      <c r="M22" s="1395">
        <v>4930.6099999999997</v>
      </c>
      <c r="N22" s="1395">
        <v>0</v>
      </c>
      <c r="O22" s="1395">
        <v>-4930.6099999999997</v>
      </c>
      <c r="P22" s="1395">
        <v>8703.18</v>
      </c>
      <c r="Q22" s="1395">
        <v>0</v>
      </c>
      <c r="R22" s="1395">
        <v>-8703.18</v>
      </c>
    </row>
    <row r="23" spans="2:18">
      <c r="B23" s="2"/>
      <c r="C23" s="2"/>
      <c r="D23" s="76" t="s">
        <v>13</v>
      </c>
      <c r="E23" s="77"/>
      <c r="F23" s="1411">
        <f>F18*F12</f>
        <v>19073817.824499369</v>
      </c>
      <c r="G23" s="2"/>
      <c r="L23" s="1394" t="s">
        <v>1528</v>
      </c>
      <c r="M23" s="1395">
        <v>76089.88</v>
      </c>
      <c r="N23" s="1395">
        <v>418685</v>
      </c>
      <c r="O23" s="1395">
        <v>342595.12</v>
      </c>
      <c r="P23" s="1395">
        <v>59362.34</v>
      </c>
      <c r="Q23" s="1395">
        <v>1256053</v>
      </c>
      <c r="R23" s="1395">
        <v>1196690.6599999999</v>
      </c>
    </row>
    <row r="24" spans="2:18">
      <c r="B24" s="2"/>
      <c r="C24" s="2"/>
      <c r="D24" s="76" t="s">
        <v>24</v>
      </c>
      <c r="E24" s="77"/>
      <c r="F24" s="1411">
        <f>F18*F13</f>
        <v>633170.73550062987</v>
      </c>
      <c r="G24" s="2"/>
      <c r="L24" s="1394" t="s">
        <v>1529</v>
      </c>
      <c r="M24" s="1395">
        <v>21134.66</v>
      </c>
      <c r="N24" s="1395">
        <v>0</v>
      </c>
      <c r="O24" s="1395">
        <v>-21134.66</v>
      </c>
      <c r="P24" s="1395">
        <v>49675.37</v>
      </c>
      <c r="Q24" s="1395">
        <v>0</v>
      </c>
      <c r="R24" s="1395">
        <v>-49675.37</v>
      </c>
    </row>
    <row r="25" spans="2:18">
      <c r="B25" s="2"/>
      <c r="C25" s="2"/>
      <c r="D25" s="2"/>
      <c r="E25" s="2"/>
      <c r="F25" s="2"/>
      <c r="G25" s="2"/>
      <c r="L25" s="1394" t="s">
        <v>1530</v>
      </c>
      <c r="M25" s="1395">
        <v>12164.92</v>
      </c>
      <c r="N25" s="1395">
        <v>0</v>
      </c>
      <c r="O25" s="1395">
        <v>-12164.92</v>
      </c>
      <c r="P25" s="1395">
        <v>28195.89</v>
      </c>
      <c r="Q25" s="1395">
        <v>0</v>
      </c>
      <c r="R25" s="1395">
        <v>-28195.89</v>
      </c>
    </row>
    <row r="26" spans="2:18">
      <c r="B26" s="2"/>
      <c r="C26" s="2"/>
      <c r="D26" s="2"/>
      <c r="E26" s="2"/>
      <c r="F26" s="2"/>
      <c r="G26" s="2"/>
      <c r="L26" s="1394" t="s">
        <v>1531</v>
      </c>
      <c r="M26" s="1395">
        <v>128290.44</v>
      </c>
      <c r="N26" s="1395">
        <v>0</v>
      </c>
      <c r="O26" s="1395">
        <v>-128290.44</v>
      </c>
      <c r="P26" s="1395">
        <v>617617.66</v>
      </c>
      <c r="Q26" s="1395">
        <v>0</v>
      </c>
      <c r="R26" s="1395">
        <v>-617617.66</v>
      </c>
    </row>
    <row r="27" spans="2:18">
      <c r="L27" s="1394" t="s">
        <v>1532</v>
      </c>
      <c r="M27" s="1395">
        <v>0</v>
      </c>
      <c r="N27" s="1395">
        <v>0</v>
      </c>
      <c r="O27" s="1395">
        <v>0</v>
      </c>
      <c r="P27" s="1395">
        <v>2651.29</v>
      </c>
      <c r="Q27" s="1395">
        <v>0</v>
      </c>
      <c r="R27" s="1395">
        <v>-2651.29</v>
      </c>
    </row>
    <row r="28" spans="2:18">
      <c r="L28" s="1394" t="s">
        <v>1533</v>
      </c>
      <c r="M28" s="1395">
        <v>497.2</v>
      </c>
      <c r="N28" s="1395">
        <v>0</v>
      </c>
      <c r="O28" s="1395">
        <v>-497.2</v>
      </c>
      <c r="P28" s="1395">
        <v>1380.78</v>
      </c>
      <c r="Q28" s="1395">
        <v>0</v>
      </c>
      <c r="R28" s="1395">
        <v>-1380.78</v>
      </c>
    </row>
    <row r="29" spans="2:18">
      <c r="L29" s="1394" t="s">
        <v>1534</v>
      </c>
      <c r="M29" s="1395">
        <v>-32.229999999999997</v>
      </c>
      <c r="N29" s="1395">
        <v>0</v>
      </c>
      <c r="O29" s="1395">
        <v>32.229999999999997</v>
      </c>
      <c r="P29" s="1395">
        <v>-52.02</v>
      </c>
      <c r="Q29" s="1395">
        <v>0</v>
      </c>
      <c r="R29" s="1395">
        <v>52.02</v>
      </c>
    </row>
    <row r="30" spans="2:18">
      <c r="L30" s="1394" t="s">
        <v>1535</v>
      </c>
      <c r="M30" s="1395">
        <v>1133.76</v>
      </c>
      <c r="N30" s="1395">
        <v>0</v>
      </c>
      <c r="O30" s="1395">
        <v>-1133.76</v>
      </c>
      <c r="P30" s="1395">
        <v>2895.78</v>
      </c>
      <c r="Q30" s="1395">
        <v>0</v>
      </c>
      <c r="R30" s="1395">
        <v>-2895.78</v>
      </c>
    </row>
    <row r="31" spans="2:18">
      <c r="L31" s="1394" t="s">
        <v>1536</v>
      </c>
      <c r="M31" s="1395">
        <v>130420.29</v>
      </c>
      <c r="N31" s="1395">
        <v>0</v>
      </c>
      <c r="O31" s="1395">
        <v>-130420.29</v>
      </c>
      <c r="P31" s="1395">
        <v>353343.13</v>
      </c>
      <c r="Q31" s="1395">
        <v>0</v>
      </c>
      <c r="R31" s="1395">
        <v>-353343.13</v>
      </c>
    </row>
    <row r="32" spans="2:18">
      <c r="L32" s="1394" t="s">
        <v>1537</v>
      </c>
      <c r="M32" s="1395">
        <v>337650.91</v>
      </c>
      <c r="N32" s="1395">
        <v>0</v>
      </c>
      <c r="O32" s="1395">
        <v>-337650.91</v>
      </c>
      <c r="P32" s="1398">
        <v>1800033.03</v>
      </c>
      <c r="Q32" s="1395">
        <v>0</v>
      </c>
      <c r="R32" s="1395">
        <v>-1800033.03</v>
      </c>
    </row>
    <row r="33" spans="12:18">
      <c r="L33" s="1394" t="s">
        <v>1538</v>
      </c>
      <c r="M33" s="1395">
        <v>-4069.42</v>
      </c>
      <c r="N33" s="1395">
        <v>0</v>
      </c>
      <c r="O33" s="1395">
        <v>4069.42</v>
      </c>
      <c r="P33" s="1395">
        <v>165797.89000000001</v>
      </c>
      <c r="Q33" s="1395">
        <v>0</v>
      </c>
      <c r="R33" s="1395">
        <v>-165797.89000000001</v>
      </c>
    </row>
    <row r="34" spans="12:18">
      <c r="L34" s="1394" t="s">
        <v>1539</v>
      </c>
      <c r="M34" s="1395">
        <v>229205.5</v>
      </c>
      <c r="N34" s="1395">
        <v>0</v>
      </c>
      <c r="O34" s="1395">
        <v>-229205.5</v>
      </c>
      <c r="P34" s="1395">
        <v>572216.41</v>
      </c>
      <c r="Q34" s="1395">
        <v>0</v>
      </c>
      <c r="R34" s="1395">
        <v>-572216.41</v>
      </c>
    </row>
    <row r="35" spans="12:18">
      <c r="L35" s="1394" t="s">
        <v>1540</v>
      </c>
      <c r="M35" s="1395">
        <v>35527.449999999997</v>
      </c>
      <c r="N35" s="1395">
        <v>0</v>
      </c>
      <c r="O35" s="1395">
        <v>-35527.449999999997</v>
      </c>
      <c r="P35" s="1395">
        <v>87707.22</v>
      </c>
      <c r="Q35" s="1395">
        <v>0</v>
      </c>
      <c r="R35" s="1395">
        <v>-87707.22</v>
      </c>
    </row>
    <row r="36" spans="12:18">
      <c r="L36" s="1394" t="s">
        <v>1541</v>
      </c>
      <c r="M36" s="1395">
        <v>79.91</v>
      </c>
      <c r="N36" s="1395">
        <v>0</v>
      </c>
      <c r="O36" s="1395">
        <v>-79.91</v>
      </c>
      <c r="P36" s="1395">
        <v>80.27</v>
      </c>
      <c r="Q36" s="1395">
        <v>0</v>
      </c>
      <c r="R36" s="1395">
        <v>-80.27</v>
      </c>
    </row>
    <row r="37" spans="12:18">
      <c r="L37" s="1394" t="s">
        <v>1542</v>
      </c>
      <c r="M37" s="1395">
        <v>2.34</v>
      </c>
      <c r="N37" s="1395">
        <v>0</v>
      </c>
      <c r="O37" s="1395">
        <v>-2.34</v>
      </c>
      <c r="P37" s="1395">
        <v>293862.46999999997</v>
      </c>
      <c r="Q37" s="1395">
        <v>0</v>
      </c>
      <c r="R37" s="1395">
        <v>-293862.46999999997</v>
      </c>
    </row>
    <row r="38" spans="12:18">
      <c r="L38" s="1394" t="s">
        <v>1543</v>
      </c>
      <c r="M38" s="1395">
        <v>-92119.54</v>
      </c>
      <c r="N38" s="1395">
        <v>0</v>
      </c>
      <c r="O38" s="1395">
        <v>92119.54</v>
      </c>
      <c r="P38" s="1395">
        <v>224303.16</v>
      </c>
      <c r="Q38" s="1395">
        <v>0</v>
      </c>
      <c r="R38" s="1395">
        <v>-224303.16</v>
      </c>
    </row>
    <row r="39" spans="12:18">
      <c r="L39" s="1394" t="s">
        <v>1544</v>
      </c>
      <c r="M39" s="1395">
        <v>0</v>
      </c>
      <c r="N39" s="1395">
        <v>0</v>
      </c>
      <c r="O39" s="1395">
        <v>0</v>
      </c>
      <c r="P39" s="1395">
        <v>-147677.39000000001</v>
      </c>
      <c r="Q39" s="1395">
        <v>0</v>
      </c>
      <c r="R39" s="1395">
        <v>147677.39000000001</v>
      </c>
    </row>
    <row r="40" spans="12:18">
      <c r="L40" s="1394" t="s">
        <v>1545</v>
      </c>
      <c r="M40" s="1395">
        <v>225351.58</v>
      </c>
      <c r="N40" s="1395">
        <v>0</v>
      </c>
      <c r="O40" s="1395">
        <v>-225351.58</v>
      </c>
      <c r="P40" s="1395">
        <v>394339.96</v>
      </c>
      <c r="Q40" s="1395">
        <v>0</v>
      </c>
      <c r="R40" s="1395">
        <v>-394339.96</v>
      </c>
    </row>
    <row r="41" spans="12:18">
      <c r="L41" s="1394" t="s">
        <v>1546</v>
      </c>
      <c r="M41" s="1395">
        <v>48996.06</v>
      </c>
      <c r="N41" s="1395">
        <v>0</v>
      </c>
      <c r="O41" s="1395">
        <v>-48996.06</v>
      </c>
      <c r="P41" s="1395">
        <v>180494.53</v>
      </c>
      <c r="Q41" s="1395">
        <v>0</v>
      </c>
      <c r="R41" s="1395">
        <v>-180494.53</v>
      </c>
    </row>
    <row r="42" spans="12:18">
      <c r="L42" s="1394" t="s">
        <v>1547</v>
      </c>
      <c r="M42" s="1395">
        <v>275.91000000000003</v>
      </c>
      <c r="N42" s="1395">
        <v>0</v>
      </c>
      <c r="O42" s="1395">
        <v>-275.91000000000003</v>
      </c>
      <c r="P42" s="1395">
        <v>1840.46</v>
      </c>
      <c r="Q42" s="1395">
        <v>0</v>
      </c>
      <c r="R42" s="1395">
        <v>-1840.46</v>
      </c>
    </row>
    <row r="43" spans="12:18">
      <c r="L43" s="1394" t="s">
        <v>1548</v>
      </c>
      <c r="M43" s="1395">
        <v>2379</v>
      </c>
      <c r="N43" s="1395">
        <v>0</v>
      </c>
      <c r="O43" s="1395">
        <v>-2379</v>
      </c>
      <c r="P43" s="1395">
        <v>6385.07</v>
      </c>
      <c r="Q43" s="1395">
        <v>0</v>
      </c>
      <c r="R43" s="1395">
        <v>-6385.07</v>
      </c>
    </row>
    <row r="44" spans="12:18">
      <c r="L44" s="1394" t="s">
        <v>1549</v>
      </c>
      <c r="M44" s="1395">
        <v>2763.63</v>
      </c>
      <c r="N44" s="1395">
        <v>0</v>
      </c>
      <c r="O44" s="1395">
        <v>-2763.63</v>
      </c>
      <c r="P44" s="1395">
        <v>241648.65</v>
      </c>
      <c r="Q44" s="1395">
        <v>0</v>
      </c>
      <c r="R44" s="1395">
        <v>-241648.65</v>
      </c>
    </row>
    <row r="45" spans="12:18">
      <c r="L45" s="1394" t="s">
        <v>1550</v>
      </c>
      <c r="M45" s="1395">
        <v>105658.75</v>
      </c>
      <c r="N45" s="1395">
        <v>0</v>
      </c>
      <c r="O45" s="1395">
        <v>-105658.75</v>
      </c>
      <c r="P45" s="1395">
        <v>227955.87</v>
      </c>
      <c r="Q45" s="1395">
        <v>0</v>
      </c>
      <c r="R45" s="1395">
        <v>-227955.87</v>
      </c>
    </row>
    <row r="46" spans="12:18">
      <c r="L46" s="1394" t="s">
        <v>1551</v>
      </c>
      <c r="M46" s="1395">
        <v>-387221.88</v>
      </c>
      <c r="N46" s="1395">
        <v>0</v>
      </c>
      <c r="O46" s="1395">
        <v>387221.88</v>
      </c>
      <c r="P46" s="1395">
        <v>-695782.27</v>
      </c>
      <c r="Q46" s="1395">
        <v>0</v>
      </c>
      <c r="R46" s="1395">
        <v>695782.27</v>
      </c>
    </row>
    <row r="47" spans="12:18">
      <c r="L47" s="1394" t="s">
        <v>1552</v>
      </c>
      <c r="M47" s="1395">
        <v>-100374.48</v>
      </c>
      <c r="N47" s="1395">
        <v>0</v>
      </c>
      <c r="O47" s="1395">
        <v>100374.48</v>
      </c>
      <c r="P47" s="1395">
        <v>-276597.57</v>
      </c>
      <c r="Q47" s="1395">
        <v>0</v>
      </c>
      <c r="R47" s="1395">
        <v>276597.57</v>
      </c>
    </row>
    <row r="48" spans="12:18">
      <c r="L48" s="1394" t="s">
        <v>1553</v>
      </c>
      <c r="M48" s="1395">
        <v>-115265.55</v>
      </c>
      <c r="N48" s="1395">
        <v>0</v>
      </c>
      <c r="O48" s="1395">
        <v>115265.55</v>
      </c>
      <c r="P48" s="1395">
        <v>-246610.08</v>
      </c>
      <c r="Q48" s="1395">
        <v>0</v>
      </c>
      <c r="R48" s="1395">
        <v>246610.08</v>
      </c>
    </row>
    <row r="49" spans="12:18">
      <c r="L49" s="1394" t="s">
        <v>1554</v>
      </c>
      <c r="M49" s="1395">
        <v>-111291.86</v>
      </c>
      <c r="N49" s="1395">
        <v>0</v>
      </c>
      <c r="O49" s="1395">
        <v>111291.86</v>
      </c>
      <c r="P49" s="1395">
        <v>-361585.66</v>
      </c>
      <c r="Q49" s="1395">
        <v>0</v>
      </c>
      <c r="R49" s="1395">
        <v>361585.66</v>
      </c>
    </row>
    <row r="50" spans="12:18">
      <c r="L50" s="1394" t="s">
        <v>1555</v>
      </c>
      <c r="M50" s="1395">
        <v>1045393.02</v>
      </c>
      <c r="N50" s="1395">
        <v>0</v>
      </c>
      <c r="O50" s="1395">
        <v>-1045393.02</v>
      </c>
      <c r="P50" s="1395">
        <v>2314659.6</v>
      </c>
      <c r="Q50" s="1395">
        <v>0</v>
      </c>
      <c r="R50" s="1395">
        <v>-2314659.6</v>
      </c>
    </row>
    <row r="51" spans="12:18">
      <c r="L51" s="1396" t="s">
        <v>1556</v>
      </c>
      <c r="M51" s="1397">
        <v>2009851.41</v>
      </c>
      <c r="N51" s="1397">
        <v>418685</v>
      </c>
      <c r="O51" s="1397">
        <v>-1591166.41</v>
      </c>
      <c r="P51" s="1399">
        <v>6726780.1699999999</v>
      </c>
      <c r="Q51" s="1397">
        <v>1256053</v>
      </c>
      <c r="R51" s="1397">
        <v>-5470727.1699999999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Y47"/>
  <sheetViews>
    <sheetView zoomScale="85" zoomScaleNormal="85" zoomScaleSheetLayoutView="115" workbookViewId="0">
      <selection activeCell="R40" sqref="R40"/>
    </sheetView>
  </sheetViews>
  <sheetFormatPr defaultColWidth="9.140625" defaultRowHeight="12.75"/>
  <cols>
    <col min="1" max="1" width="4.85546875" style="2" customWidth="1"/>
    <col min="2" max="2" width="9.140625" style="2"/>
    <col min="3" max="3" width="47.140625" style="2" customWidth="1"/>
    <col min="4" max="4" width="14.42578125" style="2" customWidth="1"/>
    <col min="5" max="5" width="3" style="2" hidden="1" customWidth="1"/>
    <col min="6" max="6" width="14.42578125" style="2" hidden="1" customWidth="1"/>
    <col min="7" max="7" width="3.28515625" style="2" customWidth="1"/>
    <col min="8" max="8" width="9.140625" style="2" hidden="1" customWidth="1"/>
    <col min="9" max="9" width="6.85546875" style="2" customWidth="1"/>
    <col min="10" max="14" width="13.85546875" style="2" customWidth="1"/>
    <col min="15" max="15" width="17.140625" style="2" customWidth="1"/>
    <col min="16" max="16" width="19.42578125" style="2" customWidth="1"/>
    <col min="17" max="17" width="19.5703125" style="2" customWidth="1"/>
    <col min="18" max="18" width="15.28515625" style="2" bestFit="1" customWidth="1"/>
    <col min="19" max="19" width="13.85546875" style="2" customWidth="1"/>
    <col min="20" max="21" width="8.85546875"/>
    <col min="22" max="22" width="16.5703125" customWidth="1"/>
    <col min="23" max="23" width="10.140625" bestFit="1" customWidth="1"/>
    <col min="24" max="24" width="59.5703125" customWidth="1"/>
    <col min="25" max="25" width="18" customWidth="1"/>
    <col min="26" max="26" width="16" customWidth="1"/>
    <col min="27" max="27" width="15" bestFit="1" customWidth="1"/>
    <col min="28" max="28" width="16.140625" customWidth="1"/>
    <col min="29" max="29" width="18" bestFit="1" customWidth="1"/>
    <col min="30" max="30" width="16.140625" customWidth="1"/>
    <col min="31" max="31" width="15.5703125" bestFit="1" customWidth="1"/>
    <col min="32" max="32" width="15.28515625" customWidth="1"/>
    <col min="33" max="33" width="13.85546875" customWidth="1"/>
    <col min="34" max="103" width="8.85546875" customWidth="1"/>
    <col min="104" max="16384" width="9.140625" style="2"/>
  </cols>
  <sheetData>
    <row r="1" spans="1:103">
      <c r="A1" s="327" t="s">
        <v>153</v>
      </c>
      <c r="J1" s="327" t="s">
        <v>153</v>
      </c>
    </row>
    <row r="2" spans="1:103">
      <c r="A2" s="14" t="str">
        <f>'Control Panel'!$B$2</f>
        <v>Utah - Dec 2017 Adjusted Avg Results</v>
      </c>
      <c r="J2" s="14" t="str">
        <f>'Control Panel'!$B$2</f>
        <v>Utah - Dec 2017 Adjusted Avg Results</v>
      </c>
    </row>
    <row r="3" spans="1:103">
      <c r="A3" s="14" t="str">
        <f>'Control Panel'!$B$3</f>
        <v>12 Months Ended : Dec-2017</v>
      </c>
      <c r="J3" s="14" t="str">
        <f>'Control Panel'!$B$3</f>
        <v>12 Months Ended : Dec-2017</v>
      </c>
    </row>
    <row r="4" spans="1:103" ht="18" customHeight="1">
      <c r="A4" s="14" t="str">
        <f>'Control Panel'!$B$4</f>
        <v>Capital Structure : ORDERED CAP STR 13-057-05</v>
      </c>
      <c r="F4" s="2" t="s">
        <v>756</v>
      </c>
      <c r="J4" s="14" t="str">
        <f>'Control Panel'!$B$4</f>
        <v>Capital Structure : ORDERED CAP STR 13-057-05</v>
      </c>
    </row>
    <row r="5" spans="1:103" s="246" customFormat="1" ht="13.5" thickBot="1">
      <c r="D5" s="396" t="s">
        <v>951</v>
      </c>
      <c r="E5" s="396"/>
      <c r="F5" s="396" t="str">
        <f>+'Control Panel'!B33</f>
        <v>Bad Debt</v>
      </c>
      <c r="G5" s="396"/>
      <c r="H5" s="246">
        <v>1</v>
      </c>
      <c r="I5" s="246">
        <v>1</v>
      </c>
      <c r="J5" s="419"/>
      <c r="M5" s="510" t="s">
        <v>784</v>
      </c>
      <c r="N5" s="2"/>
      <c r="O5" s="510" t="s">
        <v>785</v>
      </c>
      <c r="P5" s="510" t="s">
        <v>786</v>
      </c>
      <c r="Q5" s="510" t="s">
        <v>787</v>
      </c>
      <c r="R5" s="510" t="s">
        <v>766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>
      <c r="D6" s="159"/>
      <c r="E6" s="159"/>
      <c r="F6" s="159"/>
      <c r="G6" s="159"/>
      <c r="H6" s="2">
        <f>+H5+1</f>
        <v>2</v>
      </c>
      <c r="I6" s="2">
        <f>+I5+1</f>
        <v>2</v>
      </c>
      <c r="M6" s="159">
        <f>Report!F8</f>
        <v>43100</v>
      </c>
      <c r="O6" s="159" t="s">
        <v>41</v>
      </c>
      <c r="P6" s="57"/>
    </row>
    <row r="7" spans="1:103">
      <c r="H7" s="2">
        <f t="shared" ref="H7:I42" si="0">+H6+1</f>
        <v>3</v>
      </c>
      <c r="I7" s="2">
        <f t="shared" si="0"/>
        <v>3</v>
      </c>
      <c r="M7" s="3" t="s">
        <v>179</v>
      </c>
      <c r="O7" s="3"/>
      <c r="P7" s="57"/>
    </row>
    <row r="8" spans="1:103">
      <c r="D8" s="3" t="s">
        <v>180</v>
      </c>
      <c r="E8" s="3"/>
      <c r="F8" s="3" t="str">
        <f>HLOOKUP($F$5,BadDebtScenario,H8,FALSE)</f>
        <v xml:space="preserve">Bad Debt </v>
      </c>
      <c r="G8" s="1019"/>
      <c r="H8" s="2">
        <f t="shared" si="0"/>
        <v>4</v>
      </c>
      <c r="I8" s="2">
        <f t="shared" si="0"/>
        <v>4</v>
      </c>
      <c r="M8" s="3" t="s">
        <v>180</v>
      </c>
      <c r="O8" s="3"/>
      <c r="P8" s="9"/>
    </row>
    <row r="9" spans="1:103" ht="13.5" thickBot="1">
      <c r="D9" s="3" t="s">
        <v>181</v>
      </c>
      <c r="E9" s="3"/>
      <c r="F9" s="3" t="str">
        <f>HLOOKUP($F$5,BadDebtScenario,H9,FALSE)</f>
        <v>Ratio</v>
      </c>
      <c r="G9" s="1019"/>
      <c r="H9" s="2">
        <f t="shared" si="0"/>
        <v>5</v>
      </c>
      <c r="I9" s="2">
        <f t="shared" si="0"/>
        <v>5</v>
      </c>
      <c r="M9" s="3" t="s">
        <v>181</v>
      </c>
      <c r="O9" s="3"/>
      <c r="P9" s="57"/>
      <c r="V9" s="734">
        <v>3.7068850476274693E-3</v>
      </c>
    </row>
    <row r="10" spans="1:103">
      <c r="D10" s="3" t="s">
        <v>41</v>
      </c>
      <c r="E10" s="3"/>
      <c r="F10" s="3" t="str">
        <f>HLOOKUP($F$5,BadDebtScenario,H10,FALSE)</f>
        <v>Adjustment</v>
      </c>
      <c r="G10" s="1019"/>
      <c r="H10" s="2">
        <f t="shared" si="0"/>
        <v>6</v>
      </c>
      <c r="I10" s="2">
        <f t="shared" si="0"/>
        <v>6</v>
      </c>
      <c r="M10" s="3" t="s">
        <v>41</v>
      </c>
      <c r="O10" s="3"/>
      <c r="P10" s="57"/>
    </row>
    <row r="11" spans="1:103">
      <c r="C11" s="49"/>
      <c r="H11" s="2">
        <f t="shared" si="0"/>
        <v>7</v>
      </c>
      <c r="I11" s="2">
        <f t="shared" si="0"/>
        <v>7</v>
      </c>
      <c r="J11" s="154">
        <v>904</v>
      </c>
      <c r="K11" s="49" t="s">
        <v>391</v>
      </c>
      <c r="L11" s="49"/>
      <c r="P11" s="9"/>
    </row>
    <row r="12" spans="1:103">
      <c r="A12" s="2">
        <v>1</v>
      </c>
      <c r="C12" s="49" t="s">
        <v>13</v>
      </c>
      <c r="D12" s="57">
        <f>Q44</f>
        <v>91049.368103791145</v>
      </c>
      <c r="E12" s="57"/>
      <c r="F12" s="57">
        <f>HLOOKUP($F$5,BadDebtScenario,H12,FALSE)</f>
        <v>91049.368103791145</v>
      </c>
      <c r="G12" s="57"/>
      <c r="H12" s="2">
        <f t="shared" si="0"/>
        <v>8</v>
      </c>
      <c r="I12" s="2">
        <f t="shared" si="0"/>
        <v>8</v>
      </c>
      <c r="J12" s="168"/>
      <c r="K12" s="49"/>
      <c r="L12" s="49" t="s">
        <v>13</v>
      </c>
      <c r="M12" s="57">
        <f>+Q44</f>
        <v>91049.368103791145</v>
      </c>
      <c r="O12" s="57">
        <f>+M12</f>
        <v>91049.368103791145</v>
      </c>
      <c r="P12" s="57"/>
    </row>
    <row r="13" spans="1:103" ht="13.5" thickBot="1">
      <c r="A13" s="2">
        <f t="shared" ref="A13:A14" si="1">A12+1</f>
        <v>2</v>
      </c>
      <c r="C13" s="49" t="s">
        <v>24</v>
      </c>
      <c r="D13" s="108">
        <f>Q45</f>
        <v>-37425.575731088218</v>
      </c>
      <c r="E13" s="108"/>
      <c r="F13" s="108">
        <f>HLOOKUP($F$5,BadDebtScenario,H13,FALSE)</f>
        <v>-37425.575731088218</v>
      </c>
      <c r="G13" s="57"/>
      <c r="H13" s="2">
        <f t="shared" si="0"/>
        <v>9</v>
      </c>
      <c r="I13" s="2">
        <f t="shared" si="0"/>
        <v>9</v>
      </c>
      <c r="J13" s="168"/>
      <c r="K13" s="49"/>
      <c r="L13" s="49" t="s">
        <v>24</v>
      </c>
      <c r="M13" s="108">
        <f>+Q45</f>
        <v>-37425.575731088218</v>
      </c>
      <c r="O13" s="108">
        <f>+M13</f>
        <v>-37425.575731088218</v>
      </c>
      <c r="P13" s="57"/>
    </row>
    <row r="14" spans="1:103" ht="13.5" thickTop="1">
      <c r="A14" s="2">
        <f t="shared" si="1"/>
        <v>3</v>
      </c>
      <c r="C14" s="49" t="s">
        <v>160</v>
      </c>
      <c r="D14" s="9">
        <f>SUM(D12:D13)</f>
        <v>53623.792372702927</v>
      </c>
      <c r="E14" s="9"/>
      <c r="F14" s="9">
        <f>SUM(F12:F13)</f>
        <v>53623.792372702927</v>
      </c>
      <c r="G14" s="9"/>
      <c r="H14" s="2">
        <f t="shared" si="0"/>
        <v>10</v>
      </c>
      <c r="I14" s="2">
        <f t="shared" si="0"/>
        <v>10</v>
      </c>
      <c r="J14" s="168"/>
      <c r="K14" s="49"/>
      <c r="L14" s="49" t="s">
        <v>160</v>
      </c>
      <c r="M14" s="9">
        <f>SUM(M12:M13)</f>
        <v>53623.792372702927</v>
      </c>
      <c r="O14" s="9">
        <f>SUM(O12:O13)</f>
        <v>53623.792372702927</v>
      </c>
      <c r="P14" s="9"/>
    </row>
    <row r="15" spans="1:103">
      <c r="A15" s="2">
        <f>A14+1</f>
        <v>4</v>
      </c>
      <c r="H15" s="2">
        <f t="shared" si="0"/>
        <v>11</v>
      </c>
      <c r="I15" s="2">
        <f t="shared" si="0"/>
        <v>11</v>
      </c>
      <c r="J15" s="168"/>
      <c r="K15" s="49"/>
      <c r="L15" s="49"/>
      <c r="P15" s="9"/>
    </row>
    <row r="16" spans="1:103" ht="13.5" thickBot="1">
      <c r="A16" s="2">
        <f t="shared" ref="A16:A33" si="2">A15+1</f>
        <v>5</v>
      </c>
      <c r="H16" s="2">
        <f t="shared" si="0"/>
        <v>12</v>
      </c>
      <c r="I16" s="2">
        <f t="shared" si="0"/>
        <v>12</v>
      </c>
    </row>
    <row r="17" spans="1:19" ht="13.5" thickBot="1">
      <c r="A17" s="2">
        <f t="shared" si="2"/>
        <v>6</v>
      </c>
      <c r="C17" s="642" t="s">
        <v>908</v>
      </c>
      <c r="D17" s="89">
        <f>R31</f>
        <v>2.0388824180169176E-3</v>
      </c>
      <c r="E17" s="1038" t="s">
        <v>439</v>
      </c>
      <c r="F17" s="89">
        <f>HLOOKUP($F$5,BadDebtScenario,H17,FALSE)</f>
        <v>2.0388824180169176E-3</v>
      </c>
      <c r="G17" s="68" t="s">
        <v>439</v>
      </c>
      <c r="H17" s="2">
        <f>+H16+1</f>
        <v>13</v>
      </c>
      <c r="I17" s="2">
        <f>+I16+1</f>
        <v>13</v>
      </c>
      <c r="J17" s="332" t="s">
        <v>379</v>
      </c>
      <c r="K17" s="272"/>
      <c r="L17" s="272"/>
      <c r="M17" s="272"/>
      <c r="N17" s="272"/>
      <c r="O17" s="451" t="s">
        <v>761</v>
      </c>
      <c r="P17" s="451" t="s">
        <v>761</v>
      </c>
      <c r="Q17" s="451" t="s">
        <v>761</v>
      </c>
      <c r="R17" s="448"/>
    </row>
    <row r="18" spans="1:19">
      <c r="A18" s="2">
        <f t="shared" si="2"/>
        <v>7</v>
      </c>
      <c r="H18" s="2">
        <f t="shared" si="0"/>
        <v>14</v>
      </c>
      <c r="I18" s="2">
        <f t="shared" si="0"/>
        <v>14</v>
      </c>
      <c r="J18" s="332" t="s">
        <v>498</v>
      </c>
      <c r="K18" s="272"/>
      <c r="L18" s="272"/>
      <c r="M18" s="272"/>
      <c r="N18" s="272"/>
      <c r="O18" s="451">
        <v>2015</v>
      </c>
      <c r="P18" s="451">
        <v>2016</v>
      </c>
      <c r="Q18" s="451">
        <v>2017</v>
      </c>
      <c r="R18" s="448" t="s">
        <v>760</v>
      </c>
    </row>
    <row r="19" spans="1:19">
      <c r="A19" s="2">
        <f t="shared" si="2"/>
        <v>8</v>
      </c>
      <c r="H19" s="2">
        <f t="shared" si="0"/>
        <v>15</v>
      </c>
      <c r="I19" s="2">
        <f t="shared" si="0"/>
        <v>15</v>
      </c>
      <c r="J19" s="124"/>
      <c r="K19" s="55"/>
      <c r="L19" s="55"/>
      <c r="M19" s="55"/>
      <c r="N19" s="55"/>
      <c r="O19" s="55"/>
      <c r="R19" s="125"/>
    </row>
    <row r="20" spans="1:19" ht="13.5" thickBot="1">
      <c r="A20" s="2">
        <f t="shared" si="2"/>
        <v>9</v>
      </c>
      <c r="B20" s="563" t="s">
        <v>878</v>
      </c>
      <c r="C20" s="563"/>
      <c r="D20" s="563"/>
      <c r="E20" s="563"/>
      <c r="F20" s="563"/>
      <c r="G20" s="1037"/>
      <c r="H20" s="2">
        <f t="shared" si="0"/>
        <v>16</v>
      </c>
      <c r="I20" s="2">
        <f t="shared" si="0"/>
        <v>16</v>
      </c>
      <c r="J20" s="124"/>
      <c r="K20" s="55"/>
      <c r="L20" s="55"/>
      <c r="M20" s="55"/>
      <c r="N20" s="55"/>
      <c r="O20" s="55"/>
      <c r="R20" s="125"/>
    </row>
    <row r="21" spans="1:19">
      <c r="A21" s="2">
        <f t="shared" si="2"/>
        <v>10</v>
      </c>
      <c r="C21" s="514"/>
      <c r="D21" s="52"/>
      <c r="E21" s="52"/>
      <c r="F21" s="52"/>
      <c r="G21" s="52"/>
      <c r="H21" s="2">
        <f>+H20+1</f>
        <v>17</v>
      </c>
      <c r="I21" s="2">
        <f>+I20+1</f>
        <v>17</v>
      </c>
      <c r="J21" s="124"/>
      <c r="K21" s="55"/>
      <c r="L21" s="55"/>
      <c r="M21" s="55"/>
      <c r="N21" s="55"/>
      <c r="O21" s="55"/>
      <c r="R21" s="125"/>
    </row>
    <row r="22" spans="1:19">
      <c r="A22" s="2">
        <f t="shared" si="2"/>
        <v>11</v>
      </c>
      <c r="D22" s="2" t="s">
        <v>95</v>
      </c>
      <c r="F22" s="2" t="s">
        <v>95</v>
      </c>
      <c r="H22" s="2">
        <f t="shared" si="0"/>
        <v>18</v>
      </c>
      <c r="I22" s="2">
        <f t="shared" si="0"/>
        <v>18</v>
      </c>
      <c r="J22" s="319" t="s">
        <v>494</v>
      </c>
      <c r="K22" s="315"/>
      <c r="L22" s="55"/>
      <c r="M22" s="55"/>
      <c r="N22" s="9"/>
      <c r="O22" s="57">
        <f>'[17]SUMMARY CALCULATION'!J23</f>
        <v>3638318.4900000007</v>
      </c>
      <c r="P22" s="57">
        <f>'[17]SUMMARY CALCULATION'!K23</f>
        <v>3798537.9899999993</v>
      </c>
      <c r="Q22" s="57">
        <f>'[17]SUMMARY CALCULATION'!L23</f>
        <v>3316135.7399999998</v>
      </c>
      <c r="R22" s="266">
        <f>AVERAGE(O22:Q22)</f>
        <v>3584330.74</v>
      </c>
    </row>
    <row r="23" spans="1:19" ht="13.5" thickBot="1">
      <c r="A23" s="2">
        <f t="shared" si="2"/>
        <v>12</v>
      </c>
      <c r="B23" s="46">
        <v>904.1</v>
      </c>
      <c r="C23" s="52" t="s">
        <v>391</v>
      </c>
      <c r="H23" s="2">
        <f t="shared" si="0"/>
        <v>19</v>
      </c>
      <c r="I23" s="2">
        <f t="shared" si="0"/>
        <v>19</v>
      </c>
      <c r="J23" s="319" t="s">
        <v>495</v>
      </c>
      <c r="K23" s="269"/>
      <c r="L23" s="55"/>
      <c r="M23" s="55"/>
      <c r="N23" s="9"/>
      <c r="O23" s="105">
        <f>'[17]SUMMARY CALCULATION'!J24</f>
        <v>-1856811.4200000002</v>
      </c>
      <c r="P23" s="105">
        <f>'[17]SUMMARY CALCULATION'!K24</f>
        <v>-1689277.55</v>
      </c>
      <c r="Q23" s="105">
        <f>'[17]SUMMARY CALCULATION'!L24</f>
        <v>-1683522.24</v>
      </c>
      <c r="R23" s="320">
        <f>AVERAGE(O23:Q23)</f>
        <v>-1743203.7366666666</v>
      </c>
    </row>
    <row r="24" spans="1:19">
      <c r="A24" s="2">
        <f t="shared" si="2"/>
        <v>13</v>
      </c>
      <c r="C24" s="52" t="s">
        <v>13</v>
      </c>
      <c r="D24" s="7">
        <f>-EXPENSES!$I$279</f>
        <v>-212317.07000000004</v>
      </c>
      <c r="E24" s="7"/>
      <c r="F24" s="7">
        <f>HLOOKUP($F$5,BadDebtScenario,H24,FALSE)</f>
        <v>-212317.07000000004</v>
      </c>
      <c r="G24" s="7"/>
      <c r="H24" s="2">
        <f t="shared" si="0"/>
        <v>20</v>
      </c>
      <c r="I24" s="2">
        <f t="shared" si="0"/>
        <v>20</v>
      </c>
      <c r="J24" s="319" t="s">
        <v>152</v>
      </c>
      <c r="K24" s="55"/>
      <c r="L24" s="55"/>
      <c r="M24" s="55"/>
      <c r="N24" s="9"/>
      <c r="O24" s="57">
        <f>SUM(O22:O23)</f>
        <v>1781507.0700000005</v>
      </c>
      <c r="P24" s="57">
        <f>SUM(P22:P23)</f>
        <v>2109260.4399999995</v>
      </c>
      <c r="Q24" s="57">
        <f>SUM(Q22:Q23)</f>
        <v>1632613.4999999998</v>
      </c>
      <c r="R24" s="266">
        <f>AVERAGE(O24:Q24)</f>
        <v>1841127.0033333332</v>
      </c>
    </row>
    <row r="25" spans="1:19">
      <c r="A25" s="2">
        <f t="shared" si="2"/>
        <v>14</v>
      </c>
      <c r="C25" s="52" t="s">
        <v>24</v>
      </c>
      <c r="D25" s="7">
        <f>-EXPENSES!$I$280</f>
        <v>0</v>
      </c>
      <c r="E25" s="7"/>
      <c r="F25" s="7">
        <f>HLOOKUP($F$5,BadDebtScenario,H25,FALSE)</f>
        <v>0</v>
      </c>
      <c r="G25" s="7"/>
      <c r="H25" s="2">
        <f t="shared" si="0"/>
        <v>21</v>
      </c>
      <c r="I25" s="2">
        <f t="shared" si="0"/>
        <v>21</v>
      </c>
      <c r="J25" s="124"/>
      <c r="K25" s="55"/>
      <c r="L25" s="55"/>
      <c r="M25" s="55"/>
      <c r="N25" s="55"/>
      <c r="O25" s="57"/>
      <c r="R25" s="266"/>
    </row>
    <row r="26" spans="1:19">
      <c r="A26" s="2">
        <f t="shared" si="2"/>
        <v>15</v>
      </c>
      <c r="C26" s="52" t="s">
        <v>160</v>
      </c>
      <c r="D26" s="7">
        <f>SUM(D24:D25)</f>
        <v>-212317.07000000004</v>
      </c>
      <c r="E26" s="7"/>
      <c r="F26" s="7">
        <f>HLOOKUP($F$5,BadDebtScenario,H26,FALSE)</f>
        <v>-212317.07000000004</v>
      </c>
      <c r="G26" s="7"/>
      <c r="H26" s="2">
        <f t="shared" si="0"/>
        <v>22</v>
      </c>
      <c r="I26" s="2">
        <f t="shared" si="0"/>
        <v>22</v>
      </c>
      <c r="J26" s="329" t="s">
        <v>497</v>
      </c>
      <c r="K26" s="52"/>
      <c r="L26" s="52"/>
      <c r="M26" s="52"/>
      <c r="N26" s="31"/>
      <c r="O26" s="57">
        <f>'[17]SUMMARY CALCULATION'!J30</f>
        <v>903873494.43000007</v>
      </c>
      <c r="P26" s="57">
        <f>'[17]SUMMARY CALCULATION'!K30</f>
        <v>914522580.5999999</v>
      </c>
      <c r="Q26" s="57">
        <f>'[17]SUMMARY CALCULATION'!L30</f>
        <v>890627731.93000007</v>
      </c>
      <c r="R26" s="266">
        <f>AVERAGE(O26:Q26)</f>
        <v>903007935.65333331</v>
      </c>
    </row>
    <row r="27" spans="1:19">
      <c r="A27" s="2">
        <f t="shared" si="2"/>
        <v>16</v>
      </c>
      <c r="H27" s="2">
        <f t="shared" si="0"/>
        <v>23</v>
      </c>
      <c r="I27" s="2">
        <f t="shared" si="0"/>
        <v>23</v>
      </c>
      <c r="J27" s="319" t="s">
        <v>152</v>
      </c>
      <c r="K27" s="52"/>
      <c r="L27" s="55"/>
      <c r="M27" s="55"/>
      <c r="N27" s="57"/>
      <c r="O27" s="57">
        <f>O24</f>
        <v>1781507.0700000005</v>
      </c>
      <c r="P27" s="7">
        <f>P24</f>
        <v>2109260.4399999995</v>
      </c>
      <c r="Q27" s="7">
        <f>Q24</f>
        <v>1632613.4999999998</v>
      </c>
      <c r="R27" s="266">
        <f>AVERAGE(O27:Q27)</f>
        <v>1841127.0033333332</v>
      </c>
    </row>
    <row r="28" spans="1:19">
      <c r="A28" s="2">
        <f t="shared" si="2"/>
        <v>17</v>
      </c>
      <c r="B28" s="46">
        <v>904.2</v>
      </c>
      <c r="C28" s="52" t="s">
        <v>391</v>
      </c>
      <c r="D28" s="4" t="s">
        <v>145</v>
      </c>
      <c r="E28" s="4"/>
      <c r="F28" s="4" t="s">
        <v>145</v>
      </c>
      <c r="G28" s="1022"/>
      <c r="H28" s="2">
        <f t="shared" si="0"/>
        <v>24</v>
      </c>
      <c r="I28" s="2">
        <f t="shared" si="0"/>
        <v>24</v>
      </c>
      <c r="J28" s="124"/>
      <c r="K28" s="55"/>
      <c r="L28" s="55"/>
      <c r="M28" s="55"/>
      <c r="N28" s="55"/>
      <c r="O28" s="55"/>
      <c r="R28" s="125"/>
    </row>
    <row r="29" spans="1:19">
      <c r="A29" s="2">
        <f t="shared" si="2"/>
        <v>18</v>
      </c>
      <c r="C29" s="52" t="s">
        <v>13</v>
      </c>
      <c r="D29" s="7">
        <f>-EXPENSES!$I$284</f>
        <v>-841817.97</v>
      </c>
      <c r="E29" s="7"/>
      <c r="F29" s="7">
        <f>HLOOKUP($F$5,BadDebtScenario,H29,FALSE)</f>
        <v>-841817.97</v>
      </c>
      <c r="G29" s="7"/>
      <c r="H29" s="2">
        <f t="shared" si="0"/>
        <v>25</v>
      </c>
      <c r="I29" s="2">
        <f t="shared" si="0"/>
        <v>25</v>
      </c>
      <c r="J29" s="267" t="s">
        <v>483</v>
      </c>
      <c r="K29" s="55"/>
      <c r="L29" s="55"/>
      <c r="M29" s="55"/>
      <c r="N29" s="55"/>
      <c r="O29" s="314">
        <f>O27/O26</f>
        <v>1.9709694785590023E-3</v>
      </c>
      <c r="P29" s="314">
        <f>P27/P26</f>
        <v>2.3064060797888183E-3</v>
      </c>
      <c r="Q29" s="314">
        <f>Q27/Q26</f>
        <v>1.8331042718174836E-3</v>
      </c>
      <c r="R29" s="300">
        <f>R27/R26</f>
        <v>2.0388824180169176E-3</v>
      </c>
      <c r="S29" s="4"/>
    </row>
    <row r="30" spans="1:19">
      <c r="A30" s="2">
        <f t="shared" si="2"/>
        <v>19</v>
      </c>
      <c r="C30" s="52" t="s">
        <v>24</v>
      </c>
      <c r="D30" s="7">
        <f>-EXPENSES!$I$285</f>
        <v>0</v>
      </c>
      <c r="E30" s="7"/>
      <c r="F30" s="7">
        <f>HLOOKUP($F$5,BadDebtScenario,H30,FALSE)</f>
        <v>0</v>
      </c>
      <c r="G30" s="7"/>
      <c r="H30" s="2">
        <f t="shared" si="0"/>
        <v>26</v>
      </c>
      <c r="I30" s="2">
        <f t="shared" si="0"/>
        <v>26</v>
      </c>
      <c r="J30" s="124" t="s">
        <v>840</v>
      </c>
      <c r="K30" s="55"/>
      <c r="L30" s="55"/>
      <c r="M30" s="55"/>
      <c r="N30" s="55"/>
      <c r="O30" s="55"/>
      <c r="P30" s="55"/>
      <c r="Q30" s="55"/>
      <c r="R30" s="300"/>
      <c r="S30" s="386"/>
    </row>
    <row r="31" spans="1:19" ht="13.5" thickBot="1">
      <c r="A31" s="2">
        <f t="shared" si="2"/>
        <v>20</v>
      </c>
      <c r="C31" s="52" t="s">
        <v>160</v>
      </c>
      <c r="D31" s="7">
        <f>SUM(D29:D30)</f>
        <v>-841817.97</v>
      </c>
      <c r="E31" s="7"/>
      <c r="F31" s="7">
        <f>HLOOKUP($F$5,BadDebtScenario,H31,FALSE)</f>
        <v>-841817.97</v>
      </c>
      <c r="G31" s="7"/>
      <c r="H31" s="2">
        <f t="shared" si="0"/>
        <v>27</v>
      </c>
      <c r="I31" s="2">
        <f t="shared" si="0"/>
        <v>27</v>
      </c>
      <c r="J31" s="127" t="s">
        <v>381</v>
      </c>
      <c r="K31" s="82"/>
      <c r="L31" s="82"/>
      <c r="M31" s="82"/>
      <c r="N31" s="82"/>
      <c r="O31" s="82"/>
      <c r="P31" s="82"/>
      <c r="Q31" s="82"/>
      <c r="R31" s="440">
        <f>SUM(R29:R30)</f>
        <v>2.0388824180169176E-3</v>
      </c>
      <c r="S31" s="101"/>
    </row>
    <row r="32" spans="1:19">
      <c r="A32" s="2">
        <f t="shared" si="2"/>
        <v>21</v>
      </c>
      <c r="H32" s="2">
        <f t="shared" si="0"/>
        <v>28</v>
      </c>
      <c r="I32" s="2">
        <f t="shared" si="0"/>
        <v>28</v>
      </c>
      <c r="J32" s="124"/>
      <c r="K32" s="55"/>
      <c r="L32" s="55"/>
      <c r="M32" s="55"/>
      <c r="N32" s="55"/>
      <c r="O32" s="55"/>
      <c r="P32" s="55"/>
      <c r="Q32" s="125"/>
    </row>
    <row r="33" spans="1:19">
      <c r="A33" s="2">
        <f t="shared" si="2"/>
        <v>22</v>
      </c>
      <c r="B33" s="68" t="s">
        <v>875</v>
      </c>
      <c r="D33" s="7">
        <f>D31+D26+D14</f>
        <v>-1000511.2476272971</v>
      </c>
      <c r="E33" s="7"/>
      <c r="F33" s="7">
        <f>F31+F26+F14</f>
        <v>-1000511.2476272971</v>
      </c>
      <c r="G33" s="7"/>
      <c r="H33" s="2">
        <f t="shared" si="0"/>
        <v>29</v>
      </c>
      <c r="I33" s="2">
        <f t="shared" si="0"/>
        <v>29</v>
      </c>
      <c r="J33" s="1442"/>
      <c r="K33" s="1443"/>
      <c r="L33" s="1443"/>
      <c r="M33" s="1443"/>
      <c r="N33" s="1443"/>
      <c r="O33" s="55"/>
      <c r="P33" s="55"/>
      <c r="Q33" s="125"/>
    </row>
    <row r="34" spans="1:19">
      <c r="H34" s="2">
        <f t="shared" si="0"/>
        <v>30</v>
      </c>
      <c r="I34" s="2">
        <f t="shared" si="0"/>
        <v>30</v>
      </c>
      <c r="J34" s="124"/>
      <c r="K34" s="55"/>
      <c r="L34" s="55"/>
      <c r="M34" s="312"/>
      <c r="N34" s="312"/>
      <c r="O34" s="498" t="s">
        <v>905</v>
      </c>
      <c r="P34" s="55"/>
      <c r="Q34" s="266">
        <f>'ROR-Model'!F200</f>
        <v>366442366.41683167</v>
      </c>
      <c r="S34" s="482"/>
    </row>
    <row r="35" spans="1:19">
      <c r="H35" s="2">
        <f t="shared" si="0"/>
        <v>31</v>
      </c>
      <c r="I35" s="2">
        <f t="shared" si="0"/>
        <v>31</v>
      </c>
      <c r="J35" s="124"/>
      <c r="K35" s="55"/>
      <c r="L35" s="55"/>
      <c r="M35" s="241"/>
      <c r="N35" s="241"/>
      <c r="O35" s="498" t="s">
        <v>906</v>
      </c>
      <c r="P35" s="55"/>
      <c r="Q35" s="266">
        <f>'ROR-Model'!F323</f>
        <v>12936314.539690599</v>
      </c>
      <c r="S35" s="57"/>
    </row>
    <row r="36" spans="1:19" ht="13.5" thickBot="1">
      <c r="H36" s="2">
        <f t="shared" si="0"/>
        <v>32</v>
      </c>
      <c r="I36" s="2">
        <f t="shared" si="0"/>
        <v>32</v>
      </c>
      <c r="J36" s="124"/>
      <c r="K36" s="55"/>
      <c r="L36" s="55"/>
      <c r="M36" s="55"/>
      <c r="N36" s="241"/>
      <c r="O36" s="55" t="s">
        <v>804</v>
      </c>
      <c r="P36" s="55"/>
      <c r="Q36" s="333">
        <f>R31</f>
        <v>2.0388824180169176E-3</v>
      </c>
      <c r="S36" s="7"/>
    </row>
    <row r="37" spans="1:19">
      <c r="B37" s="68" t="s">
        <v>1069</v>
      </c>
      <c r="H37" s="2">
        <f t="shared" si="0"/>
        <v>33</v>
      </c>
      <c r="I37" s="2">
        <f t="shared" si="0"/>
        <v>33</v>
      </c>
      <c r="J37" s="124"/>
      <c r="K37" s="55"/>
      <c r="L37" s="55"/>
      <c r="M37" s="51"/>
      <c r="N37" s="51"/>
      <c r="O37" s="701" t="s">
        <v>904</v>
      </c>
      <c r="P37" s="55"/>
      <c r="Q37" s="136">
        <f>Q34*Q36</f>
        <v>747132.89810379106</v>
      </c>
      <c r="S37" s="7"/>
    </row>
    <row r="38" spans="1:19">
      <c r="H38" s="2">
        <f t="shared" si="0"/>
        <v>34</v>
      </c>
      <c r="I38" s="2">
        <f t="shared" si="0"/>
        <v>34</v>
      </c>
      <c r="J38" s="330"/>
      <c r="K38" s="52"/>
      <c r="L38" s="52"/>
      <c r="M38" s="52"/>
      <c r="N38" s="51"/>
      <c r="O38" s="702" t="s">
        <v>907</v>
      </c>
      <c r="P38" s="55"/>
      <c r="Q38" s="767">
        <f>Q35*Q36</f>
        <v>26375.624268911775</v>
      </c>
      <c r="S38" s="7"/>
    </row>
    <row r="39" spans="1:19">
      <c r="H39" s="2">
        <f t="shared" si="0"/>
        <v>35</v>
      </c>
      <c r="I39" s="2">
        <f t="shared" si="0"/>
        <v>35</v>
      </c>
      <c r="J39" s="334"/>
      <c r="K39" s="52"/>
      <c r="L39" s="52"/>
      <c r="M39" s="482"/>
      <c r="N39" s="335"/>
      <c r="O39" s="55"/>
      <c r="P39" s="55"/>
      <c r="Q39" s="767"/>
      <c r="S39" s="7"/>
    </row>
    <row r="40" spans="1:19">
      <c r="H40" s="2">
        <f t="shared" si="0"/>
        <v>36</v>
      </c>
      <c r="I40" s="2">
        <f t="shared" si="0"/>
        <v>36</v>
      </c>
      <c r="J40" s="334"/>
      <c r="K40" s="52"/>
      <c r="L40" s="52"/>
      <c r="M40" s="482"/>
      <c r="N40" s="335"/>
      <c r="O40" s="701" t="s">
        <v>902</v>
      </c>
      <c r="P40" s="55"/>
      <c r="Q40" s="266">
        <f>'ROR-Model'!F783</f>
        <v>656083.52999999991</v>
      </c>
      <c r="S40" s="7"/>
    </row>
    <row r="41" spans="1:19" ht="13.5" thickBot="1">
      <c r="H41" s="2">
        <f t="shared" si="0"/>
        <v>37</v>
      </c>
      <c r="I41" s="2">
        <f t="shared" si="0"/>
        <v>37</v>
      </c>
      <c r="J41" s="334"/>
      <c r="K41" s="52"/>
      <c r="L41" s="52"/>
      <c r="M41" s="390"/>
      <c r="N41" s="55"/>
      <c r="O41" s="702" t="s">
        <v>903</v>
      </c>
      <c r="P41" s="55"/>
      <c r="Q41" s="320">
        <f>'ROR-Model'!F784</f>
        <v>63801.19999999999</v>
      </c>
      <c r="S41" s="112"/>
    </row>
    <row r="42" spans="1:19">
      <c r="H42" s="2">
        <f t="shared" si="0"/>
        <v>38</v>
      </c>
      <c r="I42" s="2">
        <f t="shared" si="0"/>
        <v>38</v>
      </c>
      <c r="J42" s="334"/>
      <c r="K42" s="52"/>
      <c r="L42" s="52"/>
      <c r="M42" s="9"/>
      <c r="N42" s="55"/>
      <c r="O42" s="55" t="s">
        <v>805</v>
      </c>
      <c r="P42" s="55"/>
      <c r="Q42" s="266">
        <f>SUM(Q40:Q41)</f>
        <v>719884.72999999986</v>
      </c>
      <c r="S42" s="112"/>
    </row>
    <row r="43" spans="1:19">
      <c r="I43" s="2">
        <f t="shared" ref="I43" si="3">+I42+1</f>
        <v>39</v>
      </c>
      <c r="J43" s="124"/>
      <c r="K43" s="55"/>
      <c r="L43" s="55"/>
      <c r="M43" s="55"/>
      <c r="N43" s="57"/>
      <c r="O43" s="55"/>
      <c r="P43" s="55"/>
      <c r="Q43" s="125"/>
      <c r="R43" s="57"/>
      <c r="S43" s="57"/>
    </row>
    <row r="44" spans="1:19">
      <c r="I44" s="2">
        <f t="shared" ref="I44" si="4">+I43+1</f>
        <v>40</v>
      </c>
      <c r="J44" s="124"/>
      <c r="K44" s="55"/>
      <c r="L44" s="55"/>
      <c r="M44" s="57"/>
      <c r="N44" s="55"/>
      <c r="O44" s="498" t="s">
        <v>169</v>
      </c>
      <c r="P44" s="55"/>
      <c r="Q44" s="266">
        <f>Q37-Q40</f>
        <v>91049.368103791145</v>
      </c>
      <c r="R44" s="424"/>
      <c r="S44" s="57"/>
    </row>
    <row r="45" spans="1:19" ht="13.5" thickBot="1">
      <c r="I45" s="2">
        <f t="shared" ref="I45" si="5">+I44+1</f>
        <v>41</v>
      </c>
      <c r="J45" s="124"/>
      <c r="K45" s="55"/>
      <c r="L45" s="55"/>
      <c r="M45" s="55"/>
      <c r="N45" s="55"/>
      <c r="O45" s="55" t="s">
        <v>24</v>
      </c>
      <c r="P45" s="55"/>
      <c r="Q45" s="320">
        <f>Q38-Q41</f>
        <v>-37425.575731088218</v>
      </c>
      <c r="R45" s="424"/>
      <c r="S45" s="57"/>
    </row>
    <row r="46" spans="1:19">
      <c r="I46" s="2">
        <f t="shared" ref="I46" si="6">+I45+1</f>
        <v>42</v>
      </c>
      <c r="J46" s="124"/>
      <c r="K46" s="55"/>
      <c r="L46" s="55"/>
      <c r="M46" s="55"/>
      <c r="N46" s="55"/>
      <c r="O46" s="55" t="s">
        <v>806</v>
      </c>
      <c r="P46" s="55"/>
      <c r="Q46" s="266">
        <f>SUM(Q44:Q45)</f>
        <v>53623.792372702927</v>
      </c>
      <c r="R46" s="424"/>
      <c r="S46" s="57"/>
    </row>
    <row r="47" spans="1:19" ht="13.5" thickBot="1">
      <c r="J47" s="127"/>
      <c r="K47" s="82"/>
      <c r="L47" s="82"/>
      <c r="M47" s="175"/>
      <c r="N47" s="82"/>
      <c r="O47" s="82"/>
      <c r="P47" s="82"/>
      <c r="Q47" s="268"/>
      <c r="R47" s="57"/>
      <c r="S47" s="55"/>
    </row>
  </sheetData>
  <mergeCells count="1">
    <mergeCell ref="J33:N33"/>
  </mergeCells>
  <phoneticPr fontId="0" type="noConversion"/>
  <dataValidations count="1">
    <dataValidation type="list" showInputMessage="1" showErrorMessage="1" sqref="D5">
      <formula1>"UTAH Bad Debt, WYO Bad Debt"</formula1>
    </dataValidation>
  </dataValidations>
  <printOptions horizontalCentered="1"/>
  <pageMargins left="0.24" right="0.75" top="1" bottom="1" header="0.5" footer="0.5"/>
  <pageSetup scale="65" orientation="portrait" r:id="rId1"/>
  <headerFooter alignWithMargins="0"/>
  <colBreaks count="3" manualBreakCount="3">
    <brk id="7" max="47" man="1"/>
    <brk id="18" max="47" man="1"/>
    <brk id="22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J63"/>
  <sheetViews>
    <sheetView topLeftCell="A28" zoomScaleNormal="100" workbookViewId="0">
      <selection activeCell="D60" sqref="D60"/>
    </sheetView>
  </sheetViews>
  <sheetFormatPr defaultColWidth="9.140625" defaultRowHeight="12.75"/>
  <cols>
    <col min="1" max="1" width="9.140625" style="2"/>
    <col min="2" max="2" width="38.28515625" style="2" customWidth="1"/>
    <col min="3" max="3" width="16.140625" style="2" customWidth="1"/>
    <col min="4" max="4" width="21" style="2" bestFit="1" customWidth="1"/>
    <col min="5" max="6" width="19" style="2" customWidth="1"/>
    <col min="7" max="7" width="18.28515625" style="2" customWidth="1"/>
    <col min="8" max="8" width="16.140625" style="2" customWidth="1"/>
    <col min="9" max="9" width="21" style="2" bestFit="1" customWidth="1"/>
    <col min="10" max="10" width="23" style="2" customWidth="1"/>
    <col min="11" max="11" width="19" style="2" bestFit="1" customWidth="1"/>
    <col min="12" max="12" width="17.7109375" style="2" bestFit="1" customWidth="1"/>
    <col min="13" max="13" width="16.28515625" style="2" customWidth="1"/>
    <col min="14" max="14" width="23" style="2" bestFit="1" customWidth="1"/>
    <col min="15" max="16" width="16.5703125" style="2" customWidth="1"/>
    <col min="17" max="17" width="21.5703125" style="2" bestFit="1" customWidth="1"/>
    <col min="18" max="23" width="21.140625" style="2" customWidth="1"/>
    <col min="24" max="24" width="22.7109375" style="2" customWidth="1"/>
    <col min="25" max="25" width="17.28515625" style="2" customWidth="1"/>
    <col min="26" max="26" width="15" style="2" bestFit="1" customWidth="1"/>
    <col min="27" max="16384" width="9.140625" style="2"/>
  </cols>
  <sheetData>
    <row r="1" spans="1:9">
      <c r="A1" s="30"/>
      <c r="B1" s="1289" t="s">
        <v>656</v>
      </c>
      <c r="C1" s="1290"/>
      <c r="D1" s="1290"/>
      <c r="E1" s="1290"/>
      <c r="F1" s="1290"/>
      <c r="G1" s="1291"/>
      <c r="H1" s="1290"/>
      <c r="I1" s="1290"/>
    </row>
    <row r="2" spans="1:9">
      <c r="A2" s="30"/>
      <c r="B2" s="1292" t="str">
        <f>+'Control Panel'!B1</f>
        <v>Dominion Energy</v>
      </c>
      <c r="C2" s="1293"/>
      <c r="D2" s="1293"/>
      <c r="E2" s="1293"/>
      <c r="F2" s="1293"/>
      <c r="G2" s="1294"/>
      <c r="H2" s="1293"/>
      <c r="I2" s="1293"/>
    </row>
    <row r="3" spans="1:9">
      <c r="A3" s="30"/>
      <c r="B3" s="1292" t="str">
        <f>+'Control Panel'!B2</f>
        <v>Utah - Dec 2017 Adjusted Avg Results</v>
      </c>
      <c r="C3" s="1293"/>
      <c r="D3" s="1293"/>
      <c r="E3" s="1293"/>
      <c r="F3" s="1293"/>
      <c r="G3" s="1294"/>
      <c r="H3" s="1293"/>
      <c r="I3" s="1293"/>
    </row>
    <row r="4" spans="1:9">
      <c r="A4" s="30"/>
      <c r="B4" s="1292" t="str">
        <f>+'Control Panel'!B3</f>
        <v>12 Months Ended : Dec-2017</v>
      </c>
      <c r="C4" s="1293"/>
      <c r="D4" s="1295"/>
      <c r="E4" s="1296"/>
      <c r="F4" s="1296"/>
      <c r="G4" s="1297"/>
      <c r="H4" s="1293"/>
      <c r="I4" s="1295"/>
    </row>
    <row r="5" spans="1:9" ht="27.75" customHeight="1">
      <c r="A5" s="30"/>
      <c r="B5" s="338"/>
      <c r="C5" s="109"/>
      <c r="D5" s="396" t="str">
        <f>+'Control Panel'!B42</f>
        <v>ORDERED CAP STR 13-057-05</v>
      </c>
      <c r="E5" s="1206"/>
      <c r="F5" s="1206"/>
      <c r="G5" s="1298" t="s">
        <v>50</v>
      </c>
      <c r="H5" s="109"/>
      <c r="I5" s="396"/>
    </row>
    <row r="6" spans="1:9" ht="13.5" thickBot="1">
      <c r="A6" s="30"/>
      <c r="B6" s="1299"/>
      <c r="C6" s="1293"/>
      <c r="D6" s="1025" t="s">
        <v>51</v>
      </c>
      <c r="E6" s="1025" t="s">
        <v>52</v>
      </c>
      <c r="F6" s="1369"/>
      <c r="G6" s="1300" t="s">
        <v>52</v>
      </c>
      <c r="H6" s="1293"/>
      <c r="I6" s="1206"/>
    </row>
    <row r="7" spans="1:9">
      <c r="A7" s="30"/>
      <c r="B7" s="1299"/>
      <c r="C7" s="1293" t="s">
        <v>53</v>
      </c>
      <c r="D7" s="1301">
        <f>G24</f>
        <v>0.47933429200017746</v>
      </c>
      <c r="E7" s="1301">
        <f>G30</f>
        <v>5.2455893909448444E-2</v>
      </c>
      <c r="F7" s="1301"/>
      <c r="G7" s="1302">
        <f>+E7*D7</f>
        <v>2.5143908768321892E-2</v>
      </c>
      <c r="H7" s="1293"/>
      <c r="I7" s="1301"/>
    </row>
    <row r="8" spans="1:9">
      <c r="A8" s="30"/>
      <c r="B8" s="1299"/>
      <c r="C8" s="1293" t="s">
        <v>769</v>
      </c>
      <c r="D8" s="1301">
        <f>G25</f>
        <v>0</v>
      </c>
      <c r="E8" s="1301">
        <f>G31</f>
        <v>0</v>
      </c>
      <c r="F8" s="1301"/>
      <c r="G8" s="1302">
        <f>+E8*D8</f>
        <v>0</v>
      </c>
      <c r="H8" s="1293"/>
      <c r="I8" s="1301"/>
    </row>
    <row r="9" spans="1:9">
      <c r="A9" s="30"/>
      <c r="B9" s="1299"/>
      <c r="C9" s="1293" t="s">
        <v>54</v>
      </c>
      <c r="D9" s="1301">
        <f>G26</f>
        <v>0.52066570799982248</v>
      </c>
      <c r="E9" s="1301">
        <f>'Control Panel'!F19</f>
        <v>9.8500000000000004E-2</v>
      </c>
      <c r="F9" s="1301"/>
      <c r="G9" s="1302">
        <f>+E9*D9</f>
        <v>5.1285572237982517E-2</v>
      </c>
      <c r="H9" s="1293"/>
      <c r="I9" s="1301"/>
    </row>
    <row r="10" spans="1:9">
      <c r="A10" s="30"/>
      <c r="B10" s="1299"/>
      <c r="C10" s="1293"/>
      <c r="D10" s="1303">
        <f>SUM(D7:D9)</f>
        <v>1</v>
      </c>
      <c r="E10" s="1303"/>
      <c r="F10" s="1303"/>
      <c r="G10" s="1304">
        <f>SUM(G7:G9)</f>
        <v>7.6429481006304409E-2</v>
      </c>
      <c r="H10" s="1293"/>
      <c r="I10" s="1305"/>
    </row>
    <row r="11" spans="1:9">
      <c r="A11" s="30"/>
      <c r="B11" s="1299"/>
      <c r="C11" s="1293"/>
      <c r="D11" s="1293"/>
      <c r="E11" s="1293"/>
      <c r="F11" s="1293"/>
      <c r="G11" s="1294"/>
      <c r="H11" s="1293"/>
      <c r="I11" s="1293"/>
    </row>
    <row r="12" spans="1:9">
      <c r="A12" s="30"/>
      <c r="B12" s="1299"/>
      <c r="C12" s="1306" t="s">
        <v>109</v>
      </c>
      <c r="D12" s="1301">
        <f>SUM(D7:D8)</f>
        <v>0.47933429200017746</v>
      </c>
      <c r="E12" s="1301"/>
      <c r="F12" s="1301"/>
      <c r="G12" s="1302">
        <f>SUM(G7:G8)</f>
        <v>2.5143908768321892E-2</v>
      </c>
      <c r="H12" s="1306"/>
      <c r="I12" s="1301"/>
    </row>
    <row r="13" spans="1:9" ht="13.5" thickBot="1">
      <c r="A13" s="30"/>
      <c r="B13" s="1307"/>
      <c r="C13" s="1308"/>
      <c r="D13" s="282"/>
      <c r="E13" s="1309"/>
      <c r="F13" s="1370"/>
      <c r="G13" s="1310"/>
      <c r="H13" s="1306"/>
      <c r="I13" s="201"/>
    </row>
    <row r="14" spans="1:9">
      <c r="A14" s="30"/>
      <c r="B14" s="1293"/>
      <c r="C14" s="1306"/>
      <c r="D14" s="201"/>
      <c r="E14" s="1293"/>
      <c r="F14" s="1293"/>
      <c r="G14" s="1293"/>
      <c r="H14" s="1306"/>
      <c r="I14" s="201"/>
    </row>
    <row r="15" spans="1:9">
      <c r="A15" s="30"/>
      <c r="B15" s="1293"/>
      <c r="D15" s="396"/>
      <c r="E15" s="396"/>
      <c r="F15" s="396"/>
    </row>
    <row r="16" spans="1:9">
      <c r="A16" s="30"/>
      <c r="B16" s="1311" t="str">
        <f>+B2</f>
        <v>Dominion Energy</v>
      </c>
      <c r="D16" s="1293"/>
      <c r="E16" s="1293"/>
      <c r="F16" s="1293"/>
    </row>
    <row r="17" spans="1:10">
      <c r="A17" s="30"/>
      <c r="B17" s="1311" t="str">
        <f>+B3</f>
        <v>Utah - Dec 2017 Adjusted Avg Results</v>
      </c>
      <c r="C17" s="30"/>
      <c r="D17" s="30"/>
    </row>
    <row r="18" spans="1:10">
      <c r="A18" s="30"/>
      <c r="B18" s="1311" t="str">
        <f>+B4</f>
        <v>12 Months Ended : Dec-2017</v>
      </c>
    </row>
    <row r="19" spans="1:10">
      <c r="A19" s="30"/>
      <c r="B19" s="30"/>
      <c r="C19" s="1293"/>
      <c r="D19" s="55"/>
      <c r="E19" s="562"/>
      <c r="F19" s="562"/>
      <c r="G19" s="55"/>
      <c r="H19" s="1293"/>
      <c r="I19" s="55"/>
    </row>
    <row r="20" spans="1:10" ht="25.5">
      <c r="A20" s="30"/>
      <c r="B20" s="30"/>
      <c r="C20" s="1312" t="s">
        <v>841</v>
      </c>
      <c r="D20" s="1312" t="s">
        <v>841</v>
      </c>
      <c r="E20" s="1312" t="s">
        <v>1154</v>
      </c>
      <c r="F20" s="1312" t="s">
        <v>1291</v>
      </c>
      <c r="G20" s="1312" t="s">
        <v>756</v>
      </c>
      <c r="H20" s="562"/>
      <c r="I20" s="562"/>
    </row>
    <row r="21" spans="1:10">
      <c r="A21" s="77"/>
      <c r="B21" s="47" t="s">
        <v>1608</v>
      </c>
      <c r="C21" s="109"/>
      <c r="D21" s="498"/>
      <c r="G21" s="55"/>
      <c r="H21" s="109"/>
      <c r="I21" s="498"/>
    </row>
    <row r="22" spans="1:10" s="55" customFormat="1" ht="42" customHeight="1">
      <c r="A22" s="1313"/>
      <c r="B22" s="1313"/>
      <c r="C22" s="396" t="s">
        <v>1067</v>
      </c>
      <c r="D22" s="396" t="s">
        <v>1066</v>
      </c>
      <c r="E22" s="1312" t="s">
        <v>1154</v>
      </c>
      <c r="F22" s="1312" t="s">
        <v>1291</v>
      </c>
      <c r="G22" s="1312" t="str">
        <f>+'Control Panel'!B42</f>
        <v>ORDERED CAP STR 13-057-05</v>
      </c>
      <c r="H22" s="2">
        <v>1</v>
      </c>
      <c r="I22" s="2"/>
      <c r="J22" s="2"/>
    </row>
    <row r="23" spans="1:10">
      <c r="A23" s="30"/>
      <c r="B23" s="30" t="s">
        <v>116</v>
      </c>
      <c r="C23" s="68"/>
      <c r="D23" s="30"/>
      <c r="G23" s="30"/>
      <c r="H23" s="2">
        <f>H22+1</f>
        <v>2</v>
      </c>
    </row>
    <row r="24" spans="1:10">
      <c r="A24" s="30"/>
      <c r="B24" s="30" t="s">
        <v>53</v>
      </c>
      <c r="C24" s="499">
        <f>+C45/C63</f>
        <v>0.50094061942471246</v>
      </c>
      <c r="D24" s="104">
        <f>+D45/D63</f>
        <v>0.47773344778059684</v>
      </c>
      <c r="E24" s="104">
        <v>0.47933429200017746</v>
      </c>
      <c r="F24" s="499">
        <v>0.47313595062128055</v>
      </c>
      <c r="G24" s="104">
        <f>HLOOKUP($G$22,$C$22:$F$63,H24,FALSE)</f>
        <v>0.47933429200017746</v>
      </c>
      <c r="H24" s="2">
        <f t="shared" ref="H24:H63" si="0">H23+1</f>
        <v>3</v>
      </c>
    </row>
    <row r="25" spans="1:10">
      <c r="A25" s="30"/>
      <c r="B25" s="30" t="s">
        <v>769</v>
      </c>
      <c r="C25" s="499">
        <v>0</v>
      </c>
      <c r="D25" s="104">
        <v>0</v>
      </c>
      <c r="E25" s="104">
        <v>0</v>
      </c>
      <c r="F25" s="499">
        <v>0</v>
      </c>
      <c r="G25" s="104">
        <f t="shared" ref="G25:G27" si="1">HLOOKUP($G$22,$C$22:$F$63,H25,FALSE)</f>
        <v>0</v>
      </c>
      <c r="H25" s="2">
        <f t="shared" si="0"/>
        <v>4</v>
      </c>
    </row>
    <row r="26" spans="1:10">
      <c r="A26" s="30"/>
      <c r="B26" s="30" t="s">
        <v>54</v>
      </c>
      <c r="C26" s="499">
        <f>+C60/C63</f>
        <v>0.49905938057528765</v>
      </c>
      <c r="D26" s="104">
        <f>+D60/D63</f>
        <v>0.52226655221940321</v>
      </c>
      <c r="E26" s="104">
        <v>0.52066570799982248</v>
      </c>
      <c r="F26" s="499">
        <v>0.52686404937871933</v>
      </c>
      <c r="G26" s="104">
        <f t="shared" si="1"/>
        <v>0.52066570799982248</v>
      </c>
      <c r="H26" s="2">
        <f t="shared" si="0"/>
        <v>5</v>
      </c>
    </row>
    <row r="27" spans="1:10">
      <c r="A27" s="30"/>
      <c r="B27" s="30"/>
      <c r="C27" s="1314">
        <f>SUM(C24:C26)</f>
        <v>1</v>
      </c>
      <c r="D27" s="1315">
        <f>SUM(D24:D26)</f>
        <v>1</v>
      </c>
      <c r="E27" s="1315">
        <f>SUM(E24:E26)</f>
        <v>1</v>
      </c>
      <c r="F27" s="1314">
        <v>0.99999999999999989</v>
      </c>
      <c r="G27" s="1315">
        <f t="shared" si="1"/>
        <v>1</v>
      </c>
      <c r="H27" s="2">
        <f t="shared" si="0"/>
        <v>6</v>
      </c>
    </row>
    <row r="28" spans="1:10">
      <c r="A28" s="30"/>
      <c r="B28" s="30"/>
      <c r="C28" s="68"/>
      <c r="D28" s="30"/>
      <c r="E28" s="30"/>
      <c r="F28" s="68"/>
      <c r="G28" s="30"/>
      <c r="H28" s="2">
        <f t="shared" si="0"/>
        <v>7</v>
      </c>
    </row>
    <row r="29" spans="1:10">
      <c r="A29" s="30"/>
      <c r="B29" s="30" t="s">
        <v>117</v>
      </c>
      <c r="C29" s="1316"/>
      <c r="D29" s="1317"/>
      <c r="E29" s="1317"/>
      <c r="F29" s="1316"/>
      <c r="G29" s="1317"/>
      <c r="H29" s="2">
        <f t="shared" si="0"/>
        <v>8</v>
      </c>
    </row>
    <row r="30" spans="1:10">
      <c r="A30" s="30"/>
      <c r="B30" s="30" t="s">
        <v>53</v>
      </c>
      <c r="C30" s="1316">
        <f>C51/C45</f>
        <v>4.6846048724257752E-2</v>
      </c>
      <c r="D30" s="1317">
        <f>D51/D45</f>
        <v>5.3226257353465888E-2</v>
      </c>
      <c r="E30" s="1317">
        <v>5.2455893909448444E-2</v>
      </c>
      <c r="F30" s="1316">
        <v>5.2984921363791113E-2</v>
      </c>
      <c r="G30" s="104">
        <f t="shared" ref="G30:G32" si="2">HLOOKUP($G$22,$C$22:$F$63,H30,FALSE)</f>
        <v>5.2455893909448444E-2</v>
      </c>
      <c r="H30" s="2">
        <f t="shared" si="0"/>
        <v>9</v>
      </c>
    </row>
    <row r="31" spans="1:10">
      <c r="A31" s="30"/>
      <c r="B31" s="30" t="s">
        <v>769</v>
      </c>
      <c r="C31" s="1316">
        <v>0</v>
      </c>
      <c r="D31" s="1317">
        <v>0</v>
      </c>
      <c r="E31" s="1317">
        <v>0</v>
      </c>
      <c r="F31" s="1316">
        <v>0</v>
      </c>
      <c r="G31" s="104">
        <f t="shared" si="2"/>
        <v>0</v>
      </c>
      <c r="H31" s="2">
        <f t="shared" si="0"/>
        <v>10</v>
      </c>
    </row>
    <row r="32" spans="1:10">
      <c r="A32" s="30"/>
      <c r="B32" s="30" t="s">
        <v>54</v>
      </c>
      <c r="C32" s="1316">
        <f>+'Control Panel'!$F$19</f>
        <v>9.8500000000000004E-2</v>
      </c>
      <c r="D32" s="1317">
        <f>+'Control Panel'!$F$19</f>
        <v>9.8500000000000004E-2</v>
      </c>
      <c r="E32" s="1317">
        <f>+'Control Panel'!$F$19</f>
        <v>9.8500000000000004E-2</v>
      </c>
      <c r="F32" s="1316">
        <v>9.5000000000000001E-2</v>
      </c>
      <c r="G32" s="104">
        <f t="shared" si="2"/>
        <v>9.8500000000000004E-2</v>
      </c>
      <c r="H32" s="2">
        <f t="shared" si="0"/>
        <v>11</v>
      </c>
    </row>
    <row r="33" spans="1:8">
      <c r="A33" s="30"/>
      <c r="B33" s="30"/>
      <c r="H33" s="2">
        <f t="shared" si="0"/>
        <v>12</v>
      </c>
    </row>
    <row r="34" spans="1:8" ht="13.5" thickBot="1">
      <c r="A34" s="1293"/>
      <c r="B34" s="1309"/>
      <c r="C34" s="1318"/>
      <c r="D34" s="1309"/>
      <c r="H34" s="2">
        <f t="shared" si="0"/>
        <v>13</v>
      </c>
    </row>
    <row r="35" spans="1:8" ht="12.75" customHeight="1">
      <c r="A35" s="1293"/>
      <c r="B35" s="1293"/>
      <c r="C35" s="1319"/>
      <c r="D35" s="1319"/>
      <c r="E35" s="1319"/>
      <c r="F35" s="1319"/>
      <c r="G35" s="1319"/>
      <c r="H35" s="2">
        <f t="shared" si="0"/>
        <v>14</v>
      </c>
    </row>
    <row r="36" spans="1:8">
      <c r="A36" s="1293"/>
      <c r="B36" s="1320"/>
      <c r="C36" s="1321" t="s">
        <v>843</v>
      </c>
      <c r="D36" s="1321" t="s">
        <v>843</v>
      </c>
      <c r="G36" s="1281" t="s">
        <v>756</v>
      </c>
      <c r="H36" s="2">
        <f t="shared" si="0"/>
        <v>15</v>
      </c>
    </row>
    <row r="37" spans="1:8" ht="30" customHeight="1">
      <c r="A37" s="30"/>
      <c r="B37" s="1320"/>
      <c r="C37" s="396" t="s">
        <v>1067</v>
      </c>
      <c r="D37" s="396" t="s">
        <v>1066</v>
      </c>
      <c r="E37" s="396" t="s">
        <v>1155</v>
      </c>
      <c r="F37" s="396"/>
      <c r="G37" s="396" t="str">
        <f>+'Control Panel'!B42</f>
        <v>ORDERED CAP STR 13-057-05</v>
      </c>
      <c r="H37" s="2">
        <f t="shared" si="0"/>
        <v>16</v>
      </c>
    </row>
    <row r="38" spans="1:8">
      <c r="A38" s="30"/>
      <c r="B38" s="276"/>
      <c r="C38" s="277"/>
      <c r="D38" s="277"/>
      <c r="E38" s="277"/>
      <c r="F38" s="277"/>
      <c r="G38" s="30"/>
      <c r="H38" s="2">
        <f t="shared" si="0"/>
        <v>17</v>
      </c>
    </row>
    <row r="39" spans="1:8" ht="13.5" thickBot="1">
      <c r="A39" s="30"/>
      <c r="B39" s="278" t="s">
        <v>110</v>
      </c>
      <c r="C39" s="1322"/>
      <c r="D39" s="1322"/>
      <c r="E39" s="1322"/>
      <c r="F39" s="1371"/>
      <c r="G39" s="1322"/>
      <c r="H39" s="2">
        <f t="shared" si="0"/>
        <v>18</v>
      </c>
    </row>
    <row r="40" spans="1:8">
      <c r="A40" s="1323" t="s">
        <v>132</v>
      </c>
      <c r="B40" s="1324" t="s">
        <v>719</v>
      </c>
      <c r="C40" s="309">
        <f>+[18]AVERAGE!$C$17</f>
        <v>0</v>
      </c>
      <c r="D40" s="309">
        <f>[18]AVERAGE!$C$19</f>
        <v>108333333.33333333</v>
      </c>
      <c r="E40" s="309">
        <v>559500000</v>
      </c>
      <c r="F40" s="309"/>
      <c r="G40" s="180">
        <f t="shared" ref="G40:G45" si="3">HLOOKUP($G$22,$C$22:$F$63,H40,FALSE)</f>
        <v>559500000</v>
      </c>
      <c r="H40" s="2">
        <f t="shared" si="0"/>
        <v>19</v>
      </c>
    </row>
    <row r="41" spans="1:8">
      <c r="A41" s="1333" t="s">
        <v>1288</v>
      </c>
      <c r="B41" s="1334" t="s">
        <v>1289</v>
      </c>
      <c r="C41" s="309">
        <f>[18]AVERAGE!$D$17</f>
        <v>600000000</v>
      </c>
      <c r="D41" s="309">
        <f>[18]AVERAGE!$D$19</f>
        <v>433333333.33333331</v>
      </c>
      <c r="E41" s="309"/>
      <c r="F41" s="309"/>
      <c r="G41" s="180">
        <f t="shared" si="3"/>
        <v>0</v>
      </c>
      <c r="H41" s="2">
        <f t="shared" si="0"/>
        <v>20</v>
      </c>
    </row>
    <row r="42" spans="1:8">
      <c r="A42" s="1323" t="s">
        <v>133</v>
      </c>
      <c r="B42" s="1324" t="s">
        <v>720</v>
      </c>
      <c r="C42" s="309">
        <f>[18]AVERAGE!$E$17</f>
        <v>-2684743.1799999988</v>
      </c>
      <c r="D42" s="309">
        <f>[18]AVERAGE!$E$19</f>
        <v>-2950057.78</v>
      </c>
      <c r="E42" s="309">
        <v>-4542000</v>
      </c>
      <c r="F42" s="309"/>
      <c r="G42" s="180">
        <f t="shared" si="3"/>
        <v>-4542000</v>
      </c>
      <c r="H42" s="2">
        <f t="shared" si="0"/>
        <v>21</v>
      </c>
    </row>
    <row r="43" spans="1:8">
      <c r="A43" s="1323" t="s">
        <v>134</v>
      </c>
      <c r="B43" s="1324" t="s">
        <v>721</v>
      </c>
      <c r="C43" s="309">
        <f>[18]AVERAGE!$F$17</f>
        <v>-4071468.21</v>
      </c>
      <c r="D43" s="309">
        <f>[18]AVERAGE!$F$19</f>
        <v>-3540489.2708333335</v>
      </c>
      <c r="E43" s="309">
        <v>-3957000</v>
      </c>
      <c r="F43" s="309"/>
      <c r="G43" s="180">
        <f t="shared" si="3"/>
        <v>-3957000</v>
      </c>
      <c r="H43" s="2">
        <f t="shared" si="0"/>
        <v>22</v>
      </c>
    </row>
    <row r="44" spans="1:8">
      <c r="A44" s="1325" t="s">
        <v>792</v>
      </c>
      <c r="B44" s="1326" t="s">
        <v>793</v>
      </c>
      <c r="C44" s="309">
        <f>[18]AVERAGE!$G$17</f>
        <v>134500000</v>
      </c>
      <c r="D44" s="309">
        <f>[18]AVERAGE!$G$19</f>
        <v>105333333.33333333</v>
      </c>
      <c r="E44" s="309">
        <v>0</v>
      </c>
      <c r="F44" s="309"/>
      <c r="G44" s="180">
        <f t="shared" si="3"/>
        <v>0</v>
      </c>
      <c r="H44" s="2">
        <f t="shared" si="0"/>
        <v>23</v>
      </c>
    </row>
    <row r="45" spans="1:8">
      <c r="A45" s="30"/>
      <c r="B45" s="280" t="s">
        <v>112</v>
      </c>
      <c r="C45" s="1327">
        <f>SUM(C40:C44)</f>
        <v>727743788.61000001</v>
      </c>
      <c r="D45" s="1327">
        <f>SUM(D40:D44)</f>
        <v>640509452.94916666</v>
      </c>
      <c r="E45" s="1327">
        <v>551001000</v>
      </c>
      <c r="F45" s="1327"/>
      <c r="G45" s="1327">
        <f t="shared" si="3"/>
        <v>551001000</v>
      </c>
      <c r="H45" s="2">
        <f t="shared" si="0"/>
        <v>24</v>
      </c>
    </row>
    <row r="46" spans="1:8">
      <c r="A46" s="30"/>
      <c r="B46" s="281"/>
      <c r="C46" s="1328"/>
      <c r="D46" s="1328"/>
      <c r="E46" s="1328"/>
      <c r="F46" s="1328"/>
      <c r="G46" s="1328"/>
      <c r="H46" s="2">
        <f t="shared" si="0"/>
        <v>25</v>
      </c>
    </row>
    <row r="47" spans="1:8">
      <c r="A47" s="30"/>
      <c r="B47" s="30"/>
      <c r="C47" s="309"/>
      <c r="D47" s="309"/>
      <c r="E47" s="309"/>
      <c r="F47" s="309"/>
      <c r="G47" s="180"/>
      <c r="H47" s="2">
        <f t="shared" si="0"/>
        <v>26</v>
      </c>
    </row>
    <row r="48" spans="1:8" ht="13.5" thickBot="1">
      <c r="A48" s="30"/>
      <c r="B48" s="278" t="s">
        <v>111</v>
      </c>
      <c r="C48" s="1329"/>
      <c r="D48" s="1329"/>
      <c r="E48" s="1329"/>
      <c r="F48" s="1372"/>
      <c r="G48" s="282"/>
      <c r="H48" s="2">
        <f t="shared" si="0"/>
        <v>27</v>
      </c>
    </row>
    <row r="49" spans="1:8">
      <c r="A49" s="1323" t="s">
        <v>131</v>
      </c>
      <c r="B49" s="1326" t="s">
        <v>722</v>
      </c>
      <c r="C49" s="1330">
        <f>[18]AVERAGE!$K$17</f>
        <v>33229107.169999998</v>
      </c>
      <c r="D49" s="1330">
        <f>[18]AVERAGE!$K$17</f>
        <v>33229107.169999998</v>
      </c>
      <c r="E49" s="1330">
        <v>28072750</v>
      </c>
      <c r="F49" s="1330"/>
      <c r="G49" s="180">
        <f t="shared" ref="G49:G51" si="4">HLOOKUP($G$22,$C$22:$F$63,H49,FALSE)</f>
        <v>28072750</v>
      </c>
      <c r="H49" s="2">
        <f t="shared" si="0"/>
        <v>28</v>
      </c>
    </row>
    <row r="50" spans="1:8">
      <c r="A50" s="1323" t="s">
        <v>135</v>
      </c>
      <c r="B50" s="276" t="s">
        <v>723</v>
      </c>
      <c r="C50" s="309">
        <f>[18]AVERAGE!$L$17</f>
        <v>862813.81</v>
      </c>
      <c r="D50" s="309">
        <f>[18]AVERAGE!$L$17</f>
        <v>862813.81</v>
      </c>
      <c r="E50" s="309">
        <v>830500</v>
      </c>
      <c r="F50" s="309"/>
      <c r="G50" s="180">
        <f t="shared" si="4"/>
        <v>830500</v>
      </c>
      <c r="H50" s="2">
        <f t="shared" si="0"/>
        <v>29</v>
      </c>
    </row>
    <row r="51" spans="1:8">
      <c r="A51" s="30"/>
      <c r="B51" s="280" t="s">
        <v>113</v>
      </c>
      <c r="C51" s="1327">
        <f>SUM(C49:C50)</f>
        <v>34091920.979999997</v>
      </c>
      <c r="D51" s="1327">
        <f>SUM(D49:D50)</f>
        <v>34091920.979999997</v>
      </c>
      <c r="E51" s="1327">
        <v>28903250</v>
      </c>
      <c r="F51" s="1327"/>
      <c r="G51" s="1327">
        <f t="shared" si="4"/>
        <v>28903250</v>
      </c>
      <c r="H51" s="2">
        <f t="shared" si="0"/>
        <v>30</v>
      </c>
    </row>
    <row r="52" spans="1:8">
      <c r="A52" s="30"/>
      <c r="B52" s="30"/>
      <c r="C52" s="294"/>
      <c r="D52" s="294"/>
      <c r="E52" s="294"/>
      <c r="F52" s="294"/>
      <c r="G52" s="212"/>
      <c r="H52" s="2">
        <f t="shared" si="0"/>
        <v>31</v>
      </c>
    </row>
    <row r="53" spans="1:8">
      <c r="A53" s="30"/>
      <c r="B53" s="281" t="s">
        <v>519</v>
      </c>
      <c r="C53" s="1331">
        <f>+C51/C45</f>
        <v>4.6846048724257752E-2</v>
      </c>
      <c r="D53" s="1331">
        <f>+D51/D45</f>
        <v>5.3226257353465888E-2</v>
      </c>
      <c r="E53" s="1331">
        <v>5.2455893909448444E-2</v>
      </c>
      <c r="F53" s="1331"/>
      <c r="G53" s="1331">
        <f>HLOOKUP($G$22,$C$22:$F$63,H53,FALSE)</f>
        <v>5.2455893909448444E-2</v>
      </c>
      <c r="H53" s="2">
        <f t="shared" si="0"/>
        <v>32</v>
      </c>
    </row>
    <row r="54" spans="1:8">
      <c r="A54" s="30"/>
      <c r="B54" s="280"/>
      <c r="C54" s="294"/>
      <c r="D54" s="294"/>
      <c r="E54" s="294"/>
      <c r="F54" s="294"/>
      <c r="G54" s="212"/>
      <c r="H54" s="2">
        <f t="shared" si="0"/>
        <v>33</v>
      </c>
    </row>
    <row r="55" spans="1:8">
      <c r="A55" s="30"/>
      <c r="B55" s="30"/>
      <c r="C55" s="499"/>
      <c r="D55" s="294"/>
      <c r="E55" s="294"/>
      <c r="F55" s="294"/>
      <c r="G55" s="212"/>
      <c r="H55" s="2">
        <f t="shared" si="0"/>
        <v>34</v>
      </c>
    </row>
    <row r="56" spans="1:8" ht="13.5" thickBot="1">
      <c r="A56" s="30"/>
      <c r="B56" s="283" t="s">
        <v>724</v>
      </c>
      <c r="C56" s="1329"/>
      <c r="D56" s="1329"/>
      <c r="E56" s="1329"/>
      <c r="F56" s="1372"/>
      <c r="G56" s="282"/>
      <c r="H56" s="2">
        <f t="shared" si="0"/>
        <v>35</v>
      </c>
    </row>
    <row r="57" spans="1:8">
      <c r="A57" s="1332" t="s">
        <v>136</v>
      </c>
      <c r="B57" s="276" t="s">
        <v>725</v>
      </c>
      <c r="C57" s="309">
        <f>[18]AVERAGE!$H$17</f>
        <v>22974065</v>
      </c>
      <c r="D57" s="309">
        <f>[18]AVERAGE!$H$19</f>
        <v>22974065</v>
      </c>
      <c r="E57" s="309">
        <v>22974000</v>
      </c>
      <c r="F57" s="309"/>
      <c r="G57" s="180">
        <f t="shared" ref="G57:G60" si="5">HLOOKUP($G$22,$C$22:$F$63,H57,FALSE)</f>
        <v>22974000</v>
      </c>
      <c r="H57" s="2">
        <f t="shared" si="0"/>
        <v>36</v>
      </c>
    </row>
    <row r="58" spans="1:8">
      <c r="A58" s="1332" t="s">
        <v>137</v>
      </c>
      <c r="B58" s="276" t="s">
        <v>726</v>
      </c>
      <c r="C58" s="309">
        <f>[18]AVERAGE!$I$17</f>
        <v>272445462.82999998</v>
      </c>
      <c r="D58" s="309">
        <f>[18]AVERAGE!$I$19</f>
        <v>272445462.82999998</v>
      </c>
      <c r="E58" s="309">
        <v>279453000</v>
      </c>
      <c r="F58" s="309"/>
      <c r="G58" s="180">
        <f t="shared" si="5"/>
        <v>279453000</v>
      </c>
      <c r="H58" s="2">
        <f t="shared" si="0"/>
        <v>37</v>
      </c>
    </row>
    <row r="59" spans="1:8">
      <c r="A59" s="1332" t="s">
        <v>138</v>
      </c>
      <c r="B59" s="276" t="s">
        <v>727</v>
      </c>
      <c r="C59" s="309">
        <f>[18]AVERAGE!$J$17</f>
        <v>429591282.39000052</v>
      </c>
      <c r="D59" s="309">
        <f>[18]AVERAGE!$J$19</f>
        <v>404796597.31208342</v>
      </c>
      <c r="E59" s="309">
        <v>296085000</v>
      </c>
      <c r="F59" s="309"/>
      <c r="G59" s="180">
        <f t="shared" si="5"/>
        <v>296085000</v>
      </c>
      <c r="H59" s="2">
        <f t="shared" si="0"/>
        <v>38</v>
      </c>
    </row>
    <row r="60" spans="1:8">
      <c r="A60" s="30"/>
      <c r="B60" s="281" t="s">
        <v>728</v>
      </c>
      <c r="C60" s="1327">
        <f>SUM(C57:C59)</f>
        <v>725010810.22000051</v>
      </c>
      <c r="D60" s="1327">
        <f>SUM(D57:D59)</f>
        <v>700216125.14208341</v>
      </c>
      <c r="E60" s="1327">
        <v>598512000</v>
      </c>
      <c r="F60" s="1327"/>
      <c r="G60" s="1327">
        <f t="shared" si="5"/>
        <v>598512000</v>
      </c>
      <c r="H60" s="2">
        <f t="shared" si="0"/>
        <v>39</v>
      </c>
    </row>
    <row r="61" spans="1:8" ht="13.5" thickBot="1">
      <c r="A61" s="30"/>
      <c r="B61" s="284"/>
      <c r="C61" s="517"/>
      <c r="D61" s="517"/>
      <c r="E61" s="517"/>
      <c r="F61" s="517"/>
      <c r="G61" s="285"/>
      <c r="H61" s="2">
        <f t="shared" si="0"/>
        <v>40</v>
      </c>
    </row>
    <row r="62" spans="1:8" ht="13.5" thickTop="1">
      <c r="A62" s="30"/>
      <c r="B62" s="281"/>
      <c r="C62" s="309"/>
      <c r="D62" s="309"/>
      <c r="E62" s="309"/>
      <c r="F62" s="309"/>
      <c r="G62" s="180"/>
      <c r="H62" s="2">
        <f t="shared" si="0"/>
        <v>41</v>
      </c>
    </row>
    <row r="63" spans="1:8">
      <c r="A63" s="30"/>
      <c r="B63" s="281" t="s">
        <v>729</v>
      </c>
      <c r="C63" s="119">
        <f>+C60+C45</f>
        <v>1452754598.8300004</v>
      </c>
      <c r="D63" s="119">
        <f>+D60+D45</f>
        <v>1340725578.0912499</v>
      </c>
      <c r="E63" s="119">
        <v>1149513000</v>
      </c>
      <c r="F63" s="119"/>
      <c r="G63" s="119">
        <f>HLOOKUP($G$22,$C$22:$F$63,H63,FALSE)</f>
        <v>1149513000</v>
      </c>
      <c r="H63" s="2">
        <f t="shared" si="0"/>
        <v>42</v>
      </c>
    </row>
  </sheetData>
  <phoneticPr fontId="0" type="noConversion"/>
  <dataValidations count="3">
    <dataValidation type="list" showInputMessage="1" showErrorMessage="1" sqref="D15:F15">
      <formula1>"Actual 06/08, Avg 06/08, Actual 12/07, Avg 12/07,Projected Year End 12/08,Projected Avg  12/08, DPU CAP STR,CCS CAP STR,NEW CCS CAP STR,ORDERED CAP STR,QGC CAP STR,Projected Year End 12/09,Pojected Avg 12/09"</formula1>
    </dataValidation>
    <dataValidation type="list" showInputMessage="1" showErrorMessage="1" sqref="G22">
      <formula1>"YE CAP STR DEC 2008,AVG CAP STR JUN 2009,YE CAP STR JUN 2009,YE CAP STR DEC 2009,AVG CAP STR DEC 2009,YE CAP STR DEC 2010,AVG CAP STR DEC 2010,SETTLEMENT CAP STR"</formula1>
    </dataValidation>
    <dataValidation type="list" showInputMessage="1" showErrorMessage="1" sqref="C22:D22 C37:D37">
      <formula1>"AVG CAP STR,YE CAP STR"</formula1>
    </dataValidation>
  </dataValidations>
  <printOptions horizontalCentered="1"/>
  <pageMargins left="0.2" right="0.2" top="1" bottom="1" header="0.5" footer="0.5"/>
  <pageSetup scale="7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48"/>
  <sheetViews>
    <sheetView topLeftCell="A22" workbookViewId="0"/>
  </sheetViews>
  <sheetFormatPr defaultColWidth="9.140625" defaultRowHeight="12.75"/>
  <cols>
    <col min="1" max="1" width="46.42578125" style="2" customWidth="1"/>
    <col min="2" max="2" width="13.7109375" style="2" customWidth="1"/>
    <col min="3" max="3" width="15.7109375" style="2" customWidth="1"/>
    <col min="4" max="6" width="13.7109375" style="2" customWidth="1"/>
    <col min="7" max="8" width="8.85546875" customWidth="1"/>
    <col min="9" max="9" width="14.85546875" bestFit="1" customWidth="1"/>
    <col min="10" max="10" width="14.28515625" bestFit="1" customWidth="1"/>
    <col min="11" max="11" width="16.5703125" bestFit="1" customWidth="1"/>
    <col min="12" max="12" width="14.28515625" bestFit="1" customWidth="1"/>
    <col min="13" max="13" width="16.5703125" bestFit="1" customWidth="1"/>
    <col min="14" max="15" width="8.85546875" customWidth="1"/>
    <col min="16" max="16" width="14.85546875" bestFit="1" customWidth="1"/>
    <col min="17" max="17" width="14.28515625" bestFit="1" customWidth="1"/>
    <col min="18" max="18" width="16.5703125" bestFit="1" customWidth="1"/>
    <col min="19" max="19" width="14.28515625" bestFit="1" customWidth="1"/>
    <col min="20" max="20" width="16.5703125" bestFit="1" customWidth="1"/>
    <col min="21" max="22" width="8.85546875" customWidth="1"/>
    <col min="23" max="23" width="14.85546875" bestFit="1" customWidth="1"/>
    <col min="24" max="24" width="14.28515625" bestFit="1" customWidth="1"/>
    <col min="25" max="25" width="16.5703125" bestFit="1" customWidth="1"/>
    <col min="26" max="26" width="14.28515625" bestFit="1" customWidth="1"/>
    <col min="27" max="27" width="16.5703125" bestFit="1" customWidth="1"/>
    <col min="28" max="47" width="8.85546875" customWidth="1"/>
    <col min="48" max="16384" width="9.140625" style="2"/>
  </cols>
  <sheetData>
    <row r="1" spans="1:47" s="85" customFormat="1">
      <c r="A1" s="14" t="s">
        <v>8</v>
      </c>
      <c r="D1" s="286"/>
      <c r="E1" s="286"/>
      <c r="F1" s="94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47" s="85" customFormat="1">
      <c r="A2" s="14" t="str">
        <f>'Control Panel'!$B$1</f>
        <v>Dominion Energy</v>
      </c>
      <c r="D2" s="286"/>
      <c r="E2" s="286"/>
      <c r="F2" s="133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47" s="85" customFormat="1">
      <c r="A3" s="14" t="str">
        <f>'Control Panel'!$B$2</f>
        <v>Utah - Dec 2017 Adjusted Avg Results</v>
      </c>
      <c r="D3" s="286"/>
      <c r="E3" s="286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1:47">
      <c r="A4" s="14" t="str">
        <f>'Control Panel'!$B$3</f>
        <v>12 Months Ended : Dec-2017</v>
      </c>
    </row>
    <row r="5" spans="1:47">
      <c r="A5" s="47" t="str">
        <f>IF('Control Panel'!$B$4="","",'Control Panel'!$B$4)</f>
        <v>Capital Structure : ORDERED CAP STR 13-057-05</v>
      </c>
    </row>
    <row r="6" spans="1:47">
      <c r="A6" s="1430" t="s">
        <v>744</v>
      </c>
      <c r="B6" s="1430"/>
      <c r="C6" s="1430"/>
      <c r="D6" s="1430"/>
      <c r="E6" s="1430"/>
    </row>
    <row r="7" spans="1:47">
      <c r="A7" s="1430" t="s">
        <v>61</v>
      </c>
      <c r="B7" s="1430"/>
      <c r="C7" s="1430"/>
      <c r="D7" s="1430"/>
      <c r="E7" s="1430"/>
    </row>
    <row r="8" spans="1:47">
      <c r="B8" s="147"/>
      <c r="C8" s="147"/>
      <c r="D8" s="147"/>
      <c r="E8" s="147"/>
    </row>
    <row r="9" spans="1:47" ht="13.5" thickBot="1">
      <c r="A9" s="2" t="s">
        <v>825</v>
      </c>
      <c r="B9" s="53" t="s">
        <v>584</v>
      </c>
      <c r="C9" s="53" t="s">
        <v>427</v>
      </c>
      <c r="D9" s="53" t="s">
        <v>454</v>
      </c>
      <c r="E9" s="53" t="s">
        <v>453</v>
      </c>
      <c r="F9" s="53" t="s">
        <v>160</v>
      </c>
    </row>
    <row r="10" spans="1:47" s="524" customFormat="1">
      <c r="A10" s="524" t="s">
        <v>455</v>
      </c>
      <c r="B10" s="590"/>
      <c r="C10" s="590">
        <f>'ROR-Model'!I1098+'ROR-Model'!I1109</f>
        <v>74930143.431999996</v>
      </c>
      <c r="D10" s="590">
        <f>'ROR-Model'!I1100+'ROR-Model'!I1111</f>
        <v>2369243519.5897503</v>
      </c>
      <c r="E10" s="590">
        <f>'ROR-Model'!I1099+'ROR-Model'!I1110</f>
        <v>79687359.254583329</v>
      </c>
      <c r="F10" s="590">
        <f>SUM(B10:E10)</f>
        <v>2523861022.2763338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>
      <c r="B11" s="147"/>
      <c r="C11" s="147"/>
      <c r="D11" s="147"/>
      <c r="E11" s="147"/>
      <c r="F11" s="147"/>
    </row>
    <row r="12" spans="1:47" s="524" customFormat="1">
      <c r="A12" s="524" t="s">
        <v>456</v>
      </c>
      <c r="B12" s="590"/>
      <c r="C12" s="590"/>
      <c r="D12" s="590">
        <f>$C10*D46</f>
        <v>72292570.682765946</v>
      </c>
      <c r="E12" s="590">
        <f>$C10*E46</f>
        <v>2637572.7492340426</v>
      </c>
      <c r="F12" s="590">
        <f>SUM(D12:E12)</f>
        <v>74930143.431999981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ht="13.5" thickBot="1">
      <c r="B13" s="287"/>
      <c r="C13" s="287"/>
      <c r="D13" s="287"/>
      <c r="E13" s="287"/>
      <c r="F13" s="287"/>
    </row>
    <row r="14" spans="1:47" ht="13.5" thickTop="1"/>
    <row r="15" spans="1:47" s="524" customFormat="1">
      <c r="A15" s="524" t="s">
        <v>62</v>
      </c>
      <c r="B15" s="590"/>
      <c r="C15" s="590"/>
      <c r="D15" s="590">
        <f>D10+D12</f>
        <v>2441536090.2725163</v>
      </c>
      <c r="E15" s="590">
        <f>E10+E12</f>
        <v>82324932.003817365</v>
      </c>
      <c r="F15" s="590">
        <f>SUM(D15:E15)</f>
        <v>2523861022.2763338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>
      <c r="B16" s="288"/>
      <c r="C16" s="288"/>
      <c r="D16" s="288"/>
      <c r="E16" s="288"/>
      <c r="F16" s="288"/>
    </row>
    <row r="17" spans="1:47">
      <c r="A17" s="68"/>
      <c r="B17" s="150"/>
      <c r="C17" s="150"/>
      <c r="D17" s="589"/>
      <c r="E17" s="150"/>
      <c r="F17" s="150"/>
    </row>
    <row r="18" spans="1:47">
      <c r="A18" s="2" t="s">
        <v>742</v>
      </c>
      <c r="B18" s="150"/>
      <c r="C18" s="150"/>
      <c r="D18" s="589">
        <f>+D$15/$F$15</f>
        <v>0.96738135290446114</v>
      </c>
      <c r="E18" s="589">
        <f>+E$15/$F$15</f>
        <v>3.2618647095538737E-2</v>
      </c>
      <c r="F18" s="150">
        <f>SUM(D18:E18)</f>
        <v>0.99999999999999989</v>
      </c>
    </row>
    <row r="19" spans="1:47" ht="13.5" thickBot="1">
      <c r="A19" s="82"/>
      <c r="B19" s="82"/>
      <c r="C19" s="82"/>
      <c r="D19" s="82"/>
      <c r="E19" s="82"/>
      <c r="F19" s="82"/>
    </row>
    <row r="21" spans="1:47">
      <c r="A21" s="1430" t="s">
        <v>745</v>
      </c>
      <c r="B21" s="1430"/>
      <c r="C21" s="1430"/>
      <c r="D21" s="1430"/>
      <c r="E21" s="1430"/>
      <c r="F21" s="1430"/>
    </row>
    <row r="22" spans="1:47">
      <c r="A22" s="1430" t="s">
        <v>457</v>
      </c>
      <c r="B22" s="1430"/>
      <c r="C22" s="1430"/>
      <c r="D22" s="1430"/>
      <c r="E22" s="1430"/>
      <c r="F22" s="1430"/>
    </row>
    <row r="23" spans="1:47">
      <c r="D23" s="147"/>
      <c r="E23" s="147"/>
      <c r="F23" s="147"/>
    </row>
    <row r="24" spans="1:47" ht="13.5" thickBot="1">
      <c r="A24" s="2" t="s">
        <v>825</v>
      </c>
      <c r="B24" s="53" t="s">
        <v>584</v>
      </c>
      <c r="C24" s="53" t="s">
        <v>427</v>
      </c>
      <c r="D24" s="53" t="s">
        <v>454</v>
      </c>
      <c r="E24" s="53" t="s">
        <v>453</v>
      </c>
      <c r="F24" s="53" t="s">
        <v>160</v>
      </c>
    </row>
    <row r="25" spans="1:47" s="524" customFormat="1">
      <c r="A25" s="524" t="s">
        <v>63</v>
      </c>
      <c r="B25" s="571">
        <f>'ROR-Model'!I1057+'ROR-Model'!I1068+'ROR-Model'!I1074+'ROR-Model'!I1080+'ROR-Model'!I1091+'ROR-Model'!I1112+'ROR-Model'!I1119+'ROR-Model'!I1126+'ROR-Model'!I1219</f>
        <v>-139767146.72291669</v>
      </c>
      <c r="C25" s="571">
        <f>'ROR-Model'!I1257</f>
        <v>3442526.3573012305</v>
      </c>
      <c r="D25" s="571">
        <f>'ROR-Model'!I1218+'ROR-Model'!I1111+'ROR-Model'!I1118+'ROR-Model'!I1125+'ROR-Model'!I1039+'ROR-Model'!I1044+'ROR-Model'!I1050+'ROR-Model'!I1056+'ROR-Model'!I1062+'ROR-Model'!I1067+'ROR-Model'!I1073+'ROR-Model'!I1079+'ROR-Model'!I1085+'ROR-Model'!I1090+'ROR-Model'!I1100</f>
        <v>1568997110.8936381</v>
      </c>
      <c r="E25" s="571">
        <f>'ROR-Model'!I1217+'ROR-Model'!I1110+'ROR-Model'!I1117+'ROR-Model'!I1124+'ROR-Model'!I1038+'ROR-Model'!I1043+'ROR-Model'!I1049+'ROR-Model'!I1055+'ROR-Model'!I1061+'ROR-Model'!I1066+'ROR-Model'!I1072+'ROR-Model'!I1078+'ROR-Model'!I1084+'ROR-Model'!I1089+'ROR-Model'!I1099</f>
        <v>53394991.894862264</v>
      </c>
      <c r="F25" s="571">
        <f>SUM(B25:E25)</f>
        <v>1486067482.4228849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</row>
    <row r="26" spans="1:47">
      <c r="B26" s="147"/>
      <c r="C26" s="147"/>
      <c r="D26" s="147"/>
      <c r="E26" s="147"/>
      <c r="F26" s="147"/>
    </row>
    <row r="27" spans="1:47" s="524" customFormat="1">
      <c r="A27" s="524" t="s">
        <v>64</v>
      </c>
      <c r="B27" s="571"/>
      <c r="C27" s="571"/>
      <c r="D27" s="571">
        <f>$B25*D$18</f>
        <v>-135208131.48841149</v>
      </c>
      <c r="E27" s="571">
        <f>$B25*E$18</f>
        <v>-4559015.2345052036</v>
      </c>
      <c r="F27" s="571">
        <f>SUM(B27:E27)</f>
        <v>-139767146.72291669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</row>
    <row r="28" spans="1:47">
      <c r="B28" s="7"/>
    </row>
    <row r="29" spans="1:47" s="524" customFormat="1">
      <c r="A29" s="524" t="s">
        <v>456</v>
      </c>
      <c r="B29" s="571"/>
      <c r="C29" s="571"/>
      <c r="D29" s="571">
        <f>$C25*D$46</f>
        <v>3321347.9731069203</v>
      </c>
      <c r="E29" s="571">
        <f>$C25*E$46</f>
        <v>121178.38419431016</v>
      </c>
      <c r="F29" s="571">
        <f>SUM(B29:E29)</f>
        <v>3442526.3573012305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</row>
    <row r="30" spans="1:47" ht="13.5" thickBot="1">
      <c r="B30" s="287"/>
      <c r="C30" s="287"/>
      <c r="D30" s="287"/>
      <c r="E30" s="287"/>
      <c r="F30" s="287"/>
    </row>
    <row r="31" spans="1:47" ht="13.5" thickTop="1"/>
    <row r="32" spans="1:47" s="524" customFormat="1">
      <c r="A32" s="524" t="s">
        <v>65</v>
      </c>
      <c r="B32" s="590"/>
      <c r="C32" s="590"/>
      <c r="D32" s="590">
        <f>SUM(D25:D30)</f>
        <v>1437110327.3783336</v>
      </c>
      <c r="E32" s="590">
        <f>SUM(E25:E30)</f>
        <v>48957155.044551365</v>
      </c>
      <c r="F32" s="571">
        <f>SUM(B32:E32)</f>
        <v>1486067482.4228849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6">
      <c r="B33" s="107"/>
      <c r="C33" s="107"/>
      <c r="D33" s="107"/>
      <c r="E33" s="107"/>
      <c r="F33" s="107"/>
    </row>
    <row r="34" spans="1:6">
      <c r="B34" s="150"/>
      <c r="C34" s="150"/>
      <c r="D34" s="589"/>
      <c r="E34" s="589"/>
      <c r="F34" s="150"/>
    </row>
    <row r="35" spans="1:6">
      <c r="A35" s="2" t="s">
        <v>747</v>
      </c>
      <c r="B35" s="150"/>
      <c r="C35" s="150"/>
      <c r="D35" s="589">
        <f>+D$32/$F$32</f>
        <v>0.96705590047315237</v>
      </c>
      <c r="E35" s="589">
        <f>+E$32/$F$32</f>
        <v>3.2944099526847598E-2</v>
      </c>
      <c r="F35" s="150">
        <f>SUM(D35:E35)</f>
        <v>1</v>
      </c>
    </row>
    <row r="36" spans="1:6" ht="13.5" thickBot="1">
      <c r="A36" s="82"/>
      <c r="B36" s="82"/>
      <c r="C36" s="82"/>
      <c r="D36" s="289"/>
      <c r="E36" s="289"/>
      <c r="F36" s="82"/>
    </row>
    <row r="38" spans="1:6">
      <c r="A38" s="1430" t="s">
        <v>460</v>
      </c>
      <c r="B38" s="1430"/>
      <c r="C38" s="1430"/>
      <c r="D38" s="1430"/>
      <c r="E38" s="1430"/>
    </row>
    <row r="39" spans="1:6">
      <c r="A39" s="1430" t="s">
        <v>459</v>
      </c>
      <c r="B39" s="1430"/>
      <c r="C39" s="1430"/>
      <c r="D39" s="1430"/>
      <c r="E39" s="1430"/>
    </row>
    <row r="40" spans="1:6">
      <c r="A40" s="181" t="s">
        <v>746</v>
      </c>
      <c r="B40" s="3"/>
      <c r="C40" s="3"/>
      <c r="D40" s="147"/>
      <c r="E40" s="147"/>
    </row>
    <row r="41" spans="1:6">
      <c r="A41" s="181"/>
      <c r="B41" s="3"/>
      <c r="C41" s="3"/>
      <c r="D41" s="147"/>
      <c r="E41" s="147"/>
    </row>
    <row r="42" spans="1:6" ht="13.5" thickBot="1">
      <c r="B42" s="53"/>
      <c r="C42" s="53"/>
      <c r="D42" s="53" t="s">
        <v>59</v>
      </c>
      <c r="E42" s="53" t="s">
        <v>60</v>
      </c>
      <c r="F42" s="53" t="s">
        <v>160</v>
      </c>
    </row>
    <row r="43" spans="1:6">
      <c r="A43" s="2" t="s">
        <v>56</v>
      </c>
      <c r="B43" s="147"/>
      <c r="C43" s="147"/>
      <c r="D43" s="147">
        <f>'ROR-Model'!I205+'ROR-Model'!I234</f>
        <v>102028079.61</v>
      </c>
      <c r="E43" s="147">
        <f>'ROR-Model'!I329+'ROR-Model'!I357</f>
        <v>3722463.87</v>
      </c>
      <c r="F43" s="147">
        <f>SUM(D43:E43)</f>
        <v>105750543.48</v>
      </c>
    </row>
    <row r="44" spans="1:6">
      <c r="B44" s="288"/>
      <c r="C44" s="288"/>
      <c r="D44" s="288"/>
      <c r="E44" s="288"/>
      <c r="F44" s="288"/>
    </row>
    <row r="45" spans="1:6">
      <c r="A45" s="68"/>
      <c r="B45" s="150"/>
      <c r="C45" s="150"/>
      <c r="D45" s="589"/>
      <c r="E45" s="150"/>
      <c r="F45" s="150"/>
    </row>
    <row r="46" spans="1:6">
      <c r="A46" s="2" t="s">
        <v>743</v>
      </c>
      <c r="B46" s="150"/>
      <c r="C46" s="150"/>
      <c r="D46" s="589">
        <f>D$43/$F$43</f>
        <v>0.96479957693357843</v>
      </c>
      <c r="E46" s="150">
        <f>E$43/$F$43</f>
        <v>3.5200423066421481E-2</v>
      </c>
      <c r="F46" s="150">
        <f>SUM(D46:E46)</f>
        <v>0.99999999999999989</v>
      </c>
    </row>
    <row r="48" spans="1:6" ht="13.5" thickBot="1">
      <c r="A48" s="82"/>
      <c r="B48" s="82"/>
      <c r="C48" s="82"/>
      <c r="D48" s="289"/>
      <c r="E48" s="289"/>
      <c r="F48" s="82"/>
    </row>
  </sheetData>
  <mergeCells count="6">
    <mergeCell ref="A38:E38"/>
    <mergeCell ref="A39:E39"/>
    <mergeCell ref="A6:E6"/>
    <mergeCell ref="A7:E7"/>
    <mergeCell ref="A21:F21"/>
    <mergeCell ref="A22:F22"/>
  </mergeCells>
  <phoneticPr fontId="0" type="noConversion"/>
  <pageMargins left="0.75" right="0.75" top="1" bottom="1" header="0.5" footer="0.5"/>
  <pageSetup scale="77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AF78"/>
  <sheetViews>
    <sheetView zoomScaleNormal="100" zoomScaleSheetLayoutView="85" workbookViewId="0">
      <selection activeCell="E22" sqref="E22"/>
    </sheetView>
  </sheetViews>
  <sheetFormatPr defaultColWidth="9.140625" defaultRowHeight="12.75"/>
  <cols>
    <col min="1" max="1" width="41.85546875" style="2" bestFit="1" customWidth="1"/>
    <col min="2" max="5" width="21.42578125" style="2" customWidth="1"/>
    <col min="6" max="6" width="2.28515625" style="55" customWidth="1"/>
    <col min="7" max="7" width="21.42578125" style="2" customWidth="1"/>
    <col min="8" max="9" width="4.42578125" style="290" customWidth="1"/>
    <col min="10" max="10" width="3.140625" style="2" customWidth="1"/>
    <col min="11" max="11" width="36.5703125" style="2" bestFit="1" customWidth="1"/>
    <col min="12" max="12" width="9.140625" style="2"/>
    <col min="13" max="13" width="12.28515625" style="2" customWidth="1"/>
    <col min="14" max="14" width="24.140625" style="2" bestFit="1" customWidth="1"/>
    <col min="15" max="15" width="13.7109375" style="2" customWidth="1"/>
    <col min="16" max="16" width="12.7109375" style="2" bestFit="1" customWidth="1"/>
    <col min="17" max="17" width="5" style="2" customWidth="1"/>
    <col min="18" max="18" width="4.140625" style="777" customWidth="1"/>
    <col min="19" max="19" width="9.140625" style="777"/>
    <col min="20" max="20" width="12.5703125" style="777" customWidth="1"/>
    <col min="21" max="21" width="10" style="777" customWidth="1"/>
    <col min="22" max="22" width="2.7109375" style="777" customWidth="1"/>
    <col min="23" max="23" width="11.7109375" style="777" customWidth="1"/>
    <col min="24" max="24" width="12.7109375" style="777" customWidth="1"/>
    <col min="25" max="25" width="2.7109375" style="777" customWidth="1"/>
    <col min="26" max="26" width="12.7109375" style="777" customWidth="1"/>
    <col min="27" max="27" width="14.7109375" style="777" customWidth="1"/>
    <col min="28" max="28" width="2.7109375" style="777" customWidth="1"/>
    <col min="29" max="29" width="12.7109375" style="777" customWidth="1"/>
    <col min="30" max="30" width="15" style="777" customWidth="1"/>
    <col min="31" max="31" width="2.7109375" style="777" customWidth="1"/>
    <col min="32" max="32" width="14.7109375" style="777" customWidth="1"/>
    <col min="33" max="37" width="9.140625" style="2"/>
    <col min="38" max="39" width="15.7109375" style="2" bestFit="1" customWidth="1"/>
    <col min="40" max="16384" width="9.140625" style="2"/>
  </cols>
  <sheetData>
    <row r="1" spans="1:32" ht="13.5" thickBot="1">
      <c r="A1" s="290"/>
      <c r="B1" s="92"/>
      <c r="C1" s="899"/>
      <c r="D1" s="92"/>
      <c r="E1" s="92"/>
      <c r="F1" s="899"/>
      <c r="G1" s="92" t="s">
        <v>756</v>
      </c>
      <c r="H1" s="290">
        <v>1</v>
      </c>
      <c r="K1" s="14" t="s">
        <v>149</v>
      </c>
      <c r="R1" s="777" t="s">
        <v>825</v>
      </c>
    </row>
    <row r="2" spans="1:32">
      <c r="A2" s="290"/>
      <c r="B2" s="1112"/>
      <c r="C2" s="1112"/>
      <c r="D2" s="1112"/>
      <c r="E2" s="1112"/>
      <c r="F2" s="1235"/>
      <c r="G2" s="1112"/>
      <c r="H2" s="290">
        <f>+H1+1</f>
        <v>2</v>
      </c>
      <c r="K2" s="14" t="str">
        <f>'Control Panel'!$B$1</f>
        <v>Dominion Energy</v>
      </c>
      <c r="N2" s="94"/>
      <c r="R2" s="1445" t="s">
        <v>924</v>
      </c>
      <c r="S2" s="1445"/>
      <c r="T2" s="1445"/>
      <c r="U2" s="1445"/>
      <c r="V2" s="1445"/>
      <c r="W2" s="1445"/>
      <c r="X2" s="1445"/>
      <c r="Y2" s="1445"/>
      <c r="Z2" s="1445"/>
      <c r="AA2" s="1445"/>
      <c r="AB2" s="1445"/>
      <c r="AC2" s="1445"/>
      <c r="AD2" s="1445"/>
      <c r="AE2" s="1445"/>
      <c r="AF2" s="1445"/>
    </row>
    <row r="3" spans="1:32">
      <c r="B3" s="1113"/>
      <c r="C3" s="1113"/>
      <c r="D3" s="1113"/>
      <c r="E3" s="1113"/>
      <c r="F3" s="773"/>
      <c r="G3" s="1113"/>
      <c r="H3" s="290">
        <f t="shared" ref="H3:H22" si="0">+H2+1</f>
        <v>3</v>
      </c>
      <c r="K3" s="14" t="str">
        <f>'Control Panel'!$B$2</f>
        <v>Utah - Dec 2017 Adjusted Avg Results</v>
      </c>
      <c r="N3" s="133"/>
      <c r="R3" s="1445" t="s">
        <v>925</v>
      </c>
      <c r="S3" s="1445"/>
      <c r="T3" s="1445"/>
      <c r="U3" s="1445"/>
      <c r="V3" s="1445"/>
      <c r="W3" s="1445"/>
      <c r="X3" s="1445"/>
      <c r="Y3" s="1445"/>
      <c r="Z3" s="1445"/>
      <c r="AA3" s="1445"/>
      <c r="AB3" s="1445"/>
      <c r="AC3" s="1445"/>
      <c r="AD3" s="1445"/>
      <c r="AE3" s="1445"/>
      <c r="AF3" s="1445"/>
    </row>
    <row r="4" spans="1:32">
      <c r="A4" s="33"/>
      <c r="B4" s="1114"/>
      <c r="C4" s="1114"/>
      <c r="D4" s="1114"/>
      <c r="E4" s="1114"/>
      <c r="F4" s="307"/>
      <c r="G4" s="1114"/>
      <c r="H4" s="290">
        <f t="shared" si="0"/>
        <v>4</v>
      </c>
      <c r="K4" s="14" t="str">
        <f>'Control Panel'!$B$3</f>
        <v>12 Months Ended : Dec-2017</v>
      </c>
      <c r="R4" s="1445" t="s">
        <v>926</v>
      </c>
      <c r="S4" s="1445"/>
      <c r="T4" s="1445"/>
      <c r="U4" s="1445"/>
      <c r="V4" s="1445"/>
      <c r="W4" s="1445"/>
      <c r="X4" s="1445"/>
      <c r="Y4" s="1445"/>
      <c r="Z4" s="1445"/>
      <c r="AA4" s="1445"/>
      <c r="AB4" s="1445"/>
      <c r="AC4" s="1445"/>
      <c r="AD4" s="1445"/>
      <c r="AE4" s="1445"/>
      <c r="AF4" s="1445"/>
    </row>
    <row r="5" spans="1:32">
      <c r="A5" s="145" t="s">
        <v>813</v>
      </c>
      <c r="B5" s="1114" t="s">
        <v>1610</v>
      </c>
      <c r="C5" s="1114" t="s">
        <v>1610</v>
      </c>
      <c r="D5" s="1114" t="s">
        <v>1610</v>
      </c>
      <c r="E5" s="1114" t="s">
        <v>1610</v>
      </c>
      <c r="F5" s="307"/>
      <c r="G5" s="1114" t="s">
        <v>1610</v>
      </c>
      <c r="H5" s="290">
        <f t="shared" si="0"/>
        <v>5</v>
      </c>
      <c r="J5" s="32"/>
      <c r="K5" s="14"/>
      <c r="L5" s="34"/>
      <c r="M5" s="34"/>
      <c r="N5" s="34"/>
      <c r="R5" s="1445" t="s">
        <v>927</v>
      </c>
      <c r="S5" s="1445"/>
      <c r="T5" s="1445"/>
      <c r="U5" s="1445"/>
      <c r="V5" s="1445"/>
      <c r="W5" s="1445"/>
      <c r="X5" s="1445"/>
      <c r="Y5" s="1445"/>
      <c r="Z5" s="1445"/>
      <c r="AA5" s="1445"/>
      <c r="AB5" s="1445"/>
      <c r="AC5" s="1445"/>
      <c r="AD5" s="1445"/>
      <c r="AE5" s="1445"/>
      <c r="AF5" s="1445"/>
    </row>
    <row r="6" spans="1:32" ht="33" customHeight="1" thickBot="1">
      <c r="A6" s="34"/>
      <c r="B6" s="1241" t="s">
        <v>1151</v>
      </c>
      <c r="C6" s="1241" t="s">
        <v>1150</v>
      </c>
      <c r="D6" s="1241" t="s">
        <v>1287</v>
      </c>
      <c r="E6" s="1241" t="s">
        <v>1301</v>
      </c>
      <c r="F6" s="562"/>
      <c r="G6" s="1241" t="str">
        <f>+'Control Panel'!B40</f>
        <v>Distrigas 2017</v>
      </c>
      <c r="H6" s="290">
        <f t="shared" si="0"/>
        <v>6</v>
      </c>
      <c r="J6" s="32"/>
      <c r="K6" s="1338" t="s">
        <v>784</v>
      </c>
      <c r="L6" s="1338" t="s">
        <v>785</v>
      </c>
      <c r="M6" s="1338" t="s">
        <v>786</v>
      </c>
      <c r="N6" s="1338" t="s">
        <v>787</v>
      </c>
      <c r="R6" s="1446" t="s">
        <v>1232</v>
      </c>
      <c r="S6" s="1446"/>
      <c r="T6" s="1446"/>
      <c r="U6" s="1446"/>
      <c r="V6" s="1446"/>
      <c r="W6" s="1446"/>
      <c r="X6" s="1446"/>
      <c r="Y6" s="1446"/>
      <c r="Z6" s="1446"/>
      <c r="AA6" s="1446"/>
      <c r="AB6" s="1446"/>
      <c r="AC6" s="1446"/>
      <c r="AD6" s="1446"/>
      <c r="AE6" s="1446"/>
      <c r="AF6" s="1446"/>
    </row>
    <row r="7" spans="1:32">
      <c r="A7" s="34"/>
      <c r="B7" s="1239"/>
      <c r="C7" s="1239"/>
      <c r="D7" s="1239"/>
      <c r="E7" s="1239"/>
      <c r="F7" s="1236"/>
      <c r="G7" s="1239"/>
      <c r="H7" s="290">
        <f t="shared" si="0"/>
        <v>7</v>
      </c>
      <c r="J7" s="32"/>
      <c r="K7" s="1338"/>
      <c r="L7" s="1338"/>
      <c r="M7" s="1338"/>
      <c r="N7" s="1338"/>
      <c r="R7" s="1447" t="s">
        <v>928</v>
      </c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</row>
    <row r="8" spans="1:32">
      <c r="A8" s="163" t="s">
        <v>1611</v>
      </c>
      <c r="B8" s="1115">
        <v>0.44990000000000002</v>
      </c>
      <c r="C8" s="1115">
        <v>0.44719999999999999</v>
      </c>
      <c r="D8" s="1115">
        <v>0.46539999999999998</v>
      </c>
      <c r="E8" s="1374">
        <v>0.49099999999999999</v>
      </c>
      <c r="F8" s="1234"/>
      <c r="G8" s="1115">
        <f>HLOOKUP($G$6,ALLOCATIONS,H3,FALSE)</f>
        <v>0.49099999999999999</v>
      </c>
      <c r="H8" s="290">
        <f t="shared" si="0"/>
        <v>8</v>
      </c>
      <c r="J8" s="32"/>
      <c r="L8" s="35" t="s">
        <v>49</v>
      </c>
      <c r="M8" s="35"/>
      <c r="N8" s="35" t="s">
        <v>50</v>
      </c>
      <c r="R8" s="830"/>
      <c r="S8" s="798"/>
      <c r="T8" s="798"/>
      <c r="U8" s="798"/>
      <c r="V8" s="798"/>
      <c r="W8" s="798"/>
      <c r="X8" s="798"/>
      <c r="Y8" s="798"/>
      <c r="Z8" s="831"/>
      <c r="AA8" s="798"/>
      <c r="AB8" s="798"/>
      <c r="AC8" s="798"/>
      <c r="AD8" s="798"/>
      <c r="AE8" s="798"/>
      <c r="AF8" s="775"/>
    </row>
    <row r="9" spans="1:32" ht="13.5" thickBot="1">
      <c r="A9" s="34" t="s">
        <v>70</v>
      </c>
      <c r="B9" s="1115">
        <v>0.27579999999999999</v>
      </c>
      <c r="C9" s="1115">
        <v>0.27610000000000001</v>
      </c>
      <c r="D9" s="1115">
        <v>0.25619999999999998</v>
      </c>
      <c r="E9" s="1374">
        <v>0.26790000000000003</v>
      </c>
      <c r="F9" s="1234"/>
      <c r="G9" s="1115">
        <f>HLOOKUP($G$6,ALLOCATIONS,H4,FALSE)</f>
        <v>0.26790000000000003</v>
      </c>
      <c r="H9" s="290">
        <f t="shared" si="0"/>
        <v>9</v>
      </c>
      <c r="J9" s="32"/>
      <c r="K9" s="36" t="s">
        <v>794</v>
      </c>
      <c r="L9" s="37" t="s">
        <v>51</v>
      </c>
      <c r="M9" s="38" t="s">
        <v>795</v>
      </c>
      <c r="N9" s="322" t="s">
        <v>52</v>
      </c>
      <c r="R9" s="796"/>
      <c r="S9" s="797"/>
      <c r="T9" s="797"/>
      <c r="U9" s="797"/>
      <c r="V9" s="797"/>
      <c r="W9" s="797"/>
      <c r="X9" s="797"/>
      <c r="Y9" s="797"/>
      <c r="Z9" s="832"/>
      <c r="AA9" s="797"/>
      <c r="AB9" s="797"/>
      <c r="AC9" s="833"/>
      <c r="AD9" s="833"/>
      <c r="AE9" s="833"/>
      <c r="AF9" s="833"/>
    </row>
    <row r="10" spans="1:32" ht="13.5" thickTop="1">
      <c r="A10" s="163" t="s">
        <v>672</v>
      </c>
      <c r="B10" s="1115">
        <v>0.26900000000000002</v>
      </c>
      <c r="C10" s="1115">
        <v>0.27110000000000001</v>
      </c>
      <c r="D10" s="1115">
        <v>0.27150000000000002</v>
      </c>
      <c r="E10" s="1374">
        <v>0.24110000000000001</v>
      </c>
      <c r="F10" s="1234"/>
      <c r="G10" s="1115">
        <f>HLOOKUP($G$6,ALLOCATIONS,H5,FALSE)</f>
        <v>0.24110000000000001</v>
      </c>
      <c r="H10" s="290">
        <f t="shared" si="0"/>
        <v>10</v>
      </c>
      <c r="J10" s="32"/>
      <c r="K10" s="33"/>
      <c r="L10" s="39"/>
      <c r="M10" s="40"/>
      <c r="N10" s="165"/>
      <c r="R10" s="1257"/>
      <c r="S10" s="1258"/>
      <c r="T10" s="1258"/>
      <c r="U10" s="1258"/>
      <c r="V10" s="1258"/>
      <c r="W10" s="1258"/>
      <c r="X10" s="1258"/>
      <c r="Y10" s="1258"/>
      <c r="Z10" s="1259"/>
      <c r="AA10" s="1258"/>
      <c r="AB10" s="1258"/>
      <c r="AC10" s="1260"/>
      <c r="AD10" s="1260"/>
      <c r="AE10" s="1260"/>
      <c r="AF10" s="1253" t="s">
        <v>1241</v>
      </c>
    </row>
    <row r="11" spans="1:32">
      <c r="A11" s="34" t="s">
        <v>1152</v>
      </c>
      <c r="B11" s="1115">
        <v>5.3E-3</v>
      </c>
      <c r="C11" s="1115">
        <v>5.5999999999999999E-3</v>
      </c>
      <c r="D11" s="1115">
        <v>6.8999999999999999E-3</v>
      </c>
      <c r="E11" s="1374">
        <v>0</v>
      </c>
      <c r="F11" s="1234"/>
      <c r="G11" s="1115">
        <f>HLOOKUP($G$6,ALLOCATIONS,H6,FALSE)</f>
        <v>0</v>
      </c>
      <c r="H11" s="290">
        <f t="shared" si="0"/>
        <v>11</v>
      </c>
      <c r="J11" s="32">
        <v>1</v>
      </c>
      <c r="K11" s="34" t="s">
        <v>53</v>
      </c>
      <c r="L11" s="41">
        <f>'Capital Str'!G24</f>
        <v>0.47933429200017746</v>
      </c>
      <c r="M11" s="41">
        <f>'Capital Str'!G30</f>
        <v>5.2455893909448444E-2</v>
      </c>
      <c r="N11" s="41">
        <f>L11*M11</f>
        <v>2.5143908768321892E-2</v>
      </c>
      <c r="R11" s="799"/>
      <c r="S11" s="799"/>
      <c r="T11" s="799"/>
      <c r="U11" s="799"/>
      <c r="V11" s="799"/>
      <c r="W11" s="799"/>
      <c r="X11" s="799"/>
      <c r="Y11" s="799"/>
      <c r="Z11" s="1448" t="s">
        <v>929</v>
      </c>
      <c r="AA11" s="1448"/>
      <c r="AB11" s="798"/>
      <c r="AC11" s="799"/>
      <c r="AD11" s="799"/>
      <c r="AE11" s="799"/>
      <c r="AF11" s="1261" t="s">
        <v>930</v>
      </c>
    </row>
    <row r="12" spans="1:32">
      <c r="A12" s="34"/>
      <c r="B12" s="1115"/>
      <c r="C12" s="1115"/>
      <c r="D12" s="1115"/>
      <c r="E12" s="1115"/>
      <c r="F12" s="1234"/>
      <c r="G12" s="1115"/>
      <c r="H12" s="290">
        <f t="shared" si="0"/>
        <v>12</v>
      </c>
      <c r="J12" s="32">
        <v>2</v>
      </c>
      <c r="K12" s="34" t="s">
        <v>54</v>
      </c>
      <c r="L12" s="41">
        <f>'Capital Str'!G26</f>
        <v>0.52066570799982248</v>
      </c>
      <c r="M12" s="41">
        <f>'Capital Str'!G32</f>
        <v>9.8500000000000004E-2</v>
      </c>
      <c r="N12" s="41">
        <f>L12*M12</f>
        <v>5.1285572237982517E-2</v>
      </c>
      <c r="R12" s="790"/>
      <c r="S12" s="790"/>
      <c r="T12" s="790"/>
      <c r="U12" s="790"/>
      <c r="V12" s="790"/>
      <c r="W12" s="1445" t="s">
        <v>458</v>
      </c>
      <c r="X12" s="1445"/>
      <c r="Y12" s="800"/>
      <c r="Z12" s="1445" t="s">
        <v>931</v>
      </c>
      <c r="AA12" s="1445"/>
      <c r="AB12" s="800"/>
      <c r="AC12" s="1445" t="s">
        <v>932</v>
      </c>
      <c r="AD12" s="1445"/>
      <c r="AE12" s="800"/>
      <c r="AF12" s="1254" t="s">
        <v>624</v>
      </c>
    </row>
    <row r="13" spans="1:32" ht="13.5" thickBot="1">
      <c r="A13" s="34"/>
      <c r="B13" s="1240">
        <f>SUM(B8:B12)</f>
        <v>1</v>
      </c>
      <c r="C13" s="1240">
        <f>SUM(C8:C12)</f>
        <v>1</v>
      </c>
      <c r="D13" s="1240">
        <f>SUM(D8:D12)</f>
        <v>1</v>
      </c>
      <c r="E13" s="1240">
        <f>SUM(E8:E12)</f>
        <v>1</v>
      </c>
      <c r="F13" s="1234"/>
      <c r="G13" s="1240">
        <f>SUM(G8:G12)</f>
        <v>1</v>
      </c>
      <c r="H13" s="290">
        <f t="shared" si="0"/>
        <v>13</v>
      </c>
      <c r="J13" s="32">
        <v>3</v>
      </c>
      <c r="K13" s="34" t="s">
        <v>762</v>
      </c>
      <c r="L13" s="42">
        <f>SUM(L11:L12)</f>
        <v>1</v>
      </c>
      <c r="M13" s="34"/>
      <c r="N13" s="42">
        <f>SUM(N11:N12)</f>
        <v>7.6429481006304409E-2</v>
      </c>
      <c r="R13" s="790"/>
      <c r="S13" s="790"/>
      <c r="T13" s="790"/>
      <c r="U13" s="790"/>
      <c r="V13" s="790"/>
      <c r="W13" s="1444" t="s">
        <v>1233</v>
      </c>
      <c r="X13" s="1444"/>
      <c r="Y13" s="1194"/>
      <c r="Z13" s="1444" t="s">
        <v>1234</v>
      </c>
      <c r="AA13" s="1444"/>
      <c r="AB13" s="834"/>
      <c r="AC13" s="1444" t="s">
        <v>1234</v>
      </c>
      <c r="AD13" s="1444"/>
      <c r="AE13" s="834"/>
      <c r="AF13" s="1188" t="s">
        <v>933</v>
      </c>
    </row>
    <row r="14" spans="1:32">
      <c r="A14" s="350"/>
      <c r="H14" s="290">
        <f t="shared" si="0"/>
        <v>14</v>
      </c>
      <c r="J14" s="32"/>
      <c r="K14" s="34"/>
      <c r="L14" s="34"/>
      <c r="M14" s="41"/>
      <c r="N14" s="34"/>
      <c r="S14" s="801" t="s">
        <v>934</v>
      </c>
      <c r="W14" s="795" t="s">
        <v>935</v>
      </c>
      <c r="X14" s="795" t="s">
        <v>936</v>
      </c>
      <c r="Y14" s="795"/>
      <c r="Z14" s="795" t="s">
        <v>937</v>
      </c>
      <c r="AA14" s="795" t="s">
        <v>938</v>
      </c>
      <c r="AB14" s="795"/>
      <c r="AC14" s="795" t="s">
        <v>939</v>
      </c>
      <c r="AD14" s="795" t="s">
        <v>940</v>
      </c>
      <c r="AE14" s="795"/>
      <c r="AF14" s="1255" t="s">
        <v>941</v>
      </c>
    </row>
    <row r="15" spans="1:32">
      <c r="A15" s="351"/>
      <c r="B15" s="350"/>
      <c r="C15" s="350"/>
      <c r="D15" s="350"/>
      <c r="E15" s="350"/>
      <c r="F15" s="1237"/>
      <c r="G15" s="350"/>
      <c r="H15" s="290">
        <f t="shared" si="0"/>
        <v>15</v>
      </c>
      <c r="J15" s="32"/>
      <c r="K15" s="34"/>
      <c r="L15" s="34"/>
      <c r="M15" s="34"/>
      <c r="N15" s="34"/>
    </row>
    <row r="16" spans="1:32">
      <c r="H16" s="290">
        <f t="shared" si="0"/>
        <v>16</v>
      </c>
      <c r="J16" s="32"/>
      <c r="K16" s="33" t="s">
        <v>763</v>
      </c>
      <c r="L16" s="34"/>
      <c r="M16" s="34"/>
      <c r="N16" s="34"/>
      <c r="R16" s="776" t="s">
        <v>942</v>
      </c>
      <c r="S16" s="776" t="s">
        <v>69</v>
      </c>
      <c r="W16" s="780">
        <v>2352292</v>
      </c>
      <c r="X16" s="779">
        <f>W16/W$31</f>
        <v>0.3965648128495326</v>
      </c>
      <c r="Y16" s="779"/>
      <c r="Z16" s="780">
        <v>356074</v>
      </c>
      <c r="AA16" s="779">
        <f>Z16/Z$31</f>
        <v>0.35288008237442903</v>
      </c>
      <c r="AB16" s="779"/>
      <c r="AC16" s="780">
        <v>71745</v>
      </c>
      <c r="AD16" s="779">
        <f>AC16/AC$31</f>
        <v>0.59204337277813535</v>
      </c>
      <c r="AE16" s="779"/>
      <c r="AF16" s="779">
        <f>AVERAGE(X16,AA16,AD16)</f>
        <v>0.44716275600069899</v>
      </c>
    </row>
    <row r="17" spans="1:32">
      <c r="B17" s="68"/>
      <c r="C17" s="68"/>
      <c r="D17" s="68"/>
      <c r="E17" s="68"/>
      <c r="F17" s="498"/>
      <c r="H17" s="290">
        <f t="shared" si="0"/>
        <v>17</v>
      </c>
      <c r="J17" s="32"/>
      <c r="K17" s="33"/>
      <c r="L17" s="34"/>
      <c r="M17" s="34"/>
      <c r="N17" s="35" t="s">
        <v>50</v>
      </c>
      <c r="X17" s="779"/>
      <c r="Y17" s="779"/>
      <c r="AA17" s="779"/>
      <c r="AB17" s="779"/>
      <c r="AD17" s="779"/>
      <c r="AE17" s="779"/>
      <c r="AF17" s="779"/>
    </row>
    <row r="18" spans="1:32" ht="13.5" thickBot="1">
      <c r="H18" s="290">
        <f t="shared" si="0"/>
        <v>18</v>
      </c>
      <c r="J18" s="32"/>
      <c r="K18" s="36" t="s">
        <v>794</v>
      </c>
      <c r="L18" s="43"/>
      <c r="M18" s="43"/>
      <c r="N18" s="322" t="s">
        <v>52</v>
      </c>
      <c r="R18" s="781" t="s">
        <v>943</v>
      </c>
      <c r="S18" s="776" t="s">
        <v>672</v>
      </c>
      <c r="W18" s="778">
        <v>1513756</v>
      </c>
      <c r="X18" s="779">
        <f>W18/W$31</f>
        <v>0.25519891443743253</v>
      </c>
      <c r="Y18" s="779"/>
      <c r="Z18" s="778">
        <v>342699</v>
      </c>
      <c r="AA18" s="779">
        <f>Z18/Z$31</f>
        <v>0.33962505363950879</v>
      </c>
      <c r="AB18" s="779"/>
      <c r="AC18" s="778">
        <v>14716</v>
      </c>
      <c r="AD18" s="779">
        <f>AC18/AC$31</f>
        <v>0.12143717713851893</v>
      </c>
      <c r="AE18" s="779"/>
      <c r="AF18" s="779">
        <f>AVERAGE(X18,AA18,AD18)</f>
        <v>0.23875371507182011</v>
      </c>
    </row>
    <row r="19" spans="1:32" ht="13.5" thickTop="1">
      <c r="H19" s="290">
        <f t="shared" si="0"/>
        <v>19</v>
      </c>
      <c r="J19" s="32"/>
      <c r="K19" s="431"/>
      <c r="L19" s="432"/>
      <c r="M19" s="432"/>
      <c r="N19" s="433"/>
      <c r="W19" s="778"/>
      <c r="X19" s="779"/>
      <c r="Y19" s="779"/>
      <c r="Z19" s="778"/>
      <c r="AA19" s="779"/>
      <c r="AB19" s="779"/>
      <c r="AC19" s="778"/>
      <c r="AD19" s="779"/>
      <c r="AE19" s="779"/>
      <c r="AF19" s="779"/>
    </row>
    <row r="20" spans="1:32">
      <c r="H20" s="290">
        <f t="shared" si="0"/>
        <v>20</v>
      </c>
      <c r="J20" s="32"/>
      <c r="K20" s="34"/>
      <c r="L20" s="34"/>
      <c r="M20" s="34"/>
      <c r="N20" s="34"/>
      <c r="R20" s="781" t="s">
        <v>944</v>
      </c>
      <c r="S20" s="776" t="s">
        <v>1238</v>
      </c>
      <c r="W20" s="778">
        <v>108189</v>
      </c>
      <c r="X20" s="779">
        <f>W20/W$31</f>
        <v>1.8239211176749349E-2</v>
      </c>
      <c r="Y20" s="779"/>
      <c r="Z20" s="778">
        <v>27020</v>
      </c>
      <c r="AA20" s="779">
        <f>Z20/Z$31</f>
        <v>2.6777635620003348E-2</v>
      </c>
      <c r="AB20" s="779"/>
      <c r="AC20" s="778">
        <v>1099</v>
      </c>
      <c r="AD20" s="779">
        <f>AC20/AC$31</f>
        <v>9.0690036474063811E-3</v>
      </c>
      <c r="AE20" s="779"/>
      <c r="AF20" s="779">
        <f>AVERAGE(X20,AA20,AD20)</f>
        <v>1.8028616814719692E-2</v>
      </c>
    </row>
    <row r="21" spans="1:32">
      <c r="H21" s="290">
        <f t="shared" si="0"/>
        <v>21</v>
      </c>
      <c r="J21" s="32"/>
      <c r="K21" s="34"/>
      <c r="L21" s="34"/>
      <c r="M21" s="34"/>
      <c r="N21" s="34"/>
      <c r="R21" s="781"/>
      <c r="W21" s="778"/>
      <c r="X21" s="779"/>
      <c r="Y21" s="779"/>
      <c r="Z21" s="778"/>
      <c r="AA21" s="779"/>
      <c r="AB21" s="779"/>
      <c r="AC21" s="778"/>
      <c r="AD21" s="779"/>
      <c r="AE21" s="779"/>
      <c r="AF21" s="779"/>
    </row>
    <row r="22" spans="1:32">
      <c r="H22" s="290">
        <f t="shared" si="0"/>
        <v>22</v>
      </c>
      <c r="J22" s="32"/>
      <c r="K22" s="34"/>
      <c r="L22" s="34"/>
      <c r="M22" s="34"/>
      <c r="N22" s="34"/>
      <c r="R22" s="781" t="s">
        <v>945</v>
      </c>
      <c r="S22" s="777" t="s">
        <v>1239</v>
      </c>
      <c r="W22" s="780">
        <v>66430</v>
      </c>
      <c r="X22" s="779">
        <f>W22/W$31</f>
        <v>1.1199205080659396E-2</v>
      </c>
      <c r="Y22" s="779"/>
      <c r="Z22" s="780">
        <v>16154</v>
      </c>
      <c r="AA22" s="779">
        <f>Z22/Z$31</f>
        <v>1.600910162122628E-2</v>
      </c>
      <c r="AB22" s="779"/>
      <c r="AC22" s="780">
        <v>1934</v>
      </c>
      <c r="AD22" s="779">
        <f>AC22/AC$31</f>
        <v>1.595946592728293E-2</v>
      </c>
      <c r="AE22" s="779"/>
      <c r="AF22" s="779">
        <f>AVERAGE(X22,AA22,AD22)</f>
        <v>1.4389257543056201E-2</v>
      </c>
    </row>
    <row r="23" spans="1:32">
      <c r="J23" s="32">
        <v>4</v>
      </c>
      <c r="K23" s="34" t="s">
        <v>54</v>
      </c>
      <c r="L23" s="34"/>
      <c r="M23" s="34"/>
      <c r="N23" s="165">
        <f>+N12</f>
        <v>5.1285572237982517E-2</v>
      </c>
      <c r="R23" s="781"/>
      <c r="W23" s="778"/>
      <c r="X23" s="779"/>
      <c r="Y23" s="779"/>
      <c r="Z23" s="778"/>
      <c r="AA23" s="779"/>
      <c r="AB23" s="779"/>
      <c r="AC23" s="778"/>
      <c r="AD23" s="779"/>
      <c r="AE23" s="779"/>
      <c r="AF23" s="779"/>
    </row>
    <row r="24" spans="1:32">
      <c r="A24" s="351"/>
      <c r="B24" s="149"/>
      <c r="C24" s="149"/>
      <c r="D24" s="149"/>
      <c r="E24" s="149"/>
      <c r="F24" s="1234"/>
      <c r="G24" s="149"/>
      <c r="J24" s="32"/>
      <c r="K24" s="34"/>
      <c r="L24" s="34"/>
      <c r="M24" s="34"/>
      <c r="N24" s="165"/>
      <c r="R24" s="781" t="s">
        <v>946</v>
      </c>
      <c r="S24" s="776" t="s">
        <v>1240</v>
      </c>
      <c r="W24" s="778">
        <v>1846909</v>
      </c>
      <c r="X24" s="779">
        <f>W24/W$31</f>
        <v>0.31136403215889757</v>
      </c>
      <c r="Y24" s="779"/>
      <c r="Z24" s="778">
        <v>254214</v>
      </c>
      <c r="AA24" s="779">
        <f>Z24/Z$31</f>
        <v>0.25193374765001969</v>
      </c>
      <c r="AB24" s="779"/>
      <c r="AC24" s="778">
        <v>27142</v>
      </c>
      <c r="AD24" s="779">
        <f>AC24/AC$31</f>
        <v>0.22397715832384346</v>
      </c>
      <c r="AE24" s="779"/>
      <c r="AF24" s="779">
        <f>AVERAGE(X24,AA24,AD24)</f>
        <v>0.26242497937758691</v>
      </c>
    </row>
    <row r="25" spans="1:32">
      <c r="A25" s="351"/>
      <c r="B25" s="149"/>
      <c r="C25" s="149"/>
      <c r="D25" s="149"/>
      <c r="E25" s="149"/>
      <c r="F25" s="1234"/>
      <c r="G25" s="149"/>
      <c r="J25" s="32">
        <v>5</v>
      </c>
      <c r="K25" s="34" t="s">
        <v>764</v>
      </c>
      <c r="L25" s="34"/>
      <c r="M25" s="34"/>
      <c r="N25" s="348">
        <f>Taxes!L23</f>
        <v>0.38089456500000002</v>
      </c>
      <c r="R25" s="781"/>
      <c r="S25" s="776"/>
      <c r="W25" s="778"/>
      <c r="X25" s="779"/>
      <c r="Y25" s="779"/>
      <c r="Z25" s="778"/>
      <c r="AA25" s="779"/>
      <c r="AB25" s="779"/>
      <c r="AC25" s="778"/>
      <c r="AD25" s="779"/>
      <c r="AE25" s="779"/>
      <c r="AF25" s="779"/>
    </row>
    <row r="26" spans="1:32">
      <c r="A26" s="351"/>
      <c r="B26" s="149"/>
      <c r="C26" s="149"/>
      <c r="D26" s="149"/>
      <c r="E26" s="149"/>
      <c r="F26" s="1234"/>
      <c r="G26" s="149"/>
      <c r="J26" s="32"/>
      <c r="K26" s="34"/>
      <c r="L26" s="34"/>
      <c r="M26" s="34"/>
      <c r="N26" s="165"/>
      <c r="R26" s="781" t="s">
        <v>1235</v>
      </c>
      <c r="S26" s="776" t="s">
        <v>947</v>
      </c>
      <c r="W26" s="778">
        <v>9779</v>
      </c>
      <c r="X26" s="779">
        <f>W26/W$31</f>
        <v>1.6486079554985434E-3</v>
      </c>
      <c r="Y26" s="779"/>
      <c r="Z26" s="778">
        <v>11197</v>
      </c>
      <c r="AA26" s="779">
        <f>Z26/Z$31</f>
        <v>1.1096564990273039E-2</v>
      </c>
      <c r="AB26" s="779"/>
      <c r="AC26" s="778">
        <v>3432</v>
      </c>
      <c r="AD26" s="779">
        <f>AC26/AC$31</f>
        <v>2.8321037777887807E-2</v>
      </c>
      <c r="AE26" s="779"/>
      <c r="AF26" s="779">
        <f>AVERAGE(X26,AA26,AD26)</f>
        <v>1.3688736907886462E-2</v>
      </c>
    </row>
    <row r="27" spans="1:32">
      <c r="J27" s="32">
        <v>6</v>
      </c>
      <c r="K27" s="163" t="s">
        <v>228</v>
      </c>
      <c r="L27" s="34"/>
      <c r="M27" s="34"/>
      <c r="N27" s="165">
        <f>N23/(1-N25)</f>
        <v>8.2838187711891942E-2</v>
      </c>
      <c r="R27" s="781"/>
      <c r="S27" s="776"/>
      <c r="W27" s="778"/>
      <c r="X27" s="779"/>
      <c r="Y27" s="779"/>
      <c r="Z27" s="778"/>
      <c r="AA27" s="779"/>
      <c r="AB27" s="779"/>
      <c r="AC27" s="778"/>
      <c r="AD27" s="779"/>
      <c r="AE27" s="779"/>
      <c r="AF27" s="779"/>
    </row>
    <row r="28" spans="1:32">
      <c r="A28" s="352"/>
      <c r="B28" s="352"/>
      <c r="C28" s="352"/>
      <c r="D28" s="352"/>
      <c r="E28" s="352"/>
      <c r="F28" s="1238"/>
      <c r="G28" s="352"/>
      <c r="J28" s="32"/>
      <c r="K28" s="34"/>
      <c r="L28" s="34"/>
      <c r="M28" s="34"/>
      <c r="N28" s="165"/>
      <c r="R28" s="781" t="s">
        <v>1236</v>
      </c>
      <c r="S28" s="776" t="s">
        <v>1152</v>
      </c>
      <c r="W28" s="778">
        <v>34316</v>
      </c>
      <c r="X28" s="779">
        <f>W28/W$31</f>
        <v>5.7852163412299836E-3</v>
      </c>
      <c r="Y28" s="779"/>
      <c r="Z28" s="778">
        <v>1693</v>
      </c>
      <c r="AA28" s="779">
        <f>Z28/Z$31</f>
        <v>1.6778141045398101E-3</v>
      </c>
      <c r="AB28" s="779"/>
      <c r="AC28" s="778">
        <v>1114</v>
      </c>
      <c r="AD28" s="779">
        <f>AC28/AC$31</f>
        <v>9.1927844069251211E-3</v>
      </c>
      <c r="AE28" s="779"/>
      <c r="AF28" s="779">
        <f>AVERAGE(X28,AA28,AD28)</f>
        <v>5.5519382842316375E-3</v>
      </c>
    </row>
    <row r="29" spans="1:32" ht="13.5" thickBot="1">
      <c r="J29" s="32">
        <v>7</v>
      </c>
      <c r="K29" s="34" t="s">
        <v>53</v>
      </c>
      <c r="L29" s="34"/>
      <c r="M29" s="34"/>
      <c r="N29" s="349">
        <f>+N11</f>
        <v>2.5143908768321892E-2</v>
      </c>
      <c r="R29" s="781"/>
      <c r="S29" s="781"/>
      <c r="W29" s="778"/>
      <c r="X29" s="779"/>
      <c r="Y29" s="779"/>
      <c r="Z29" s="778"/>
      <c r="AA29" s="779"/>
      <c r="AB29" s="779"/>
      <c r="AC29" s="782"/>
      <c r="AD29" s="783"/>
      <c r="AE29" s="779"/>
      <c r="AF29" s="779"/>
    </row>
    <row r="30" spans="1:32" ht="13.5" thickTop="1">
      <c r="J30" s="32"/>
      <c r="K30" s="34"/>
      <c r="L30" s="34"/>
      <c r="M30" s="34"/>
      <c r="N30" s="164"/>
      <c r="W30" s="784"/>
      <c r="X30" s="785"/>
      <c r="Y30" s="785"/>
      <c r="Z30" s="784"/>
      <c r="AA30" s="785"/>
      <c r="AB30" s="785"/>
      <c r="AC30" s="786"/>
      <c r="AD30" s="787"/>
      <c r="AE30" s="785"/>
      <c r="AF30" s="785"/>
    </row>
    <row r="31" spans="1:32">
      <c r="J31" s="32">
        <v>8</v>
      </c>
      <c r="K31" s="163" t="s">
        <v>227</v>
      </c>
      <c r="L31" s="34"/>
      <c r="M31" s="34"/>
      <c r="N31" s="165">
        <f>N29+N27</f>
        <v>0.10798209648021384</v>
      </c>
      <c r="R31" s="788" t="s">
        <v>1237</v>
      </c>
      <c r="S31" s="789" t="s">
        <v>948</v>
      </c>
      <c r="T31" s="790"/>
      <c r="U31" s="790"/>
      <c r="V31" s="790"/>
      <c r="W31" s="791">
        <f>SUM(W16:W29)</f>
        <v>5931671</v>
      </c>
      <c r="X31" s="1256">
        <f>SUM(X16:X29)</f>
        <v>1.0000000000000002</v>
      </c>
      <c r="Y31" s="783"/>
      <c r="Z31" s="791">
        <f>SUM(Z16:Z29)</f>
        <v>1009051</v>
      </c>
      <c r="AA31" s="1256">
        <f>SUM(AA16:AA29)</f>
        <v>0.99999999999999989</v>
      </c>
      <c r="AB31" s="783"/>
      <c r="AC31" s="791">
        <f>SUM(AC16:AC29)</f>
        <v>121182</v>
      </c>
      <c r="AD31" s="1256">
        <f>SUM(AD16:AD29)</f>
        <v>1</v>
      </c>
      <c r="AE31" s="783"/>
      <c r="AF31" s="1262">
        <f>AVERAGE(X31,AA31,AD31)</f>
        <v>1</v>
      </c>
    </row>
    <row r="32" spans="1:32" ht="13.5" thickBot="1">
      <c r="J32" s="32"/>
      <c r="K32" s="34"/>
      <c r="L32" s="34"/>
      <c r="M32" s="34"/>
      <c r="N32" s="41"/>
      <c r="W32" s="792"/>
      <c r="X32" s="792"/>
      <c r="Y32" s="792"/>
      <c r="Z32" s="792"/>
      <c r="AA32" s="792"/>
      <c r="AB32" s="792"/>
      <c r="AC32" s="792"/>
      <c r="AD32" s="792"/>
      <c r="AE32" s="792"/>
      <c r="AF32" s="792"/>
    </row>
    <row r="33" spans="1:32" ht="14.25" thickTop="1" thickBot="1">
      <c r="K33" s="278"/>
      <c r="L33" s="279"/>
      <c r="M33" s="118"/>
      <c r="N33" s="118"/>
    </row>
    <row r="34" spans="1:32">
      <c r="K34" s="276"/>
      <c r="L34" s="276"/>
      <c r="M34" s="276"/>
      <c r="R34" s="793" t="s">
        <v>949</v>
      </c>
      <c r="W34" s="780"/>
      <c r="Z34" s="794"/>
      <c r="AA34" s="794"/>
      <c r="AB34" s="794"/>
      <c r="AC34" s="794"/>
      <c r="AD34" s="794"/>
      <c r="AE34" s="794"/>
      <c r="AF34" s="794"/>
    </row>
    <row r="35" spans="1:32">
      <c r="K35" s="276"/>
      <c r="L35" s="276"/>
      <c r="M35" s="143"/>
      <c r="N35" s="143"/>
      <c r="R35" s="793"/>
      <c r="W35" s="780"/>
      <c r="Z35" s="794"/>
      <c r="AA35" s="794"/>
      <c r="AB35" s="794"/>
      <c r="AC35" s="794"/>
      <c r="AD35" s="794"/>
      <c r="AE35" s="794"/>
      <c r="AF35" s="794"/>
    </row>
    <row r="36" spans="1:32">
      <c r="K36" s="276"/>
      <c r="L36" s="276"/>
      <c r="M36" s="277"/>
      <c r="N36" s="143" t="str">
        <f>'Capital Str'!G37</f>
        <v>ORDERED CAP STR 13-057-05</v>
      </c>
      <c r="R36" s="1445" t="s">
        <v>950</v>
      </c>
      <c r="S36" s="1445"/>
      <c r="T36" s="1445"/>
      <c r="U36" s="1445"/>
      <c r="V36" s="1445"/>
      <c r="W36" s="1445"/>
      <c r="X36" s="1445"/>
      <c r="Y36" s="1445"/>
      <c r="Z36" s="1445"/>
      <c r="AA36" s="1445"/>
      <c r="AB36" s="1445"/>
      <c r="AC36" s="1445"/>
      <c r="AD36" s="1445"/>
      <c r="AE36" s="1445"/>
      <c r="AF36" s="1445"/>
    </row>
    <row r="37" spans="1:32" ht="13.5" thickBot="1">
      <c r="K37" s="278" t="s">
        <v>110</v>
      </c>
      <c r="L37" s="279"/>
      <c r="M37" s="118"/>
      <c r="N37" s="296"/>
      <c r="R37" s="1445" t="s">
        <v>925</v>
      </c>
      <c r="S37" s="1445"/>
      <c r="T37" s="1445"/>
      <c r="U37" s="1445"/>
      <c r="V37" s="1445"/>
      <c r="W37" s="1445"/>
      <c r="X37" s="1445"/>
      <c r="Y37" s="1445"/>
      <c r="Z37" s="1445"/>
      <c r="AA37" s="1445"/>
      <c r="AB37" s="1445"/>
      <c r="AC37" s="1445"/>
      <c r="AD37" s="1445"/>
      <c r="AE37" s="1445"/>
      <c r="AF37" s="1445"/>
    </row>
    <row r="38" spans="1:32">
      <c r="A38" s="7"/>
      <c r="J38" s="2">
        <f>J31+1</f>
        <v>9</v>
      </c>
      <c r="K38" s="276" t="s">
        <v>719</v>
      </c>
      <c r="L38" s="276"/>
      <c r="M38" s="180"/>
      <c r="N38" s="180">
        <f>+'Capital Str'!G40</f>
        <v>559500000</v>
      </c>
      <c r="R38" s="1445" t="s">
        <v>926</v>
      </c>
      <c r="S38" s="1445"/>
      <c r="T38" s="1445"/>
      <c r="U38" s="1445"/>
      <c r="V38" s="1445"/>
      <c r="W38" s="1445"/>
      <c r="X38" s="1445"/>
      <c r="Y38" s="1445"/>
      <c r="Z38" s="1445"/>
      <c r="AA38" s="1445"/>
      <c r="AB38" s="1445"/>
      <c r="AC38" s="1445"/>
      <c r="AD38" s="1445"/>
      <c r="AE38" s="1445"/>
      <c r="AF38" s="1445"/>
    </row>
    <row r="39" spans="1:32">
      <c r="J39" s="2">
        <f>J38+1</f>
        <v>10</v>
      </c>
      <c r="K39" s="276" t="s">
        <v>720</v>
      </c>
      <c r="L39" s="276"/>
      <c r="N39" s="180">
        <f>+'Capital Str'!G42</f>
        <v>-4542000</v>
      </c>
      <c r="R39" s="1445" t="s">
        <v>927</v>
      </c>
      <c r="S39" s="1445"/>
      <c r="T39" s="1445"/>
      <c r="U39" s="1445"/>
      <c r="V39" s="1445"/>
      <c r="W39" s="1445"/>
      <c r="X39" s="1445"/>
      <c r="Y39" s="1445"/>
      <c r="Z39" s="1445"/>
      <c r="AA39" s="1445"/>
      <c r="AB39" s="1445"/>
      <c r="AC39" s="1445"/>
      <c r="AD39" s="1445"/>
      <c r="AE39" s="1445"/>
      <c r="AF39" s="1445"/>
    </row>
    <row r="40" spans="1:32">
      <c r="J40" s="2">
        <f t="shared" ref="J40:J42" si="1">J39+1</f>
        <v>11</v>
      </c>
      <c r="K40" s="276" t="s">
        <v>721</v>
      </c>
      <c r="L40" s="276"/>
      <c r="N40" s="180">
        <f>+'Capital Str'!G43</f>
        <v>-3957000</v>
      </c>
      <c r="R40" s="1446" t="s">
        <v>1232</v>
      </c>
      <c r="S40" s="1446"/>
      <c r="T40" s="1446"/>
      <c r="U40" s="1446"/>
      <c r="V40" s="1446"/>
      <c r="W40" s="1446"/>
      <c r="X40" s="1446"/>
      <c r="Y40" s="1446"/>
      <c r="Z40" s="1446"/>
      <c r="AA40" s="1446"/>
      <c r="AB40" s="1446"/>
      <c r="AC40" s="1446"/>
      <c r="AD40" s="1446"/>
      <c r="AE40" s="1446"/>
      <c r="AF40" s="1446"/>
    </row>
    <row r="41" spans="1:32">
      <c r="J41" s="2">
        <f t="shared" si="1"/>
        <v>12</v>
      </c>
      <c r="K41" s="841" t="s">
        <v>793</v>
      </c>
      <c r="L41" s="276"/>
      <c r="N41" s="180">
        <f>+'Capital Str'!G44</f>
        <v>0</v>
      </c>
      <c r="R41" s="1447" t="s">
        <v>928</v>
      </c>
      <c r="S41" s="1447"/>
      <c r="T41" s="1447"/>
      <c r="U41" s="1447"/>
      <c r="V41" s="1447"/>
      <c r="W41" s="1447"/>
      <c r="X41" s="1447"/>
      <c r="Y41" s="1447"/>
      <c r="Z41" s="1447"/>
      <c r="AA41" s="1447"/>
      <c r="AB41" s="1447"/>
      <c r="AC41" s="1447"/>
      <c r="AD41" s="1447"/>
      <c r="AE41" s="1447"/>
      <c r="AF41" s="1447"/>
    </row>
    <row r="42" spans="1:32">
      <c r="J42" s="2">
        <f t="shared" si="1"/>
        <v>13</v>
      </c>
      <c r="K42" s="280" t="s">
        <v>112</v>
      </c>
      <c r="L42" s="276"/>
      <c r="N42" s="291">
        <f>+'Capital Str'!G45</f>
        <v>551001000</v>
      </c>
      <c r="R42" s="830"/>
      <c r="S42" s="798"/>
      <c r="T42" s="798"/>
      <c r="U42" s="798"/>
      <c r="V42" s="798"/>
      <c r="W42" s="798"/>
      <c r="X42" s="798"/>
      <c r="Y42" s="798"/>
      <c r="Z42" s="831"/>
      <c r="AA42" s="798"/>
      <c r="AB42" s="798"/>
      <c r="AC42" s="798"/>
      <c r="AD42" s="798"/>
      <c r="AE42" s="798"/>
      <c r="AF42" s="775"/>
    </row>
    <row r="43" spans="1:32">
      <c r="K43" s="281"/>
      <c r="L43" s="276"/>
      <c r="N43" s="292"/>
      <c r="R43" s="796"/>
      <c r="S43" s="797"/>
      <c r="T43" s="797"/>
      <c r="U43" s="797"/>
      <c r="V43" s="797"/>
      <c r="W43" s="797"/>
      <c r="X43" s="797"/>
      <c r="Y43" s="797"/>
      <c r="Z43" s="832"/>
      <c r="AA43" s="797"/>
      <c r="AB43" s="797"/>
      <c r="AC43" s="833"/>
      <c r="AD43" s="833"/>
      <c r="AE43" s="833"/>
      <c r="AF43" s="833"/>
    </row>
    <row r="44" spans="1:32">
      <c r="K44" s="30"/>
      <c r="L44" s="30"/>
      <c r="N44" s="212"/>
      <c r="R44" s="1257"/>
      <c r="S44" s="1258"/>
      <c r="T44" s="1258"/>
      <c r="U44" s="1258"/>
      <c r="V44" s="1258"/>
      <c r="W44" s="1258"/>
      <c r="X44" s="1258"/>
      <c r="Y44" s="1258"/>
      <c r="Z44" s="1259"/>
      <c r="AA44" s="1258"/>
      <c r="AB44" s="1258"/>
      <c r="AC44" s="1260"/>
      <c r="AD44" s="1260"/>
      <c r="AE44" s="1260"/>
      <c r="AF44" s="1253" t="s">
        <v>1241</v>
      </c>
    </row>
    <row r="45" spans="1:32" ht="13.5" thickBot="1">
      <c r="K45" s="278" t="s">
        <v>111</v>
      </c>
      <c r="L45" s="279"/>
      <c r="M45" s="282"/>
      <c r="N45" s="282"/>
      <c r="R45" s="799"/>
      <c r="S45" s="799"/>
      <c r="T45" s="799"/>
      <c r="U45" s="799"/>
      <c r="V45" s="799"/>
      <c r="W45" s="799"/>
      <c r="X45" s="799"/>
      <c r="Y45" s="799"/>
      <c r="Z45" s="1448" t="s">
        <v>929</v>
      </c>
      <c r="AA45" s="1448"/>
      <c r="AB45" s="798"/>
      <c r="AC45" s="799"/>
      <c r="AD45" s="799"/>
      <c r="AE45" s="799"/>
      <c r="AF45" s="1261" t="s">
        <v>930</v>
      </c>
    </row>
    <row r="46" spans="1:32">
      <c r="J46" s="2">
        <f>J42+1</f>
        <v>14</v>
      </c>
      <c r="K46" s="276" t="s">
        <v>722</v>
      </c>
      <c r="L46" s="276"/>
      <c r="M46" s="180"/>
      <c r="N46" s="180">
        <f>+'Capital Str'!G49</f>
        <v>28072750</v>
      </c>
      <c r="R46" s="790"/>
      <c r="S46" s="790"/>
      <c r="T46" s="790"/>
      <c r="U46" s="790"/>
      <c r="V46" s="790"/>
      <c r="W46" s="1445" t="s">
        <v>458</v>
      </c>
      <c r="X46" s="1445"/>
      <c r="Y46" s="800"/>
      <c r="Z46" s="1445" t="s">
        <v>931</v>
      </c>
      <c r="AA46" s="1445"/>
      <c r="AB46" s="800"/>
      <c r="AC46" s="1445" t="s">
        <v>932</v>
      </c>
      <c r="AD46" s="1445"/>
      <c r="AE46" s="800"/>
      <c r="AF46" s="1254" t="s">
        <v>624</v>
      </c>
    </row>
    <row r="47" spans="1:32">
      <c r="J47" s="2">
        <f>J46+1</f>
        <v>15</v>
      </c>
      <c r="K47" s="276" t="s">
        <v>723</v>
      </c>
      <c r="L47" s="276"/>
      <c r="N47" s="180">
        <f>+'Capital Str'!G50</f>
        <v>830500</v>
      </c>
      <c r="R47" s="790"/>
      <c r="S47" s="790"/>
      <c r="T47" s="790"/>
      <c r="U47" s="790"/>
      <c r="V47" s="790"/>
      <c r="W47" s="1444" t="s">
        <v>1233</v>
      </c>
      <c r="X47" s="1444"/>
      <c r="Y47" s="1194"/>
      <c r="Z47" s="1444" t="s">
        <v>1234</v>
      </c>
      <c r="AA47" s="1444"/>
      <c r="AB47" s="834"/>
      <c r="AC47" s="1444" t="s">
        <v>1234</v>
      </c>
      <c r="AD47" s="1444"/>
      <c r="AE47" s="834"/>
      <c r="AF47" s="1188" t="s">
        <v>933</v>
      </c>
    </row>
    <row r="48" spans="1:32">
      <c r="J48" s="2">
        <f>J47+1</f>
        <v>16</v>
      </c>
      <c r="K48" s="280" t="s">
        <v>113</v>
      </c>
      <c r="L48" s="276"/>
      <c r="N48" s="291">
        <f>+'Capital Str'!G51</f>
        <v>28903250</v>
      </c>
      <c r="S48" s="801" t="s">
        <v>934</v>
      </c>
      <c r="W48" s="1255" t="s">
        <v>935</v>
      </c>
      <c r="X48" s="1255" t="s">
        <v>936</v>
      </c>
      <c r="Y48" s="1255"/>
      <c r="Z48" s="1255" t="s">
        <v>937</v>
      </c>
      <c r="AA48" s="1255" t="s">
        <v>938</v>
      </c>
      <c r="AB48" s="1255"/>
      <c r="AC48" s="1255" t="s">
        <v>939</v>
      </c>
      <c r="AD48" s="1255" t="s">
        <v>940</v>
      </c>
      <c r="AE48" s="1255"/>
      <c r="AF48" s="1255" t="s">
        <v>941</v>
      </c>
    </row>
    <row r="49" spans="10:32">
      <c r="K49" s="30"/>
      <c r="L49" s="30"/>
      <c r="N49" s="212"/>
    </row>
    <row r="50" spans="10:32">
      <c r="J50" s="2">
        <f>J48+1</f>
        <v>17</v>
      </c>
      <c r="K50" s="281" t="s">
        <v>519</v>
      </c>
      <c r="L50" s="179"/>
      <c r="N50" s="104">
        <f>+'Capital Str'!G53</f>
        <v>5.2455893909448444E-2</v>
      </c>
      <c r="R50" s="776" t="s">
        <v>942</v>
      </c>
      <c r="S50" s="776" t="s">
        <v>69</v>
      </c>
      <c r="W50" s="780">
        <v>2352292</v>
      </c>
      <c r="X50" s="779">
        <f>W50/W$67</f>
        <v>0.39266724847209306</v>
      </c>
      <c r="Y50" s="779"/>
      <c r="Z50" s="780">
        <v>356074</v>
      </c>
      <c r="AA50" s="779">
        <f>Z50/Z$67</f>
        <v>0.35288008237442903</v>
      </c>
      <c r="AB50" s="779"/>
      <c r="AC50" s="780">
        <v>71745</v>
      </c>
      <c r="AD50" s="779">
        <f>AC50/AC$67</f>
        <v>0.43542778071117749</v>
      </c>
      <c r="AE50" s="779"/>
      <c r="AF50" s="779">
        <f>AVERAGE(X50,AA50,AD50)</f>
        <v>0.39365837051923319</v>
      </c>
    </row>
    <row r="51" spans="10:32">
      <c r="K51" s="280"/>
      <c r="L51" s="30"/>
      <c r="M51" s="212"/>
      <c r="N51" s="212"/>
      <c r="X51" s="779"/>
      <c r="Y51" s="779"/>
      <c r="AA51" s="779"/>
      <c r="AB51" s="779"/>
      <c r="AD51" s="779"/>
      <c r="AE51" s="779"/>
      <c r="AF51" s="779"/>
    </row>
    <row r="52" spans="10:32">
      <c r="K52" s="30"/>
      <c r="L52" s="30"/>
      <c r="M52" s="212"/>
      <c r="N52" s="212"/>
      <c r="R52" s="781" t="s">
        <v>943</v>
      </c>
      <c r="S52" s="776" t="s">
        <v>672</v>
      </c>
      <c r="W52" s="778">
        <v>1513756</v>
      </c>
      <c r="X52" s="779">
        <f>W52/W$67</f>
        <v>0.25269073881053955</v>
      </c>
      <c r="Y52" s="779"/>
      <c r="Z52" s="778">
        <v>342699</v>
      </c>
      <c r="AA52" s="779">
        <f>Z52/Z$67</f>
        <v>0.33962505363950879</v>
      </c>
      <c r="AB52" s="779"/>
      <c r="AC52" s="778">
        <v>14716</v>
      </c>
      <c r="AD52" s="779">
        <f>AC52/AC$67</f>
        <v>8.9312916871498893E-2</v>
      </c>
      <c r="AE52" s="779"/>
      <c r="AF52" s="779">
        <f>AVERAGE(X52,AA52,AD52)</f>
        <v>0.2272095697738491</v>
      </c>
    </row>
    <row r="53" spans="10:32" ht="13.5" thickBot="1">
      <c r="K53" s="283" t="s">
        <v>724</v>
      </c>
      <c r="L53" s="279"/>
      <c r="M53" s="282"/>
      <c r="N53" s="282"/>
      <c r="W53" s="778"/>
      <c r="X53" s="779"/>
      <c r="Y53" s="779"/>
      <c r="Z53" s="778"/>
      <c r="AA53" s="779"/>
      <c r="AB53" s="779"/>
      <c r="AC53" s="778"/>
      <c r="AD53" s="779"/>
      <c r="AE53" s="779"/>
      <c r="AF53" s="779"/>
    </row>
    <row r="54" spans="10:32">
      <c r="J54" s="2">
        <f>J50+1</f>
        <v>18</v>
      </c>
      <c r="K54" s="276" t="s">
        <v>725</v>
      </c>
      <c r="L54" s="276"/>
      <c r="M54" s="180"/>
      <c r="N54" s="180">
        <f>+'Capital Str'!G57</f>
        <v>22974000</v>
      </c>
      <c r="R54" s="781" t="s">
        <v>944</v>
      </c>
      <c r="S54" s="776" t="s">
        <v>1238</v>
      </c>
      <c r="W54" s="778">
        <v>108189</v>
      </c>
      <c r="X54" s="779">
        <f>W54/W$67</f>
        <v>1.8059950441929519E-2</v>
      </c>
      <c r="Y54" s="779"/>
      <c r="Z54" s="778">
        <v>27020</v>
      </c>
      <c r="AA54" s="779">
        <f>Z54/Z$67</f>
        <v>2.6777635620003348E-2</v>
      </c>
      <c r="AB54" s="779"/>
      <c r="AC54" s="778">
        <v>1099</v>
      </c>
      <c r="AD54" s="779">
        <f>AC54/AC$67</f>
        <v>6.6699439821811144E-3</v>
      </c>
      <c r="AE54" s="779"/>
      <c r="AF54" s="779">
        <f>AVERAGE(X54,AA54,AD54)</f>
        <v>1.7169176681371325E-2</v>
      </c>
    </row>
    <row r="55" spans="10:32">
      <c r="J55" s="2">
        <f>J54+1</f>
        <v>19</v>
      </c>
      <c r="K55" s="276" t="s">
        <v>726</v>
      </c>
      <c r="L55" s="276"/>
      <c r="N55" s="180">
        <f>+'Capital Str'!G58</f>
        <v>279453000</v>
      </c>
      <c r="R55" s="781"/>
      <c r="W55" s="778"/>
      <c r="X55" s="779"/>
      <c r="Y55" s="779"/>
      <c r="Z55" s="778"/>
      <c r="AA55" s="779"/>
      <c r="AB55" s="779"/>
      <c r="AC55" s="778"/>
      <c r="AD55" s="779"/>
      <c r="AE55" s="779"/>
      <c r="AF55" s="779"/>
    </row>
    <row r="56" spans="10:32">
      <c r="J56" s="2">
        <f>J55+1</f>
        <v>20</v>
      </c>
      <c r="K56" s="276" t="s">
        <v>727</v>
      </c>
      <c r="L56" s="276"/>
      <c r="N56" s="180">
        <f>'Capital Str'!G59</f>
        <v>296085000</v>
      </c>
      <c r="R56" s="781" t="s">
        <v>945</v>
      </c>
      <c r="S56" s="777" t="s">
        <v>1239</v>
      </c>
      <c r="W56" s="780">
        <v>66430</v>
      </c>
      <c r="X56" s="779">
        <f>W56/W$67</f>
        <v>1.1089135751854421E-2</v>
      </c>
      <c r="Y56" s="779"/>
      <c r="Z56" s="780">
        <v>16154</v>
      </c>
      <c r="AA56" s="779">
        <f>Z56/Z$67</f>
        <v>1.600910162122628E-2</v>
      </c>
      <c r="AB56" s="779"/>
      <c r="AC56" s="780">
        <v>1934</v>
      </c>
      <c r="AD56" s="779">
        <f>AC56/AC$67</f>
        <v>1.1737644823965674E-2</v>
      </c>
      <c r="AE56" s="779"/>
      <c r="AF56" s="779">
        <f>AVERAGE(X56,AA56,AD56)</f>
        <v>1.2945294065682124E-2</v>
      </c>
    </row>
    <row r="57" spans="10:32">
      <c r="J57" s="2">
        <f>J56+1</f>
        <v>21</v>
      </c>
      <c r="K57" s="281" t="s">
        <v>728</v>
      </c>
      <c r="L57" s="276"/>
      <c r="N57" s="291">
        <f>+'Capital Str'!G60</f>
        <v>598512000</v>
      </c>
      <c r="R57" s="781"/>
      <c r="W57" s="778"/>
      <c r="X57" s="779"/>
      <c r="Y57" s="779"/>
      <c r="Z57" s="778"/>
      <c r="AA57" s="779"/>
      <c r="AB57" s="779"/>
      <c r="AC57" s="778"/>
      <c r="AD57" s="779"/>
      <c r="AE57" s="779"/>
      <c r="AF57" s="779"/>
    </row>
    <row r="58" spans="10:32" ht="13.5" thickBot="1">
      <c r="K58" s="284"/>
      <c r="L58" s="284"/>
      <c r="M58" s="285"/>
      <c r="N58" s="285"/>
      <c r="R58" s="781" t="s">
        <v>946</v>
      </c>
      <c r="S58" s="776" t="s">
        <v>1240</v>
      </c>
      <c r="W58" s="778">
        <v>1846909</v>
      </c>
      <c r="X58" s="779">
        <f>W58/W$67</f>
        <v>0.30830384799520844</v>
      </c>
      <c r="Y58" s="779"/>
      <c r="Z58" s="778">
        <v>254214</v>
      </c>
      <c r="AA58" s="779">
        <f>Z58/Z$67</f>
        <v>0.25193374765001969</v>
      </c>
      <c r="AB58" s="779"/>
      <c r="AC58" s="778">
        <v>27142</v>
      </c>
      <c r="AD58" s="779">
        <f>AC58/AC$67</f>
        <v>0.16472758832061857</v>
      </c>
      <c r="AE58" s="779"/>
      <c r="AF58" s="779">
        <f>AVERAGE(X58,AA58,AD58)</f>
        <v>0.24165506132194889</v>
      </c>
    </row>
    <row r="59" spans="10:32" ht="13.5" thickTop="1">
      <c r="K59" s="281"/>
      <c r="L59" s="276"/>
      <c r="M59" s="180"/>
      <c r="N59" s="180"/>
      <c r="R59" s="781"/>
      <c r="S59" s="776"/>
      <c r="W59" s="778"/>
      <c r="X59" s="779"/>
      <c r="Y59" s="779"/>
      <c r="Z59" s="778"/>
      <c r="AA59" s="779"/>
      <c r="AB59" s="779"/>
      <c r="AC59" s="778"/>
      <c r="AD59" s="779"/>
      <c r="AE59" s="779"/>
      <c r="AF59" s="779"/>
    </row>
    <row r="60" spans="10:32">
      <c r="J60" s="2">
        <f>J57+1</f>
        <v>22</v>
      </c>
      <c r="K60" s="281" t="s">
        <v>729</v>
      </c>
      <c r="L60" s="276"/>
      <c r="M60" s="119"/>
      <c r="N60" s="201">
        <f>+'Capital Str'!G63</f>
        <v>1149513000</v>
      </c>
      <c r="R60" s="781" t="s">
        <v>1235</v>
      </c>
      <c r="S60" s="776" t="s">
        <v>947</v>
      </c>
      <c r="W60" s="778">
        <v>9779</v>
      </c>
      <c r="X60" s="779">
        <f>W60/W$67</f>
        <v>1.6324049152097605E-3</v>
      </c>
      <c r="Y60" s="779"/>
      <c r="Z60" s="778">
        <v>11197</v>
      </c>
      <c r="AA60" s="779">
        <f>Z60/Z$67</f>
        <v>1.1096564990273039E-2</v>
      </c>
      <c r="AB60" s="779"/>
      <c r="AC60" s="778">
        <v>3432</v>
      </c>
      <c r="AD60" s="779">
        <f>AC60/AC$67</f>
        <v>2.0829160825155218E-2</v>
      </c>
      <c r="AE60" s="779"/>
      <c r="AF60" s="779">
        <f>AVERAGE(X60,AA60,AD60)</f>
        <v>1.1186043576879337E-2</v>
      </c>
    </row>
    <row r="61" spans="10:32">
      <c r="K61" s="30"/>
      <c r="L61" s="30"/>
      <c r="M61" s="212"/>
      <c r="R61" s="781"/>
      <c r="S61" s="776"/>
      <c r="W61" s="778"/>
      <c r="X61" s="779"/>
      <c r="Y61" s="779"/>
      <c r="Z61" s="778"/>
      <c r="AA61" s="779"/>
      <c r="AB61" s="779"/>
      <c r="AC61" s="778"/>
      <c r="AD61" s="779"/>
      <c r="AE61" s="779"/>
      <c r="AF61" s="779"/>
    </row>
    <row r="62" spans="10:32">
      <c r="R62" s="781" t="s">
        <v>1236</v>
      </c>
      <c r="S62" s="776" t="s">
        <v>1152</v>
      </c>
      <c r="W62" s="778">
        <v>34316</v>
      </c>
      <c r="X62" s="779">
        <f>W62/W$67</f>
        <v>5.7283574056997792E-3</v>
      </c>
      <c r="Y62" s="779"/>
      <c r="Z62" s="778">
        <v>1693</v>
      </c>
      <c r="AA62" s="779">
        <f>Z62/Z$67</f>
        <v>1.6778141045398101E-3</v>
      </c>
      <c r="AB62" s="779"/>
      <c r="AC62" s="778">
        <v>1114</v>
      </c>
      <c r="AD62" s="779">
        <f>AC62/AC$67</f>
        <v>6.7609805242491005E-3</v>
      </c>
      <c r="AE62" s="779"/>
      <c r="AF62" s="779">
        <f>AVERAGE(X62,AA62,AD62)</f>
        <v>4.7223840114962298E-3</v>
      </c>
    </row>
    <row r="63" spans="10:32">
      <c r="R63" s="781"/>
      <c r="S63" s="776"/>
      <c r="W63" s="778"/>
      <c r="X63" s="779"/>
      <c r="Y63" s="779"/>
      <c r="Z63" s="778"/>
      <c r="AA63" s="779"/>
      <c r="AB63" s="779"/>
      <c r="AC63" s="778"/>
      <c r="AD63" s="779"/>
      <c r="AE63" s="779"/>
      <c r="AF63" s="779"/>
    </row>
    <row r="64" spans="10:32">
      <c r="R64" s="781" t="s">
        <v>1237</v>
      </c>
      <c r="S64" s="776" t="s">
        <v>1243</v>
      </c>
      <c r="W64" s="778">
        <v>58877</v>
      </c>
      <c r="X64" s="779">
        <f>W64/W$67</f>
        <v>9.8283162074654946E-3</v>
      </c>
      <c r="Y64" s="779"/>
      <c r="Z64" s="778">
        <v>0</v>
      </c>
      <c r="AA64" s="779">
        <f>Z64/Z$67</f>
        <v>0</v>
      </c>
      <c r="AB64" s="779"/>
      <c r="AC64" s="778">
        <v>43587</v>
      </c>
      <c r="AD64" s="779">
        <f>AC64/AC$67</f>
        <v>0.26453398394115396</v>
      </c>
      <c r="AE64" s="779"/>
      <c r="AF64" s="779">
        <f>AVERAGE(X64,AA64,AD64)</f>
        <v>9.1454100049539813E-2</v>
      </c>
    </row>
    <row r="65" spans="18:32">
      <c r="R65" s="781"/>
      <c r="S65" s="781"/>
      <c r="W65" s="778"/>
      <c r="X65" s="779"/>
      <c r="Y65" s="779"/>
      <c r="Z65" s="778"/>
      <c r="AA65" s="779"/>
      <c r="AB65" s="779"/>
      <c r="AC65" s="782"/>
      <c r="AD65" s="783"/>
      <c r="AE65" s="779"/>
      <c r="AF65" s="779"/>
    </row>
    <row r="66" spans="18:32">
      <c r="W66" s="784"/>
      <c r="X66" s="785"/>
      <c r="Y66" s="785"/>
      <c r="Z66" s="784"/>
      <c r="AA66" s="785"/>
      <c r="AB66" s="785"/>
      <c r="AC66" s="786"/>
      <c r="AD66" s="787"/>
      <c r="AE66" s="785"/>
      <c r="AF66" s="785"/>
    </row>
    <row r="67" spans="18:32">
      <c r="R67" s="788" t="s">
        <v>1242</v>
      </c>
      <c r="S67" s="789" t="s">
        <v>948</v>
      </c>
      <c r="T67" s="790"/>
      <c r="U67" s="790"/>
      <c r="V67" s="790"/>
      <c r="W67" s="791">
        <f>SUM(W50:W65)</f>
        <v>5990548</v>
      </c>
      <c r="X67" s="1256">
        <f>SUM(X50:X65)</f>
        <v>1</v>
      </c>
      <c r="Y67" s="783"/>
      <c r="Z67" s="791">
        <f>SUM(Z50:Z65)</f>
        <v>1009051</v>
      </c>
      <c r="AA67" s="1256">
        <f>SUM(AA50:AA65)</f>
        <v>0.99999999999999989</v>
      </c>
      <c r="AB67" s="783"/>
      <c r="AC67" s="791">
        <f>SUM(AC50:AC65)</f>
        <v>164769</v>
      </c>
      <c r="AD67" s="1256">
        <f>SUM(AD50:AD65)</f>
        <v>1</v>
      </c>
      <c r="AE67" s="783"/>
      <c r="AF67" s="1262">
        <f>AVERAGE(X67,AA67,AD67)</f>
        <v>1</v>
      </c>
    </row>
    <row r="68" spans="18:32" ht="13.5" thickBot="1">
      <c r="W68" s="792"/>
      <c r="X68" s="792"/>
      <c r="Y68" s="792"/>
      <c r="Z68" s="792"/>
      <c r="AA68" s="792"/>
      <c r="AB68" s="792"/>
      <c r="AC68" s="792"/>
      <c r="AD68" s="792"/>
      <c r="AE68" s="792"/>
      <c r="AF68" s="792"/>
    </row>
    <row r="69" spans="18:32" ht="13.5" thickTop="1"/>
    <row r="70" spans="18:32">
      <c r="R70" s="793" t="s">
        <v>949</v>
      </c>
      <c r="W70" s="780"/>
      <c r="Z70" s="794"/>
      <c r="AA70" s="794"/>
      <c r="AB70" s="794"/>
      <c r="AC70" s="794"/>
      <c r="AD70" s="794"/>
      <c r="AE70" s="794"/>
      <c r="AF70" s="794"/>
    </row>
    <row r="71" spans="18:32"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8:32"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8:32"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8:32"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8:32"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8:32"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8:32"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8:32">
      <c r="Z78" s="802"/>
      <c r="AA78" s="802"/>
      <c r="AB78" s="802"/>
      <c r="AC78" s="802"/>
    </row>
  </sheetData>
  <mergeCells count="26">
    <mergeCell ref="R2:AF2"/>
    <mergeCell ref="R3:AF3"/>
    <mergeCell ref="R4:AF4"/>
    <mergeCell ref="R5:AF5"/>
    <mergeCell ref="R6:AF6"/>
    <mergeCell ref="R7:AF7"/>
    <mergeCell ref="Z11:AA11"/>
    <mergeCell ref="W12:X12"/>
    <mergeCell ref="Z12:AA12"/>
    <mergeCell ref="AC12:AD12"/>
    <mergeCell ref="W13:X13"/>
    <mergeCell ref="Z13:AA13"/>
    <mergeCell ref="AC13:AD13"/>
    <mergeCell ref="R36:AF36"/>
    <mergeCell ref="R37:AF37"/>
    <mergeCell ref="R38:AF38"/>
    <mergeCell ref="R39:AF39"/>
    <mergeCell ref="R40:AF40"/>
    <mergeCell ref="R41:AF41"/>
    <mergeCell ref="Z45:AA45"/>
    <mergeCell ref="W47:X47"/>
    <mergeCell ref="Z47:AA47"/>
    <mergeCell ref="AC47:AD47"/>
    <mergeCell ref="W46:X46"/>
    <mergeCell ref="Z46:AA46"/>
    <mergeCell ref="AC46:AD46"/>
  </mergeCells>
  <phoneticPr fontId="0" type="noConversion"/>
  <printOptions horizontalCentered="1"/>
  <pageMargins left="0.75" right="0.75" top="1" bottom="1" header="0.5" footer="0.5"/>
  <pageSetup scale="8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defaultSize="0" print="0" autoFill="0" autoPict="0" macro="[0]!Macro5">
                <anchor moveWithCells="1" sizeWithCells="1">
                  <from>
                    <xdr:col>0</xdr:col>
                    <xdr:colOff>171450</xdr:colOff>
                    <xdr:row>0</xdr:row>
                    <xdr:rowOff>57150</xdr:rowOff>
                  </from>
                  <to>
                    <xdr:col>0</xdr:col>
                    <xdr:colOff>600075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V1763"/>
  <sheetViews>
    <sheetView topLeftCell="A10" workbookViewId="0">
      <pane ySplit="2100" topLeftCell="A835" activePane="bottomLeft"/>
      <selection activeCell="K1" sqref="K1:K1048576"/>
      <selection pane="bottomLeft" activeCell="J9" sqref="J1:R9"/>
    </sheetView>
  </sheetViews>
  <sheetFormatPr defaultRowHeight="12.75"/>
  <cols>
    <col min="1" max="1" width="7.28515625" customWidth="1"/>
    <col min="2" max="2" width="5.7109375" customWidth="1"/>
    <col min="3" max="3" width="33.85546875" customWidth="1"/>
    <col min="4" max="4" width="28.7109375" hidden="1" customWidth="1"/>
    <col min="5" max="5" width="16.140625" hidden="1" customWidth="1"/>
    <col min="6" max="7" width="16.28515625" customWidth="1"/>
    <col min="8" max="8" width="15.140625" customWidth="1"/>
    <col min="9" max="9" width="14.42578125" customWidth="1"/>
    <col min="10" max="10" width="19" customWidth="1"/>
    <col min="11" max="11" width="12.140625" customWidth="1"/>
    <col min="12" max="12" width="15.5703125" customWidth="1"/>
    <col min="13" max="13" width="12.7109375" customWidth="1"/>
    <col min="14" max="14" width="14.42578125" customWidth="1"/>
    <col min="15" max="15" width="14.85546875" customWidth="1"/>
    <col min="16" max="16" width="18.28515625" customWidth="1"/>
    <col min="17" max="17" width="20.5703125" customWidth="1"/>
    <col min="18" max="18" width="19" customWidth="1"/>
    <col min="19" max="19" width="17.7109375" customWidth="1"/>
    <col min="20" max="20" width="5" customWidth="1"/>
    <col min="21" max="22" width="15" customWidth="1"/>
    <col min="24" max="54" width="16.28515625" customWidth="1"/>
    <col min="56" max="56" width="18.140625" bestFit="1" customWidth="1"/>
    <col min="57" max="57" width="20" bestFit="1" customWidth="1"/>
    <col min="58" max="58" width="18.85546875" bestFit="1" customWidth="1"/>
    <col min="59" max="59" width="20.140625" bestFit="1" customWidth="1"/>
    <col min="60" max="60" width="31.42578125" bestFit="1" customWidth="1"/>
    <col min="61" max="61" width="31.5703125" bestFit="1" customWidth="1"/>
    <col min="62" max="62" width="19.7109375" bestFit="1" customWidth="1"/>
    <col min="63" max="63" width="7.7109375" bestFit="1" customWidth="1"/>
    <col min="64" max="64" width="27.85546875" bestFit="1" customWidth="1"/>
    <col min="65" max="65" width="25" bestFit="1" customWidth="1"/>
    <col min="66" max="66" width="19.5703125" bestFit="1" customWidth="1"/>
    <col min="67" max="67" width="21.42578125" bestFit="1" customWidth="1"/>
    <col min="68" max="68" width="27.28515625" bestFit="1" customWidth="1"/>
    <col min="69" max="69" width="26.7109375" bestFit="1" customWidth="1"/>
    <col min="70" max="70" width="22.5703125" bestFit="1" customWidth="1"/>
    <col min="71" max="71" width="29.5703125" bestFit="1" customWidth="1"/>
    <col min="72" max="72" width="26.85546875" bestFit="1" customWidth="1"/>
    <col min="73" max="73" width="28.5703125" bestFit="1" customWidth="1"/>
    <col min="74" max="74" width="19.140625" bestFit="1" customWidth="1"/>
    <col min="75" max="75" width="21.42578125" bestFit="1" customWidth="1"/>
    <col min="76" max="76" width="26.7109375" bestFit="1" customWidth="1"/>
    <col min="77" max="77" width="20.7109375" bestFit="1" customWidth="1"/>
    <col min="78" max="78" width="20" bestFit="1" customWidth="1"/>
    <col min="79" max="79" width="21" bestFit="1" customWidth="1"/>
    <col min="80" max="80" width="20" customWidth="1"/>
    <col min="81" max="81" width="34" bestFit="1" customWidth="1"/>
    <col min="82" max="82" width="24.28515625" bestFit="1" customWidth="1"/>
    <col min="89" max="89" width="12.28515625" bestFit="1" customWidth="1"/>
  </cols>
  <sheetData>
    <row r="1" spans="1:22">
      <c r="A1" s="14" t="str">
        <f>'Control Panel'!$B$1</f>
        <v>Dominion Energy</v>
      </c>
      <c r="B1" s="2"/>
      <c r="C1" s="2"/>
      <c r="D1" s="2"/>
      <c r="E1" s="2"/>
      <c r="F1" s="8">
        <f>IF(F8="Y",1,0)</f>
        <v>1</v>
      </c>
      <c r="G1" s="8">
        <f t="shared" ref="G1:I1" si="0">IF(G8="Y",1,0)</f>
        <v>1</v>
      </c>
      <c r="H1" s="8">
        <f t="shared" si="0"/>
        <v>1</v>
      </c>
      <c r="I1" s="8">
        <f t="shared" si="0"/>
        <v>1</v>
      </c>
      <c r="J1" s="8">
        <f>IF(J8="Y",1,0)</f>
        <v>1</v>
      </c>
      <c r="K1" s="8">
        <f t="shared" ref="K1:R1" si="1">IF(K8="Y",1,0)</f>
        <v>1</v>
      </c>
      <c r="L1" s="8">
        <f t="shared" si="1"/>
        <v>1</v>
      </c>
      <c r="M1" s="8">
        <f t="shared" si="1"/>
        <v>1</v>
      </c>
      <c r="N1" s="8">
        <f t="shared" si="1"/>
        <v>1</v>
      </c>
      <c r="O1" s="8">
        <f t="shared" si="1"/>
        <v>1</v>
      </c>
      <c r="P1" s="8">
        <f t="shared" si="1"/>
        <v>1</v>
      </c>
      <c r="Q1" s="8">
        <f t="shared" si="1"/>
        <v>1</v>
      </c>
      <c r="R1" s="8">
        <f t="shared" si="1"/>
        <v>1</v>
      </c>
      <c r="S1" s="373"/>
      <c r="T1" s="8"/>
      <c r="U1" s="373"/>
      <c r="V1" s="373"/>
    </row>
    <row r="2" spans="1:22">
      <c r="A2" s="14" t="str">
        <f>'Control Panel'!$B$2</f>
        <v>Utah - Dec 2017 Adjusted Avg Results</v>
      </c>
      <c r="B2" s="653"/>
      <c r="C2" s="653"/>
      <c r="D2" s="2"/>
      <c r="E2" s="65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84"/>
      <c r="T2" s="2"/>
      <c r="U2" s="84"/>
      <c r="V2" s="84"/>
    </row>
    <row r="3" spans="1:22">
      <c r="A3" s="14" t="str">
        <f>'Control Panel'!$B$3</f>
        <v>12 Months Ended : Dec-2017</v>
      </c>
      <c r="B3" s="653"/>
      <c r="C3" s="653"/>
      <c r="D3" s="2"/>
      <c r="E3" s="653"/>
      <c r="F3" s="115"/>
      <c r="G3" s="1005"/>
      <c r="H3" s="991"/>
      <c r="I3" s="991"/>
      <c r="J3" s="1242"/>
      <c r="K3" s="1403"/>
      <c r="L3" s="1403"/>
      <c r="M3" s="1403"/>
      <c r="N3" s="1403"/>
      <c r="O3" s="1403"/>
      <c r="P3" s="1403"/>
      <c r="Q3" s="1403"/>
      <c r="R3" s="1403"/>
      <c r="S3" s="374"/>
      <c r="T3" s="115"/>
      <c r="U3" s="374"/>
      <c r="V3" s="374"/>
    </row>
    <row r="4" spans="1:22">
      <c r="A4" s="368" t="s">
        <v>894</v>
      </c>
      <c r="B4" s="357"/>
      <c r="C4" s="357"/>
      <c r="D4" s="68"/>
      <c r="E4" s="65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654"/>
      <c r="T4" s="2"/>
      <c r="U4" s="654"/>
      <c r="V4" s="654"/>
    </row>
    <row r="5" spans="1:22">
      <c r="A5" s="321"/>
      <c r="B5" s="357"/>
      <c r="C5" s="583"/>
      <c r="D5" s="2"/>
      <c r="E5" s="357"/>
      <c r="F5" s="115"/>
      <c r="G5" s="1005"/>
      <c r="H5" s="991"/>
      <c r="I5" s="991"/>
      <c r="J5" s="1242"/>
      <c r="K5" s="1403"/>
      <c r="L5" s="1403"/>
      <c r="M5" s="1403"/>
      <c r="N5" s="1403"/>
      <c r="O5" s="1403"/>
      <c r="P5" s="1403"/>
      <c r="Q5" s="1403"/>
      <c r="R5" s="1403"/>
      <c r="S5" s="654"/>
      <c r="T5" s="583"/>
      <c r="U5" s="654"/>
      <c r="V5" s="654"/>
    </row>
    <row r="6" spans="1:22">
      <c r="A6" s="380"/>
      <c r="B6" s="357"/>
      <c r="C6" s="357"/>
      <c r="D6" s="7"/>
      <c r="E6" s="357"/>
      <c r="F6" s="115">
        <v>1</v>
      </c>
      <c r="G6" s="1242">
        <v>2</v>
      </c>
      <c r="H6" s="1242">
        <v>3</v>
      </c>
      <c r="I6" s="1242">
        <v>4</v>
      </c>
      <c r="J6" s="1367">
        <v>5</v>
      </c>
      <c r="K6" s="1403">
        <v>6</v>
      </c>
      <c r="L6" s="1403">
        <v>7</v>
      </c>
      <c r="M6" s="1403">
        <v>8</v>
      </c>
      <c r="N6" s="1403">
        <v>9</v>
      </c>
      <c r="O6" s="1403">
        <v>10</v>
      </c>
      <c r="P6" s="1403">
        <v>11</v>
      </c>
      <c r="Q6" s="1403">
        <v>12</v>
      </c>
      <c r="R6" s="1403">
        <v>13</v>
      </c>
      <c r="S6" s="358"/>
      <c r="T6" s="115"/>
      <c r="U6" s="358"/>
      <c r="V6" s="358"/>
    </row>
    <row r="7" spans="1:22" ht="15.75">
      <c r="A7" s="182"/>
      <c r="B7" s="653"/>
      <c r="C7" s="653"/>
      <c r="D7" s="2"/>
      <c r="E7" s="183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374"/>
      <c r="T7" s="115"/>
      <c r="U7" s="374"/>
      <c r="V7" s="374"/>
    </row>
    <row r="8" spans="1:22" ht="12.75" customHeight="1">
      <c r="A8" s="184"/>
      <c r="B8" s="653"/>
      <c r="C8" s="653"/>
      <c r="D8" s="2"/>
      <c r="E8" s="655"/>
      <c r="F8" s="8" t="str">
        <f>VLOOKUP(F$6,'Control Panel'!$A$8:$F$56,5)</f>
        <v>Y</v>
      </c>
      <c r="G8" s="8" t="str">
        <f>VLOOKUP(G$6,'Control Panel'!$A$8:$F$56,5)</f>
        <v>Y</v>
      </c>
      <c r="H8" s="8" t="str">
        <f>VLOOKUP(H$6,'Control Panel'!$A$8:$F$56,5)</f>
        <v>Y</v>
      </c>
      <c r="I8" s="8" t="str">
        <f>VLOOKUP(I$6,'Control Panel'!$A$8:$F$56,5)</f>
        <v>Y</v>
      </c>
      <c r="J8" s="8" t="str">
        <f>VLOOKUP(J$6,'Control Panel'!$A$8:$F$56,5)</f>
        <v>Y</v>
      </c>
      <c r="K8" s="8" t="str">
        <f>VLOOKUP(K$6,'Control Panel'!$A$8:$F$56,5)</f>
        <v>Y</v>
      </c>
      <c r="L8" s="8" t="str">
        <f>VLOOKUP(L$6,'Control Panel'!$A$8:$F$56,5)</f>
        <v>Y</v>
      </c>
      <c r="M8" s="8" t="str">
        <f>VLOOKUP(M$6,'Control Panel'!$A$8:$F$56,5)</f>
        <v>Y</v>
      </c>
      <c r="N8" s="8" t="str">
        <f>VLOOKUP(N$6,'Control Panel'!$A$8:$F$56,5)</f>
        <v>Y</v>
      </c>
      <c r="O8" s="8" t="str">
        <f>VLOOKUP(O$6,'Control Panel'!$A$8:$F$56,5)</f>
        <v>Y</v>
      </c>
      <c r="P8" s="8" t="str">
        <f>VLOOKUP(P$6,'Control Panel'!$A$8:$F$56,5)</f>
        <v>Y</v>
      </c>
      <c r="Q8" s="8" t="str">
        <f>VLOOKUP(Q$6,'Control Panel'!$A$8:$F$56,5)</f>
        <v>Y</v>
      </c>
      <c r="R8" s="8" t="str">
        <f>VLOOKUP(R$6,'Control Panel'!$A$8:$F$56,5)</f>
        <v>Y</v>
      </c>
      <c r="S8" s="373"/>
      <c r="T8" s="8"/>
      <c r="U8" s="373"/>
      <c r="V8" s="373"/>
    </row>
    <row r="9" spans="1:22" ht="66" customHeight="1" thickBot="1">
      <c r="A9" s="185" t="s">
        <v>828</v>
      </c>
      <c r="B9" s="186"/>
      <c r="C9" s="185" t="s">
        <v>829</v>
      </c>
      <c r="D9" s="2"/>
      <c r="E9" s="187"/>
      <c r="F9" s="188" t="str">
        <f t="shared" ref="F9:I9" si="2">VLOOKUP(F$6,Adjustments,2)</f>
        <v>AVG RB DEC 2017</v>
      </c>
      <c r="G9" s="188" t="str">
        <f t="shared" si="2"/>
        <v>Energy Efficiency Services Adjustment</v>
      </c>
      <c r="H9" s="188" t="str">
        <f t="shared" si="2"/>
        <v>Underground Storage</v>
      </c>
      <c r="I9" s="188" t="str">
        <f t="shared" si="2"/>
        <v>Wexpro</v>
      </c>
      <c r="J9" s="188" t="str">
        <f t="shared" ref="J9:R9" si="3">VLOOKUP(J$6,Adjustments,2)</f>
        <v>Transition Costs</v>
      </c>
      <c r="K9" s="188" t="str">
        <f t="shared" si="3"/>
        <v>Corp Overhead Adj</v>
      </c>
      <c r="L9" s="188" t="str">
        <f t="shared" si="3"/>
        <v>Bad Debt</v>
      </c>
      <c r="M9" s="188" t="str">
        <f t="shared" si="3"/>
        <v xml:space="preserve"> Incentives</v>
      </c>
      <c r="N9" s="188" t="str">
        <f t="shared" si="3"/>
        <v xml:space="preserve"> Sporting Events </v>
      </c>
      <c r="O9" s="188" t="str">
        <f t="shared" si="3"/>
        <v xml:space="preserve"> Advertising </v>
      </c>
      <c r="P9" s="188" t="str">
        <f t="shared" si="3"/>
        <v xml:space="preserve"> Don &amp; Membership </v>
      </c>
      <c r="Q9" s="188" t="str">
        <f t="shared" si="3"/>
        <v xml:space="preserve"> Reserve accrual </v>
      </c>
      <c r="R9" s="188" t="str">
        <f t="shared" si="3"/>
        <v xml:space="preserve"> Labor Adj </v>
      </c>
      <c r="S9" s="188" t="s">
        <v>1569</v>
      </c>
      <c r="T9" s="188"/>
      <c r="U9" s="188" t="s">
        <v>893</v>
      </c>
      <c r="V9" s="188" t="s">
        <v>892</v>
      </c>
    </row>
    <row r="10" spans="1:22">
      <c r="A10" s="119" t="s">
        <v>830</v>
      </c>
      <c r="B10" s="119"/>
      <c r="C10" s="119"/>
      <c r="D10" s="119"/>
      <c r="E10" s="656"/>
      <c r="F10" s="357"/>
      <c r="G10" s="357"/>
      <c r="H10" s="357"/>
      <c r="I10" s="357"/>
      <c r="J10" s="390"/>
      <c r="K10" s="390"/>
      <c r="L10" s="357"/>
      <c r="M10" s="357"/>
      <c r="N10" s="357"/>
      <c r="O10" s="357"/>
      <c r="P10" s="357"/>
      <c r="Q10" s="390"/>
      <c r="R10" s="390"/>
      <c r="S10" s="657"/>
      <c r="T10" s="357"/>
      <c r="U10" s="657"/>
      <c r="V10" s="657"/>
    </row>
    <row r="11" spans="1:22">
      <c r="A11" s="119" t="s">
        <v>12</v>
      </c>
      <c r="B11" s="119"/>
      <c r="C11" s="119"/>
      <c r="D11" s="119"/>
      <c r="E11" s="656"/>
      <c r="F11" s="357"/>
      <c r="G11" s="357"/>
      <c r="H11" s="357"/>
      <c r="I11" s="357"/>
      <c r="J11" s="390"/>
      <c r="K11" s="390"/>
      <c r="L11" s="357"/>
      <c r="M11" s="357"/>
      <c r="N11" s="357"/>
      <c r="O11" s="357"/>
      <c r="P11" s="357"/>
      <c r="Q11" s="390"/>
      <c r="R11" s="390"/>
      <c r="S11" s="657"/>
      <c r="T11" s="357"/>
      <c r="U11" s="657"/>
      <c r="V11" s="657"/>
    </row>
    <row r="12" spans="1:22">
      <c r="A12" s="119"/>
      <c r="B12" s="119"/>
      <c r="C12" s="119"/>
      <c r="D12" s="119"/>
      <c r="E12" s="656"/>
      <c r="F12" s="357"/>
      <c r="G12" s="357"/>
      <c r="H12" s="357"/>
      <c r="I12" s="357"/>
      <c r="J12" s="390"/>
      <c r="K12" s="390"/>
      <c r="L12" s="357"/>
      <c r="M12" s="357"/>
      <c r="N12" s="357"/>
      <c r="O12" s="357"/>
      <c r="P12" s="357"/>
      <c r="Q12" s="390"/>
      <c r="R12" s="390"/>
      <c r="S12" s="657"/>
      <c r="T12" s="357"/>
      <c r="U12" s="657"/>
      <c r="V12" s="657"/>
    </row>
    <row r="13" spans="1:22">
      <c r="A13" s="119"/>
      <c r="B13" s="119"/>
      <c r="C13" s="119"/>
      <c r="D13" s="119"/>
      <c r="E13" s="656"/>
      <c r="F13" s="357"/>
      <c r="G13" s="357"/>
      <c r="H13" s="357"/>
      <c r="I13" s="357"/>
      <c r="J13" s="390"/>
      <c r="K13" s="390"/>
      <c r="L13" s="357"/>
      <c r="M13" s="357"/>
      <c r="N13" s="357"/>
      <c r="O13" s="357"/>
      <c r="P13" s="357"/>
      <c r="Q13" s="390"/>
      <c r="R13" s="390"/>
      <c r="S13" s="657"/>
      <c r="T13" s="357"/>
      <c r="U13" s="657"/>
      <c r="V13" s="657"/>
    </row>
    <row r="14" spans="1:22" ht="15.75">
      <c r="A14" s="182"/>
      <c r="B14" s="653"/>
      <c r="C14" s="653"/>
      <c r="D14" s="2"/>
      <c r="E14" s="183"/>
      <c r="F14" s="115"/>
      <c r="G14" s="1005"/>
      <c r="H14" s="115"/>
      <c r="I14" s="115"/>
      <c r="J14" s="115"/>
      <c r="K14" s="1388"/>
      <c r="L14" s="115"/>
      <c r="M14" s="115"/>
      <c r="N14" s="115"/>
      <c r="O14" s="115"/>
      <c r="P14" s="115"/>
      <c r="Q14" s="115"/>
      <c r="R14" s="1119"/>
      <c r="S14" s="374"/>
      <c r="T14" s="115"/>
      <c r="U14" s="374"/>
      <c r="V14" s="374"/>
    </row>
    <row r="15" spans="1:22">
      <c r="A15" s="189" t="s">
        <v>13</v>
      </c>
      <c r="B15" s="658"/>
      <c r="C15" s="653"/>
      <c r="D15" s="659"/>
      <c r="E15" s="656"/>
      <c r="F15" s="357"/>
      <c r="G15" s="357"/>
      <c r="H15" s="357"/>
      <c r="I15" s="357"/>
      <c r="J15" s="390"/>
      <c r="K15" s="390"/>
      <c r="L15" s="357"/>
      <c r="M15" s="357"/>
      <c r="N15" s="357"/>
      <c r="O15" s="357"/>
      <c r="P15" s="357"/>
      <c r="Q15" s="390"/>
      <c r="R15" s="390"/>
      <c r="S15" s="657"/>
      <c r="T15" s="357"/>
      <c r="U15" s="657"/>
      <c r="V15" s="657"/>
    </row>
    <row r="16" spans="1:22">
      <c r="A16" s="660"/>
      <c r="B16" s="365" t="s">
        <v>882</v>
      </c>
      <c r="C16" s="365" t="s">
        <v>15</v>
      </c>
      <c r="D16" s="659"/>
      <c r="E16" s="656"/>
      <c r="F16" s="357"/>
      <c r="G16" s="357">
        <f>G1*Revenue!$I$15</f>
        <v>0</v>
      </c>
      <c r="H16" s="357"/>
      <c r="I16" s="357"/>
      <c r="J16" s="390"/>
      <c r="K16" s="390"/>
      <c r="L16" s="357"/>
      <c r="M16" s="357"/>
      <c r="N16" s="357"/>
      <c r="O16" s="357"/>
      <c r="P16" s="357"/>
      <c r="Q16" s="390"/>
      <c r="R16" s="390"/>
      <c r="S16" s="657">
        <f>SUM(F16:R16)</f>
        <v>0</v>
      </c>
      <c r="T16" s="357"/>
      <c r="U16" s="657">
        <f>SUM(S16:S16)</f>
        <v>0</v>
      </c>
      <c r="V16" s="657">
        <f>+U16-'ROR-Model'!G16</f>
        <v>0</v>
      </c>
    </row>
    <row r="17" spans="1:22">
      <c r="A17" s="660"/>
      <c r="B17" s="365"/>
      <c r="C17" s="365"/>
      <c r="D17" s="659"/>
      <c r="E17" s="656"/>
      <c r="F17" s="357"/>
      <c r="G17" s="357"/>
      <c r="H17" s="357"/>
      <c r="I17" s="357"/>
      <c r="J17" s="390"/>
      <c r="K17" s="390"/>
      <c r="L17" s="357"/>
      <c r="M17" s="357"/>
      <c r="N17" s="357"/>
      <c r="O17" s="357"/>
      <c r="P17" s="357"/>
      <c r="Q17" s="390"/>
      <c r="R17" s="390"/>
      <c r="S17" s="657"/>
      <c r="T17" s="357"/>
      <c r="U17" s="657"/>
      <c r="V17" s="657">
        <f>+U17-'ROR-Model'!G17</f>
        <v>0</v>
      </c>
    </row>
    <row r="18" spans="1:22">
      <c r="A18" s="660"/>
      <c r="B18" s="365"/>
      <c r="C18" s="365" t="s">
        <v>16</v>
      </c>
      <c r="D18" s="659"/>
      <c r="E18" s="656"/>
      <c r="F18" s="357"/>
      <c r="G18" s="357">
        <f>G1*Revenue!$I$17</f>
        <v>0</v>
      </c>
      <c r="H18" s="357"/>
      <c r="I18" s="357"/>
      <c r="J18" s="390"/>
      <c r="K18" s="390"/>
      <c r="L18" s="357"/>
      <c r="M18" s="357"/>
      <c r="N18" s="357"/>
      <c r="O18" s="357"/>
      <c r="P18" s="357"/>
      <c r="Q18" s="390"/>
      <c r="R18" s="390"/>
      <c r="S18" s="657">
        <f>SUM(F18:R18)</f>
        <v>0</v>
      </c>
      <c r="T18" s="357"/>
      <c r="U18" s="657">
        <f>SUM(S18:S18)</f>
        <v>0</v>
      </c>
      <c r="V18" s="657">
        <f>+U18-'ROR-Model'!G18</f>
        <v>0</v>
      </c>
    </row>
    <row r="19" spans="1:22">
      <c r="A19" s="660"/>
      <c r="B19" s="365"/>
      <c r="C19" s="365"/>
      <c r="D19" s="659"/>
      <c r="E19" s="656"/>
      <c r="F19" s="357"/>
      <c r="G19" s="357"/>
      <c r="H19" s="357"/>
      <c r="I19" s="357"/>
      <c r="J19" s="390"/>
      <c r="K19" s="390"/>
      <c r="L19" s="357"/>
      <c r="M19" s="357"/>
      <c r="N19" s="357"/>
      <c r="O19" s="357"/>
      <c r="P19" s="357"/>
      <c r="Q19" s="390"/>
      <c r="R19" s="390"/>
      <c r="S19" s="657"/>
      <c r="T19" s="357"/>
      <c r="U19" s="657"/>
      <c r="V19" s="657">
        <f>+U19-'ROR-Model'!G19</f>
        <v>0</v>
      </c>
    </row>
    <row r="20" spans="1:22">
      <c r="A20" s="660"/>
      <c r="B20" s="365"/>
      <c r="C20" s="365" t="s">
        <v>17</v>
      </c>
      <c r="D20" s="659"/>
      <c r="E20" s="656"/>
      <c r="F20" s="357"/>
      <c r="G20" s="357">
        <f>G1*Revenue!$I$19</f>
        <v>0</v>
      </c>
      <c r="H20" s="357"/>
      <c r="I20" s="357"/>
      <c r="J20" s="390"/>
      <c r="K20" s="390"/>
      <c r="L20" s="357"/>
      <c r="M20" s="357"/>
      <c r="N20" s="357"/>
      <c r="O20" s="357"/>
      <c r="P20" s="357"/>
      <c r="Q20" s="390"/>
      <c r="R20" s="390"/>
      <c r="S20" s="657">
        <f>SUM(F20:R20)</f>
        <v>0</v>
      </c>
      <c r="T20" s="357"/>
      <c r="U20" s="657">
        <f>SUM(S20:S20)</f>
        <v>0</v>
      </c>
      <c r="V20" s="657">
        <f>+U20-'ROR-Model'!G20</f>
        <v>0</v>
      </c>
    </row>
    <row r="21" spans="1:22">
      <c r="A21" s="660"/>
      <c r="B21" s="365"/>
      <c r="C21" s="365" t="s">
        <v>18</v>
      </c>
      <c r="D21" s="659"/>
      <c r="E21" s="656"/>
      <c r="F21" s="388">
        <f>SUM(F16:F20)</f>
        <v>0</v>
      </c>
      <c r="G21" s="388">
        <f>G1*SUM(G16:G20)</f>
        <v>0</v>
      </c>
      <c r="H21" s="388">
        <f>SUM(H16:H20)</f>
        <v>0</v>
      </c>
      <c r="I21" s="388">
        <f t="shared" ref="I21:P21" si="4">SUM(I16:I20)</f>
        <v>0</v>
      </c>
      <c r="J21" s="585">
        <f>SUM(J16:J20)</f>
        <v>0</v>
      </c>
      <c r="K21" s="585">
        <f>SUM(K16:K20)</f>
        <v>0</v>
      </c>
      <c r="L21" s="388">
        <f t="shared" si="4"/>
        <v>0</v>
      </c>
      <c r="M21" s="388">
        <f t="shared" si="4"/>
        <v>0</v>
      </c>
      <c r="N21" s="388">
        <f t="shared" si="4"/>
        <v>0</v>
      </c>
      <c r="O21" s="388">
        <f t="shared" si="4"/>
        <v>0</v>
      </c>
      <c r="P21" s="388">
        <f t="shared" si="4"/>
        <v>0</v>
      </c>
      <c r="Q21" s="585">
        <f>SUM(Q16:Q20)</f>
        <v>0</v>
      </c>
      <c r="R21" s="585">
        <f>SUM(R16:R20)</f>
        <v>0</v>
      </c>
      <c r="S21" s="661">
        <f>SUM(F21:R21)</f>
        <v>0</v>
      </c>
      <c r="T21" s="388"/>
      <c r="U21" s="661">
        <f>SUM(S21:S21)</f>
        <v>0</v>
      </c>
      <c r="V21" s="661">
        <f>+U21-'ROR-Model'!G21</f>
        <v>0</v>
      </c>
    </row>
    <row r="22" spans="1:22">
      <c r="A22" s="660"/>
      <c r="B22" s="365"/>
      <c r="C22" s="365"/>
      <c r="D22" s="659"/>
      <c r="E22" s="656"/>
      <c r="F22" s="357"/>
      <c r="G22" s="357"/>
      <c r="H22" s="357"/>
      <c r="I22" s="357"/>
      <c r="J22" s="390"/>
      <c r="K22" s="390"/>
      <c r="L22" s="357"/>
      <c r="M22" s="357"/>
      <c r="N22" s="357"/>
      <c r="O22" s="357"/>
      <c r="P22" s="357"/>
      <c r="Q22" s="390"/>
      <c r="R22" s="390"/>
      <c r="S22" s="657"/>
      <c r="T22" s="357"/>
      <c r="U22" s="657"/>
      <c r="V22" s="657">
        <f>+U22-'ROR-Model'!G22</f>
        <v>0</v>
      </c>
    </row>
    <row r="23" spans="1:22">
      <c r="A23" s="660"/>
      <c r="B23" s="365"/>
      <c r="C23" s="365" t="s">
        <v>19</v>
      </c>
      <c r="D23" s="659"/>
      <c r="E23" s="656"/>
      <c r="F23" s="357"/>
      <c r="G23" s="357">
        <f>G1*Revenue!$I$22</f>
        <v>0</v>
      </c>
      <c r="H23" s="357"/>
      <c r="I23" s="357"/>
      <c r="J23" s="390"/>
      <c r="K23" s="390"/>
      <c r="L23" s="357"/>
      <c r="M23" s="357"/>
      <c r="N23" s="357"/>
      <c r="O23" s="357"/>
      <c r="P23" s="357"/>
      <c r="Q23" s="390"/>
      <c r="R23" s="390"/>
      <c r="S23" s="657">
        <f>SUM(F23:R23)</f>
        <v>0</v>
      </c>
      <c r="T23" s="357"/>
      <c r="U23" s="657">
        <f>SUM(S23:S23)</f>
        <v>0</v>
      </c>
      <c r="V23" s="657">
        <f>+U23-'ROR-Model'!G23</f>
        <v>0</v>
      </c>
    </row>
    <row r="24" spans="1:22">
      <c r="A24" s="660"/>
      <c r="B24" s="365"/>
      <c r="C24" s="365"/>
      <c r="D24" s="659"/>
      <c r="E24" s="656"/>
      <c r="F24" s="357"/>
      <c r="G24" s="357"/>
      <c r="H24" s="357"/>
      <c r="I24" s="357"/>
      <c r="J24" s="390"/>
      <c r="K24" s="390"/>
      <c r="L24" s="357"/>
      <c r="M24" s="357"/>
      <c r="N24" s="357"/>
      <c r="O24" s="357"/>
      <c r="P24" s="357"/>
      <c r="Q24" s="390"/>
      <c r="R24" s="390"/>
      <c r="S24" s="657"/>
      <c r="T24" s="357"/>
      <c r="U24" s="657"/>
      <c r="V24" s="657">
        <f>+U24-'ROR-Model'!G24</f>
        <v>0</v>
      </c>
    </row>
    <row r="25" spans="1:22">
      <c r="A25" s="660"/>
      <c r="B25" s="365" t="s">
        <v>233</v>
      </c>
      <c r="C25" s="365" t="s">
        <v>15</v>
      </c>
      <c r="D25" s="662"/>
      <c r="E25" s="656"/>
      <c r="F25" s="357"/>
      <c r="G25" s="357">
        <f>G1*Revenue!$I$24</f>
        <v>0</v>
      </c>
      <c r="H25" s="357"/>
      <c r="I25" s="357"/>
      <c r="J25" s="390"/>
      <c r="K25" s="390"/>
      <c r="L25" s="357"/>
      <c r="M25" s="357"/>
      <c r="N25" s="357"/>
      <c r="O25" s="357"/>
      <c r="P25" s="357"/>
      <c r="Q25" s="390"/>
      <c r="R25" s="390"/>
      <c r="S25" s="657">
        <f>SUM(F25:R25)</f>
        <v>0</v>
      </c>
      <c r="T25" s="357"/>
      <c r="U25" s="657">
        <f>SUM(S25:S25)</f>
        <v>0</v>
      </c>
      <c r="V25" s="657">
        <f>+U25-'ROR-Model'!G25</f>
        <v>0</v>
      </c>
    </row>
    <row r="26" spans="1:22">
      <c r="A26" s="660"/>
      <c r="B26" s="365"/>
      <c r="C26" s="365"/>
      <c r="D26" s="662"/>
      <c r="E26" s="656"/>
      <c r="F26" s="357"/>
      <c r="G26" s="357"/>
      <c r="H26" s="357"/>
      <c r="I26" s="357"/>
      <c r="J26" s="390"/>
      <c r="K26" s="390"/>
      <c r="L26" s="357"/>
      <c r="M26" s="357"/>
      <c r="N26" s="357"/>
      <c r="O26" s="357"/>
      <c r="P26" s="357"/>
      <c r="Q26" s="390"/>
      <c r="R26" s="390"/>
      <c r="S26" s="657"/>
      <c r="T26" s="357"/>
      <c r="U26" s="657"/>
      <c r="V26" s="657">
        <f>+U26-'ROR-Model'!G26</f>
        <v>0</v>
      </c>
    </row>
    <row r="27" spans="1:22">
      <c r="A27" s="660"/>
      <c r="B27" s="365"/>
      <c r="C27" s="365" t="s">
        <v>16</v>
      </c>
      <c r="D27" s="662"/>
      <c r="E27" s="656"/>
      <c r="F27" s="357"/>
      <c r="G27" s="357">
        <f>G1*Revenue!$I$26</f>
        <v>0</v>
      </c>
      <c r="H27" s="357"/>
      <c r="I27" s="357"/>
      <c r="J27" s="390"/>
      <c r="K27" s="390"/>
      <c r="L27" s="357"/>
      <c r="M27" s="357"/>
      <c r="N27" s="357"/>
      <c r="O27" s="357"/>
      <c r="P27" s="357"/>
      <c r="Q27" s="390"/>
      <c r="R27" s="390"/>
      <c r="S27" s="657">
        <f>SUM(F27:R27)</f>
        <v>0</v>
      </c>
      <c r="T27" s="357"/>
      <c r="U27" s="657">
        <f>SUM(S27:S27)</f>
        <v>0</v>
      </c>
      <c r="V27" s="657">
        <f>+U27-'ROR-Model'!G27</f>
        <v>0</v>
      </c>
    </row>
    <row r="28" spans="1:22">
      <c r="A28" s="660"/>
      <c r="B28" s="365"/>
      <c r="C28" s="365"/>
      <c r="D28" s="662"/>
      <c r="E28" s="656"/>
      <c r="F28" s="357"/>
      <c r="G28" s="357"/>
      <c r="H28" s="357"/>
      <c r="I28" s="357"/>
      <c r="J28" s="390"/>
      <c r="K28" s="390"/>
      <c r="L28" s="357"/>
      <c r="M28" s="357"/>
      <c r="N28" s="357"/>
      <c r="O28" s="357"/>
      <c r="P28" s="357"/>
      <c r="Q28" s="390"/>
      <c r="R28" s="390"/>
      <c r="S28" s="657"/>
      <c r="T28" s="357"/>
      <c r="U28" s="657"/>
      <c r="V28" s="657">
        <f>+U28-'ROR-Model'!G28</f>
        <v>0</v>
      </c>
    </row>
    <row r="29" spans="1:22">
      <c r="A29" s="660"/>
      <c r="B29" s="365"/>
      <c r="C29" s="365" t="s">
        <v>17</v>
      </c>
      <c r="D29" s="662"/>
      <c r="E29" s="656"/>
      <c r="F29" s="357"/>
      <c r="G29" s="357">
        <f>G1*Revenue!$I$28</f>
        <v>0</v>
      </c>
      <c r="H29" s="357"/>
      <c r="I29" s="357"/>
      <c r="J29" s="390"/>
      <c r="K29" s="390"/>
      <c r="L29" s="357"/>
      <c r="M29" s="357"/>
      <c r="N29" s="357"/>
      <c r="O29" s="357"/>
      <c r="P29" s="357"/>
      <c r="Q29" s="390"/>
      <c r="R29" s="390"/>
      <c r="S29" s="657">
        <f>SUM(F29:R29)</f>
        <v>0</v>
      </c>
      <c r="T29" s="357"/>
      <c r="U29" s="657">
        <f>SUM(S29:S29)</f>
        <v>0</v>
      </c>
      <c r="V29" s="657">
        <f>+U29-'ROR-Model'!G29</f>
        <v>0</v>
      </c>
    </row>
    <row r="30" spans="1:22">
      <c r="A30" s="660"/>
      <c r="B30" s="365"/>
      <c r="C30" s="365" t="s">
        <v>18</v>
      </c>
      <c r="D30" s="662"/>
      <c r="E30" s="656"/>
      <c r="F30" s="388">
        <f>SUM(F25:F29)</f>
        <v>0</v>
      </c>
      <c r="G30" s="388">
        <f>G1*SUM(G25:G29)</f>
        <v>0</v>
      </c>
      <c r="H30" s="388">
        <f>SUM(H25:H29)</f>
        <v>0</v>
      </c>
      <c r="I30" s="388">
        <f t="shared" ref="I30:P30" si="5">SUM(I25:I29)</f>
        <v>0</v>
      </c>
      <c r="J30" s="585">
        <f>SUM(J25:J29)</f>
        <v>0</v>
      </c>
      <c r="K30" s="585">
        <f>SUM(K25:K29)</f>
        <v>0</v>
      </c>
      <c r="L30" s="388">
        <f t="shared" si="5"/>
        <v>0</v>
      </c>
      <c r="M30" s="388">
        <f t="shared" si="5"/>
        <v>0</v>
      </c>
      <c r="N30" s="388">
        <f t="shared" si="5"/>
        <v>0</v>
      </c>
      <c r="O30" s="388">
        <f t="shared" si="5"/>
        <v>0</v>
      </c>
      <c r="P30" s="388">
        <f t="shared" si="5"/>
        <v>0</v>
      </c>
      <c r="Q30" s="585">
        <f>SUM(Q25:Q29)</f>
        <v>0</v>
      </c>
      <c r="R30" s="585">
        <f>SUM(R25:R29)</f>
        <v>0</v>
      </c>
      <c r="S30" s="661">
        <f>SUM(F30:R30)</f>
        <v>0</v>
      </c>
      <c r="T30" s="388"/>
      <c r="U30" s="661">
        <f>SUM(S30:S30)</f>
        <v>0</v>
      </c>
      <c r="V30" s="661">
        <f>+U30-'ROR-Model'!G30</f>
        <v>0</v>
      </c>
    </row>
    <row r="31" spans="1:22">
      <c r="A31" s="660"/>
      <c r="B31" s="365"/>
      <c r="C31" s="365"/>
      <c r="D31" s="662"/>
      <c r="E31" s="656"/>
      <c r="F31" s="357"/>
      <c r="G31" s="357"/>
      <c r="H31" s="357"/>
      <c r="I31" s="357"/>
      <c r="J31" s="390"/>
      <c r="K31" s="390"/>
      <c r="L31" s="357"/>
      <c r="M31" s="357"/>
      <c r="N31" s="357"/>
      <c r="O31" s="357"/>
      <c r="P31" s="357"/>
      <c r="Q31" s="390"/>
      <c r="R31" s="390"/>
      <c r="S31" s="657"/>
      <c r="T31" s="357"/>
      <c r="U31" s="657"/>
      <c r="V31" s="657">
        <f>+U31-'ROR-Model'!G31</f>
        <v>0</v>
      </c>
    </row>
    <row r="32" spans="1:22">
      <c r="A32" s="660"/>
      <c r="B32" s="365"/>
      <c r="C32" s="365" t="s">
        <v>19</v>
      </c>
      <c r="D32" s="662"/>
      <c r="E32" s="656"/>
      <c r="F32" s="357"/>
      <c r="G32" s="357">
        <f>G1*Revenue!$I$31</f>
        <v>0</v>
      </c>
      <c r="H32" s="357"/>
      <c r="I32" s="357"/>
      <c r="J32" s="390"/>
      <c r="K32" s="390"/>
      <c r="L32" s="357"/>
      <c r="M32" s="357"/>
      <c r="N32" s="357"/>
      <c r="O32" s="357"/>
      <c r="P32" s="357"/>
      <c r="Q32" s="390"/>
      <c r="R32" s="390"/>
      <c r="S32" s="657">
        <f>SUM(F32:R32)</f>
        <v>0</v>
      </c>
      <c r="T32" s="357"/>
      <c r="U32" s="657">
        <f>SUM(S32:S32)</f>
        <v>0</v>
      </c>
      <c r="V32" s="657">
        <f>+U32-'ROR-Model'!G32</f>
        <v>0</v>
      </c>
    </row>
    <row r="33" spans="1:22">
      <c r="A33" s="660"/>
      <c r="B33" s="63"/>
      <c r="C33" s="365"/>
      <c r="D33" s="2"/>
      <c r="E33" s="656"/>
      <c r="F33" s="357"/>
      <c r="G33" s="357"/>
      <c r="H33" s="357"/>
      <c r="I33" s="357"/>
      <c r="J33" s="390"/>
      <c r="K33" s="390"/>
      <c r="L33" s="357"/>
      <c r="M33" s="357"/>
      <c r="N33" s="357"/>
      <c r="O33" s="357"/>
      <c r="P33" s="357"/>
      <c r="Q33" s="390"/>
      <c r="R33" s="390"/>
      <c r="S33" s="657"/>
      <c r="T33" s="357"/>
      <c r="U33" s="657"/>
      <c r="V33" s="657">
        <f>+U33-'ROR-Model'!G33</f>
        <v>0</v>
      </c>
    </row>
    <row r="34" spans="1:22">
      <c r="A34" s="660"/>
      <c r="B34" s="365" t="s">
        <v>796</v>
      </c>
      <c r="C34" s="365" t="s">
        <v>15</v>
      </c>
      <c r="D34" s="659"/>
      <c r="E34" s="656"/>
      <c r="F34" s="357"/>
      <c r="G34" s="357">
        <f>G1*Revenue!$I$33</f>
        <v>0</v>
      </c>
      <c r="H34" s="357"/>
      <c r="I34" s="357"/>
      <c r="J34" s="390"/>
      <c r="K34" s="390"/>
      <c r="L34" s="357"/>
      <c r="M34" s="357"/>
      <c r="N34" s="357"/>
      <c r="O34" s="357"/>
      <c r="P34" s="357"/>
      <c r="Q34" s="390"/>
      <c r="R34" s="390"/>
      <c r="S34" s="657">
        <f>SUM(F34:R34)</f>
        <v>0</v>
      </c>
      <c r="T34" s="357"/>
      <c r="U34" s="657">
        <f>SUM(S34:S34)</f>
        <v>0</v>
      </c>
      <c r="V34" s="657">
        <f>+U34-'ROR-Model'!G34</f>
        <v>0</v>
      </c>
    </row>
    <row r="35" spans="1:22">
      <c r="A35" s="660"/>
      <c r="B35" s="365"/>
      <c r="C35" s="365"/>
      <c r="D35" s="659"/>
      <c r="E35" s="656"/>
      <c r="F35" s="357"/>
      <c r="G35" s="357"/>
      <c r="H35" s="357"/>
      <c r="I35" s="357"/>
      <c r="J35" s="390"/>
      <c r="K35" s="390"/>
      <c r="L35" s="357"/>
      <c r="M35" s="357"/>
      <c r="N35" s="357"/>
      <c r="O35" s="357"/>
      <c r="P35" s="357"/>
      <c r="Q35" s="390"/>
      <c r="R35" s="390"/>
      <c r="S35" s="657"/>
      <c r="T35" s="357"/>
      <c r="U35" s="657"/>
      <c r="V35" s="657">
        <f>+U35-'ROR-Model'!G35</f>
        <v>0</v>
      </c>
    </row>
    <row r="36" spans="1:22">
      <c r="A36" s="660"/>
      <c r="B36" s="365"/>
      <c r="C36" s="365" t="s">
        <v>16</v>
      </c>
      <c r="D36" s="659"/>
      <c r="E36" s="656"/>
      <c r="F36" s="357"/>
      <c r="G36" s="357">
        <f>G1*Revenue!$I$35</f>
        <v>0</v>
      </c>
      <c r="H36" s="357"/>
      <c r="I36" s="357"/>
      <c r="J36" s="390"/>
      <c r="K36" s="390"/>
      <c r="L36" s="357"/>
      <c r="M36" s="357"/>
      <c r="N36" s="357"/>
      <c r="O36" s="357"/>
      <c r="P36" s="357"/>
      <c r="Q36" s="390"/>
      <c r="R36" s="390"/>
      <c r="S36" s="657">
        <f>SUM(F36:R36)</f>
        <v>0</v>
      </c>
      <c r="T36" s="357"/>
      <c r="U36" s="657">
        <f>SUM(S36:S36)</f>
        <v>0</v>
      </c>
      <c r="V36" s="657">
        <f>+U36-'ROR-Model'!G36</f>
        <v>0</v>
      </c>
    </row>
    <row r="37" spans="1:22">
      <c r="A37" s="660"/>
      <c r="B37" s="365"/>
      <c r="C37" s="365"/>
      <c r="D37" s="659"/>
      <c r="E37" s="656"/>
      <c r="F37" s="357"/>
      <c r="G37" s="357"/>
      <c r="H37" s="357"/>
      <c r="I37" s="357"/>
      <c r="J37" s="390"/>
      <c r="K37" s="390"/>
      <c r="L37" s="357"/>
      <c r="M37" s="357"/>
      <c r="N37" s="357"/>
      <c r="O37" s="357"/>
      <c r="P37" s="357"/>
      <c r="Q37" s="390"/>
      <c r="R37" s="390"/>
      <c r="S37" s="657"/>
      <c r="T37" s="357"/>
      <c r="U37" s="657"/>
      <c r="V37" s="657">
        <f>+U37-'ROR-Model'!G37</f>
        <v>0</v>
      </c>
    </row>
    <row r="38" spans="1:22">
      <c r="A38" s="660"/>
      <c r="B38" s="365"/>
      <c r="C38" s="365" t="s">
        <v>17</v>
      </c>
      <c r="D38" s="659"/>
      <c r="E38" s="656"/>
      <c r="F38" s="357"/>
      <c r="G38" s="357">
        <f>G1*Revenue!$I$37</f>
        <v>0</v>
      </c>
      <c r="H38" s="357"/>
      <c r="I38" s="357"/>
      <c r="J38" s="390"/>
      <c r="K38" s="390"/>
      <c r="L38" s="357"/>
      <c r="M38" s="357"/>
      <c r="N38" s="357"/>
      <c r="O38" s="357"/>
      <c r="P38" s="357"/>
      <c r="Q38" s="390"/>
      <c r="R38" s="390"/>
      <c r="S38" s="657">
        <f>SUM(F38:R38)</f>
        <v>0</v>
      </c>
      <c r="T38" s="357"/>
      <c r="U38" s="657">
        <f>SUM(S38:S38)</f>
        <v>0</v>
      </c>
      <c r="V38" s="657">
        <f>+U38-'ROR-Model'!G38</f>
        <v>0</v>
      </c>
    </row>
    <row r="39" spans="1:22">
      <c r="A39" s="660"/>
      <c r="B39" s="365"/>
      <c r="C39" s="365" t="s">
        <v>18</v>
      </c>
      <c r="D39" s="659"/>
      <c r="E39" s="656"/>
      <c r="F39" s="388">
        <f>SUM(F34:F38)</f>
        <v>0</v>
      </c>
      <c r="G39" s="388">
        <f>G1*SUM(G34:G38)</f>
        <v>0</v>
      </c>
      <c r="H39" s="388">
        <f>SUM(H34:H38)</f>
        <v>0</v>
      </c>
      <c r="I39" s="388">
        <f t="shared" ref="I39:P39" si="6">SUM(I34:I38)</f>
        <v>0</v>
      </c>
      <c r="J39" s="585">
        <f>SUM(J34:J38)</f>
        <v>0</v>
      </c>
      <c r="K39" s="585">
        <f>SUM(K34:K38)</f>
        <v>0</v>
      </c>
      <c r="L39" s="388">
        <f t="shared" si="6"/>
        <v>0</v>
      </c>
      <c r="M39" s="388">
        <f t="shared" si="6"/>
        <v>0</v>
      </c>
      <c r="N39" s="388">
        <f t="shared" si="6"/>
        <v>0</v>
      </c>
      <c r="O39" s="388">
        <f t="shared" si="6"/>
        <v>0</v>
      </c>
      <c r="P39" s="388">
        <f t="shared" si="6"/>
        <v>0</v>
      </c>
      <c r="Q39" s="585">
        <f>SUM(Q34:Q38)</f>
        <v>0</v>
      </c>
      <c r="R39" s="585">
        <f>SUM(R34:R38)</f>
        <v>0</v>
      </c>
      <c r="S39" s="661">
        <f>SUM(F39:R39)</f>
        <v>0</v>
      </c>
      <c r="T39" s="388"/>
      <c r="U39" s="661">
        <f>SUM(S39:S39)</f>
        <v>0</v>
      </c>
      <c r="V39" s="661">
        <f>+U39-'ROR-Model'!G39</f>
        <v>0</v>
      </c>
    </row>
    <row r="40" spans="1:22">
      <c r="A40" s="660"/>
      <c r="B40" s="365"/>
      <c r="C40" s="365"/>
      <c r="D40" s="659"/>
      <c r="E40" s="656"/>
      <c r="F40" s="357"/>
      <c r="G40" s="357"/>
      <c r="H40" s="357"/>
      <c r="I40" s="357"/>
      <c r="J40" s="390"/>
      <c r="K40" s="390"/>
      <c r="L40" s="357"/>
      <c r="M40" s="357"/>
      <c r="N40" s="357"/>
      <c r="O40" s="357"/>
      <c r="P40" s="357"/>
      <c r="Q40" s="390"/>
      <c r="R40" s="390"/>
      <c r="S40" s="657"/>
      <c r="T40" s="357"/>
      <c r="U40" s="657"/>
      <c r="V40" s="657">
        <f>+U40-'ROR-Model'!G40</f>
        <v>0</v>
      </c>
    </row>
    <row r="41" spans="1:22">
      <c r="A41" s="660"/>
      <c r="B41" s="365"/>
      <c r="C41" s="365" t="s">
        <v>19</v>
      </c>
      <c r="D41" s="659"/>
      <c r="E41" s="656"/>
      <c r="F41" s="357"/>
      <c r="G41" s="357">
        <f>G1*Revenue!$I$40</f>
        <v>0</v>
      </c>
      <c r="H41" s="357"/>
      <c r="I41" s="357"/>
      <c r="J41" s="390"/>
      <c r="K41" s="390"/>
      <c r="L41" s="357"/>
      <c r="M41" s="357"/>
      <c r="N41" s="357"/>
      <c r="O41" s="357"/>
      <c r="P41" s="357"/>
      <c r="Q41" s="390"/>
      <c r="R41" s="390"/>
      <c r="S41" s="657">
        <f>SUM(F41:R41)</f>
        <v>0</v>
      </c>
      <c r="T41" s="357"/>
      <c r="U41" s="657">
        <f>SUM(S41:S41)</f>
        <v>0</v>
      </c>
      <c r="V41" s="657">
        <f>+U41-'ROR-Model'!G41</f>
        <v>0</v>
      </c>
    </row>
    <row r="42" spans="1:22">
      <c r="A42" s="660"/>
      <c r="B42" s="63"/>
      <c r="C42" s="63"/>
      <c r="D42" s="659"/>
      <c r="E42" s="656"/>
      <c r="F42" s="357"/>
      <c r="G42" s="357"/>
      <c r="H42" s="357"/>
      <c r="I42" s="357"/>
      <c r="J42" s="390"/>
      <c r="K42" s="390"/>
      <c r="L42" s="357"/>
      <c r="M42" s="357"/>
      <c r="N42" s="357"/>
      <c r="O42" s="357"/>
      <c r="P42" s="357"/>
      <c r="Q42" s="390"/>
      <c r="R42" s="390"/>
      <c r="S42" s="657"/>
      <c r="T42" s="357"/>
      <c r="U42" s="657"/>
      <c r="V42" s="657">
        <f>+U42-'ROR-Model'!G42</f>
        <v>0</v>
      </c>
    </row>
    <row r="43" spans="1:22">
      <c r="A43" s="660"/>
      <c r="B43" s="365" t="s">
        <v>797</v>
      </c>
      <c r="C43" s="365" t="s">
        <v>15</v>
      </c>
      <c r="D43" s="659"/>
      <c r="E43" s="656"/>
      <c r="F43" s="357"/>
      <c r="G43" s="357">
        <f>G1*Revenue!$I$42</f>
        <v>0</v>
      </c>
      <c r="H43" s="357"/>
      <c r="I43" s="357"/>
      <c r="J43" s="390"/>
      <c r="K43" s="390"/>
      <c r="L43" s="357"/>
      <c r="M43" s="357"/>
      <c r="N43" s="357"/>
      <c r="O43" s="357"/>
      <c r="P43" s="357"/>
      <c r="Q43" s="390"/>
      <c r="R43" s="390"/>
      <c r="S43" s="657">
        <f>SUM(F43:R43)</f>
        <v>0</v>
      </c>
      <c r="T43" s="357"/>
      <c r="U43" s="657">
        <f>SUM(S43:S43)</f>
        <v>0</v>
      </c>
      <c r="V43" s="657">
        <f>+U43-'ROR-Model'!G43</f>
        <v>0</v>
      </c>
    </row>
    <row r="44" spans="1:22">
      <c r="A44" s="660"/>
      <c r="B44" s="365"/>
      <c r="C44" s="365"/>
      <c r="D44" s="659"/>
      <c r="E44" s="656"/>
      <c r="F44" s="357"/>
      <c r="G44" s="357"/>
      <c r="H44" s="357"/>
      <c r="I44" s="357"/>
      <c r="J44" s="390"/>
      <c r="K44" s="390"/>
      <c r="L44" s="357"/>
      <c r="M44" s="357"/>
      <c r="N44" s="357"/>
      <c r="O44" s="357"/>
      <c r="P44" s="357"/>
      <c r="Q44" s="390"/>
      <c r="R44" s="390"/>
      <c r="S44" s="657"/>
      <c r="T44" s="357"/>
      <c r="U44" s="657"/>
      <c r="V44" s="657">
        <f>+U44-'ROR-Model'!G44</f>
        <v>0</v>
      </c>
    </row>
    <row r="45" spans="1:22">
      <c r="A45" s="660"/>
      <c r="B45" s="365"/>
      <c r="C45" s="365" t="s">
        <v>16</v>
      </c>
      <c r="D45" s="659"/>
      <c r="E45" s="656"/>
      <c r="F45" s="357"/>
      <c r="G45" s="357">
        <f>G1*Revenue!$I$44</f>
        <v>0</v>
      </c>
      <c r="H45" s="357"/>
      <c r="I45" s="357"/>
      <c r="J45" s="390"/>
      <c r="K45" s="390"/>
      <c r="L45" s="357"/>
      <c r="M45" s="357"/>
      <c r="N45" s="357"/>
      <c r="O45" s="357"/>
      <c r="P45" s="357"/>
      <c r="Q45" s="390"/>
      <c r="R45" s="390"/>
      <c r="S45" s="657">
        <f>SUM(F45:R45)</f>
        <v>0</v>
      </c>
      <c r="T45" s="357"/>
      <c r="U45" s="657">
        <f>SUM(S45:S45)</f>
        <v>0</v>
      </c>
      <c r="V45" s="657">
        <f>+U45-'ROR-Model'!G45</f>
        <v>0</v>
      </c>
    </row>
    <row r="46" spans="1:22">
      <c r="A46" s="660"/>
      <c r="B46" s="365"/>
      <c r="C46" s="365"/>
      <c r="D46" s="659"/>
      <c r="E46" s="656"/>
      <c r="F46" s="357"/>
      <c r="G46" s="357"/>
      <c r="H46" s="357"/>
      <c r="I46" s="357"/>
      <c r="J46" s="390"/>
      <c r="K46" s="390"/>
      <c r="L46" s="357"/>
      <c r="M46" s="357"/>
      <c r="N46" s="357"/>
      <c r="O46" s="357"/>
      <c r="P46" s="357"/>
      <c r="Q46" s="390"/>
      <c r="R46" s="390"/>
      <c r="S46" s="657"/>
      <c r="T46" s="357"/>
      <c r="U46" s="657"/>
      <c r="V46" s="657">
        <f>+U46-'ROR-Model'!G46</f>
        <v>0</v>
      </c>
    </row>
    <row r="47" spans="1:22">
      <c r="A47" s="660"/>
      <c r="B47" s="365"/>
      <c r="C47" s="365" t="s">
        <v>17</v>
      </c>
      <c r="D47" s="659"/>
      <c r="E47" s="656"/>
      <c r="F47" s="357"/>
      <c r="G47" s="357">
        <f>G1*Revenue!$I$46</f>
        <v>0</v>
      </c>
      <c r="H47" s="357"/>
      <c r="I47" s="357"/>
      <c r="J47" s="390"/>
      <c r="K47" s="390"/>
      <c r="L47" s="357"/>
      <c r="M47" s="357"/>
      <c r="N47" s="357"/>
      <c r="O47" s="357"/>
      <c r="P47" s="357"/>
      <c r="Q47" s="390"/>
      <c r="R47" s="390"/>
      <c r="S47" s="657">
        <f>SUM(F47:R47)</f>
        <v>0</v>
      </c>
      <c r="T47" s="357"/>
      <c r="U47" s="657">
        <f>SUM(S47:S47)</f>
        <v>0</v>
      </c>
      <c r="V47" s="657">
        <f>+U47-'ROR-Model'!G47</f>
        <v>0</v>
      </c>
    </row>
    <row r="48" spans="1:22">
      <c r="A48" s="660"/>
      <c r="B48" s="365"/>
      <c r="C48" s="365" t="s">
        <v>18</v>
      </c>
      <c r="D48" s="659"/>
      <c r="E48" s="656"/>
      <c r="F48" s="388">
        <f>SUM(F43:F47)</f>
        <v>0</v>
      </c>
      <c r="G48" s="388">
        <f>G1*SUM(G43:G47)</f>
        <v>0</v>
      </c>
      <c r="H48" s="388">
        <f>SUM(H43:H47)</f>
        <v>0</v>
      </c>
      <c r="I48" s="388">
        <f t="shared" ref="I48:P48" si="7">SUM(I43:I47)</f>
        <v>0</v>
      </c>
      <c r="J48" s="585">
        <f>SUM(J43:J47)</f>
        <v>0</v>
      </c>
      <c r="K48" s="585">
        <f>SUM(K43:K47)</f>
        <v>0</v>
      </c>
      <c r="L48" s="388">
        <f t="shared" si="7"/>
        <v>0</v>
      </c>
      <c r="M48" s="388">
        <f t="shared" si="7"/>
        <v>0</v>
      </c>
      <c r="N48" s="388">
        <f t="shared" si="7"/>
        <v>0</v>
      </c>
      <c r="O48" s="388">
        <f t="shared" si="7"/>
        <v>0</v>
      </c>
      <c r="P48" s="388">
        <f t="shared" si="7"/>
        <v>0</v>
      </c>
      <c r="Q48" s="585">
        <f>SUM(Q43:Q47)</f>
        <v>0</v>
      </c>
      <c r="R48" s="585">
        <f>SUM(R43:R47)</f>
        <v>0</v>
      </c>
      <c r="S48" s="661">
        <f>SUM(S43:S47)</f>
        <v>0</v>
      </c>
      <c r="T48" s="388"/>
      <c r="U48" s="661">
        <f>SUM(U43:U47)</f>
        <v>0</v>
      </c>
      <c r="V48" s="661">
        <f>+U48-'ROR-Model'!G48</f>
        <v>0</v>
      </c>
    </row>
    <row r="49" spans="1:22">
      <c r="A49" s="660"/>
      <c r="B49" s="365"/>
      <c r="C49" s="365"/>
      <c r="D49" s="659"/>
      <c r="E49" s="656"/>
      <c r="F49" s="357"/>
      <c r="G49" s="357"/>
      <c r="H49" s="357"/>
      <c r="I49" s="357"/>
      <c r="J49" s="390"/>
      <c r="K49" s="390"/>
      <c r="L49" s="357"/>
      <c r="M49" s="357"/>
      <c r="N49" s="357"/>
      <c r="O49" s="357"/>
      <c r="P49" s="357"/>
      <c r="Q49" s="390"/>
      <c r="R49" s="390"/>
      <c r="S49" s="657"/>
      <c r="T49" s="357"/>
      <c r="U49" s="657"/>
      <c r="V49" s="657">
        <f>+U49-'ROR-Model'!G49</f>
        <v>0</v>
      </c>
    </row>
    <row r="50" spans="1:22">
      <c r="A50" s="660"/>
      <c r="B50" s="365"/>
      <c r="C50" s="365" t="s">
        <v>19</v>
      </c>
      <c r="D50" s="659"/>
      <c r="E50" s="656"/>
      <c r="F50" s="357"/>
      <c r="G50" s="357">
        <f>G1*Revenue!$I$49</f>
        <v>0</v>
      </c>
      <c r="H50" s="357"/>
      <c r="I50" s="357"/>
      <c r="J50" s="390"/>
      <c r="K50" s="390"/>
      <c r="L50" s="357"/>
      <c r="M50" s="357"/>
      <c r="N50" s="357"/>
      <c r="O50" s="357"/>
      <c r="P50" s="357"/>
      <c r="Q50" s="390"/>
      <c r="R50" s="390"/>
      <c r="S50" s="657">
        <f>SUM(F50:R50)</f>
        <v>0</v>
      </c>
      <c r="T50" s="357"/>
      <c r="U50" s="657">
        <f>SUM(S50:S50)</f>
        <v>0</v>
      </c>
      <c r="V50" s="657">
        <f>+U50-'ROR-Model'!G50</f>
        <v>0</v>
      </c>
    </row>
    <row r="51" spans="1:22">
      <c r="A51" s="660"/>
      <c r="B51" s="63"/>
      <c r="C51" s="63"/>
      <c r="D51" s="659"/>
      <c r="E51" s="656"/>
      <c r="F51" s="357"/>
      <c r="G51" s="357"/>
      <c r="H51" s="357"/>
      <c r="I51" s="357"/>
      <c r="J51" s="390"/>
      <c r="K51" s="390"/>
      <c r="L51" s="357"/>
      <c r="M51" s="357"/>
      <c r="N51" s="357"/>
      <c r="O51" s="357"/>
      <c r="P51" s="357"/>
      <c r="Q51" s="390"/>
      <c r="R51" s="390"/>
      <c r="S51" s="657"/>
      <c r="T51" s="357"/>
      <c r="U51" s="657"/>
      <c r="V51" s="657">
        <f>+U51-'ROR-Model'!G51</f>
        <v>0</v>
      </c>
    </row>
    <row r="52" spans="1:22">
      <c r="A52" s="660"/>
      <c r="B52" s="365" t="s">
        <v>799</v>
      </c>
      <c r="C52" s="365" t="s">
        <v>15</v>
      </c>
      <c r="D52" s="659"/>
      <c r="E52" s="656"/>
      <c r="F52" s="357"/>
      <c r="G52" s="357">
        <f>G1*Revenue!$I$51</f>
        <v>0</v>
      </c>
      <c r="H52" s="357"/>
      <c r="I52" s="357"/>
      <c r="J52" s="390"/>
      <c r="K52" s="390"/>
      <c r="L52" s="357"/>
      <c r="M52" s="357"/>
      <c r="N52" s="357"/>
      <c r="O52" s="357"/>
      <c r="P52" s="357"/>
      <c r="Q52" s="390"/>
      <c r="R52" s="390"/>
      <c r="S52" s="657">
        <f>SUM(F52:R52)</f>
        <v>0</v>
      </c>
      <c r="T52" s="357"/>
      <c r="U52" s="657">
        <f>SUM(S52:S52)</f>
        <v>0</v>
      </c>
      <c r="V52" s="657">
        <f>+U52-'ROR-Model'!G52</f>
        <v>0</v>
      </c>
    </row>
    <row r="53" spans="1:22">
      <c r="A53" s="660"/>
      <c r="B53" s="365"/>
      <c r="C53" s="365" t="s">
        <v>16</v>
      </c>
      <c r="D53" s="659"/>
      <c r="E53" s="656"/>
      <c r="F53" s="357"/>
      <c r="G53" s="357"/>
      <c r="H53" s="357"/>
      <c r="I53" s="357"/>
      <c r="J53" s="390"/>
      <c r="K53" s="390"/>
      <c r="L53" s="357"/>
      <c r="M53" s="357"/>
      <c r="N53" s="357"/>
      <c r="O53" s="357"/>
      <c r="P53" s="357"/>
      <c r="Q53" s="390"/>
      <c r="R53" s="390"/>
      <c r="S53" s="657">
        <f>SUM(F53:R53)</f>
        <v>0</v>
      </c>
      <c r="T53" s="357"/>
      <c r="U53" s="657">
        <f>SUM(S53:S53)</f>
        <v>0</v>
      </c>
      <c r="V53" s="657">
        <f>+U53-'ROR-Model'!G53</f>
        <v>0</v>
      </c>
    </row>
    <row r="54" spans="1:22">
      <c r="A54" s="660"/>
      <c r="B54" s="63"/>
      <c r="C54" s="365" t="s">
        <v>800</v>
      </c>
      <c r="D54" s="659"/>
      <c r="E54" s="656"/>
      <c r="F54" s="357"/>
      <c r="G54" s="357">
        <f>G1*Revenue!$I$53</f>
        <v>0</v>
      </c>
      <c r="H54" s="357"/>
      <c r="I54" s="357"/>
      <c r="J54" s="390"/>
      <c r="K54" s="390"/>
      <c r="L54" s="357"/>
      <c r="M54" s="357"/>
      <c r="N54" s="357"/>
      <c r="O54" s="357"/>
      <c r="P54" s="357"/>
      <c r="Q54" s="390"/>
      <c r="R54" s="390"/>
      <c r="S54" s="657">
        <f>SUM(F54:R54)</f>
        <v>0</v>
      </c>
      <c r="T54" s="357"/>
      <c r="U54" s="657">
        <f>SUM(S54:S54)</f>
        <v>0</v>
      </c>
      <c r="V54" s="657">
        <f>+U54-'ROR-Model'!G54</f>
        <v>0</v>
      </c>
    </row>
    <row r="55" spans="1:22">
      <c r="A55" s="660"/>
      <c r="B55" s="365"/>
      <c r="C55" s="365" t="s">
        <v>801</v>
      </c>
      <c r="D55" s="659"/>
      <c r="E55" s="656"/>
      <c r="F55" s="357"/>
      <c r="G55" s="357"/>
      <c r="H55" s="357"/>
      <c r="I55" s="357"/>
      <c r="J55" s="390"/>
      <c r="K55" s="390"/>
      <c r="L55" s="357"/>
      <c r="M55" s="357"/>
      <c r="N55" s="357"/>
      <c r="O55" s="357"/>
      <c r="P55" s="357"/>
      <c r="Q55" s="390"/>
      <c r="R55" s="390"/>
      <c r="S55" s="657">
        <f>SUM(F55:R55)</f>
        <v>0</v>
      </c>
      <c r="T55" s="357"/>
      <c r="U55" s="657">
        <f>SUM(S55:S55)</f>
        <v>0</v>
      </c>
      <c r="V55" s="657">
        <f>+U55-'ROR-Model'!G55</f>
        <v>0</v>
      </c>
    </row>
    <row r="56" spans="1:22">
      <c r="A56" s="660"/>
      <c r="B56" s="63"/>
      <c r="C56" s="63" t="s">
        <v>802</v>
      </c>
      <c r="D56" s="659"/>
      <c r="E56" s="656"/>
      <c r="F56" s="357"/>
      <c r="G56" s="357">
        <f>G1*Revenue!$I$55</f>
        <v>0</v>
      </c>
      <c r="H56" s="357"/>
      <c r="I56" s="357"/>
      <c r="J56" s="390"/>
      <c r="K56" s="390"/>
      <c r="L56" s="357"/>
      <c r="M56" s="357"/>
      <c r="N56" s="357"/>
      <c r="O56" s="357"/>
      <c r="P56" s="357"/>
      <c r="Q56" s="390"/>
      <c r="R56" s="390"/>
      <c r="S56" s="657">
        <f>SUM(F56:R56)</f>
        <v>0</v>
      </c>
      <c r="T56" s="357"/>
      <c r="U56" s="657">
        <f>SUM(S56:S56)</f>
        <v>0</v>
      </c>
      <c r="V56" s="657">
        <f>+U56-'ROR-Model'!G56</f>
        <v>0</v>
      </c>
    </row>
    <row r="57" spans="1:22">
      <c r="A57" s="660"/>
      <c r="B57" s="63"/>
      <c r="C57" s="365" t="s">
        <v>18</v>
      </c>
      <c r="D57" s="659"/>
      <c r="E57" s="656"/>
      <c r="F57" s="388">
        <f>SUM(F52:F56)</f>
        <v>0</v>
      </c>
      <c r="G57" s="388">
        <f>G1*SUM(G52:G56)</f>
        <v>0</v>
      </c>
      <c r="H57" s="388">
        <f>SUM(H52:H56)</f>
        <v>0</v>
      </c>
      <c r="I57" s="388">
        <f t="shared" ref="I57:P57" si="8">SUM(I52:I56)</f>
        <v>0</v>
      </c>
      <c r="J57" s="585">
        <f>SUM(J52:J56)</f>
        <v>0</v>
      </c>
      <c r="K57" s="585">
        <f>SUM(K52:K56)</f>
        <v>0</v>
      </c>
      <c r="L57" s="388">
        <f t="shared" si="8"/>
        <v>0</v>
      </c>
      <c r="M57" s="388">
        <f t="shared" si="8"/>
        <v>0</v>
      </c>
      <c r="N57" s="388">
        <f t="shared" si="8"/>
        <v>0</v>
      </c>
      <c r="O57" s="388">
        <f t="shared" si="8"/>
        <v>0</v>
      </c>
      <c r="P57" s="388">
        <f t="shared" si="8"/>
        <v>0</v>
      </c>
      <c r="Q57" s="585">
        <f>SUM(Q52:Q56)</f>
        <v>0</v>
      </c>
      <c r="R57" s="585">
        <f>SUM(R52:R56)</f>
        <v>0</v>
      </c>
      <c r="S57" s="661">
        <f>SUM(S52:S56)</f>
        <v>0</v>
      </c>
      <c r="T57" s="388"/>
      <c r="U57" s="661">
        <f>SUM(U52:U56)</f>
        <v>0</v>
      </c>
      <c r="V57" s="661">
        <f>+U57-'ROR-Model'!G57</f>
        <v>0</v>
      </c>
    </row>
    <row r="58" spans="1:22">
      <c r="A58" s="660"/>
      <c r="B58" s="63"/>
      <c r="C58" s="365"/>
      <c r="D58" s="659"/>
      <c r="E58" s="656"/>
      <c r="F58" s="357"/>
      <c r="G58" s="357"/>
      <c r="H58" s="357"/>
      <c r="I58" s="357"/>
      <c r="J58" s="390"/>
      <c r="K58" s="390"/>
      <c r="L58" s="357"/>
      <c r="M58" s="357"/>
      <c r="N58" s="357"/>
      <c r="O58" s="357"/>
      <c r="P58" s="357"/>
      <c r="Q58" s="390"/>
      <c r="R58" s="390"/>
      <c r="S58" s="657"/>
      <c r="T58" s="357"/>
      <c r="U58" s="657"/>
      <c r="V58" s="657">
        <f>+U58-'ROR-Model'!G58</f>
        <v>0</v>
      </c>
    </row>
    <row r="59" spans="1:22">
      <c r="A59" s="660"/>
      <c r="B59" s="63"/>
      <c r="C59" s="63" t="s">
        <v>75</v>
      </c>
      <c r="D59" s="659"/>
      <c r="E59" s="656"/>
      <c r="F59" s="357"/>
      <c r="G59" s="357">
        <f>G1*Revenue!$I$58</f>
        <v>0</v>
      </c>
      <c r="H59" s="357"/>
      <c r="I59" s="357"/>
      <c r="J59" s="390"/>
      <c r="K59" s="390"/>
      <c r="L59" s="357"/>
      <c r="M59" s="357"/>
      <c r="N59" s="357"/>
      <c r="O59" s="357"/>
      <c r="P59" s="357"/>
      <c r="Q59" s="390"/>
      <c r="R59" s="390"/>
      <c r="S59" s="657">
        <f>SUM(F59:R59)</f>
        <v>0</v>
      </c>
      <c r="T59" s="357"/>
      <c r="U59" s="657">
        <f>SUM(S59:S59)</f>
        <v>0</v>
      </c>
      <c r="V59" s="657">
        <f>+U59-'ROR-Model'!G59</f>
        <v>0</v>
      </c>
    </row>
    <row r="60" spans="1:22">
      <c r="A60" s="660"/>
      <c r="B60" s="63"/>
      <c r="C60" s="63"/>
      <c r="D60" s="659"/>
      <c r="E60" s="656"/>
      <c r="F60" s="357"/>
      <c r="G60" s="357"/>
      <c r="H60" s="357"/>
      <c r="I60" s="357"/>
      <c r="J60" s="390"/>
      <c r="K60" s="390"/>
      <c r="L60" s="357"/>
      <c r="M60" s="357"/>
      <c r="N60" s="357"/>
      <c r="O60" s="357"/>
      <c r="P60" s="357"/>
      <c r="Q60" s="390"/>
      <c r="R60" s="390"/>
      <c r="S60" s="657"/>
      <c r="T60" s="357"/>
      <c r="U60" s="657"/>
      <c r="V60" s="657">
        <f>+U60-'ROR-Model'!G60</f>
        <v>0</v>
      </c>
    </row>
    <row r="61" spans="1:22">
      <c r="A61" s="660"/>
      <c r="B61" s="365" t="s">
        <v>798</v>
      </c>
      <c r="C61" s="365" t="s">
        <v>15</v>
      </c>
      <c r="D61" s="659"/>
      <c r="E61" s="656"/>
      <c r="F61" s="357"/>
      <c r="G61" s="357">
        <f>G1*Revenue!$I$60</f>
        <v>0</v>
      </c>
      <c r="H61" s="357"/>
      <c r="I61" s="357"/>
      <c r="J61" s="390"/>
      <c r="K61" s="390"/>
      <c r="L61" s="357"/>
      <c r="M61" s="357"/>
      <c r="N61" s="357"/>
      <c r="O61" s="357"/>
      <c r="P61" s="357"/>
      <c r="Q61" s="390"/>
      <c r="R61" s="390"/>
      <c r="S61" s="657">
        <f>SUM(F61:R61)</f>
        <v>0</v>
      </c>
      <c r="T61" s="357"/>
      <c r="U61" s="657">
        <f>SUM(S61:S61)</f>
        <v>0</v>
      </c>
      <c r="V61" s="657">
        <f>+U61-'ROR-Model'!G61</f>
        <v>0</v>
      </c>
    </row>
    <row r="62" spans="1:22">
      <c r="A62" s="660"/>
      <c r="B62" s="365"/>
      <c r="C62" s="365"/>
      <c r="D62" s="659"/>
      <c r="E62" s="656"/>
      <c r="F62" s="357"/>
      <c r="G62" s="357">
        <f>G1*Revenue!$I$61</f>
        <v>0</v>
      </c>
      <c r="H62" s="357"/>
      <c r="I62" s="357"/>
      <c r="J62" s="390"/>
      <c r="K62" s="390"/>
      <c r="L62" s="357"/>
      <c r="M62" s="357"/>
      <c r="N62" s="357"/>
      <c r="O62" s="357"/>
      <c r="P62" s="357"/>
      <c r="Q62" s="390"/>
      <c r="R62" s="390"/>
      <c r="S62" s="657"/>
      <c r="T62" s="357"/>
      <c r="U62" s="657"/>
      <c r="V62" s="657">
        <f>+U62-'ROR-Model'!G62</f>
        <v>0</v>
      </c>
    </row>
    <row r="63" spans="1:22">
      <c r="A63" s="660"/>
      <c r="B63" s="365"/>
      <c r="C63" s="365" t="s">
        <v>16</v>
      </c>
      <c r="D63" s="659"/>
      <c r="E63" s="656"/>
      <c r="F63" s="357"/>
      <c r="G63" s="357">
        <f>G1*Revenue!$I$62</f>
        <v>0</v>
      </c>
      <c r="H63" s="357"/>
      <c r="I63" s="357"/>
      <c r="J63" s="390"/>
      <c r="K63" s="390"/>
      <c r="L63" s="357"/>
      <c r="M63" s="357"/>
      <c r="N63" s="357"/>
      <c r="O63" s="357"/>
      <c r="P63" s="357"/>
      <c r="Q63" s="390"/>
      <c r="R63" s="390"/>
      <c r="S63" s="657">
        <f>SUM(F63:R63)</f>
        <v>0</v>
      </c>
      <c r="T63" s="357"/>
      <c r="U63" s="657">
        <f>SUM(S63:S63)</f>
        <v>0</v>
      </c>
      <c r="V63" s="657">
        <f>+U63-'ROR-Model'!G63</f>
        <v>0</v>
      </c>
    </row>
    <row r="64" spans="1:22">
      <c r="A64" s="660"/>
      <c r="B64" s="365"/>
      <c r="C64" s="365"/>
      <c r="D64" s="659"/>
      <c r="E64" s="656"/>
      <c r="F64" s="357"/>
      <c r="G64" s="357">
        <f>G1*Revenue!$I$63</f>
        <v>0</v>
      </c>
      <c r="H64" s="357"/>
      <c r="I64" s="357"/>
      <c r="J64" s="390"/>
      <c r="K64" s="390"/>
      <c r="L64" s="357"/>
      <c r="M64" s="357"/>
      <c r="N64" s="357"/>
      <c r="O64" s="357"/>
      <c r="P64" s="357"/>
      <c r="Q64" s="390"/>
      <c r="R64" s="390"/>
      <c r="S64" s="657"/>
      <c r="T64" s="357"/>
      <c r="U64" s="657"/>
      <c r="V64" s="657">
        <f>+U64-'ROR-Model'!G64</f>
        <v>0</v>
      </c>
    </row>
    <row r="65" spans="1:22">
      <c r="A65" s="660"/>
      <c r="B65" s="365"/>
      <c r="C65" s="365" t="s">
        <v>17</v>
      </c>
      <c r="D65" s="659"/>
      <c r="E65" s="656"/>
      <c r="F65" s="357"/>
      <c r="G65" s="357">
        <f>G1*Revenue!$I$64</f>
        <v>0</v>
      </c>
      <c r="H65" s="357"/>
      <c r="I65" s="357"/>
      <c r="J65" s="390"/>
      <c r="K65" s="390"/>
      <c r="L65" s="357"/>
      <c r="M65" s="357"/>
      <c r="N65" s="357"/>
      <c r="O65" s="357"/>
      <c r="P65" s="357"/>
      <c r="Q65" s="390"/>
      <c r="R65" s="390"/>
      <c r="S65" s="657">
        <f>SUM(F65:R65)</f>
        <v>0</v>
      </c>
      <c r="T65" s="357"/>
      <c r="U65" s="657">
        <f>SUM(S65:S65)</f>
        <v>0</v>
      </c>
      <c r="V65" s="657">
        <f>+U65-'ROR-Model'!G65</f>
        <v>0</v>
      </c>
    </row>
    <row r="66" spans="1:22">
      <c r="A66" s="660"/>
      <c r="B66" s="365"/>
      <c r="C66" s="365" t="s">
        <v>18</v>
      </c>
      <c r="D66" s="659"/>
      <c r="E66" s="656"/>
      <c r="F66" s="388">
        <f>SUM(F61:F65)</f>
        <v>0</v>
      </c>
      <c r="G66" s="388">
        <f>G1*SUM(G61:G65)</f>
        <v>0</v>
      </c>
      <c r="H66" s="388">
        <f>SUM(H61:H65)</f>
        <v>0</v>
      </c>
      <c r="I66" s="388">
        <f t="shared" ref="I66:P66" si="9">SUM(I61:I65)</f>
        <v>0</v>
      </c>
      <c r="J66" s="585">
        <f>SUM(J61:J65)</f>
        <v>0</v>
      </c>
      <c r="K66" s="585">
        <f>SUM(K61:K65)</f>
        <v>0</v>
      </c>
      <c r="L66" s="388">
        <f t="shared" si="9"/>
        <v>0</v>
      </c>
      <c r="M66" s="388">
        <f t="shared" si="9"/>
        <v>0</v>
      </c>
      <c r="N66" s="388">
        <f t="shared" si="9"/>
        <v>0</v>
      </c>
      <c r="O66" s="388">
        <f t="shared" si="9"/>
        <v>0</v>
      </c>
      <c r="P66" s="388">
        <f t="shared" si="9"/>
        <v>0</v>
      </c>
      <c r="Q66" s="585">
        <f>SUM(Q61:Q65)</f>
        <v>0</v>
      </c>
      <c r="R66" s="585">
        <f>SUM(R61:R65)</f>
        <v>0</v>
      </c>
      <c r="S66" s="661">
        <f>SUM(S61:S65)</f>
        <v>0</v>
      </c>
      <c r="T66" s="388"/>
      <c r="U66" s="661">
        <f>SUM(U61:U65)</f>
        <v>0</v>
      </c>
      <c r="V66" s="661">
        <f>+U66-'ROR-Model'!G66</f>
        <v>0</v>
      </c>
    </row>
    <row r="67" spans="1:22">
      <c r="A67" s="660"/>
      <c r="B67" s="365"/>
      <c r="C67" s="365"/>
      <c r="D67" s="659"/>
      <c r="E67" s="656"/>
      <c r="F67" s="357"/>
      <c r="G67" s="357"/>
      <c r="H67" s="357"/>
      <c r="I67" s="357"/>
      <c r="J67" s="390"/>
      <c r="K67" s="390"/>
      <c r="L67" s="357"/>
      <c r="M67" s="357"/>
      <c r="N67" s="357"/>
      <c r="O67" s="357"/>
      <c r="P67" s="357"/>
      <c r="Q67" s="390"/>
      <c r="R67" s="390"/>
      <c r="S67" s="657"/>
      <c r="T67" s="357"/>
      <c r="U67" s="657"/>
      <c r="V67" s="657">
        <f>+U67-'ROR-Model'!G67</f>
        <v>0</v>
      </c>
    </row>
    <row r="68" spans="1:22">
      <c r="A68" s="660"/>
      <c r="B68" s="365"/>
      <c r="C68" s="365" t="s">
        <v>19</v>
      </c>
      <c r="D68" s="659"/>
      <c r="E68" s="656"/>
      <c r="F68" s="357"/>
      <c r="G68" s="357">
        <f>G1*Revenue!$I$67</f>
        <v>0</v>
      </c>
      <c r="H68" s="357"/>
      <c r="I68" s="357"/>
      <c r="J68" s="390"/>
      <c r="K68" s="390"/>
      <c r="L68" s="357"/>
      <c r="M68" s="357"/>
      <c r="N68" s="357"/>
      <c r="O68" s="357"/>
      <c r="P68" s="357"/>
      <c r="Q68" s="390"/>
      <c r="R68" s="390"/>
      <c r="S68" s="657">
        <f>SUM(F68:R68)</f>
        <v>0</v>
      </c>
      <c r="T68" s="357"/>
      <c r="U68" s="657">
        <f>SUM(S68:S68)</f>
        <v>0</v>
      </c>
      <c r="V68" s="657">
        <f>+U68-'ROR-Model'!G68</f>
        <v>0</v>
      </c>
    </row>
    <row r="69" spans="1:22">
      <c r="A69" s="660"/>
      <c r="B69" s="63"/>
      <c r="C69" s="63"/>
      <c r="D69" s="659"/>
      <c r="E69" s="656"/>
      <c r="F69" s="357"/>
      <c r="G69" s="357"/>
      <c r="H69" s="357"/>
      <c r="I69" s="357"/>
      <c r="J69" s="390"/>
      <c r="K69" s="390"/>
      <c r="L69" s="357"/>
      <c r="M69" s="357"/>
      <c r="N69" s="357"/>
      <c r="O69" s="357"/>
      <c r="P69" s="357"/>
      <c r="Q69" s="390"/>
      <c r="R69" s="390"/>
      <c r="S69" s="657"/>
      <c r="T69" s="357"/>
      <c r="U69" s="657"/>
      <c r="V69" s="657">
        <f>+U69-'ROR-Model'!G69</f>
        <v>0</v>
      </c>
    </row>
    <row r="70" spans="1:22">
      <c r="A70" s="660"/>
      <c r="B70" s="365" t="s">
        <v>4</v>
      </c>
      <c r="C70" s="365" t="s">
        <v>15</v>
      </c>
      <c r="D70" s="659"/>
      <c r="E70" s="656"/>
      <c r="F70" s="357"/>
      <c r="G70" s="357">
        <f>G1*Revenue!$I$69</f>
        <v>0</v>
      </c>
      <c r="H70" s="357"/>
      <c r="I70" s="357"/>
      <c r="J70" s="390"/>
      <c r="K70" s="390"/>
      <c r="L70" s="357"/>
      <c r="M70" s="357"/>
      <c r="N70" s="357"/>
      <c r="O70" s="357"/>
      <c r="P70" s="357"/>
      <c r="Q70" s="390"/>
      <c r="R70" s="390"/>
      <c r="S70" s="657">
        <f>SUM(F70:R70)</f>
        <v>0</v>
      </c>
      <c r="T70" s="357"/>
      <c r="U70" s="657">
        <f>SUM(S70:S70)</f>
        <v>0</v>
      </c>
      <c r="V70" s="657">
        <f>+U70-'ROR-Model'!G70</f>
        <v>0</v>
      </c>
    </row>
    <row r="71" spans="1:22">
      <c r="A71" s="660"/>
      <c r="B71" s="365"/>
      <c r="C71" s="365"/>
      <c r="D71" s="659"/>
      <c r="E71" s="656"/>
      <c r="F71" s="357"/>
      <c r="G71" s="357"/>
      <c r="H71" s="357"/>
      <c r="I71" s="357"/>
      <c r="J71" s="390"/>
      <c r="K71" s="390"/>
      <c r="L71" s="357"/>
      <c r="M71" s="357"/>
      <c r="N71" s="357"/>
      <c r="O71" s="357"/>
      <c r="P71" s="357"/>
      <c r="Q71" s="390"/>
      <c r="R71" s="390"/>
      <c r="S71" s="657"/>
      <c r="T71" s="357"/>
      <c r="U71" s="657"/>
      <c r="V71" s="657">
        <f>+U71-'ROR-Model'!G71</f>
        <v>0</v>
      </c>
    </row>
    <row r="72" spans="1:22">
      <c r="A72" s="660"/>
      <c r="B72" s="365"/>
      <c r="C72" s="365" t="s">
        <v>16</v>
      </c>
      <c r="D72" s="659"/>
      <c r="E72" s="656"/>
      <c r="F72" s="357"/>
      <c r="G72" s="357">
        <f>G1*Revenue!$I$71</f>
        <v>0</v>
      </c>
      <c r="H72" s="357"/>
      <c r="I72" s="357"/>
      <c r="J72" s="390"/>
      <c r="K72" s="390"/>
      <c r="L72" s="357"/>
      <c r="M72" s="357"/>
      <c r="N72" s="357"/>
      <c r="O72" s="357"/>
      <c r="P72" s="357"/>
      <c r="Q72" s="390"/>
      <c r="R72" s="390"/>
      <c r="S72" s="657">
        <f>SUM(F72:R72)</f>
        <v>0</v>
      </c>
      <c r="T72" s="357"/>
      <c r="U72" s="657">
        <f>SUM(S72:S72)</f>
        <v>0</v>
      </c>
      <c r="V72" s="657">
        <f>+U72-'ROR-Model'!G72</f>
        <v>0</v>
      </c>
    </row>
    <row r="73" spans="1:22">
      <c r="A73" s="660"/>
      <c r="B73" s="365"/>
      <c r="C73" s="365"/>
      <c r="D73" s="659"/>
      <c r="E73" s="656"/>
      <c r="F73" s="357"/>
      <c r="G73" s="357"/>
      <c r="H73" s="357"/>
      <c r="I73" s="357"/>
      <c r="J73" s="390"/>
      <c r="K73" s="390"/>
      <c r="L73" s="357"/>
      <c r="M73" s="357"/>
      <c r="N73" s="357"/>
      <c r="O73" s="357"/>
      <c r="P73" s="357"/>
      <c r="Q73" s="390"/>
      <c r="R73" s="390"/>
      <c r="S73" s="657"/>
      <c r="T73" s="357"/>
      <c r="U73" s="657"/>
      <c r="V73" s="657">
        <f>+U73-'ROR-Model'!G73</f>
        <v>0</v>
      </c>
    </row>
    <row r="74" spans="1:22">
      <c r="A74" s="660"/>
      <c r="B74" s="365"/>
      <c r="C74" s="365" t="s">
        <v>17</v>
      </c>
      <c r="D74" s="659"/>
      <c r="E74" s="656"/>
      <c r="F74" s="357"/>
      <c r="G74" s="357">
        <f>G1*Revenue!$I$73</f>
        <v>0</v>
      </c>
      <c r="H74" s="357"/>
      <c r="I74" s="357"/>
      <c r="J74" s="390"/>
      <c r="K74" s="390"/>
      <c r="L74" s="357"/>
      <c r="M74" s="357"/>
      <c r="N74" s="357"/>
      <c r="O74" s="357"/>
      <c r="P74" s="357"/>
      <c r="Q74" s="390"/>
      <c r="R74" s="390"/>
      <c r="S74" s="657">
        <f>SUM(F74:R74)</f>
        <v>0</v>
      </c>
      <c r="T74" s="357"/>
      <c r="U74" s="657">
        <f>SUM(S74:S74)</f>
        <v>0</v>
      </c>
      <c r="V74" s="657">
        <f>+U74-'ROR-Model'!G74</f>
        <v>0</v>
      </c>
    </row>
    <row r="75" spans="1:22">
      <c r="A75" s="660"/>
      <c r="B75" s="365"/>
      <c r="C75" s="365" t="s">
        <v>18</v>
      </c>
      <c r="D75" s="659"/>
      <c r="E75" s="656"/>
      <c r="F75" s="388">
        <f>SUM(F70:F74)</f>
        <v>0</v>
      </c>
      <c r="G75" s="388">
        <f>G1*SUM(G70:G74)</f>
        <v>0</v>
      </c>
      <c r="H75" s="388">
        <f>SUM(H70:H74)</f>
        <v>0</v>
      </c>
      <c r="I75" s="388">
        <f t="shared" ref="I75:P75" si="10">SUM(I70:I74)</f>
        <v>0</v>
      </c>
      <c r="J75" s="585">
        <f>SUM(J70:J74)</f>
        <v>0</v>
      </c>
      <c r="K75" s="585">
        <f>SUM(K70:K74)</f>
        <v>0</v>
      </c>
      <c r="L75" s="388">
        <f t="shared" si="10"/>
        <v>0</v>
      </c>
      <c r="M75" s="388">
        <f t="shared" si="10"/>
        <v>0</v>
      </c>
      <c r="N75" s="388">
        <f t="shared" si="10"/>
        <v>0</v>
      </c>
      <c r="O75" s="388">
        <f t="shared" si="10"/>
        <v>0</v>
      </c>
      <c r="P75" s="388">
        <f t="shared" si="10"/>
        <v>0</v>
      </c>
      <c r="Q75" s="585">
        <f>SUM(Q70:Q74)</f>
        <v>0</v>
      </c>
      <c r="R75" s="585">
        <f>SUM(R70:R74)</f>
        <v>0</v>
      </c>
      <c r="S75" s="661">
        <f>SUM(S70:S74)</f>
        <v>0</v>
      </c>
      <c r="T75" s="388"/>
      <c r="U75" s="661">
        <f>SUM(U70:U74)</f>
        <v>0</v>
      </c>
      <c r="V75" s="661">
        <f>+U75-'ROR-Model'!G75</f>
        <v>0</v>
      </c>
    </row>
    <row r="76" spans="1:22">
      <c r="A76" s="660"/>
      <c r="B76" s="365"/>
      <c r="C76" s="365"/>
      <c r="D76" s="659"/>
      <c r="E76" s="656"/>
      <c r="F76" s="357"/>
      <c r="G76" s="357"/>
      <c r="H76" s="357"/>
      <c r="I76" s="357"/>
      <c r="J76" s="390"/>
      <c r="K76" s="390"/>
      <c r="L76" s="357"/>
      <c r="M76" s="357"/>
      <c r="N76" s="357"/>
      <c r="O76" s="357"/>
      <c r="P76" s="357"/>
      <c r="Q76" s="390"/>
      <c r="R76" s="390"/>
      <c r="S76" s="657"/>
      <c r="T76" s="357"/>
      <c r="U76" s="657"/>
      <c r="V76" s="657">
        <f>+U76-'ROR-Model'!G76</f>
        <v>0</v>
      </c>
    </row>
    <row r="77" spans="1:22">
      <c r="A77" s="660"/>
      <c r="B77" s="365"/>
      <c r="C77" s="365" t="s">
        <v>19</v>
      </c>
      <c r="D77" s="659"/>
      <c r="E77" s="656"/>
      <c r="F77" s="357"/>
      <c r="G77" s="357">
        <f>G1*Revenue!$I$76</f>
        <v>0</v>
      </c>
      <c r="H77" s="357"/>
      <c r="I77" s="357"/>
      <c r="J77" s="390"/>
      <c r="K77" s="390"/>
      <c r="L77" s="357"/>
      <c r="M77" s="357"/>
      <c r="N77" s="357"/>
      <c r="O77" s="357"/>
      <c r="P77" s="357"/>
      <c r="Q77" s="390"/>
      <c r="R77" s="390"/>
      <c r="S77" s="657">
        <f>SUM(F77:R77)</f>
        <v>0</v>
      </c>
      <c r="T77" s="357"/>
      <c r="U77" s="657">
        <f>SUM(S77:S77)</f>
        <v>0</v>
      </c>
      <c r="V77" s="657">
        <f>+U77-'ROR-Model'!G77</f>
        <v>0</v>
      </c>
    </row>
    <row r="78" spans="1:22">
      <c r="A78" s="660"/>
      <c r="B78" s="365"/>
      <c r="C78" s="365"/>
      <c r="D78" s="659"/>
      <c r="E78" s="656"/>
      <c r="F78" s="357"/>
      <c r="G78" s="357"/>
      <c r="H78" s="357"/>
      <c r="I78" s="357"/>
      <c r="J78" s="390"/>
      <c r="K78" s="390"/>
      <c r="L78" s="357"/>
      <c r="M78" s="357"/>
      <c r="N78" s="357"/>
      <c r="O78" s="357"/>
      <c r="P78" s="357"/>
      <c r="Q78" s="390"/>
      <c r="R78" s="390"/>
      <c r="S78" s="657"/>
      <c r="T78" s="357"/>
      <c r="U78" s="657"/>
      <c r="V78" s="657">
        <f>+U78-'ROR-Model'!G78</f>
        <v>0</v>
      </c>
    </row>
    <row r="79" spans="1:22">
      <c r="A79" s="660"/>
      <c r="B79" s="365" t="s">
        <v>80</v>
      </c>
      <c r="C79" s="365" t="s">
        <v>15</v>
      </c>
      <c r="D79" s="659"/>
      <c r="E79" s="656"/>
      <c r="F79" s="357"/>
      <c r="G79" s="357">
        <f>G1*Revenue!$I$78</f>
        <v>0</v>
      </c>
      <c r="H79" s="357"/>
      <c r="I79" s="357"/>
      <c r="J79" s="390"/>
      <c r="K79" s="390"/>
      <c r="L79" s="357"/>
      <c r="M79" s="357"/>
      <c r="N79" s="357"/>
      <c r="O79" s="357"/>
      <c r="P79" s="357"/>
      <c r="Q79" s="390"/>
      <c r="R79" s="390"/>
      <c r="S79" s="657">
        <f>SUM(F79:R79)</f>
        <v>0</v>
      </c>
      <c r="T79" s="357"/>
      <c r="U79" s="657">
        <f>SUM(S79:S79)</f>
        <v>0</v>
      </c>
      <c r="V79" s="657">
        <f>+U79-'ROR-Model'!G79</f>
        <v>0</v>
      </c>
    </row>
    <row r="80" spans="1:22">
      <c r="A80" s="660"/>
      <c r="B80" s="365"/>
      <c r="C80" s="365"/>
      <c r="D80" s="659"/>
      <c r="E80" s="656"/>
      <c r="F80" s="357"/>
      <c r="G80" s="357"/>
      <c r="H80" s="357"/>
      <c r="I80" s="357"/>
      <c r="J80" s="390"/>
      <c r="K80" s="390"/>
      <c r="L80" s="357"/>
      <c r="M80" s="357"/>
      <c r="N80" s="357"/>
      <c r="O80" s="357"/>
      <c r="P80" s="357"/>
      <c r="Q80" s="390"/>
      <c r="R80" s="390"/>
      <c r="S80" s="657"/>
      <c r="T80" s="357"/>
      <c r="U80" s="657"/>
      <c r="V80" s="657">
        <f>+U80-'ROR-Model'!G80</f>
        <v>0</v>
      </c>
    </row>
    <row r="81" spans="1:22">
      <c r="A81" s="660"/>
      <c r="B81" s="365"/>
      <c r="C81" s="365" t="s">
        <v>16</v>
      </c>
      <c r="D81" s="659"/>
      <c r="E81" s="656"/>
      <c r="F81" s="357"/>
      <c r="G81" s="357">
        <f>G1*Revenue!$I$80</f>
        <v>0</v>
      </c>
      <c r="H81" s="357"/>
      <c r="I81" s="357"/>
      <c r="J81" s="390"/>
      <c r="K81" s="390"/>
      <c r="L81" s="357"/>
      <c r="M81" s="357"/>
      <c r="N81" s="357"/>
      <c r="O81" s="357"/>
      <c r="P81" s="357"/>
      <c r="Q81" s="390"/>
      <c r="R81" s="390"/>
      <c r="S81" s="657">
        <f>SUM(F81:R81)</f>
        <v>0</v>
      </c>
      <c r="T81" s="357"/>
      <c r="U81" s="657">
        <f>SUM(S81:S81)</f>
        <v>0</v>
      </c>
      <c r="V81" s="657">
        <f>+U81-'ROR-Model'!G81</f>
        <v>0</v>
      </c>
    </row>
    <row r="82" spans="1:22">
      <c r="A82" s="660"/>
      <c r="B82" s="365"/>
      <c r="C82" s="365"/>
      <c r="D82" s="659"/>
      <c r="E82" s="656"/>
      <c r="F82" s="357"/>
      <c r="G82" s="357"/>
      <c r="H82" s="357"/>
      <c r="I82" s="357"/>
      <c r="J82" s="390"/>
      <c r="K82" s="390"/>
      <c r="L82" s="357"/>
      <c r="M82" s="357"/>
      <c r="N82" s="357"/>
      <c r="O82" s="357"/>
      <c r="P82" s="357"/>
      <c r="Q82" s="390"/>
      <c r="R82" s="390"/>
      <c r="S82" s="657"/>
      <c r="T82" s="357"/>
      <c r="U82" s="657"/>
      <c r="V82" s="657">
        <f>+U82-'ROR-Model'!G82</f>
        <v>0</v>
      </c>
    </row>
    <row r="83" spans="1:22">
      <c r="A83" s="660"/>
      <c r="B83" s="365"/>
      <c r="C83" s="365" t="s">
        <v>17</v>
      </c>
      <c r="D83" s="659"/>
      <c r="E83" s="656"/>
      <c r="F83" s="357"/>
      <c r="G83" s="357">
        <f>G1*Revenue!$I$82</f>
        <v>0</v>
      </c>
      <c r="H83" s="357"/>
      <c r="I83" s="357"/>
      <c r="J83" s="390"/>
      <c r="K83" s="390"/>
      <c r="L83" s="357"/>
      <c r="M83" s="357"/>
      <c r="N83" s="357"/>
      <c r="O83" s="357"/>
      <c r="P83" s="357"/>
      <c r="Q83" s="390"/>
      <c r="R83" s="390"/>
      <c r="S83" s="657">
        <f>SUM(F83:R83)</f>
        <v>0</v>
      </c>
      <c r="T83" s="357"/>
      <c r="U83" s="657">
        <f>SUM(S83:S83)</f>
        <v>0</v>
      </c>
      <c r="V83" s="657">
        <f>+U83-'ROR-Model'!G83</f>
        <v>0</v>
      </c>
    </row>
    <row r="84" spans="1:22">
      <c r="A84" s="660"/>
      <c r="B84" s="365"/>
      <c r="C84" s="365" t="s">
        <v>18</v>
      </c>
      <c r="D84" s="659"/>
      <c r="E84" s="656"/>
      <c r="F84" s="388">
        <f>SUM(F79:F83)</f>
        <v>0</v>
      </c>
      <c r="G84" s="388">
        <f>G1*SUM(G79:G83)</f>
        <v>0</v>
      </c>
      <c r="H84" s="388">
        <f>SUM(H79:H83)</f>
        <v>0</v>
      </c>
      <c r="I84" s="388">
        <f t="shared" ref="I84:P84" si="11">SUM(I79:I83)</f>
        <v>0</v>
      </c>
      <c r="J84" s="585">
        <f>SUM(J79:J83)</f>
        <v>0</v>
      </c>
      <c r="K84" s="585">
        <f>SUM(K79:K83)</f>
        <v>0</v>
      </c>
      <c r="L84" s="388">
        <f t="shared" si="11"/>
        <v>0</v>
      </c>
      <c r="M84" s="388">
        <f t="shared" si="11"/>
        <v>0</v>
      </c>
      <c r="N84" s="388">
        <f t="shared" si="11"/>
        <v>0</v>
      </c>
      <c r="O84" s="388">
        <f t="shared" si="11"/>
        <v>0</v>
      </c>
      <c r="P84" s="388">
        <f t="shared" si="11"/>
        <v>0</v>
      </c>
      <c r="Q84" s="585">
        <f>SUM(Q79:Q83)</f>
        <v>0</v>
      </c>
      <c r="R84" s="585">
        <f>SUM(R79:R83)</f>
        <v>0</v>
      </c>
      <c r="S84" s="661">
        <f>SUM(S79:S83)</f>
        <v>0</v>
      </c>
      <c r="T84" s="388"/>
      <c r="U84" s="661">
        <f>SUM(U79:U83)</f>
        <v>0</v>
      </c>
      <c r="V84" s="661">
        <f>+U84-'ROR-Model'!G84</f>
        <v>0</v>
      </c>
    </row>
    <row r="85" spans="1:22">
      <c r="A85" s="660"/>
      <c r="B85" s="365"/>
      <c r="C85" s="365"/>
      <c r="D85" s="659"/>
      <c r="E85" s="656"/>
      <c r="F85" s="357"/>
      <c r="G85" s="357"/>
      <c r="H85" s="357"/>
      <c r="I85" s="357"/>
      <c r="J85" s="390"/>
      <c r="K85" s="390"/>
      <c r="L85" s="357"/>
      <c r="M85" s="357"/>
      <c r="N85" s="357"/>
      <c r="O85" s="357"/>
      <c r="P85" s="357"/>
      <c r="Q85" s="390"/>
      <c r="R85" s="390"/>
      <c r="S85" s="657"/>
      <c r="T85" s="357"/>
      <c r="U85" s="657"/>
      <c r="V85" s="657">
        <f>+U85-'ROR-Model'!G85</f>
        <v>0</v>
      </c>
    </row>
    <row r="86" spans="1:22">
      <c r="A86" s="660"/>
      <c r="B86" s="365"/>
      <c r="C86" s="365" t="s">
        <v>19</v>
      </c>
      <c r="D86" s="659"/>
      <c r="E86" s="656"/>
      <c r="F86" s="357"/>
      <c r="G86" s="357">
        <f>G1*Revenue!$I$85</f>
        <v>0</v>
      </c>
      <c r="H86" s="357"/>
      <c r="I86" s="357"/>
      <c r="J86" s="390"/>
      <c r="K86" s="390"/>
      <c r="L86" s="357"/>
      <c r="M86" s="357"/>
      <c r="N86" s="357"/>
      <c r="O86" s="357"/>
      <c r="P86" s="357"/>
      <c r="Q86" s="390"/>
      <c r="R86" s="390"/>
      <c r="S86" s="657">
        <f>SUM(F86:R86)</f>
        <v>0</v>
      </c>
      <c r="T86" s="357"/>
      <c r="U86" s="657">
        <f>SUM(S86:S86)</f>
        <v>0</v>
      </c>
      <c r="V86" s="657">
        <f>+U86-'ROR-Model'!G86</f>
        <v>0</v>
      </c>
    </row>
    <row r="87" spans="1:22">
      <c r="A87" s="660"/>
      <c r="B87" s="365"/>
      <c r="C87" s="365"/>
      <c r="D87" s="659"/>
      <c r="E87" s="656"/>
      <c r="F87" s="357"/>
      <c r="G87" s="357"/>
      <c r="H87" s="357"/>
      <c r="I87" s="357"/>
      <c r="J87" s="390"/>
      <c r="K87" s="390"/>
      <c r="L87" s="357"/>
      <c r="M87" s="357"/>
      <c r="N87" s="357"/>
      <c r="O87" s="357"/>
      <c r="P87" s="357"/>
      <c r="Q87" s="390"/>
      <c r="R87" s="390"/>
      <c r="S87" s="657"/>
      <c r="T87" s="357"/>
      <c r="U87" s="657"/>
      <c r="V87" s="657">
        <f>+U87-'ROR-Model'!G87</f>
        <v>0</v>
      </c>
    </row>
    <row r="88" spans="1:22">
      <c r="A88" s="660"/>
      <c r="B88" s="365" t="s">
        <v>81</v>
      </c>
      <c r="C88" s="365" t="s">
        <v>15</v>
      </c>
      <c r="D88" s="659"/>
      <c r="E88" s="656"/>
      <c r="F88" s="357"/>
      <c r="G88" s="357">
        <f>G1*Revenue!$I$87</f>
        <v>0</v>
      </c>
      <c r="H88" s="357"/>
      <c r="I88" s="357"/>
      <c r="J88" s="390"/>
      <c r="K88" s="390"/>
      <c r="L88" s="357"/>
      <c r="M88" s="357"/>
      <c r="N88" s="357"/>
      <c r="O88" s="357"/>
      <c r="P88" s="357"/>
      <c r="Q88" s="390"/>
      <c r="R88" s="390"/>
      <c r="S88" s="657">
        <f>SUM(F88:R88)</f>
        <v>0</v>
      </c>
      <c r="T88" s="357"/>
      <c r="U88" s="657">
        <f>SUM(S88:S88)</f>
        <v>0</v>
      </c>
      <c r="V88" s="657">
        <f>+U88-'ROR-Model'!G88</f>
        <v>0</v>
      </c>
    </row>
    <row r="89" spans="1:22">
      <c r="A89" s="660"/>
      <c r="B89" s="365"/>
      <c r="C89" s="365"/>
      <c r="D89" s="659"/>
      <c r="E89" s="656"/>
      <c r="F89" s="357"/>
      <c r="G89" s="357"/>
      <c r="H89" s="357"/>
      <c r="I89" s="357"/>
      <c r="J89" s="390"/>
      <c r="K89" s="390"/>
      <c r="L89" s="357"/>
      <c r="M89" s="357"/>
      <c r="N89" s="357"/>
      <c r="O89" s="357"/>
      <c r="P89" s="357"/>
      <c r="Q89" s="390"/>
      <c r="R89" s="390"/>
      <c r="S89" s="657"/>
      <c r="T89" s="357"/>
      <c r="U89" s="657"/>
      <c r="V89" s="657">
        <f>+U89-'ROR-Model'!G89</f>
        <v>0</v>
      </c>
    </row>
    <row r="90" spans="1:22">
      <c r="A90" s="660"/>
      <c r="B90" s="365"/>
      <c r="C90" s="365" t="s">
        <v>16</v>
      </c>
      <c r="D90" s="659"/>
      <c r="E90" s="656"/>
      <c r="F90" s="357"/>
      <c r="G90" s="357">
        <f>G1*Revenue!$I$89</f>
        <v>0</v>
      </c>
      <c r="H90" s="357"/>
      <c r="I90" s="357"/>
      <c r="J90" s="390"/>
      <c r="K90" s="390"/>
      <c r="L90" s="357"/>
      <c r="M90" s="357"/>
      <c r="N90" s="357"/>
      <c r="O90" s="357"/>
      <c r="P90" s="357"/>
      <c r="Q90" s="390"/>
      <c r="R90" s="390"/>
      <c r="S90" s="657">
        <f>SUM(F90:R90)</f>
        <v>0</v>
      </c>
      <c r="T90" s="357"/>
      <c r="U90" s="657">
        <f>SUM(S90:S90)</f>
        <v>0</v>
      </c>
      <c r="V90" s="657">
        <f>+U90-'ROR-Model'!G90</f>
        <v>0</v>
      </c>
    </row>
    <row r="91" spans="1:22">
      <c r="A91" s="660"/>
      <c r="B91" s="365"/>
      <c r="C91" s="365"/>
      <c r="D91" s="659"/>
      <c r="E91" s="656"/>
      <c r="F91" s="357"/>
      <c r="G91" s="357"/>
      <c r="H91" s="357"/>
      <c r="I91" s="357"/>
      <c r="J91" s="390"/>
      <c r="K91" s="390"/>
      <c r="L91" s="357"/>
      <c r="M91" s="357"/>
      <c r="N91" s="357"/>
      <c r="O91" s="357"/>
      <c r="P91" s="357"/>
      <c r="Q91" s="390"/>
      <c r="R91" s="390"/>
      <c r="S91" s="657"/>
      <c r="T91" s="357"/>
      <c r="U91" s="657"/>
      <c r="V91" s="657">
        <f>+U91-'ROR-Model'!G91</f>
        <v>0</v>
      </c>
    </row>
    <row r="92" spans="1:22">
      <c r="A92" s="660"/>
      <c r="B92" s="365"/>
      <c r="C92" s="365" t="s">
        <v>17</v>
      </c>
      <c r="D92" s="659"/>
      <c r="E92" s="656"/>
      <c r="F92" s="357"/>
      <c r="G92" s="357">
        <f>G1*Revenue!$I$91</f>
        <v>0</v>
      </c>
      <c r="H92" s="357"/>
      <c r="I92" s="357"/>
      <c r="J92" s="390"/>
      <c r="K92" s="390"/>
      <c r="L92" s="357"/>
      <c r="M92" s="357"/>
      <c r="N92" s="357"/>
      <c r="O92" s="357"/>
      <c r="P92" s="357"/>
      <c r="Q92" s="390"/>
      <c r="R92" s="390"/>
      <c r="S92" s="657">
        <f>SUM(F92:R92)</f>
        <v>0</v>
      </c>
      <c r="T92" s="357"/>
      <c r="U92" s="657">
        <f>SUM(S92:S92)</f>
        <v>0</v>
      </c>
      <c r="V92" s="657">
        <f>+U92-'ROR-Model'!G92</f>
        <v>0</v>
      </c>
    </row>
    <row r="93" spans="1:22">
      <c r="A93" s="660"/>
      <c r="B93" s="365"/>
      <c r="C93" s="365" t="s">
        <v>18</v>
      </c>
      <c r="D93" s="659"/>
      <c r="E93" s="656"/>
      <c r="F93" s="388">
        <f>SUM(F88:F92)</f>
        <v>0</v>
      </c>
      <c r="G93" s="388">
        <f>G1*SUM(G88:G92)</f>
        <v>0</v>
      </c>
      <c r="H93" s="388">
        <f>SUM(H88:H92)</f>
        <v>0</v>
      </c>
      <c r="I93" s="388">
        <f t="shared" ref="I93:P93" si="12">SUM(I88:I92)</f>
        <v>0</v>
      </c>
      <c r="J93" s="585">
        <f>SUM(J88:J92)</f>
        <v>0</v>
      </c>
      <c r="K93" s="585">
        <f>SUM(K88:K92)</f>
        <v>0</v>
      </c>
      <c r="L93" s="388">
        <f t="shared" si="12"/>
        <v>0</v>
      </c>
      <c r="M93" s="388">
        <f t="shared" si="12"/>
        <v>0</v>
      </c>
      <c r="N93" s="388">
        <f t="shared" si="12"/>
        <v>0</v>
      </c>
      <c r="O93" s="388">
        <f t="shared" si="12"/>
        <v>0</v>
      </c>
      <c r="P93" s="388">
        <f t="shared" si="12"/>
        <v>0</v>
      </c>
      <c r="Q93" s="585">
        <f>SUM(Q88:Q92)</f>
        <v>0</v>
      </c>
      <c r="R93" s="585">
        <f>SUM(R88:R92)</f>
        <v>0</v>
      </c>
      <c r="S93" s="661">
        <f>SUM(S88:S92)</f>
        <v>0</v>
      </c>
      <c r="T93" s="388"/>
      <c r="U93" s="661">
        <f>SUM(U88:U92)</f>
        <v>0</v>
      </c>
      <c r="V93" s="661">
        <f>+U93-'ROR-Model'!G93</f>
        <v>0</v>
      </c>
    </row>
    <row r="94" spans="1:22">
      <c r="A94" s="660"/>
      <c r="B94" s="365"/>
      <c r="C94" s="365"/>
      <c r="D94" s="659"/>
      <c r="E94" s="656"/>
      <c r="F94" s="357"/>
      <c r="G94" s="357"/>
      <c r="H94" s="357"/>
      <c r="I94" s="357"/>
      <c r="J94" s="390"/>
      <c r="K94" s="390"/>
      <c r="L94" s="357"/>
      <c r="M94" s="357"/>
      <c r="N94" s="357"/>
      <c r="O94" s="357"/>
      <c r="P94" s="357"/>
      <c r="Q94" s="390"/>
      <c r="R94" s="390"/>
      <c r="S94" s="657"/>
      <c r="T94" s="357"/>
      <c r="U94" s="657"/>
      <c r="V94" s="657">
        <f>+U94-'ROR-Model'!G94</f>
        <v>0</v>
      </c>
    </row>
    <row r="95" spans="1:22">
      <c r="A95" s="660"/>
      <c r="B95" s="365"/>
      <c r="C95" s="365" t="s">
        <v>19</v>
      </c>
      <c r="D95" s="659"/>
      <c r="E95" s="656"/>
      <c r="F95" s="357"/>
      <c r="G95" s="357">
        <f>G1*Revenue!$I$94</f>
        <v>0</v>
      </c>
      <c r="H95" s="357"/>
      <c r="I95" s="357"/>
      <c r="J95" s="390"/>
      <c r="K95" s="390"/>
      <c r="L95" s="357"/>
      <c r="M95" s="357"/>
      <c r="N95" s="357"/>
      <c r="O95" s="357"/>
      <c r="P95" s="357"/>
      <c r="Q95" s="390"/>
      <c r="R95" s="390"/>
      <c r="S95" s="657">
        <f>SUM(F95:R95)</f>
        <v>0</v>
      </c>
      <c r="T95" s="357"/>
      <c r="U95" s="657">
        <f>SUM(S95:S95)</f>
        <v>0</v>
      </c>
      <c r="V95" s="657">
        <f>+U95-'ROR-Model'!G95</f>
        <v>0</v>
      </c>
    </row>
    <row r="96" spans="1:22">
      <c r="A96" s="660"/>
      <c r="B96" s="365"/>
      <c r="C96" s="365"/>
      <c r="D96" s="659"/>
      <c r="E96" s="656"/>
      <c r="F96" s="357"/>
      <c r="G96" s="357"/>
      <c r="H96" s="357"/>
      <c r="I96" s="357"/>
      <c r="J96" s="390"/>
      <c r="K96" s="390"/>
      <c r="L96" s="357"/>
      <c r="M96" s="357"/>
      <c r="N96" s="357"/>
      <c r="O96" s="357"/>
      <c r="P96" s="357"/>
      <c r="Q96" s="390"/>
      <c r="R96" s="390"/>
      <c r="S96" s="657"/>
      <c r="T96" s="357"/>
      <c r="U96" s="657"/>
      <c r="V96" s="657">
        <f>+U96-'ROR-Model'!G96</f>
        <v>0</v>
      </c>
    </row>
    <row r="97" spans="1:22">
      <c r="A97" s="660"/>
      <c r="B97" s="365" t="s">
        <v>78</v>
      </c>
      <c r="C97" s="365" t="s">
        <v>15</v>
      </c>
      <c r="D97" s="659"/>
      <c r="E97" s="656"/>
      <c r="F97" s="357"/>
      <c r="G97" s="357">
        <f>G1*Revenue!$I$96</f>
        <v>0</v>
      </c>
      <c r="H97" s="357"/>
      <c r="I97" s="357"/>
      <c r="J97" s="390"/>
      <c r="K97" s="390"/>
      <c r="L97" s="357"/>
      <c r="M97" s="357"/>
      <c r="N97" s="357"/>
      <c r="O97" s="357"/>
      <c r="P97" s="357"/>
      <c r="Q97" s="390"/>
      <c r="R97" s="390"/>
      <c r="S97" s="657">
        <f>SUM(F97:R97)</f>
        <v>0</v>
      </c>
      <c r="T97" s="357"/>
      <c r="U97" s="657">
        <f>SUM(S97:S97)</f>
        <v>0</v>
      </c>
      <c r="V97" s="657">
        <f>+U97-'ROR-Model'!G97</f>
        <v>0</v>
      </c>
    </row>
    <row r="98" spans="1:22">
      <c r="A98" s="660"/>
      <c r="B98" s="365"/>
      <c r="C98" s="365"/>
      <c r="D98" s="659"/>
      <c r="E98" s="656"/>
      <c r="F98" s="357"/>
      <c r="G98" s="357"/>
      <c r="H98" s="357"/>
      <c r="I98" s="357"/>
      <c r="J98" s="390"/>
      <c r="K98" s="390"/>
      <c r="L98" s="357"/>
      <c r="M98" s="357"/>
      <c r="N98" s="357"/>
      <c r="O98" s="357"/>
      <c r="P98" s="357"/>
      <c r="Q98" s="390"/>
      <c r="R98" s="390"/>
      <c r="S98" s="657"/>
      <c r="T98" s="357"/>
      <c r="U98" s="657"/>
      <c r="V98" s="657">
        <f>+U98-'ROR-Model'!G98</f>
        <v>0</v>
      </c>
    </row>
    <row r="99" spans="1:22">
      <c r="A99" s="660"/>
      <c r="B99" s="365"/>
      <c r="C99" s="365" t="s">
        <v>16</v>
      </c>
      <c r="D99" s="659"/>
      <c r="E99" s="656"/>
      <c r="F99" s="357"/>
      <c r="G99" s="357">
        <f>G1*Revenue!$I$98</f>
        <v>0</v>
      </c>
      <c r="H99" s="357"/>
      <c r="I99" s="357"/>
      <c r="J99" s="390"/>
      <c r="K99" s="390"/>
      <c r="L99" s="357"/>
      <c r="M99" s="357"/>
      <c r="N99" s="357"/>
      <c r="O99" s="357"/>
      <c r="P99" s="357"/>
      <c r="Q99" s="390"/>
      <c r="R99" s="390"/>
      <c r="S99" s="657">
        <f>SUM(F99:R99)</f>
        <v>0</v>
      </c>
      <c r="T99" s="357"/>
      <c r="U99" s="657">
        <f>SUM(S99:S99)</f>
        <v>0</v>
      </c>
      <c r="V99" s="657">
        <f>+U99-'ROR-Model'!G99</f>
        <v>0</v>
      </c>
    </row>
    <row r="100" spans="1:22">
      <c r="A100" s="660"/>
      <c r="B100" s="365"/>
      <c r="C100" s="365"/>
      <c r="D100" s="659"/>
      <c r="E100" s="656"/>
      <c r="F100" s="357"/>
      <c r="G100" s="357"/>
      <c r="H100" s="357"/>
      <c r="I100" s="357"/>
      <c r="J100" s="390"/>
      <c r="K100" s="390"/>
      <c r="L100" s="357"/>
      <c r="M100" s="357"/>
      <c r="N100" s="357"/>
      <c r="O100" s="357"/>
      <c r="P100" s="357"/>
      <c r="Q100" s="390"/>
      <c r="R100" s="390"/>
      <c r="S100" s="657"/>
      <c r="T100" s="357"/>
      <c r="U100" s="657"/>
      <c r="V100" s="657">
        <f>+U100-'ROR-Model'!G100</f>
        <v>0</v>
      </c>
    </row>
    <row r="101" spans="1:22">
      <c r="A101" s="660"/>
      <c r="B101" s="365"/>
      <c r="C101" s="365" t="s">
        <v>17</v>
      </c>
      <c r="D101" s="659"/>
      <c r="E101" s="656"/>
      <c r="F101" s="357"/>
      <c r="G101" s="357">
        <f>G1*Revenue!$I$100</f>
        <v>0</v>
      </c>
      <c r="H101" s="357"/>
      <c r="I101" s="357"/>
      <c r="J101" s="390"/>
      <c r="K101" s="390"/>
      <c r="L101" s="357"/>
      <c r="M101" s="357"/>
      <c r="N101" s="357"/>
      <c r="O101" s="357"/>
      <c r="P101" s="357"/>
      <c r="Q101" s="390"/>
      <c r="R101" s="390"/>
      <c r="S101" s="657">
        <f>SUM(F101:R101)</f>
        <v>0</v>
      </c>
      <c r="T101" s="357"/>
      <c r="U101" s="657">
        <f>SUM(S101:S101)</f>
        <v>0</v>
      </c>
      <c r="V101" s="657">
        <f>+U101-'ROR-Model'!G101</f>
        <v>0</v>
      </c>
    </row>
    <row r="102" spans="1:22">
      <c r="A102" s="660"/>
      <c r="B102" s="365"/>
      <c r="C102" s="365" t="s">
        <v>18</v>
      </c>
      <c r="D102" s="659"/>
      <c r="E102" s="656"/>
      <c r="F102" s="388">
        <f>SUM(F97:F101)</f>
        <v>0</v>
      </c>
      <c r="G102" s="388">
        <f>G1*SUM(G97:G101)</f>
        <v>0</v>
      </c>
      <c r="H102" s="388">
        <f>SUM(H97:H101)</f>
        <v>0</v>
      </c>
      <c r="I102" s="388">
        <f t="shared" ref="I102:P102" si="13">SUM(I97:I101)</f>
        <v>0</v>
      </c>
      <c r="J102" s="585">
        <f>SUM(J97:J101)</f>
        <v>0</v>
      </c>
      <c r="K102" s="585">
        <f>SUM(K97:K101)</f>
        <v>0</v>
      </c>
      <c r="L102" s="388">
        <f t="shared" si="13"/>
        <v>0</v>
      </c>
      <c r="M102" s="388">
        <f t="shared" si="13"/>
        <v>0</v>
      </c>
      <c r="N102" s="388">
        <f t="shared" si="13"/>
        <v>0</v>
      </c>
      <c r="O102" s="388">
        <f t="shared" si="13"/>
        <v>0</v>
      </c>
      <c r="P102" s="388">
        <f t="shared" si="13"/>
        <v>0</v>
      </c>
      <c r="Q102" s="585">
        <f>SUM(Q97:Q101)</f>
        <v>0</v>
      </c>
      <c r="R102" s="585">
        <f>SUM(R97:R101)</f>
        <v>0</v>
      </c>
      <c r="S102" s="661">
        <f>SUM(S97:S101)</f>
        <v>0</v>
      </c>
      <c r="T102" s="388"/>
      <c r="U102" s="661">
        <f>SUM(U97:U101)</f>
        <v>0</v>
      </c>
      <c r="V102" s="661">
        <f>+U102-'ROR-Model'!G102</f>
        <v>0</v>
      </c>
    </row>
    <row r="103" spans="1:22">
      <c r="A103" s="660"/>
      <c r="B103" s="365"/>
      <c r="C103" s="365"/>
      <c r="D103" s="659"/>
      <c r="E103" s="656"/>
      <c r="F103" s="357"/>
      <c r="G103" s="357"/>
      <c r="H103" s="357"/>
      <c r="I103" s="357"/>
      <c r="J103" s="390"/>
      <c r="K103" s="390"/>
      <c r="L103" s="357"/>
      <c r="M103" s="357"/>
      <c r="N103" s="357"/>
      <c r="O103" s="357"/>
      <c r="P103" s="357"/>
      <c r="Q103" s="390"/>
      <c r="R103" s="390"/>
      <c r="S103" s="657"/>
      <c r="T103" s="357"/>
      <c r="U103" s="657"/>
      <c r="V103" s="657">
        <f>+U103-'ROR-Model'!G103</f>
        <v>0</v>
      </c>
    </row>
    <row r="104" spans="1:22">
      <c r="A104" s="660"/>
      <c r="B104" s="365"/>
      <c r="C104" s="365" t="s">
        <v>19</v>
      </c>
      <c r="D104" s="659"/>
      <c r="E104" s="656"/>
      <c r="F104" s="357"/>
      <c r="G104" s="357">
        <f>G1*Revenue!$I$103</f>
        <v>0</v>
      </c>
      <c r="H104" s="357"/>
      <c r="I104" s="357"/>
      <c r="J104" s="390"/>
      <c r="K104" s="390"/>
      <c r="L104" s="357"/>
      <c r="M104" s="357"/>
      <c r="N104" s="357"/>
      <c r="O104" s="357"/>
      <c r="P104" s="357"/>
      <c r="Q104" s="390"/>
      <c r="R104" s="390"/>
      <c r="S104" s="657">
        <f>SUM(F104:R104)</f>
        <v>0</v>
      </c>
      <c r="T104" s="357"/>
      <c r="U104" s="657">
        <f>SUM(S104:S104)</f>
        <v>0</v>
      </c>
      <c r="V104" s="657">
        <f>+U104-'ROR-Model'!G104</f>
        <v>0</v>
      </c>
    </row>
    <row r="105" spans="1:22">
      <c r="A105" s="660"/>
      <c r="B105" s="365"/>
      <c r="C105" s="365"/>
      <c r="D105" s="659"/>
      <c r="E105" s="656"/>
      <c r="F105" s="357"/>
      <c r="G105" s="357"/>
      <c r="H105" s="357"/>
      <c r="I105" s="357"/>
      <c r="J105" s="390"/>
      <c r="K105" s="390"/>
      <c r="L105" s="357"/>
      <c r="M105" s="357"/>
      <c r="N105" s="357"/>
      <c r="O105" s="357"/>
      <c r="P105" s="357"/>
      <c r="Q105" s="390"/>
      <c r="R105" s="390"/>
      <c r="S105" s="657"/>
      <c r="T105" s="357"/>
      <c r="U105" s="657"/>
      <c r="V105" s="657">
        <f>+U105-'ROR-Model'!G105</f>
        <v>0</v>
      </c>
    </row>
    <row r="106" spans="1:22">
      <c r="A106" s="660"/>
      <c r="B106" s="365" t="s">
        <v>79</v>
      </c>
      <c r="C106" s="365" t="s">
        <v>15</v>
      </c>
      <c r="D106" s="659"/>
      <c r="E106" s="656"/>
      <c r="F106" s="357"/>
      <c r="G106" s="357">
        <f>G1*Revenue!$I$105</f>
        <v>0</v>
      </c>
      <c r="H106" s="357"/>
      <c r="I106" s="357"/>
      <c r="J106" s="390"/>
      <c r="K106" s="390"/>
      <c r="L106" s="357"/>
      <c r="M106" s="357"/>
      <c r="N106" s="357"/>
      <c r="O106" s="357"/>
      <c r="P106" s="357"/>
      <c r="Q106" s="390"/>
      <c r="R106" s="390"/>
      <c r="S106" s="657">
        <f>SUM(F106:R106)</f>
        <v>0</v>
      </c>
      <c r="T106" s="357"/>
      <c r="U106" s="657">
        <f>SUM(S106:S106)</f>
        <v>0</v>
      </c>
      <c r="V106" s="657">
        <f>+U106-'ROR-Model'!G106</f>
        <v>0</v>
      </c>
    </row>
    <row r="107" spans="1:22">
      <c r="A107" s="660"/>
      <c r="B107" s="365"/>
      <c r="C107" s="365"/>
      <c r="D107" s="659"/>
      <c r="E107" s="656"/>
      <c r="F107" s="357"/>
      <c r="G107" s="357"/>
      <c r="H107" s="357"/>
      <c r="I107" s="357"/>
      <c r="J107" s="390"/>
      <c r="K107" s="390"/>
      <c r="L107" s="357"/>
      <c r="M107" s="357"/>
      <c r="N107" s="357"/>
      <c r="O107" s="357"/>
      <c r="P107" s="357"/>
      <c r="Q107" s="390"/>
      <c r="R107" s="390"/>
      <c r="S107" s="657"/>
      <c r="T107" s="357"/>
      <c r="U107" s="657"/>
      <c r="V107" s="657">
        <f>+U107-'ROR-Model'!G107</f>
        <v>0</v>
      </c>
    </row>
    <row r="108" spans="1:22">
      <c r="A108" s="660"/>
      <c r="B108" s="365"/>
      <c r="C108" s="365" t="s">
        <v>16</v>
      </c>
      <c r="D108" s="659"/>
      <c r="E108" s="656"/>
      <c r="F108" s="357"/>
      <c r="G108" s="357">
        <f>G1*Revenue!$I$107</f>
        <v>0</v>
      </c>
      <c r="H108" s="357"/>
      <c r="I108" s="357"/>
      <c r="J108" s="390"/>
      <c r="K108" s="390"/>
      <c r="L108" s="357"/>
      <c r="M108" s="357"/>
      <c r="N108" s="357"/>
      <c r="O108" s="357"/>
      <c r="P108" s="357"/>
      <c r="Q108" s="390"/>
      <c r="R108" s="390"/>
      <c r="S108" s="657">
        <f>SUM(F108:R108)</f>
        <v>0</v>
      </c>
      <c r="T108" s="357"/>
      <c r="U108" s="657">
        <f>SUM(S108:S108)</f>
        <v>0</v>
      </c>
      <c r="V108" s="657">
        <f>+U108-'ROR-Model'!G108</f>
        <v>0</v>
      </c>
    </row>
    <row r="109" spans="1:22">
      <c r="A109" s="660"/>
      <c r="B109" s="365"/>
      <c r="C109" s="365"/>
      <c r="D109" s="659"/>
      <c r="E109" s="656"/>
      <c r="F109" s="357"/>
      <c r="G109" s="357"/>
      <c r="H109" s="357"/>
      <c r="I109" s="357"/>
      <c r="J109" s="390"/>
      <c r="K109" s="390"/>
      <c r="L109" s="357"/>
      <c r="M109" s="357"/>
      <c r="N109" s="357"/>
      <c r="O109" s="357"/>
      <c r="P109" s="357"/>
      <c r="Q109" s="390"/>
      <c r="R109" s="390"/>
      <c r="S109" s="657"/>
      <c r="T109" s="357"/>
      <c r="U109" s="657"/>
      <c r="V109" s="657">
        <f>+U109-'ROR-Model'!G109</f>
        <v>0</v>
      </c>
    </row>
    <row r="110" spans="1:22">
      <c r="A110" s="660"/>
      <c r="B110" s="365"/>
      <c r="C110" s="365" t="s">
        <v>17</v>
      </c>
      <c r="D110" s="659"/>
      <c r="E110" s="656"/>
      <c r="F110" s="357"/>
      <c r="G110" s="357">
        <f>G1*Revenue!$I$109</f>
        <v>0</v>
      </c>
      <c r="H110" s="357"/>
      <c r="I110" s="357"/>
      <c r="J110" s="390"/>
      <c r="K110" s="390"/>
      <c r="L110" s="357"/>
      <c r="M110" s="357"/>
      <c r="N110" s="357"/>
      <c r="O110" s="357"/>
      <c r="P110" s="357"/>
      <c r="Q110" s="390"/>
      <c r="R110" s="390"/>
      <c r="S110" s="657">
        <f>SUM(F110:R110)</f>
        <v>0</v>
      </c>
      <c r="T110" s="357"/>
      <c r="U110" s="657">
        <f>SUM(S110:S110)</f>
        <v>0</v>
      </c>
      <c r="V110" s="657">
        <f>+U110-'ROR-Model'!G110</f>
        <v>0</v>
      </c>
    </row>
    <row r="111" spans="1:22">
      <c r="A111" s="660"/>
      <c r="B111" s="365"/>
      <c r="C111" s="365" t="s">
        <v>18</v>
      </c>
      <c r="D111" s="659"/>
      <c r="E111" s="656"/>
      <c r="F111" s="388">
        <f>SUM(F106:F110)</f>
        <v>0</v>
      </c>
      <c r="G111" s="388">
        <f>G1*SUM(G106:G110)</f>
        <v>0</v>
      </c>
      <c r="H111" s="388">
        <f>SUM(H106:H110)</f>
        <v>0</v>
      </c>
      <c r="I111" s="388">
        <f t="shared" ref="I111:P111" si="14">SUM(I106:I110)</f>
        <v>0</v>
      </c>
      <c r="J111" s="585">
        <f>SUM(J106:J110)</f>
        <v>0</v>
      </c>
      <c r="K111" s="585">
        <f>SUM(K106:K110)</f>
        <v>0</v>
      </c>
      <c r="L111" s="388">
        <f t="shared" si="14"/>
        <v>0</v>
      </c>
      <c r="M111" s="388">
        <f t="shared" si="14"/>
        <v>0</v>
      </c>
      <c r="N111" s="388">
        <f t="shared" si="14"/>
        <v>0</v>
      </c>
      <c r="O111" s="388">
        <f t="shared" si="14"/>
        <v>0</v>
      </c>
      <c r="P111" s="388">
        <f t="shared" si="14"/>
        <v>0</v>
      </c>
      <c r="Q111" s="585">
        <f>SUM(Q106:Q110)</f>
        <v>0</v>
      </c>
      <c r="R111" s="585">
        <f>SUM(R106:R110)</f>
        <v>0</v>
      </c>
      <c r="S111" s="661">
        <f>SUM(S106:S110)</f>
        <v>0</v>
      </c>
      <c r="T111" s="388"/>
      <c r="U111" s="661">
        <f>SUM(U106:U110)</f>
        <v>0</v>
      </c>
      <c r="V111" s="661">
        <f>+U111-'ROR-Model'!G111</f>
        <v>0</v>
      </c>
    </row>
    <row r="112" spans="1:22">
      <c r="A112" s="660"/>
      <c r="B112" s="365"/>
      <c r="C112" s="365"/>
      <c r="D112" s="659"/>
      <c r="E112" s="656"/>
      <c r="F112" s="357"/>
      <c r="G112" s="357"/>
      <c r="H112" s="357"/>
      <c r="I112" s="357"/>
      <c r="J112" s="390"/>
      <c r="K112" s="390"/>
      <c r="L112" s="357"/>
      <c r="M112" s="357"/>
      <c r="N112" s="357"/>
      <c r="O112" s="357"/>
      <c r="P112" s="357"/>
      <c r="Q112" s="390"/>
      <c r="R112" s="390"/>
      <c r="S112" s="657"/>
      <c r="T112" s="357"/>
      <c r="U112" s="657"/>
      <c r="V112" s="657">
        <f>+U112-'ROR-Model'!G112</f>
        <v>0</v>
      </c>
    </row>
    <row r="113" spans="1:22">
      <c r="A113" s="660"/>
      <c r="B113" s="365"/>
      <c r="C113" s="365" t="s">
        <v>19</v>
      </c>
      <c r="D113" s="659"/>
      <c r="E113" s="656"/>
      <c r="F113" s="357"/>
      <c r="G113" s="357">
        <f>G1*Revenue!$I$112</f>
        <v>0</v>
      </c>
      <c r="H113" s="357"/>
      <c r="I113" s="357"/>
      <c r="J113" s="390"/>
      <c r="K113" s="390"/>
      <c r="L113" s="357"/>
      <c r="M113" s="357"/>
      <c r="N113" s="357"/>
      <c r="O113" s="357"/>
      <c r="P113" s="357"/>
      <c r="Q113" s="390"/>
      <c r="R113" s="390"/>
      <c r="S113" s="657">
        <f>SUM(F113:R113)</f>
        <v>0</v>
      </c>
      <c r="T113" s="357"/>
      <c r="U113" s="657">
        <f>SUM(S113:S113)</f>
        <v>0</v>
      </c>
      <c r="V113" s="657">
        <f>+U113-'ROR-Model'!G113</f>
        <v>0</v>
      </c>
    </row>
    <row r="114" spans="1:22">
      <c r="A114" s="660"/>
      <c r="B114" s="365"/>
      <c r="C114" s="365"/>
      <c r="D114" s="659"/>
      <c r="E114" s="656"/>
      <c r="F114" s="357"/>
      <c r="G114" s="357"/>
      <c r="H114" s="357"/>
      <c r="I114" s="357"/>
      <c r="J114" s="390"/>
      <c r="K114" s="390"/>
      <c r="L114" s="357"/>
      <c r="M114" s="357"/>
      <c r="N114" s="357"/>
      <c r="O114" s="357"/>
      <c r="P114" s="357"/>
      <c r="Q114" s="390"/>
      <c r="R114" s="390"/>
      <c r="S114" s="657"/>
      <c r="T114" s="357"/>
      <c r="U114" s="657"/>
      <c r="V114" s="657">
        <f>+U114-'ROR-Model'!G114</f>
        <v>0</v>
      </c>
    </row>
    <row r="115" spans="1:22">
      <c r="A115" s="660"/>
      <c r="B115" s="365" t="s">
        <v>36</v>
      </c>
      <c r="C115" s="365" t="s">
        <v>15</v>
      </c>
      <c r="D115" s="659"/>
      <c r="E115" s="656"/>
      <c r="F115" s="357"/>
      <c r="G115" s="357">
        <f>G1*Revenue!$I$114</f>
        <v>0</v>
      </c>
      <c r="H115" s="357"/>
      <c r="I115" s="357"/>
      <c r="J115" s="390"/>
      <c r="K115" s="390"/>
      <c r="L115" s="357"/>
      <c r="M115" s="357"/>
      <c r="N115" s="357"/>
      <c r="O115" s="357"/>
      <c r="P115" s="357"/>
      <c r="Q115" s="390"/>
      <c r="R115" s="390"/>
      <c r="S115" s="657">
        <f>SUM(F115:R115)</f>
        <v>0</v>
      </c>
      <c r="T115" s="357"/>
      <c r="U115" s="657">
        <f>SUM(S115:S115)</f>
        <v>0</v>
      </c>
      <c r="V115" s="657">
        <f>+U115-'ROR-Model'!G115</f>
        <v>0</v>
      </c>
    </row>
    <row r="116" spans="1:22">
      <c r="A116" s="660"/>
      <c r="B116" s="365"/>
      <c r="C116" s="365"/>
      <c r="D116" s="659"/>
      <c r="E116" s="656"/>
      <c r="F116" s="357"/>
      <c r="G116" s="357"/>
      <c r="H116" s="357"/>
      <c r="I116" s="357"/>
      <c r="J116" s="390"/>
      <c r="K116" s="390"/>
      <c r="L116" s="357"/>
      <c r="M116" s="357"/>
      <c r="N116" s="357"/>
      <c r="O116" s="357"/>
      <c r="P116" s="357"/>
      <c r="Q116" s="390"/>
      <c r="R116" s="390"/>
      <c r="S116" s="657"/>
      <c r="T116" s="357"/>
      <c r="U116" s="657"/>
      <c r="V116" s="657">
        <f>+U116-'ROR-Model'!G116</f>
        <v>0</v>
      </c>
    </row>
    <row r="117" spans="1:22">
      <c r="A117" s="660"/>
      <c r="B117" s="365"/>
      <c r="C117" s="365" t="s">
        <v>16</v>
      </c>
      <c r="D117" s="659"/>
      <c r="E117" s="656"/>
      <c r="F117" s="357"/>
      <c r="G117" s="357">
        <f>G1*Revenue!$I$116</f>
        <v>0</v>
      </c>
      <c r="H117" s="357"/>
      <c r="I117" s="357"/>
      <c r="J117" s="390"/>
      <c r="K117" s="390"/>
      <c r="L117" s="357"/>
      <c r="M117" s="357"/>
      <c r="N117" s="357"/>
      <c r="O117" s="357"/>
      <c r="P117" s="357"/>
      <c r="Q117" s="390"/>
      <c r="R117" s="390"/>
      <c r="S117" s="657">
        <f>SUM(F117:R117)</f>
        <v>0</v>
      </c>
      <c r="T117" s="357"/>
      <c r="U117" s="657">
        <f>SUM(S117:S117)</f>
        <v>0</v>
      </c>
      <c r="V117" s="657">
        <f>+U117-'ROR-Model'!G117</f>
        <v>0</v>
      </c>
    </row>
    <row r="118" spans="1:22">
      <c r="A118" s="660"/>
      <c r="B118" s="365"/>
      <c r="C118" s="365"/>
      <c r="D118" s="659"/>
      <c r="E118" s="656"/>
      <c r="F118" s="357"/>
      <c r="G118" s="357"/>
      <c r="H118" s="357"/>
      <c r="I118" s="357"/>
      <c r="J118" s="390"/>
      <c r="K118" s="390"/>
      <c r="L118" s="357"/>
      <c r="M118" s="357"/>
      <c r="N118" s="357"/>
      <c r="O118" s="357"/>
      <c r="P118" s="357"/>
      <c r="Q118" s="390"/>
      <c r="R118" s="390"/>
      <c r="S118" s="657"/>
      <c r="T118" s="357"/>
      <c r="U118" s="657"/>
      <c r="V118" s="657">
        <f>+U118-'ROR-Model'!G118</f>
        <v>0</v>
      </c>
    </row>
    <row r="119" spans="1:22">
      <c r="A119" s="660"/>
      <c r="B119" s="365"/>
      <c r="C119" s="365" t="s">
        <v>17</v>
      </c>
      <c r="D119" s="659"/>
      <c r="E119" s="656"/>
      <c r="F119" s="357"/>
      <c r="G119" s="357">
        <f>G1*Revenue!$I$118</f>
        <v>0</v>
      </c>
      <c r="H119" s="357"/>
      <c r="I119" s="357"/>
      <c r="J119" s="390"/>
      <c r="K119" s="390"/>
      <c r="L119" s="357"/>
      <c r="M119" s="357"/>
      <c r="N119" s="357"/>
      <c r="O119" s="357"/>
      <c r="P119" s="357"/>
      <c r="Q119" s="390"/>
      <c r="R119" s="390"/>
      <c r="S119" s="657">
        <f>SUM(F119:R119)</f>
        <v>0</v>
      </c>
      <c r="T119" s="357"/>
      <c r="U119" s="657">
        <f>SUM(S119:S119)</f>
        <v>0</v>
      </c>
      <c r="V119" s="657">
        <f>+U119-'ROR-Model'!G119</f>
        <v>0</v>
      </c>
    </row>
    <row r="120" spans="1:22">
      <c r="A120" s="660"/>
      <c r="B120" s="365"/>
      <c r="C120" s="365" t="s">
        <v>18</v>
      </c>
      <c r="D120" s="659"/>
      <c r="E120" s="656"/>
      <c r="F120" s="388">
        <f>SUM(F115:F119)</f>
        <v>0</v>
      </c>
      <c r="G120" s="388">
        <f>G1*SUM(G115:G119)</f>
        <v>0</v>
      </c>
      <c r="H120" s="388">
        <f>SUM(H115:H119)</f>
        <v>0</v>
      </c>
      <c r="I120" s="388">
        <f t="shared" ref="I120:P120" si="15">SUM(I115:I119)</f>
        <v>0</v>
      </c>
      <c r="J120" s="585">
        <f>SUM(J115:J119)</f>
        <v>0</v>
      </c>
      <c r="K120" s="585">
        <f>SUM(K115:K119)</f>
        <v>0</v>
      </c>
      <c r="L120" s="388">
        <f t="shared" si="15"/>
        <v>0</v>
      </c>
      <c r="M120" s="388">
        <f t="shared" si="15"/>
        <v>0</v>
      </c>
      <c r="N120" s="388">
        <f t="shared" si="15"/>
        <v>0</v>
      </c>
      <c r="O120" s="388">
        <f t="shared" si="15"/>
        <v>0</v>
      </c>
      <c r="P120" s="388">
        <f t="shared" si="15"/>
        <v>0</v>
      </c>
      <c r="Q120" s="585">
        <f>SUM(Q115:Q119)</f>
        <v>0</v>
      </c>
      <c r="R120" s="585">
        <f>SUM(R115:R119)</f>
        <v>0</v>
      </c>
      <c r="S120" s="661">
        <f>SUM(S115:S119)</f>
        <v>0</v>
      </c>
      <c r="T120" s="388"/>
      <c r="U120" s="661">
        <f>SUM(U115:U119)</f>
        <v>0</v>
      </c>
      <c r="V120" s="661">
        <f>+U120-'ROR-Model'!G120</f>
        <v>0</v>
      </c>
    </row>
    <row r="121" spans="1:22">
      <c r="A121" s="660"/>
      <c r="B121" s="365"/>
      <c r="C121" s="365"/>
      <c r="D121" s="659"/>
      <c r="E121" s="656"/>
      <c r="F121" s="357"/>
      <c r="G121" s="357"/>
      <c r="H121" s="357"/>
      <c r="I121" s="357"/>
      <c r="J121" s="390"/>
      <c r="K121" s="390"/>
      <c r="L121" s="357"/>
      <c r="M121" s="357"/>
      <c r="N121" s="357"/>
      <c r="O121" s="357"/>
      <c r="P121" s="357"/>
      <c r="Q121" s="390"/>
      <c r="R121" s="390"/>
      <c r="S121" s="657"/>
      <c r="T121" s="357"/>
      <c r="U121" s="657"/>
      <c r="V121" s="657">
        <f>+U121-'ROR-Model'!G121</f>
        <v>0</v>
      </c>
    </row>
    <row r="122" spans="1:22">
      <c r="A122" s="660"/>
      <c r="B122" s="365"/>
      <c r="C122" s="365" t="s">
        <v>19</v>
      </c>
      <c r="D122" s="659"/>
      <c r="E122" s="656"/>
      <c r="F122" s="357"/>
      <c r="G122" s="357">
        <f>G1*Revenue!$I$121</f>
        <v>0</v>
      </c>
      <c r="H122" s="357"/>
      <c r="I122" s="357"/>
      <c r="J122" s="390"/>
      <c r="K122" s="390"/>
      <c r="L122" s="357"/>
      <c r="M122" s="357"/>
      <c r="N122" s="357"/>
      <c r="O122" s="357"/>
      <c r="P122" s="357"/>
      <c r="Q122" s="390"/>
      <c r="R122" s="390"/>
      <c r="S122" s="657">
        <f>SUM(F122:R122)</f>
        <v>0</v>
      </c>
      <c r="T122" s="357"/>
      <c r="U122" s="657">
        <f>SUM(S122:S122)</f>
        <v>0</v>
      </c>
      <c r="V122" s="657">
        <f>+U122-'ROR-Model'!G122</f>
        <v>0</v>
      </c>
    </row>
    <row r="123" spans="1:22">
      <c r="A123" s="660"/>
      <c r="B123" s="365"/>
      <c r="C123" s="365"/>
      <c r="D123" s="659"/>
      <c r="E123" s="656"/>
      <c r="F123" s="357"/>
      <c r="G123" s="357"/>
      <c r="H123" s="357"/>
      <c r="I123" s="357"/>
      <c r="J123" s="390"/>
      <c r="K123" s="390"/>
      <c r="L123" s="357"/>
      <c r="M123" s="357"/>
      <c r="N123" s="357"/>
      <c r="O123" s="357"/>
      <c r="P123" s="357"/>
      <c r="Q123" s="390"/>
      <c r="R123" s="390"/>
      <c r="S123" s="657"/>
      <c r="T123" s="357"/>
      <c r="U123" s="657"/>
      <c r="V123" s="657">
        <f>+U123-'ROR-Model'!G123</f>
        <v>0</v>
      </c>
    </row>
    <row r="124" spans="1:22">
      <c r="A124" s="660"/>
      <c r="B124" s="365" t="s">
        <v>84</v>
      </c>
      <c r="C124" s="365" t="s">
        <v>15</v>
      </c>
      <c r="D124" s="659"/>
      <c r="E124" s="656"/>
      <c r="F124" s="357"/>
      <c r="G124" s="357">
        <f>G1*Revenue!$I$123</f>
        <v>0</v>
      </c>
      <c r="H124" s="357"/>
      <c r="I124" s="357"/>
      <c r="J124" s="390"/>
      <c r="K124" s="390"/>
      <c r="L124" s="357"/>
      <c r="M124" s="357"/>
      <c r="N124" s="357"/>
      <c r="O124" s="357"/>
      <c r="P124" s="357"/>
      <c r="Q124" s="390"/>
      <c r="R124" s="390"/>
      <c r="S124" s="657">
        <f>SUM(F124:R124)</f>
        <v>0</v>
      </c>
      <c r="T124" s="357"/>
      <c r="U124" s="657">
        <f>SUM(S124:S124)</f>
        <v>0</v>
      </c>
      <c r="V124" s="657">
        <f>+U124-'ROR-Model'!G124</f>
        <v>0</v>
      </c>
    </row>
    <row r="125" spans="1:22">
      <c r="A125" s="660"/>
      <c r="B125" s="365"/>
      <c r="C125" s="365"/>
      <c r="D125" s="659"/>
      <c r="E125" s="656"/>
      <c r="F125" s="357"/>
      <c r="G125" s="357"/>
      <c r="H125" s="357"/>
      <c r="I125" s="357"/>
      <c r="J125" s="390"/>
      <c r="K125" s="390"/>
      <c r="L125" s="357"/>
      <c r="M125" s="357"/>
      <c r="N125" s="357"/>
      <c r="O125" s="357"/>
      <c r="P125" s="357"/>
      <c r="Q125" s="390"/>
      <c r="R125" s="390"/>
      <c r="S125" s="657"/>
      <c r="T125" s="357"/>
      <c r="U125" s="657"/>
      <c r="V125" s="657">
        <f>+U125-'ROR-Model'!G125</f>
        <v>0</v>
      </c>
    </row>
    <row r="126" spans="1:22">
      <c r="A126" s="660"/>
      <c r="B126" s="365"/>
      <c r="C126" s="365" t="s">
        <v>16</v>
      </c>
      <c r="D126" s="659"/>
      <c r="E126" s="656"/>
      <c r="F126" s="357"/>
      <c r="G126" s="357">
        <f>G1*Revenue!$I$125</f>
        <v>0</v>
      </c>
      <c r="H126" s="357"/>
      <c r="I126" s="357"/>
      <c r="J126" s="390"/>
      <c r="K126" s="390"/>
      <c r="L126" s="357"/>
      <c r="M126" s="357"/>
      <c r="N126" s="357"/>
      <c r="O126" s="357"/>
      <c r="P126" s="357"/>
      <c r="Q126" s="390"/>
      <c r="R126" s="390"/>
      <c r="S126" s="657">
        <f>SUM(F126:R126)</f>
        <v>0</v>
      </c>
      <c r="T126" s="357"/>
      <c r="U126" s="657">
        <f>SUM(S126:S126)</f>
        <v>0</v>
      </c>
      <c r="V126" s="657">
        <f>+U126-'ROR-Model'!G126</f>
        <v>0</v>
      </c>
    </row>
    <row r="127" spans="1:22">
      <c r="A127" s="660"/>
      <c r="B127" s="365"/>
      <c r="C127" s="365"/>
      <c r="D127" s="659"/>
      <c r="E127" s="656"/>
      <c r="F127" s="357"/>
      <c r="G127" s="357"/>
      <c r="H127" s="357"/>
      <c r="I127" s="357"/>
      <c r="J127" s="390"/>
      <c r="K127" s="390"/>
      <c r="L127" s="357"/>
      <c r="M127" s="357"/>
      <c r="N127" s="357"/>
      <c r="O127" s="357"/>
      <c r="P127" s="357"/>
      <c r="Q127" s="390"/>
      <c r="R127" s="390"/>
      <c r="S127" s="657"/>
      <c r="T127" s="357"/>
      <c r="U127" s="657"/>
      <c r="V127" s="657">
        <f>+U127-'ROR-Model'!G127</f>
        <v>0</v>
      </c>
    </row>
    <row r="128" spans="1:22">
      <c r="A128" s="660"/>
      <c r="B128" s="365"/>
      <c r="C128" s="365" t="s">
        <v>17</v>
      </c>
      <c r="D128" s="659"/>
      <c r="E128" s="656"/>
      <c r="F128" s="357"/>
      <c r="G128" s="357">
        <f>G1*Revenue!$I$127</f>
        <v>0</v>
      </c>
      <c r="H128" s="357"/>
      <c r="I128" s="357"/>
      <c r="J128" s="390"/>
      <c r="K128" s="390"/>
      <c r="L128" s="357"/>
      <c r="M128" s="357"/>
      <c r="N128" s="357"/>
      <c r="O128" s="357"/>
      <c r="P128" s="357"/>
      <c r="Q128" s="390"/>
      <c r="R128" s="390"/>
      <c r="S128" s="657">
        <f>SUM(F128:R128)</f>
        <v>0</v>
      </c>
      <c r="T128" s="357"/>
      <c r="U128" s="657">
        <f>SUM(S128:S128)</f>
        <v>0</v>
      </c>
      <c r="V128" s="657">
        <f>+U128-'ROR-Model'!G128</f>
        <v>0</v>
      </c>
    </row>
    <row r="129" spans="1:22">
      <c r="A129" s="660"/>
      <c r="B129" s="365"/>
      <c r="C129" s="365" t="s">
        <v>18</v>
      </c>
      <c r="D129" s="659"/>
      <c r="E129" s="656"/>
      <c r="F129" s="388">
        <f>SUM(F124:F128)</f>
        <v>0</v>
      </c>
      <c r="G129" s="388">
        <f>G1*SUM(G124:G128)</f>
        <v>0</v>
      </c>
      <c r="H129" s="388">
        <f>SUM(H124:H128)</f>
        <v>0</v>
      </c>
      <c r="I129" s="388">
        <f t="shared" ref="I129:P129" si="16">SUM(I124:I128)</f>
        <v>0</v>
      </c>
      <c r="J129" s="585">
        <f>SUM(J124:J128)</f>
        <v>0</v>
      </c>
      <c r="K129" s="585">
        <f>SUM(K124:K128)</f>
        <v>0</v>
      </c>
      <c r="L129" s="388">
        <f t="shared" si="16"/>
        <v>0</v>
      </c>
      <c r="M129" s="388">
        <f t="shared" si="16"/>
        <v>0</v>
      </c>
      <c r="N129" s="388">
        <f t="shared" si="16"/>
        <v>0</v>
      </c>
      <c r="O129" s="388">
        <f t="shared" si="16"/>
        <v>0</v>
      </c>
      <c r="P129" s="388">
        <f t="shared" si="16"/>
        <v>0</v>
      </c>
      <c r="Q129" s="585">
        <f>SUM(Q124:Q128)</f>
        <v>0</v>
      </c>
      <c r="R129" s="585">
        <f>SUM(R124:R128)</f>
        <v>0</v>
      </c>
      <c r="S129" s="661">
        <f>SUM(S124:S128)</f>
        <v>0</v>
      </c>
      <c r="T129" s="388"/>
      <c r="U129" s="661">
        <f>SUM(U124:U128)</f>
        <v>0</v>
      </c>
      <c r="V129" s="661">
        <f>+U129-'ROR-Model'!G129</f>
        <v>0</v>
      </c>
    </row>
    <row r="130" spans="1:22">
      <c r="A130" s="660"/>
      <c r="B130" s="365"/>
      <c r="C130" s="365"/>
      <c r="D130" s="659"/>
      <c r="E130" s="656"/>
      <c r="F130" s="357"/>
      <c r="G130" s="357"/>
      <c r="H130" s="357"/>
      <c r="I130" s="357"/>
      <c r="J130" s="390"/>
      <c r="K130" s="390"/>
      <c r="L130" s="357"/>
      <c r="M130" s="357"/>
      <c r="N130" s="357"/>
      <c r="O130" s="357"/>
      <c r="P130" s="357"/>
      <c r="Q130" s="390"/>
      <c r="R130" s="390"/>
      <c r="S130" s="657"/>
      <c r="T130" s="357"/>
      <c r="U130" s="657"/>
      <c r="V130" s="657">
        <f>+U130-'ROR-Model'!G130</f>
        <v>0</v>
      </c>
    </row>
    <row r="131" spans="1:22">
      <c r="A131" s="660"/>
      <c r="B131" s="365"/>
      <c r="C131" s="365" t="s">
        <v>19</v>
      </c>
      <c r="D131" s="659"/>
      <c r="E131" s="656"/>
      <c r="F131" s="357"/>
      <c r="G131" s="357">
        <f>G1*Revenue!$I$130</f>
        <v>0</v>
      </c>
      <c r="H131" s="357"/>
      <c r="I131" s="357"/>
      <c r="J131" s="390"/>
      <c r="K131" s="390"/>
      <c r="L131" s="357"/>
      <c r="M131" s="357"/>
      <c r="N131" s="357"/>
      <c r="O131" s="357"/>
      <c r="P131" s="357"/>
      <c r="Q131" s="390"/>
      <c r="R131" s="390"/>
      <c r="S131" s="657">
        <f>SUM(F131:R131)</f>
        <v>0</v>
      </c>
      <c r="T131" s="357"/>
      <c r="U131" s="657">
        <f>SUM(S131:S131)</f>
        <v>0</v>
      </c>
      <c r="V131" s="657">
        <f>+U131-'ROR-Model'!G131</f>
        <v>0</v>
      </c>
    </row>
    <row r="132" spans="1:22">
      <c r="A132" s="660"/>
      <c r="B132" s="365"/>
      <c r="C132" s="365"/>
      <c r="D132" s="659"/>
      <c r="E132" s="656"/>
      <c r="F132" s="357"/>
      <c r="G132" s="357"/>
      <c r="H132" s="357"/>
      <c r="I132" s="357"/>
      <c r="J132" s="390"/>
      <c r="K132" s="390"/>
      <c r="L132" s="357"/>
      <c r="M132" s="357"/>
      <c r="N132" s="357"/>
      <c r="O132" s="357"/>
      <c r="P132" s="357"/>
      <c r="Q132" s="390"/>
      <c r="R132" s="390"/>
      <c r="S132" s="657"/>
      <c r="T132" s="357"/>
      <c r="U132" s="657"/>
      <c r="V132" s="657">
        <f>+U132-'ROR-Model'!G132</f>
        <v>0</v>
      </c>
    </row>
    <row r="133" spans="1:22">
      <c r="A133" s="660"/>
      <c r="B133" s="365" t="s">
        <v>85</v>
      </c>
      <c r="C133" s="365" t="s">
        <v>15</v>
      </c>
      <c r="D133" s="659"/>
      <c r="E133" s="656"/>
      <c r="F133" s="357"/>
      <c r="G133" s="357">
        <f>G1*Revenue!$I$132</f>
        <v>0</v>
      </c>
      <c r="H133" s="357"/>
      <c r="I133" s="357"/>
      <c r="J133" s="390"/>
      <c r="K133" s="390"/>
      <c r="L133" s="357"/>
      <c r="M133" s="357"/>
      <c r="N133" s="357"/>
      <c r="O133" s="357"/>
      <c r="P133" s="357"/>
      <c r="Q133" s="390"/>
      <c r="R133" s="390"/>
      <c r="S133" s="657">
        <f>SUM(F133:R133)</f>
        <v>0</v>
      </c>
      <c r="T133" s="357"/>
      <c r="U133" s="657">
        <f>SUM(S133:S133)</f>
        <v>0</v>
      </c>
      <c r="V133" s="657">
        <f>+U133-'ROR-Model'!G133</f>
        <v>0</v>
      </c>
    </row>
    <row r="134" spans="1:22">
      <c r="A134" s="660"/>
      <c r="B134" s="365"/>
      <c r="C134" s="365"/>
      <c r="D134" s="659"/>
      <c r="E134" s="656"/>
      <c r="F134" s="357"/>
      <c r="G134" s="357"/>
      <c r="H134" s="357"/>
      <c r="I134" s="357"/>
      <c r="J134" s="390"/>
      <c r="K134" s="390"/>
      <c r="L134" s="357"/>
      <c r="M134" s="357"/>
      <c r="N134" s="357"/>
      <c r="O134" s="357"/>
      <c r="P134" s="357"/>
      <c r="Q134" s="390"/>
      <c r="R134" s="390"/>
      <c r="S134" s="657"/>
      <c r="T134" s="357"/>
      <c r="U134" s="657"/>
      <c r="V134" s="657">
        <f>+U134-'ROR-Model'!G134</f>
        <v>0</v>
      </c>
    </row>
    <row r="135" spans="1:22">
      <c r="A135" s="660"/>
      <c r="B135" s="365"/>
      <c r="C135" s="365" t="s">
        <v>16</v>
      </c>
      <c r="D135" s="659"/>
      <c r="E135" s="656"/>
      <c r="F135" s="357"/>
      <c r="G135" s="357">
        <f>G1*Revenue!$I$134</f>
        <v>0</v>
      </c>
      <c r="H135" s="357"/>
      <c r="I135" s="357"/>
      <c r="J135" s="390"/>
      <c r="K135" s="390"/>
      <c r="L135" s="357"/>
      <c r="M135" s="357"/>
      <c r="N135" s="357"/>
      <c r="O135" s="357"/>
      <c r="P135" s="357"/>
      <c r="Q135" s="390"/>
      <c r="R135" s="390"/>
      <c r="S135" s="657">
        <f>SUM(F135:R135)</f>
        <v>0</v>
      </c>
      <c r="T135" s="357"/>
      <c r="U135" s="657">
        <f>SUM(S135:S135)</f>
        <v>0</v>
      </c>
      <c r="V135" s="657">
        <f>+U135-'ROR-Model'!G135</f>
        <v>0</v>
      </c>
    </row>
    <row r="136" spans="1:22">
      <c r="A136" s="660"/>
      <c r="B136" s="365"/>
      <c r="C136" s="365"/>
      <c r="D136" s="659"/>
      <c r="E136" s="656"/>
      <c r="F136" s="357"/>
      <c r="G136" s="357"/>
      <c r="H136" s="357"/>
      <c r="I136" s="357"/>
      <c r="J136" s="390"/>
      <c r="K136" s="390"/>
      <c r="L136" s="357"/>
      <c r="M136" s="357"/>
      <c r="N136" s="357"/>
      <c r="O136" s="357"/>
      <c r="P136" s="357"/>
      <c r="Q136" s="390"/>
      <c r="R136" s="390"/>
      <c r="S136" s="657"/>
      <c r="T136" s="357"/>
      <c r="U136" s="657"/>
      <c r="V136" s="657">
        <f>+U136-'ROR-Model'!G136</f>
        <v>0</v>
      </c>
    </row>
    <row r="137" spans="1:22">
      <c r="A137" s="660"/>
      <c r="B137" s="365"/>
      <c r="C137" s="365" t="s">
        <v>17</v>
      </c>
      <c r="D137" s="659"/>
      <c r="E137" s="656"/>
      <c r="F137" s="357"/>
      <c r="G137" s="357">
        <f>G1*Revenue!$I$136</f>
        <v>0</v>
      </c>
      <c r="H137" s="357"/>
      <c r="I137" s="357"/>
      <c r="J137" s="390"/>
      <c r="K137" s="390"/>
      <c r="L137" s="357"/>
      <c r="M137" s="357"/>
      <c r="N137" s="357"/>
      <c r="O137" s="357"/>
      <c r="P137" s="357"/>
      <c r="Q137" s="390"/>
      <c r="R137" s="390"/>
      <c r="S137" s="657">
        <f>SUM(F137:R137)</f>
        <v>0</v>
      </c>
      <c r="T137" s="357"/>
      <c r="U137" s="657">
        <f>SUM(S137:S137)</f>
        <v>0</v>
      </c>
      <c r="V137" s="657">
        <f>+U137-'ROR-Model'!G137</f>
        <v>0</v>
      </c>
    </row>
    <row r="138" spans="1:22">
      <c r="A138" s="660"/>
      <c r="B138" s="365"/>
      <c r="C138" s="365" t="s">
        <v>18</v>
      </c>
      <c r="D138" s="659"/>
      <c r="E138" s="656"/>
      <c r="F138" s="388">
        <f>SUM(F133:F137)</f>
        <v>0</v>
      </c>
      <c r="G138" s="388">
        <f>G1*SUM(G133:G137)</f>
        <v>0</v>
      </c>
      <c r="H138" s="388">
        <f>SUM(H133:H137)</f>
        <v>0</v>
      </c>
      <c r="I138" s="388">
        <f t="shared" ref="I138:P138" si="17">SUM(I133:I137)</f>
        <v>0</v>
      </c>
      <c r="J138" s="585">
        <f>SUM(J133:J137)</f>
        <v>0</v>
      </c>
      <c r="K138" s="585">
        <f>SUM(K133:K137)</f>
        <v>0</v>
      </c>
      <c r="L138" s="388">
        <f t="shared" si="17"/>
        <v>0</v>
      </c>
      <c r="M138" s="388">
        <f t="shared" si="17"/>
        <v>0</v>
      </c>
      <c r="N138" s="388">
        <f t="shared" si="17"/>
        <v>0</v>
      </c>
      <c r="O138" s="388">
        <f t="shared" si="17"/>
        <v>0</v>
      </c>
      <c r="P138" s="388">
        <f t="shared" si="17"/>
        <v>0</v>
      </c>
      <c r="Q138" s="585">
        <f>SUM(Q133:Q137)</f>
        <v>0</v>
      </c>
      <c r="R138" s="585">
        <f>SUM(R133:R137)</f>
        <v>0</v>
      </c>
      <c r="S138" s="661">
        <f>SUM(S133:S137)</f>
        <v>0</v>
      </c>
      <c r="T138" s="388"/>
      <c r="U138" s="661">
        <f>SUM(U133:U137)</f>
        <v>0</v>
      </c>
      <c r="V138" s="661">
        <f>+U138-'ROR-Model'!G138</f>
        <v>0</v>
      </c>
    </row>
    <row r="139" spans="1:22">
      <c r="A139" s="660"/>
      <c r="B139" s="365"/>
      <c r="C139" s="365"/>
      <c r="D139" s="659"/>
      <c r="E139" s="656"/>
      <c r="F139" s="357"/>
      <c r="G139" s="357"/>
      <c r="H139" s="357"/>
      <c r="I139" s="357"/>
      <c r="J139" s="390"/>
      <c r="K139" s="390"/>
      <c r="L139" s="357"/>
      <c r="M139" s="357"/>
      <c r="N139" s="357"/>
      <c r="O139" s="357"/>
      <c r="P139" s="357"/>
      <c r="Q139" s="390"/>
      <c r="R139" s="390"/>
      <c r="S139" s="657"/>
      <c r="T139" s="357"/>
      <c r="U139" s="657"/>
      <c r="V139" s="657">
        <f>+U139-'ROR-Model'!G139</f>
        <v>0</v>
      </c>
    </row>
    <row r="140" spans="1:22">
      <c r="A140" s="660"/>
      <c r="B140" s="365"/>
      <c r="C140" s="365" t="s">
        <v>19</v>
      </c>
      <c r="D140" s="659"/>
      <c r="E140" s="656"/>
      <c r="F140" s="357"/>
      <c r="G140" s="357">
        <f>G1*Revenue!$I$139</f>
        <v>0</v>
      </c>
      <c r="H140" s="357"/>
      <c r="I140" s="357"/>
      <c r="J140" s="390"/>
      <c r="K140" s="390"/>
      <c r="L140" s="357"/>
      <c r="M140" s="357"/>
      <c r="N140" s="357"/>
      <c r="O140" s="357"/>
      <c r="P140" s="357"/>
      <c r="Q140" s="390"/>
      <c r="R140" s="390"/>
      <c r="S140" s="657">
        <f>SUM(F140:R140)</f>
        <v>0</v>
      </c>
      <c r="T140" s="357"/>
      <c r="U140" s="657">
        <f>SUM(S140:S140)</f>
        <v>0</v>
      </c>
      <c r="V140" s="657">
        <f>+U140-'ROR-Model'!G140</f>
        <v>0</v>
      </c>
    </row>
    <row r="141" spans="1:22">
      <c r="A141" s="660"/>
      <c r="B141" s="365"/>
      <c r="C141" s="365"/>
      <c r="D141" s="659"/>
      <c r="E141" s="656"/>
      <c r="F141" s="357"/>
      <c r="G141" s="357"/>
      <c r="H141" s="357"/>
      <c r="I141" s="357"/>
      <c r="J141" s="390"/>
      <c r="K141" s="390"/>
      <c r="L141" s="357"/>
      <c r="M141" s="357"/>
      <c r="N141" s="357"/>
      <c r="O141" s="357"/>
      <c r="P141" s="357"/>
      <c r="Q141" s="390"/>
      <c r="R141" s="390"/>
      <c r="S141" s="657"/>
      <c r="T141" s="357"/>
      <c r="U141" s="657"/>
      <c r="V141" s="657">
        <f>+U141-'ROR-Model'!G141</f>
        <v>0</v>
      </c>
    </row>
    <row r="142" spans="1:22">
      <c r="A142" s="660"/>
      <c r="B142" s="365" t="s">
        <v>678</v>
      </c>
      <c r="C142" s="365" t="s">
        <v>15</v>
      </c>
      <c r="D142" s="659"/>
      <c r="E142" s="656"/>
      <c r="F142" s="357"/>
      <c r="G142" s="357">
        <f>G1*Revenue!$I$141</f>
        <v>0</v>
      </c>
      <c r="H142" s="357"/>
      <c r="I142" s="357"/>
      <c r="J142" s="390"/>
      <c r="K142" s="390"/>
      <c r="L142" s="357"/>
      <c r="M142" s="357"/>
      <c r="N142" s="357"/>
      <c r="O142" s="357"/>
      <c r="P142" s="357"/>
      <c r="Q142" s="390"/>
      <c r="R142" s="390"/>
      <c r="S142" s="657">
        <f>SUM(F142:R142)</f>
        <v>0</v>
      </c>
      <c r="T142" s="357"/>
      <c r="U142" s="657">
        <f>SUM(S142:S142)</f>
        <v>0</v>
      </c>
      <c r="V142" s="657">
        <f>+U142-'ROR-Model'!G142</f>
        <v>0</v>
      </c>
    </row>
    <row r="143" spans="1:22">
      <c r="A143" s="660"/>
      <c r="B143" s="365"/>
      <c r="C143" s="365"/>
      <c r="D143" s="659"/>
      <c r="E143" s="656"/>
      <c r="F143" s="357"/>
      <c r="G143" s="357"/>
      <c r="H143" s="357"/>
      <c r="I143" s="357"/>
      <c r="J143" s="390"/>
      <c r="K143" s="390"/>
      <c r="L143" s="357"/>
      <c r="M143" s="357"/>
      <c r="N143" s="357"/>
      <c r="O143" s="357"/>
      <c r="P143" s="357"/>
      <c r="Q143" s="390"/>
      <c r="R143" s="390"/>
      <c r="S143" s="657"/>
      <c r="T143" s="357"/>
      <c r="U143" s="657"/>
      <c r="V143" s="657">
        <f>+U143-'ROR-Model'!G143</f>
        <v>0</v>
      </c>
    </row>
    <row r="144" spans="1:22">
      <c r="A144" s="660"/>
      <c r="B144" s="365"/>
      <c r="C144" s="365" t="s">
        <v>16</v>
      </c>
      <c r="D144" s="659"/>
      <c r="E144" s="656"/>
      <c r="F144" s="357"/>
      <c r="G144" s="357">
        <f>G1*Revenue!$I$143</f>
        <v>0</v>
      </c>
      <c r="H144" s="357"/>
      <c r="I144" s="357"/>
      <c r="J144" s="390"/>
      <c r="K144" s="390"/>
      <c r="L144" s="357"/>
      <c r="M144" s="357"/>
      <c r="N144" s="357"/>
      <c r="O144" s="357"/>
      <c r="P144" s="357"/>
      <c r="Q144" s="390"/>
      <c r="R144" s="390"/>
      <c r="S144" s="657">
        <f>SUM(F144:R144)</f>
        <v>0</v>
      </c>
      <c r="T144" s="357"/>
      <c r="U144" s="657">
        <f>SUM(S144:S144)</f>
        <v>0</v>
      </c>
      <c r="V144" s="657">
        <f>+U144-'ROR-Model'!G144</f>
        <v>0</v>
      </c>
    </row>
    <row r="145" spans="1:22">
      <c r="A145" s="660"/>
      <c r="B145" s="365"/>
      <c r="C145" s="365"/>
      <c r="D145" s="659"/>
      <c r="E145" s="656"/>
      <c r="F145" s="357"/>
      <c r="G145" s="357"/>
      <c r="H145" s="357"/>
      <c r="I145" s="357"/>
      <c r="J145" s="390"/>
      <c r="K145" s="390"/>
      <c r="L145" s="357"/>
      <c r="M145" s="357"/>
      <c r="N145" s="357"/>
      <c r="O145" s="357"/>
      <c r="P145" s="357"/>
      <c r="Q145" s="390"/>
      <c r="R145" s="390"/>
      <c r="S145" s="657"/>
      <c r="T145" s="357"/>
      <c r="U145" s="657"/>
      <c r="V145" s="657">
        <f>+U145-'ROR-Model'!G145</f>
        <v>0</v>
      </c>
    </row>
    <row r="146" spans="1:22">
      <c r="A146" s="660"/>
      <c r="B146" s="365"/>
      <c r="C146" s="365" t="s">
        <v>17</v>
      </c>
      <c r="D146" s="659"/>
      <c r="E146" s="656"/>
      <c r="F146" s="357"/>
      <c r="G146" s="357">
        <f>G1*Revenue!$I$145</f>
        <v>0</v>
      </c>
      <c r="H146" s="357"/>
      <c r="I146" s="357"/>
      <c r="J146" s="390"/>
      <c r="K146" s="390"/>
      <c r="L146" s="357"/>
      <c r="M146" s="357"/>
      <c r="N146" s="357"/>
      <c r="O146" s="357"/>
      <c r="P146" s="357"/>
      <c r="Q146" s="390"/>
      <c r="R146" s="390"/>
      <c r="S146" s="657">
        <f>SUM(F146:R146)</f>
        <v>0</v>
      </c>
      <c r="T146" s="357"/>
      <c r="U146" s="657">
        <f>SUM(S146:S146)</f>
        <v>0</v>
      </c>
      <c r="V146" s="657">
        <f>+U146-'ROR-Model'!G146</f>
        <v>0</v>
      </c>
    </row>
    <row r="147" spans="1:22">
      <c r="A147" s="660"/>
      <c r="B147" s="365"/>
      <c r="C147" s="365" t="s">
        <v>18</v>
      </c>
      <c r="D147" s="659"/>
      <c r="E147" s="656"/>
      <c r="F147" s="388">
        <f>SUM(F142:F146)</f>
        <v>0</v>
      </c>
      <c r="G147" s="388">
        <f>G1*SUM(G142:G146)</f>
        <v>0</v>
      </c>
      <c r="H147" s="388">
        <f>SUM(H142:H146)</f>
        <v>0</v>
      </c>
      <c r="I147" s="388">
        <f t="shared" ref="I147:P147" si="18">SUM(I142:I146)</f>
        <v>0</v>
      </c>
      <c r="J147" s="585">
        <f>SUM(J142:J146)</f>
        <v>0</v>
      </c>
      <c r="K147" s="585">
        <f>SUM(K142:K146)</f>
        <v>0</v>
      </c>
      <c r="L147" s="388">
        <f t="shared" si="18"/>
        <v>0</v>
      </c>
      <c r="M147" s="388">
        <f t="shared" si="18"/>
        <v>0</v>
      </c>
      <c r="N147" s="388">
        <f t="shared" si="18"/>
        <v>0</v>
      </c>
      <c r="O147" s="388">
        <f t="shared" si="18"/>
        <v>0</v>
      </c>
      <c r="P147" s="388">
        <f t="shared" si="18"/>
        <v>0</v>
      </c>
      <c r="Q147" s="585">
        <f>SUM(Q142:Q146)</f>
        <v>0</v>
      </c>
      <c r="R147" s="585">
        <f>SUM(R142:R146)</f>
        <v>0</v>
      </c>
      <c r="S147" s="661">
        <f>SUM(S142:S146)</f>
        <v>0</v>
      </c>
      <c r="T147" s="388"/>
      <c r="U147" s="661">
        <f>SUM(U142:U146)</f>
        <v>0</v>
      </c>
      <c r="V147" s="661">
        <f>+U147-'ROR-Model'!G147</f>
        <v>0</v>
      </c>
    </row>
    <row r="148" spans="1:22">
      <c r="A148" s="660"/>
      <c r="B148" s="365"/>
      <c r="C148" s="365"/>
      <c r="D148" s="659"/>
      <c r="E148" s="656"/>
      <c r="F148" s="357"/>
      <c r="G148" s="357"/>
      <c r="H148" s="357"/>
      <c r="I148" s="357"/>
      <c r="J148" s="390"/>
      <c r="K148" s="390"/>
      <c r="L148" s="357"/>
      <c r="M148" s="357"/>
      <c r="N148" s="357"/>
      <c r="O148" s="357"/>
      <c r="P148" s="357"/>
      <c r="Q148" s="390"/>
      <c r="R148" s="390"/>
      <c r="S148" s="657"/>
      <c r="T148" s="357"/>
      <c r="U148" s="657"/>
      <c r="V148" s="657">
        <f>+U148-'ROR-Model'!G148</f>
        <v>0</v>
      </c>
    </row>
    <row r="149" spans="1:22">
      <c r="A149" s="660"/>
      <c r="B149" s="365"/>
      <c r="C149" s="365" t="s">
        <v>19</v>
      </c>
      <c r="D149" s="659"/>
      <c r="E149" s="656"/>
      <c r="F149" s="357"/>
      <c r="G149" s="357">
        <f>G1*Revenue!$I$148</f>
        <v>0</v>
      </c>
      <c r="H149" s="357"/>
      <c r="I149" s="357"/>
      <c r="J149" s="390"/>
      <c r="K149" s="390"/>
      <c r="L149" s="357"/>
      <c r="M149" s="357"/>
      <c r="N149" s="357"/>
      <c r="O149" s="357"/>
      <c r="P149" s="357"/>
      <c r="Q149" s="390"/>
      <c r="R149" s="390"/>
      <c r="S149" s="657">
        <f>SUM(F149:R149)</f>
        <v>0</v>
      </c>
      <c r="T149" s="357"/>
      <c r="U149" s="657">
        <f>SUM(S149:S149)</f>
        <v>0</v>
      </c>
      <c r="V149" s="657">
        <f>+U149-'ROR-Model'!G149</f>
        <v>0</v>
      </c>
    </row>
    <row r="150" spans="1:22">
      <c r="A150" s="660"/>
      <c r="B150" s="365"/>
      <c r="C150" s="365"/>
      <c r="D150" s="659"/>
      <c r="E150" s="656"/>
      <c r="F150" s="357"/>
      <c r="G150" s="357"/>
      <c r="H150" s="357"/>
      <c r="I150" s="357"/>
      <c r="J150" s="390"/>
      <c r="K150" s="390"/>
      <c r="L150" s="357"/>
      <c r="M150" s="357"/>
      <c r="N150" s="357"/>
      <c r="O150" s="357"/>
      <c r="P150" s="357"/>
      <c r="Q150" s="390"/>
      <c r="R150" s="390"/>
      <c r="S150" s="657"/>
      <c r="T150" s="357"/>
      <c r="U150" s="657"/>
      <c r="V150" s="657">
        <f>+U150-'ROR-Model'!G150</f>
        <v>0</v>
      </c>
    </row>
    <row r="151" spans="1:22">
      <c r="A151" s="660"/>
      <c r="B151" s="365" t="s">
        <v>10</v>
      </c>
      <c r="C151" s="365" t="s">
        <v>15</v>
      </c>
      <c r="D151" s="659"/>
      <c r="E151" s="656"/>
      <c r="F151" s="357"/>
      <c r="G151" s="357">
        <f>G1*Revenue!$I$150</f>
        <v>0</v>
      </c>
      <c r="H151" s="357"/>
      <c r="I151" s="357"/>
      <c r="J151" s="390"/>
      <c r="K151" s="390"/>
      <c r="L151" s="357"/>
      <c r="M151" s="357"/>
      <c r="N151" s="357"/>
      <c r="O151" s="357"/>
      <c r="P151" s="357"/>
      <c r="Q151" s="390"/>
      <c r="R151" s="390"/>
      <c r="S151" s="657">
        <f>SUM(F151:R151)</f>
        <v>0</v>
      </c>
      <c r="T151" s="357"/>
      <c r="U151" s="657">
        <f>SUM(S151:S151)</f>
        <v>0</v>
      </c>
      <c r="V151" s="657">
        <f>+U151-'ROR-Model'!G151</f>
        <v>0</v>
      </c>
    </row>
    <row r="152" spans="1:22">
      <c r="A152" s="660"/>
      <c r="B152" s="365"/>
      <c r="C152" s="365"/>
      <c r="D152" s="659"/>
      <c r="E152" s="656"/>
      <c r="F152" s="357"/>
      <c r="G152" s="357"/>
      <c r="H152" s="357"/>
      <c r="I152" s="357"/>
      <c r="J152" s="390"/>
      <c r="K152" s="390"/>
      <c r="L152" s="357"/>
      <c r="M152" s="357"/>
      <c r="N152" s="357"/>
      <c r="O152" s="357"/>
      <c r="P152" s="357"/>
      <c r="Q152" s="390"/>
      <c r="R152" s="390"/>
      <c r="S152" s="657"/>
      <c r="T152" s="357"/>
      <c r="U152" s="657"/>
      <c r="V152" s="657">
        <f>+U152-'ROR-Model'!G152</f>
        <v>0</v>
      </c>
    </row>
    <row r="153" spans="1:22">
      <c r="A153" s="660"/>
      <c r="B153" s="365"/>
      <c r="C153" s="365" t="s">
        <v>16</v>
      </c>
      <c r="D153" s="659"/>
      <c r="E153" s="656"/>
      <c r="F153" s="357"/>
      <c r="G153" s="357">
        <f>G1*Revenue!$I$152</f>
        <v>0</v>
      </c>
      <c r="H153" s="357"/>
      <c r="I153" s="357"/>
      <c r="J153" s="390"/>
      <c r="K153" s="390"/>
      <c r="L153" s="357"/>
      <c r="M153" s="357"/>
      <c r="N153" s="357"/>
      <c r="O153" s="357"/>
      <c r="P153" s="357"/>
      <c r="Q153" s="390"/>
      <c r="R153" s="390"/>
      <c r="S153" s="657">
        <f>SUM(F153:R153)</f>
        <v>0</v>
      </c>
      <c r="T153" s="357"/>
      <c r="U153" s="657">
        <f>SUM(S153:S153)</f>
        <v>0</v>
      </c>
      <c r="V153" s="657">
        <f>+U153-'ROR-Model'!G153</f>
        <v>0</v>
      </c>
    </row>
    <row r="154" spans="1:22">
      <c r="A154" s="660"/>
      <c r="B154" s="365"/>
      <c r="C154" s="365"/>
      <c r="D154" s="659"/>
      <c r="E154" s="656"/>
      <c r="F154" s="357"/>
      <c r="G154" s="357"/>
      <c r="H154" s="357"/>
      <c r="I154" s="357"/>
      <c r="J154" s="390"/>
      <c r="K154" s="390"/>
      <c r="L154" s="357"/>
      <c r="M154" s="357"/>
      <c r="N154" s="357"/>
      <c r="O154" s="357"/>
      <c r="P154" s="357"/>
      <c r="Q154" s="390"/>
      <c r="R154" s="390"/>
      <c r="S154" s="657"/>
      <c r="T154" s="357"/>
      <c r="U154" s="657"/>
      <c r="V154" s="657">
        <f>+U154-'ROR-Model'!G154</f>
        <v>0</v>
      </c>
    </row>
    <row r="155" spans="1:22">
      <c r="A155" s="660"/>
      <c r="B155" s="365"/>
      <c r="C155" s="365" t="s">
        <v>17</v>
      </c>
      <c r="D155" s="659"/>
      <c r="E155" s="656"/>
      <c r="F155" s="357"/>
      <c r="G155" s="357">
        <f>G1*Revenue!$I$154</f>
        <v>0</v>
      </c>
      <c r="H155" s="357"/>
      <c r="I155" s="357"/>
      <c r="J155" s="390"/>
      <c r="K155" s="390"/>
      <c r="L155" s="357"/>
      <c r="M155" s="357"/>
      <c r="N155" s="357"/>
      <c r="O155" s="357"/>
      <c r="P155" s="357"/>
      <c r="Q155" s="390"/>
      <c r="R155" s="390"/>
      <c r="S155" s="657">
        <f>SUM(F155:R155)</f>
        <v>0</v>
      </c>
      <c r="T155" s="357"/>
      <c r="U155" s="657">
        <f>SUM(S155:S155)</f>
        <v>0</v>
      </c>
      <c r="V155" s="657">
        <f>+U155-'ROR-Model'!G155</f>
        <v>0</v>
      </c>
    </row>
    <row r="156" spans="1:22">
      <c r="A156" s="660"/>
      <c r="B156" s="365"/>
      <c r="C156" s="365" t="s">
        <v>18</v>
      </c>
      <c r="D156" s="659"/>
      <c r="E156" s="656"/>
      <c r="F156" s="388">
        <f>SUM(F151:F155)</f>
        <v>0</v>
      </c>
      <c r="G156" s="388">
        <f>G1*SUM(G151:G155)</f>
        <v>0</v>
      </c>
      <c r="H156" s="388">
        <f>SUM(H151:H155)</f>
        <v>0</v>
      </c>
      <c r="I156" s="388">
        <f t="shared" ref="I156:P156" si="19">SUM(I151:I155)</f>
        <v>0</v>
      </c>
      <c r="J156" s="585">
        <f>SUM(J151:J155)</f>
        <v>0</v>
      </c>
      <c r="K156" s="585">
        <f>SUM(K151:K155)</f>
        <v>0</v>
      </c>
      <c r="L156" s="388">
        <f t="shared" si="19"/>
        <v>0</v>
      </c>
      <c r="M156" s="388">
        <f t="shared" si="19"/>
        <v>0</v>
      </c>
      <c r="N156" s="388">
        <f t="shared" si="19"/>
        <v>0</v>
      </c>
      <c r="O156" s="388">
        <f t="shared" si="19"/>
        <v>0</v>
      </c>
      <c r="P156" s="388">
        <f t="shared" si="19"/>
        <v>0</v>
      </c>
      <c r="Q156" s="585">
        <f>SUM(Q151:Q155)</f>
        <v>0</v>
      </c>
      <c r="R156" s="585">
        <f>SUM(R151:R155)</f>
        <v>0</v>
      </c>
      <c r="S156" s="661">
        <f>SUM(S151:S155)</f>
        <v>0</v>
      </c>
      <c r="T156" s="388"/>
      <c r="U156" s="661">
        <f>SUM(U151:U155)</f>
        <v>0</v>
      </c>
      <c r="V156" s="661">
        <f>+U156-'ROR-Model'!G156</f>
        <v>0</v>
      </c>
    </row>
    <row r="157" spans="1:22">
      <c r="A157" s="660"/>
      <c r="B157" s="365"/>
      <c r="C157" s="365"/>
      <c r="D157" s="659"/>
      <c r="E157" s="656"/>
      <c r="F157" s="357"/>
      <c r="G157" s="357"/>
      <c r="H157" s="357"/>
      <c r="I157" s="357"/>
      <c r="J157" s="390"/>
      <c r="K157" s="390"/>
      <c r="L157" s="357"/>
      <c r="M157" s="357"/>
      <c r="N157" s="357"/>
      <c r="O157" s="357"/>
      <c r="P157" s="357"/>
      <c r="Q157" s="390"/>
      <c r="R157" s="390"/>
      <c r="S157" s="657"/>
      <c r="T157" s="357"/>
      <c r="U157" s="657"/>
      <c r="V157" s="657">
        <f>+U157-'ROR-Model'!G157</f>
        <v>0</v>
      </c>
    </row>
    <row r="158" spans="1:22">
      <c r="A158" s="660"/>
      <c r="B158" s="365"/>
      <c r="C158" s="365" t="s">
        <v>19</v>
      </c>
      <c r="D158" s="659"/>
      <c r="E158" s="656"/>
      <c r="F158" s="357"/>
      <c r="G158" s="357">
        <f>G1*Revenue!$I$157</f>
        <v>0</v>
      </c>
      <c r="H158" s="357"/>
      <c r="I158" s="357"/>
      <c r="J158" s="390"/>
      <c r="K158" s="390"/>
      <c r="L158" s="357"/>
      <c r="M158" s="357"/>
      <c r="N158" s="357"/>
      <c r="O158" s="357"/>
      <c r="P158" s="357"/>
      <c r="Q158" s="390"/>
      <c r="R158" s="390"/>
      <c r="S158" s="657">
        <f>SUM(F158:R158)</f>
        <v>0</v>
      </c>
      <c r="T158" s="357"/>
      <c r="U158" s="657">
        <f>SUM(S158:S158)</f>
        <v>0</v>
      </c>
      <c r="V158" s="657">
        <f>+U158-'ROR-Model'!G158</f>
        <v>0</v>
      </c>
    </row>
    <row r="159" spans="1:22">
      <c r="A159" s="660"/>
      <c r="B159" s="365"/>
      <c r="C159" s="365"/>
      <c r="D159" s="659"/>
      <c r="E159" s="656"/>
      <c r="F159" s="357"/>
      <c r="G159" s="357"/>
      <c r="H159" s="357"/>
      <c r="I159" s="357"/>
      <c r="J159" s="390"/>
      <c r="K159" s="390"/>
      <c r="L159" s="357"/>
      <c r="M159" s="357"/>
      <c r="N159" s="357"/>
      <c r="O159" s="357"/>
      <c r="P159" s="357"/>
      <c r="Q159" s="390"/>
      <c r="R159" s="390"/>
      <c r="S159" s="657"/>
      <c r="T159" s="357"/>
      <c r="U159" s="657"/>
      <c r="V159" s="657">
        <f>+U159-'ROR-Model'!G159</f>
        <v>0</v>
      </c>
    </row>
    <row r="160" spans="1:22">
      <c r="A160" s="660"/>
      <c r="B160" s="462" t="s">
        <v>82</v>
      </c>
      <c r="C160" s="365" t="s">
        <v>15</v>
      </c>
      <c r="D160" s="659"/>
      <c r="E160" s="656"/>
      <c r="F160" s="357"/>
      <c r="G160" s="357">
        <f>G1*Revenue!$I$159</f>
        <v>0</v>
      </c>
      <c r="H160" s="357"/>
      <c r="I160" s="357"/>
      <c r="J160" s="390"/>
      <c r="K160" s="390"/>
      <c r="L160" s="357"/>
      <c r="M160" s="357"/>
      <c r="N160" s="357"/>
      <c r="O160" s="357"/>
      <c r="P160" s="357"/>
      <c r="Q160" s="390"/>
      <c r="R160" s="390"/>
      <c r="S160" s="657">
        <f>SUM(F160:R160)</f>
        <v>0</v>
      </c>
      <c r="T160" s="357"/>
      <c r="U160" s="657">
        <f>SUM(S160:S160)</f>
        <v>0</v>
      </c>
      <c r="V160" s="657">
        <f>+U160-'ROR-Model'!G160</f>
        <v>0</v>
      </c>
    </row>
    <row r="161" spans="1:22">
      <c r="A161" s="660"/>
      <c r="B161" s="365"/>
      <c r="C161" s="365"/>
      <c r="D161" s="659"/>
      <c r="E161" s="656"/>
      <c r="F161" s="357"/>
      <c r="G161" s="357"/>
      <c r="H161" s="357"/>
      <c r="I161" s="357"/>
      <c r="J161" s="390"/>
      <c r="K161" s="390"/>
      <c r="L161" s="357"/>
      <c r="M161" s="357"/>
      <c r="N161" s="357"/>
      <c r="O161" s="357"/>
      <c r="P161" s="357"/>
      <c r="Q161" s="390"/>
      <c r="R161" s="390"/>
      <c r="S161" s="657"/>
      <c r="T161" s="357"/>
      <c r="U161" s="657"/>
      <c r="V161" s="657">
        <f>+U161-'ROR-Model'!G161</f>
        <v>0</v>
      </c>
    </row>
    <row r="162" spans="1:22">
      <c r="A162" s="660"/>
      <c r="B162" s="365"/>
      <c r="C162" s="365" t="s">
        <v>16</v>
      </c>
      <c r="D162" s="659"/>
      <c r="E162" s="656"/>
      <c r="F162" s="357"/>
      <c r="G162" s="357">
        <f>G1*Revenue!$I$161</f>
        <v>0</v>
      </c>
      <c r="H162" s="357"/>
      <c r="I162" s="357"/>
      <c r="J162" s="390"/>
      <c r="K162" s="390"/>
      <c r="L162" s="357"/>
      <c r="M162" s="357"/>
      <c r="N162" s="357"/>
      <c r="O162" s="357"/>
      <c r="P162" s="357"/>
      <c r="Q162" s="390"/>
      <c r="R162" s="390"/>
      <c r="S162" s="657">
        <f>SUM(F162:R162)</f>
        <v>0</v>
      </c>
      <c r="T162" s="357"/>
      <c r="U162" s="657">
        <f>SUM(S162:S162)</f>
        <v>0</v>
      </c>
      <c r="V162" s="657">
        <f>+U162-'ROR-Model'!G162</f>
        <v>0</v>
      </c>
    </row>
    <row r="163" spans="1:22">
      <c r="A163" s="660"/>
      <c r="B163" s="365"/>
      <c r="C163" s="365"/>
      <c r="D163" s="659"/>
      <c r="E163" s="656"/>
      <c r="F163" s="357"/>
      <c r="G163" s="357"/>
      <c r="H163" s="357"/>
      <c r="I163" s="357"/>
      <c r="J163" s="390"/>
      <c r="K163" s="390"/>
      <c r="L163" s="357"/>
      <c r="M163" s="357"/>
      <c r="N163" s="357"/>
      <c r="O163" s="357"/>
      <c r="P163" s="357"/>
      <c r="Q163" s="390"/>
      <c r="R163" s="390"/>
      <c r="S163" s="657"/>
      <c r="T163" s="357"/>
      <c r="U163" s="657"/>
      <c r="V163" s="657">
        <f>+U163-'ROR-Model'!G163</f>
        <v>0</v>
      </c>
    </row>
    <row r="164" spans="1:22">
      <c r="A164" s="660"/>
      <c r="B164" s="365"/>
      <c r="C164" s="365" t="s">
        <v>17</v>
      </c>
      <c r="D164" s="659"/>
      <c r="E164" s="656"/>
      <c r="F164" s="357"/>
      <c r="G164" s="357">
        <f>G1*Revenue!$I$163</f>
        <v>0</v>
      </c>
      <c r="H164" s="357"/>
      <c r="I164" s="357"/>
      <c r="J164" s="390"/>
      <c r="K164" s="390"/>
      <c r="L164" s="357"/>
      <c r="M164" s="357"/>
      <c r="N164" s="357"/>
      <c r="O164" s="357"/>
      <c r="P164" s="357"/>
      <c r="Q164" s="390"/>
      <c r="R164" s="390"/>
      <c r="S164" s="657">
        <f>SUM(F164:R164)</f>
        <v>0</v>
      </c>
      <c r="T164" s="357"/>
      <c r="U164" s="657">
        <f>SUM(S164:S164)</f>
        <v>0</v>
      </c>
      <c r="V164" s="657">
        <f>+U164-'ROR-Model'!G164</f>
        <v>0</v>
      </c>
    </row>
    <row r="165" spans="1:22">
      <c r="A165" s="660"/>
      <c r="B165" s="365"/>
      <c r="C165" s="365" t="s">
        <v>18</v>
      </c>
      <c r="D165" s="659"/>
      <c r="E165" s="656"/>
      <c r="F165" s="388">
        <f>SUM(F160:F164)</f>
        <v>0</v>
      </c>
      <c r="G165" s="388">
        <f>G1*SUM(G160:G164)</f>
        <v>0</v>
      </c>
      <c r="H165" s="388">
        <f>SUM(H160:H164)</f>
        <v>0</v>
      </c>
      <c r="I165" s="388">
        <f t="shared" ref="I165:P165" si="20">SUM(I160:I164)</f>
        <v>0</v>
      </c>
      <c r="J165" s="585">
        <f>SUM(J160:J164)</f>
        <v>0</v>
      </c>
      <c r="K165" s="585">
        <f>SUM(K160:K164)</f>
        <v>0</v>
      </c>
      <c r="L165" s="388">
        <f t="shared" si="20"/>
        <v>0</v>
      </c>
      <c r="M165" s="388">
        <f t="shared" si="20"/>
        <v>0</v>
      </c>
      <c r="N165" s="388">
        <f t="shared" si="20"/>
        <v>0</v>
      </c>
      <c r="O165" s="388">
        <f t="shared" si="20"/>
        <v>0</v>
      </c>
      <c r="P165" s="388">
        <f t="shared" si="20"/>
        <v>0</v>
      </c>
      <c r="Q165" s="585">
        <f>SUM(Q160:Q164)</f>
        <v>0</v>
      </c>
      <c r="R165" s="585">
        <f>SUM(R160:R164)</f>
        <v>0</v>
      </c>
      <c r="S165" s="661">
        <f>SUM(S160:S164)</f>
        <v>0</v>
      </c>
      <c r="T165" s="388"/>
      <c r="U165" s="661">
        <f>SUM(U160:U164)</f>
        <v>0</v>
      </c>
      <c r="V165" s="661">
        <f>+U165-'ROR-Model'!G165</f>
        <v>0</v>
      </c>
    </row>
    <row r="166" spans="1:22">
      <c r="A166" s="660"/>
      <c r="B166" s="365"/>
      <c r="C166" s="365"/>
      <c r="D166" s="659"/>
      <c r="E166" s="656"/>
      <c r="F166" s="357"/>
      <c r="G166" s="357"/>
      <c r="H166" s="357"/>
      <c r="I166" s="357"/>
      <c r="J166" s="390"/>
      <c r="K166" s="390"/>
      <c r="L166" s="357"/>
      <c r="M166" s="357"/>
      <c r="N166" s="357"/>
      <c r="O166" s="357"/>
      <c r="P166" s="357"/>
      <c r="Q166" s="390"/>
      <c r="R166" s="390"/>
      <c r="S166" s="657"/>
      <c r="T166" s="357"/>
      <c r="U166" s="657"/>
      <c r="V166" s="657">
        <f>+U166-'ROR-Model'!G166</f>
        <v>0</v>
      </c>
    </row>
    <row r="167" spans="1:22">
      <c r="A167" s="660"/>
      <c r="B167" s="365"/>
      <c r="C167" s="365" t="s">
        <v>19</v>
      </c>
      <c r="D167" s="659"/>
      <c r="E167" s="656"/>
      <c r="F167" s="357"/>
      <c r="G167" s="357">
        <f>G1*Revenue!$I$166</f>
        <v>0</v>
      </c>
      <c r="H167" s="357"/>
      <c r="I167" s="357"/>
      <c r="J167" s="390"/>
      <c r="K167" s="390"/>
      <c r="L167" s="357"/>
      <c r="M167" s="357"/>
      <c r="N167" s="357"/>
      <c r="O167" s="357"/>
      <c r="P167" s="357"/>
      <c r="Q167" s="390"/>
      <c r="R167" s="390"/>
      <c r="S167" s="657">
        <f>SUM(F167:R167)</f>
        <v>0</v>
      </c>
      <c r="T167" s="357"/>
      <c r="U167" s="657">
        <f>SUM(S167:S167)</f>
        <v>0</v>
      </c>
      <c r="V167" s="657">
        <f>+U167-'ROR-Model'!G167</f>
        <v>0</v>
      </c>
    </row>
    <row r="168" spans="1:22">
      <c r="A168" s="660"/>
      <c r="B168" s="63"/>
      <c r="C168" s="63"/>
      <c r="D168" s="659"/>
      <c r="E168" s="656"/>
      <c r="F168" s="357"/>
      <c r="G168" s="357"/>
      <c r="H168" s="357"/>
      <c r="I168" s="357"/>
      <c r="J168" s="390"/>
      <c r="K168" s="390"/>
      <c r="L168" s="357"/>
      <c r="M168" s="357"/>
      <c r="N168" s="357"/>
      <c r="O168" s="357"/>
      <c r="P168" s="357"/>
      <c r="Q168" s="390"/>
      <c r="R168" s="390"/>
      <c r="S168" s="657"/>
      <c r="T168" s="357"/>
      <c r="U168" s="657"/>
      <c r="V168" s="657">
        <f>+U168-'ROR-Model'!G168</f>
        <v>0</v>
      </c>
    </row>
    <row r="169" spans="1:22">
      <c r="A169" s="660"/>
      <c r="B169" s="365" t="s">
        <v>83</v>
      </c>
      <c r="C169" s="365" t="s">
        <v>15</v>
      </c>
      <c r="D169" s="659"/>
      <c r="E169" s="656"/>
      <c r="F169" s="357"/>
      <c r="G169" s="357">
        <f>G1*Revenue!$I$168</f>
        <v>0</v>
      </c>
      <c r="H169" s="357"/>
      <c r="I169" s="357"/>
      <c r="J169" s="390"/>
      <c r="K169" s="390"/>
      <c r="L169" s="357"/>
      <c r="M169" s="357"/>
      <c r="N169" s="357"/>
      <c r="O169" s="357"/>
      <c r="P169" s="357"/>
      <c r="Q169" s="390"/>
      <c r="R169" s="390"/>
      <c r="S169" s="657">
        <f>SUM(F169:R169)</f>
        <v>0</v>
      </c>
      <c r="T169" s="357"/>
      <c r="U169" s="657">
        <f>SUM(S169:S169)</f>
        <v>0</v>
      </c>
      <c r="V169" s="657">
        <f>+U169-'ROR-Model'!G169</f>
        <v>0</v>
      </c>
    </row>
    <row r="170" spans="1:22">
      <c r="A170" s="660"/>
      <c r="B170" s="365"/>
      <c r="C170" s="365"/>
      <c r="D170" s="659"/>
      <c r="E170" s="656"/>
      <c r="F170" s="357"/>
      <c r="G170" s="357"/>
      <c r="H170" s="357"/>
      <c r="I170" s="357"/>
      <c r="J170" s="390"/>
      <c r="K170" s="390"/>
      <c r="L170" s="357"/>
      <c r="M170" s="357"/>
      <c r="N170" s="357"/>
      <c r="O170" s="357"/>
      <c r="P170" s="357"/>
      <c r="Q170" s="390"/>
      <c r="R170" s="390"/>
      <c r="S170" s="657"/>
      <c r="T170" s="357"/>
      <c r="U170" s="657"/>
      <c r="V170" s="657">
        <f>+U170-'ROR-Model'!G170</f>
        <v>0</v>
      </c>
    </row>
    <row r="171" spans="1:22">
      <c r="A171" s="660"/>
      <c r="B171" s="365"/>
      <c r="C171" s="365" t="s">
        <v>16</v>
      </c>
      <c r="D171" s="659"/>
      <c r="E171" s="656"/>
      <c r="F171" s="357"/>
      <c r="G171" s="357">
        <f>G1*Revenue!$I$170</f>
        <v>0</v>
      </c>
      <c r="H171" s="357"/>
      <c r="I171" s="357"/>
      <c r="J171" s="390"/>
      <c r="K171" s="390"/>
      <c r="L171" s="357"/>
      <c r="M171" s="357"/>
      <c r="N171" s="357"/>
      <c r="O171" s="357"/>
      <c r="P171" s="357"/>
      <c r="Q171" s="390"/>
      <c r="R171" s="390"/>
      <c r="S171" s="657">
        <f>SUM(F171:R171)</f>
        <v>0</v>
      </c>
      <c r="T171" s="357"/>
      <c r="U171" s="657">
        <f>SUM(S171:S171)</f>
        <v>0</v>
      </c>
      <c r="V171" s="657">
        <f>+U171-'ROR-Model'!G171</f>
        <v>0</v>
      </c>
    </row>
    <row r="172" spans="1:22">
      <c r="A172" s="660"/>
      <c r="B172" s="365"/>
      <c r="C172" s="365"/>
      <c r="D172" s="659"/>
      <c r="E172" s="656"/>
      <c r="F172" s="357"/>
      <c r="G172" s="357"/>
      <c r="H172" s="357"/>
      <c r="I172" s="357"/>
      <c r="J172" s="390"/>
      <c r="K172" s="390"/>
      <c r="L172" s="357"/>
      <c r="M172" s="357"/>
      <c r="N172" s="357"/>
      <c r="O172" s="357"/>
      <c r="P172" s="357"/>
      <c r="Q172" s="390"/>
      <c r="R172" s="390"/>
      <c r="S172" s="657"/>
      <c r="T172" s="357"/>
      <c r="U172" s="657"/>
      <c r="V172" s="657">
        <f>+U172-'ROR-Model'!G172</f>
        <v>0</v>
      </c>
    </row>
    <row r="173" spans="1:22">
      <c r="A173" s="660"/>
      <c r="B173" s="365"/>
      <c r="C173" s="365" t="s">
        <v>17</v>
      </c>
      <c r="D173" s="659"/>
      <c r="E173" s="656"/>
      <c r="F173" s="357"/>
      <c r="G173" s="357">
        <f>G1*Revenue!$I$172</f>
        <v>0</v>
      </c>
      <c r="H173" s="357"/>
      <c r="I173" s="357"/>
      <c r="J173" s="390"/>
      <c r="K173" s="390"/>
      <c r="L173" s="357"/>
      <c r="M173" s="357"/>
      <c r="N173" s="357"/>
      <c r="O173" s="357"/>
      <c r="P173" s="357"/>
      <c r="Q173" s="390"/>
      <c r="R173" s="390"/>
      <c r="S173" s="657">
        <f>SUM(F173:R173)</f>
        <v>0</v>
      </c>
      <c r="T173" s="357"/>
      <c r="U173" s="657">
        <f>SUM(S173:S173)</f>
        <v>0</v>
      </c>
      <c r="V173" s="657">
        <f>+U173-'ROR-Model'!G173</f>
        <v>0</v>
      </c>
    </row>
    <row r="174" spans="1:22">
      <c r="A174" s="660"/>
      <c r="B174" s="365"/>
      <c r="C174" s="365" t="s">
        <v>18</v>
      </c>
      <c r="D174" s="659"/>
      <c r="E174" s="656"/>
      <c r="F174" s="388">
        <f>SUM(F169:F173)</f>
        <v>0</v>
      </c>
      <c r="G174" s="388">
        <f>G1*SUM(G169:G173)</f>
        <v>0</v>
      </c>
      <c r="H174" s="388">
        <f>SUM(H169:H173)</f>
        <v>0</v>
      </c>
      <c r="I174" s="388">
        <f t="shared" ref="I174:P174" si="21">SUM(I169:I173)</f>
        <v>0</v>
      </c>
      <c r="J174" s="585">
        <f>SUM(J169:J173)</f>
        <v>0</v>
      </c>
      <c r="K174" s="585">
        <f>SUM(K169:K173)</f>
        <v>0</v>
      </c>
      <c r="L174" s="388">
        <f t="shared" si="21"/>
        <v>0</v>
      </c>
      <c r="M174" s="388">
        <f t="shared" si="21"/>
        <v>0</v>
      </c>
      <c r="N174" s="388">
        <f t="shared" si="21"/>
        <v>0</v>
      </c>
      <c r="O174" s="388">
        <f t="shared" si="21"/>
        <v>0</v>
      </c>
      <c r="P174" s="388">
        <f t="shared" si="21"/>
        <v>0</v>
      </c>
      <c r="Q174" s="585">
        <f>SUM(Q169:Q173)</f>
        <v>0</v>
      </c>
      <c r="R174" s="585">
        <f>SUM(R169:R173)</f>
        <v>0</v>
      </c>
      <c r="S174" s="661">
        <f>SUM(S169:S173)</f>
        <v>0</v>
      </c>
      <c r="T174" s="388"/>
      <c r="U174" s="661">
        <f>SUM(U169:U173)</f>
        <v>0</v>
      </c>
      <c r="V174" s="661">
        <f>+U174-'ROR-Model'!G174</f>
        <v>0</v>
      </c>
    </row>
    <row r="175" spans="1:22">
      <c r="A175" s="660"/>
      <c r="B175" s="365"/>
      <c r="C175" s="365"/>
      <c r="D175" s="659"/>
      <c r="E175" s="656"/>
      <c r="F175" s="357"/>
      <c r="G175" s="357"/>
      <c r="H175" s="357"/>
      <c r="I175" s="357"/>
      <c r="J175" s="390"/>
      <c r="K175" s="390"/>
      <c r="L175" s="357"/>
      <c r="M175" s="357"/>
      <c r="N175" s="357"/>
      <c r="O175" s="357"/>
      <c r="P175" s="357"/>
      <c r="Q175" s="390"/>
      <c r="R175" s="390"/>
      <c r="S175" s="657"/>
      <c r="T175" s="357"/>
      <c r="U175" s="657"/>
      <c r="V175" s="657">
        <f>+U175-'ROR-Model'!G175</f>
        <v>0</v>
      </c>
    </row>
    <row r="176" spans="1:22">
      <c r="A176" s="660"/>
      <c r="B176" s="365"/>
      <c r="C176" s="365" t="s">
        <v>19</v>
      </c>
      <c r="D176" s="659"/>
      <c r="E176" s="656"/>
      <c r="F176" s="357"/>
      <c r="G176" s="357">
        <f>G1*Revenue!$I$175</f>
        <v>0</v>
      </c>
      <c r="H176" s="357"/>
      <c r="I176" s="357"/>
      <c r="J176" s="390"/>
      <c r="K176" s="390"/>
      <c r="L176" s="357"/>
      <c r="M176" s="357"/>
      <c r="N176" s="357"/>
      <c r="O176" s="357"/>
      <c r="P176" s="357"/>
      <c r="Q176" s="390"/>
      <c r="R176" s="390"/>
      <c r="S176" s="657">
        <f>SUM(F176:R176)</f>
        <v>0</v>
      </c>
      <c r="T176" s="357"/>
      <c r="U176" s="657">
        <f>SUM(S176:S176)</f>
        <v>0</v>
      </c>
      <c r="V176" s="657">
        <f>+U176-'ROR-Model'!G176</f>
        <v>0</v>
      </c>
    </row>
    <row r="177" spans="1:22">
      <c r="A177" s="660"/>
      <c r="B177" s="365"/>
      <c r="C177" s="365"/>
      <c r="D177" s="659"/>
      <c r="E177" s="656"/>
      <c r="F177" s="357"/>
      <c r="G177" s="357"/>
      <c r="H177" s="357"/>
      <c r="I177" s="357"/>
      <c r="J177" s="390"/>
      <c r="K177" s="390"/>
      <c r="L177" s="357"/>
      <c r="M177" s="357"/>
      <c r="N177" s="357"/>
      <c r="O177" s="357"/>
      <c r="P177" s="357"/>
      <c r="Q177" s="390"/>
      <c r="R177" s="390"/>
      <c r="S177" s="657"/>
      <c r="T177" s="357"/>
      <c r="U177" s="657"/>
      <c r="V177" s="657">
        <f>+U177-'ROR-Model'!G177</f>
        <v>0</v>
      </c>
    </row>
    <row r="178" spans="1:22">
      <c r="A178" s="660"/>
      <c r="B178" s="365" t="s">
        <v>118</v>
      </c>
      <c r="C178" s="365" t="s">
        <v>15</v>
      </c>
      <c r="D178" s="659"/>
      <c r="E178" s="656"/>
      <c r="F178" s="357"/>
      <c r="G178" s="357">
        <f>G1*Revenue!$I$177</f>
        <v>0</v>
      </c>
      <c r="H178" s="357"/>
      <c r="I178" s="357"/>
      <c r="J178" s="390"/>
      <c r="K178" s="390"/>
      <c r="L178" s="357"/>
      <c r="M178" s="357"/>
      <c r="N178" s="357"/>
      <c r="O178" s="357"/>
      <c r="P178" s="357"/>
      <c r="Q178" s="390"/>
      <c r="R178" s="390"/>
      <c r="S178" s="657">
        <f>SUM(F178:R178)</f>
        <v>0</v>
      </c>
      <c r="T178" s="357"/>
      <c r="U178" s="657">
        <f>SUM(S178:S178)</f>
        <v>0</v>
      </c>
      <c r="V178" s="657">
        <f>+U178-'ROR-Model'!G178</f>
        <v>0</v>
      </c>
    </row>
    <row r="179" spans="1:22">
      <c r="A179" s="660"/>
      <c r="B179" s="365"/>
      <c r="C179" s="365"/>
      <c r="D179" s="659"/>
      <c r="E179" s="656"/>
      <c r="F179" s="357"/>
      <c r="G179" s="357"/>
      <c r="H179" s="357"/>
      <c r="I179" s="357"/>
      <c r="J179" s="390"/>
      <c r="K179" s="390"/>
      <c r="L179" s="357"/>
      <c r="M179" s="357"/>
      <c r="N179" s="357"/>
      <c r="O179" s="357"/>
      <c r="P179" s="357"/>
      <c r="Q179" s="390"/>
      <c r="R179" s="390"/>
      <c r="S179" s="657"/>
      <c r="T179" s="357"/>
      <c r="U179" s="657"/>
      <c r="V179" s="657">
        <f>+U179-'ROR-Model'!G179</f>
        <v>0</v>
      </c>
    </row>
    <row r="180" spans="1:22">
      <c r="A180" s="660"/>
      <c r="B180" s="365"/>
      <c r="C180" s="365" t="s">
        <v>16</v>
      </c>
      <c r="D180" s="659"/>
      <c r="E180" s="656"/>
      <c r="F180" s="357"/>
      <c r="G180" s="357">
        <f>G1*Revenue!$I$179</f>
        <v>0</v>
      </c>
      <c r="H180" s="357"/>
      <c r="I180" s="357"/>
      <c r="J180" s="390"/>
      <c r="K180" s="390"/>
      <c r="L180" s="357"/>
      <c r="M180" s="357"/>
      <c r="N180" s="357"/>
      <c r="O180" s="357"/>
      <c r="P180" s="357"/>
      <c r="Q180" s="390"/>
      <c r="R180" s="390"/>
      <c r="S180" s="657">
        <f>SUM(F180:R180)</f>
        <v>0</v>
      </c>
      <c r="T180" s="357"/>
      <c r="U180" s="657">
        <f>SUM(S180:S180)</f>
        <v>0</v>
      </c>
      <c r="V180" s="657">
        <f>+U180-'ROR-Model'!G180</f>
        <v>0</v>
      </c>
    </row>
    <row r="181" spans="1:22">
      <c r="A181" s="660"/>
      <c r="B181" s="365"/>
      <c r="C181" s="365"/>
      <c r="D181" s="659"/>
      <c r="E181" s="656"/>
      <c r="F181" s="357"/>
      <c r="G181" s="357"/>
      <c r="H181" s="357"/>
      <c r="I181" s="357"/>
      <c r="J181" s="390"/>
      <c r="K181" s="390"/>
      <c r="L181" s="357"/>
      <c r="M181" s="357"/>
      <c r="N181" s="357"/>
      <c r="O181" s="357"/>
      <c r="P181" s="357"/>
      <c r="Q181" s="390"/>
      <c r="R181" s="390"/>
      <c r="S181" s="657"/>
      <c r="T181" s="357"/>
      <c r="U181" s="657"/>
      <c r="V181" s="657">
        <f>+U181-'ROR-Model'!G181</f>
        <v>0</v>
      </c>
    </row>
    <row r="182" spans="1:22">
      <c r="A182" s="660"/>
      <c r="B182" s="365"/>
      <c r="C182" s="365" t="s">
        <v>17</v>
      </c>
      <c r="D182" s="659"/>
      <c r="E182" s="656"/>
      <c r="F182" s="357"/>
      <c r="G182" s="357">
        <f>G1*Revenue!$I$181</f>
        <v>0</v>
      </c>
      <c r="H182" s="357"/>
      <c r="I182" s="357"/>
      <c r="J182" s="390"/>
      <c r="K182" s="390"/>
      <c r="L182" s="357"/>
      <c r="M182" s="357"/>
      <c r="N182" s="357"/>
      <c r="O182" s="357"/>
      <c r="P182" s="357"/>
      <c r="Q182" s="390"/>
      <c r="R182" s="390"/>
      <c r="S182" s="657">
        <f>SUM(F182:R182)</f>
        <v>0</v>
      </c>
      <c r="T182" s="357"/>
      <c r="U182" s="657">
        <f>SUM(S182:S182)</f>
        <v>0</v>
      </c>
      <c r="V182" s="657">
        <f>+U182-'ROR-Model'!G182</f>
        <v>0</v>
      </c>
    </row>
    <row r="183" spans="1:22">
      <c r="A183" s="660"/>
      <c r="B183" s="365"/>
      <c r="C183" s="365" t="s">
        <v>18</v>
      </c>
      <c r="D183" s="659"/>
      <c r="E183" s="656"/>
      <c r="F183" s="388">
        <f>SUM(F178:F182)</f>
        <v>0</v>
      </c>
      <c r="G183" s="388">
        <f>G1*SUM(G178:G182)</f>
        <v>0</v>
      </c>
      <c r="H183" s="388">
        <f>SUM(H178:H182)</f>
        <v>0</v>
      </c>
      <c r="I183" s="388">
        <f t="shared" ref="I183:P183" si="22">SUM(I178:I182)</f>
        <v>0</v>
      </c>
      <c r="J183" s="585">
        <f>SUM(J178:J182)</f>
        <v>0</v>
      </c>
      <c r="K183" s="585">
        <f>SUM(K178:K182)</f>
        <v>0</v>
      </c>
      <c r="L183" s="388">
        <f t="shared" si="22"/>
        <v>0</v>
      </c>
      <c r="M183" s="388">
        <f t="shared" si="22"/>
        <v>0</v>
      </c>
      <c r="N183" s="388">
        <f t="shared" si="22"/>
        <v>0</v>
      </c>
      <c r="O183" s="388">
        <f t="shared" si="22"/>
        <v>0</v>
      </c>
      <c r="P183" s="388">
        <f t="shared" si="22"/>
        <v>0</v>
      </c>
      <c r="Q183" s="585">
        <f>SUM(Q178:Q182)</f>
        <v>0</v>
      </c>
      <c r="R183" s="585">
        <f>SUM(R178:R182)</f>
        <v>0</v>
      </c>
      <c r="S183" s="661">
        <f>SUM(S178:S182)</f>
        <v>0</v>
      </c>
      <c r="T183" s="388"/>
      <c r="U183" s="661">
        <f>SUM(U178:U182)</f>
        <v>0</v>
      </c>
      <c r="V183" s="661">
        <f>+U183-'ROR-Model'!G183</f>
        <v>0</v>
      </c>
    </row>
    <row r="184" spans="1:22">
      <c r="A184" s="660"/>
      <c r="B184" s="365"/>
      <c r="C184" s="365"/>
      <c r="D184" s="659"/>
      <c r="E184" s="656"/>
      <c r="F184" s="357"/>
      <c r="G184" s="357"/>
      <c r="H184" s="357"/>
      <c r="I184" s="357"/>
      <c r="J184" s="390"/>
      <c r="K184" s="390"/>
      <c r="L184" s="357"/>
      <c r="M184" s="357"/>
      <c r="N184" s="357"/>
      <c r="O184" s="357"/>
      <c r="P184" s="357"/>
      <c r="Q184" s="390"/>
      <c r="R184" s="390"/>
      <c r="S184" s="657"/>
      <c r="T184" s="357"/>
      <c r="U184" s="657"/>
      <c r="V184" s="657">
        <f>+U184-'ROR-Model'!G184</f>
        <v>0</v>
      </c>
    </row>
    <row r="185" spans="1:22">
      <c r="A185" s="660"/>
      <c r="B185" s="365"/>
      <c r="C185" s="365" t="s">
        <v>19</v>
      </c>
      <c r="D185" s="659"/>
      <c r="E185" s="656"/>
      <c r="F185" s="357"/>
      <c r="G185" s="357">
        <f>G1*Revenue!$I$184</f>
        <v>0</v>
      </c>
      <c r="H185" s="357"/>
      <c r="I185" s="357"/>
      <c r="J185" s="390"/>
      <c r="K185" s="390"/>
      <c r="L185" s="357"/>
      <c r="M185" s="357"/>
      <c r="N185" s="357"/>
      <c r="O185" s="357"/>
      <c r="P185" s="357"/>
      <c r="Q185" s="390"/>
      <c r="R185" s="390"/>
      <c r="S185" s="657">
        <f>SUM(F185:R185)</f>
        <v>0</v>
      </c>
      <c r="T185" s="357"/>
      <c r="U185" s="657">
        <f>SUM(S185:S185)</f>
        <v>0</v>
      </c>
      <c r="V185" s="657">
        <f>+U185-'ROR-Model'!G185</f>
        <v>0</v>
      </c>
    </row>
    <row r="186" spans="1:22">
      <c r="A186" s="660"/>
      <c r="B186" s="365"/>
      <c r="C186" s="365"/>
      <c r="D186" s="659"/>
      <c r="E186" s="656"/>
      <c r="F186" s="357"/>
      <c r="G186" s="357"/>
      <c r="H186" s="357"/>
      <c r="I186" s="357"/>
      <c r="J186" s="390"/>
      <c r="K186" s="390"/>
      <c r="L186" s="357"/>
      <c r="M186" s="357"/>
      <c r="N186" s="357"/>
      <c r="O186" s="357"/>
      <c r="P186" s="357"/>
      <c r="Q186" s="390"/>
      <c r="R186" s="390"/>
      <c r="S186" s="657"/>
      <c r="T186" s="357"/>
      <c r="U186" s="657"/>
      <c r="V186" s="657">
        <f>+U186-'ROR-Model'!G186</f>
        <v>0</v>
      </c>
    </row>
    <row r="187" spans="1:22">
      <c r="A187" s="660"/>
      <c r="B187" s="365" t="s">
        <v>76</v>
      </c>
      <c r="C187" s="365" t="s">
        <v>15</v>
      </c>
      <c r="D187" s="659"/>
      <c r="E187" s="656"/>
      <c r="F187" s="357"/>
      <c r="G187" s="357">
        <f>G1*Revenue!$I$186</f>
        <v>0</v>
      </c>
      <c r="H187" s="357"/>
      <c r="I187" s="357"/>
      <c r="J187" s="390"/>
      <c r="K187" s="390"/>
      <c r="L187" s="357"/>
      <c r="M187" s="357"/>
      <c r="N187" s="357"/>
      <c r="O187" s="357"/>
      <c r="P187" s="357"/>
      <c r="Q187" s="390"/>
      <c r="R187" s="390"/>
      <c r="S187" s="657">
        <f>SUM(F187:R187)</f>
        <v>0</v>
      </c>
      <c r="T187" s="357"/>
      <c r="U187" s="657">
        <f>SUM(S187:S187)</f>
        <v>0</v>
      </c>
      <c r="V187" s="657">
        <f>+U187-'ROR-Model'!G187</f>
        <v>0</v>
      </c>
    </row>
    <row r="188" spans="1:22">
      <c r="A188" s="660"/>
      <c r="B188" s="365"/>
      <c r="C188" s="365"/>
      <c r="D188" s="659"/>
      <c r="E188" s="656"/>
      <c r="F188" s="357"/>
      <c r="G188" s="357"/>
      <c r="H188" s="357"/>
      <c r="I188" s="357"/>
      <c r="J188" s="390"/>
      <c r="K188" s="390"/>
      <c r="L188" s="357"/>
      <c r="M188" s="357"/>
      <c r="N188" s="357"/>
      <c r="O188" s="357"/>
      <c r="P188" s="357"/>
      <c r="Q188" s="390"/>
      <c r="R188" s="390"/>
      <c r="S188" s="657"/>
      <c r="T188" s="357"/>
      <c r="U188" s="657"/>
      <c r="V188" s="657">
        <f>+U188-'ROR-Model'!G188</f>
        <v>0</v>
      </c>
    </row>
    <row r="189" spans="1:22">
      <c r="A189" s="660"/>
      <c r="B189" s="365"/>
      <c r="C189" s="365" t="s">
        <v>16</v>
      </c>
      <c r="D189" s="659"/>
      <c r="E189" s="656"/>
      <c r="F189" s="357"/>
      <c r="G189" s="357">
        <f>G1*Revenue!$I$188</f>
        <v>0</v>
      </c>
      <c r="H189" s="357"/>
      <c r="I189" s="357"/>
      <c r="J189" s="390"/>
      <c r="K189" s="390"/>
      <c r="L189" s="357"/>
      <c r="M189" s="357"/>
      <c r="N189" s="357"/>
      <c r="O189" s="357"/>
      <c r="P189" s="357"/>
      <c r="Q189" s="390"/>
      <c r="R189" s="390"/>
      <c r="S189" s="657">
        <f>SUM(F189:R189)</f>
        <v>0</v>
      </c>
      <c r="T189" s="357"/>
      <c r="U189" s="657">
        <f>SUM(S189:S189)</f>
        <v>0</v>
      </c>
      <c r="V189" s="657">
        <f>+U189-'ROR-Model'!G189</f>
        <v>0</v>
      </c>
    </row>
    <row r="190" spans="1:22">
      <c r="A190" s="660"/>
      <c r="B190" s="365"/>
      <c r="C190" s="365"/>
      <c r="D190" s="659"/>
      <c r="E190" s="656"/>
      <c r="F190" s="357"/>
      <c r="G190" s="357"/>
      <c r="H190" s="357"/>
      <c r="I190" s="357"/>
      <c r="J190" s="390"/>
      <c r="K190" s="390"/>
      <c r="L190" s="357"/>
      <c r="M190" s="357"/>
      <c r="N190" s="357"/>
      <c r="O190" s="357"/>
      <c r="P190" s="357"/>
      <c r="Q190" s="390"/>
      <c r="R190" s="390"/>
      <c r="S190" s="657"/>
      <c r="T190" s="357"/>
      <c r="U190" s="657"/>
      <c r="V190" s="657">
        <f>+U190-'ROR-Model'!G190</f>
        <v>0</v>
      </c>
    </row>
    <row r="191" spans="1:22">
      <c r="A191" s="660"/>
      <c r="B191" s="365"/>
      <c r="C191" s="365" t="s">
        <v>17</v>
      </c>
      <c r="D191" s="659"/>
      <c r="E191" s="656"/>
      <c r="F191" s="357"/>
      <c r="G191" s="357">
        <f>G1*Revenue!$I$190</f>
        <v>0</v>
      </c>
      <c r="H191" s="357"/>
      <c r="I191" s="357"/>
      <c r="J191" s="390"/>
      <c r="K191" s="390"/>
      <c r="L191" s="357"/>
      <c r="M191" s="357"/>
      <c r="N191" s="357"/>
      <c r="O191" s="357"/>
      <c r="P191" s="357"/>
      <c r="Q191" s="390"/>
      <c r="R191" s="390"/>
      <c r="S191" s="657">
        <f>SUM(F191:R191)</f>
        <v>0</v>
      </c>
      <c r="T191" s="357"/>
      <c r="U191" s="657">
        <f>SUM(S191:S191)</f>
        <v>0</v>
      </c>
      <c r="V191" s="657">
        <f>+U191-'ROR-Model'!G191</f>
        <v>0</v>
      </c>
    </row>
    <row r="192" spans="1:22">
      <c r="A192" s="660"/>
      <c r="B192" s="365"/>
      <c r="C192" s="365" t="s">
        <v>18</v>
      </c>
      <c r="D192" s="659"/>
      <c r="E192" s="656"/>
      <c r="F192" s="388">
        <f>SUM(F187:F191)</f>
        <v>0</v>
      </c>
      <c r="G192" s="388">
        <f>G1*SUM(G187:G191)</f>
        <v>0</v>
      </c>
      <c r="H192" s="388">
        <f>SUM(H187:H191)</f>
        <v>0</v>
      </c>
      <c r="I192" s="388">
        <f t="shared" ref="I192:P192" si="23">SUM(I187:I191)</f>
        <v>0</v>
      </c>
      <c r="J192" s="585">
        <f>SUM(J187:J191)</f>
        <v>0</v>
      </c>
      <c r="K192" s="585">
        <f>SUM(K187:K191)</f>
        <v>0</v>
      </c>
      <c r="L192" s="388">
        <f t="shared" si="23"/>
        <v>0</v>
      </c>
      <c r="M192" s="388">
        <f t="shared" si="23"/>
        <v>0</v>
      </c>
      <c r="N192" s="388">
        <f t="shared" si="23"/>
        <v>0</v>
      </c>
      <c r="O192" s="388">
        <f t="shared" si="23"/>
        <v>0</v>
      </c>
      <c r="P192" s="388">
        <f t="shared" si="23"/>
        <v>0</v>
      </c>
      <c r="Q192" s="585">
        <f>SUM(Q187:Q191)</f>
        <v>0</v>
      </c>
      <c r="R192" s="585">
        <f>SUM(R187:R191)</f>
        <v>0</v>
      </c>
      <c r="S192" s="661">
        <f>SUM(S187:S191)</f>
        <v>0</v>
      </c>
      <c r="T192" s="388"/>
      <c r="U192" s="661">
        <f>SUM(U187:U191)</f>
        <v>0</v>
      </c>
      <c r="V192" s="661">
        <f>+U192-'ROR-Model'!G192</f>
        <v>0</v>
      </c>
    </row>
    <row r="193" spans="1:22">
      <c r="A193" s="660"/>
      <c r="B193" s="365"/>
      <c r="C193" s="365"/>
      <c r="D193" s="659"/>
      <c r="E193" s="656"/>
      <c r="F193" s="357"/>
      <c r="G193" s="357"/>
      <c r="H193" s="357"/>
      <c r="I193" s="357"/>
      <c r="J193" s="390"/>
      <c r="K193" s="390"/>
      <c r="L193" s="357"/>
      <c r="M193" s="357"/>
      <c r="N193" s="357"/>
      <c r="O193" s="357"/>
      <c r="P193" s="357"/>
      <c r="Q193" s="390"/>
      <c r="R193" s="390"/>
      <c r="S193" s="657"/>
      <c r="T193" s="357"/>
      <c r="U193" s="657"/>
      <c r="V193" s="657">
        <f>+U193-'ROR-Model'!G193</f>
        <v>0</v>
      </c>
    </row>
    <row r="194" spans="1:22">
      <c r="A194" s="660"/>
      <c r="B194" s="365"/>
      <c r="C194" s="365" t="s">
        <v>19</v>
      </c>
      <c r="D194" s="659"/>
      <c r="E194" s="656"/>
      <c r="F194" s="357"/>
      <c r="G194" s="357">
        <f>G1*Revenue!$I$193</f>
        <v>0</v>
      </c>
      <c r="H194" s="357"/>
      <c r="I194" s="357"/>
      <c r="J194" s="390"/>
      <c r="K194" s="390"/>
      <c r="L194" s="357"/>
      <c r="M194" s="357"/>
      <c r="N194" s="357"/>
      <c r="O194" s="357"/>
      <c r="P194" s="357"/>
      <c r="Q194" s="390"/>
      <c r="R194" s="390"/>
      <c r="S194" s="657">
        <f>SUM(F194:R194)</f>
        <v>0</v>
      </c>
      <c r="T194" s="357"/>
      <c r="U194" s="657">
        <f>SUM(S194:S194)</f>
        <v>0</v>
      </c>
      <c r="V194" s="657">
        <f>+U194-'ROR-Model'!G194</f>
        <v>0</v>
      </c>
    </row>
    <row r="195" spans="1:22">
      <c r="A195" s="660"/>
      <c r="B195" s="365"/>
      <c r="C195" s="365"/>
      <c r="D195" s="659"/>
      <c r="E195" s="656"/>
      <c r="F195" s="357"/>
      <c r="G195" s="357"/>
      <c r="H195" s="357"/>
      <c r="I195" s="357"/>
      <c r="J195" s="390"/>
      <c r="K195" s="390"/>
      <c r="L195" s="357"/>
      <c r="M195" s="357"/>
      <c r="N195" s="357"/>
      <c r="O195" s="357"/>
      <c r="P195" s="357"/>
      <c r="Q195" s="390"/>
      <c r="R195" s="390"/>
      <c r="S195" s="657"/>
      <c r="T195" s="357"/>
      <c r="U195" s="657"/>
      <c r="V195" s="657">
        <f>+U195-'ROR-Model'!G195</f>
        <v>0</v>
      </c>
    </row>
    <row r="196" spans="1:22">
      <c r="A196" s="2"/>
      <c r="B196" s="365" t="s">
        <v>676</v>
      </c>
      <c r="C196" s="365" t="s">
        <v>88</v>
      </c>
      <c r="D196" s="2"/>
      <c r="E196" s="2"/>
      <c r="F196" s="2">
        <v>0</v>
      </c>
      <c r="G196" s="2">
        <f>G1*Revenue!$I$195</f>
        <v>0</v>
      </c>
      <c r="H196" s="2">
        <v>0</v>
      </c>
      <c r="I196" s="2">
        <v>0</v>
      </c>
      <c r="J196" s="84">
        <v>0</v>
      </c>
      <c r="K196" s="84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84">
        <v>0</v>
      </c>
      <c r="R196" s="84">
        <v>0</v>
      </c>
      <c r="S196" s="657">
        <f>SUM(F196:R196)</f>
        <v>0</v>
      </c>
      <c r="T196" s="2"/>
      <c r="U196" s="657">
        <f>SUM(S196:S196)</f>
        <v>0</v>
      </c>
      <c r="V196" s="657">
        <f>+U196-'ROR-Model'!G196</f>
        <v>0</v>
      </c>
    </row>
    <row r="197" spans="1:22">
      <c r="A197" s="660"/>
      <c r="B197" s="365" t="s">
        <v>107</v>
      </c>
      <c r="C197" s="365" t="s">
        <v>88</v>
      </c>
      <c r="D197" s="659"/>
      <c r="E197" s="656"/>
      <c r="F197" s="2">
        <v>0</v>
      </c>
      <c r="G197" s="81">
        <f>'ENERGY EFFICIENCY SERVICES ADJ'!E12</f>
        <v>-20806992</v>
      </c>
      <c r="H197" s="357">
        <v>0</v>
      </c>
      <c r="I197" s="357">
        <v>0</v>
      </c>
      <c r="J197" s="357">
        <v>0</v>
      </c>
      <c r="K197" s="357">
        <v>0</v>
      </c>
      <c r="L197" s="357">
        <v>0</v>
      </c>
      <c r="M197" s="357">
        <v>0</v>
      </c>
      <c r="N197" s="357">
        <v>0</v>
      </c>
      <c r="O197" s="357">
        <v>0</v>
      </c>
      <c r="P197" s="357">
        <v>0</v>
      </c>
      <c r="Q197" s="357">
        <v>0</v>
      </c>
      <c r="R197" s="357">
        <v>0</v>
      </c>
      <c r="S197" s="657">
        <f>SUM(F197:R197)</f>
        <v>-20806992</v>
      </c>
      <c r="T197" s="357"/>
      <c r="U197" s="657">
        <f>SUM(S197:S197)</f>
        <v>-20806992</v>
      </c>
      <c r="V197" s="657">
        <f>+U197-'ROR-Model'!G197</f>
        <v>0</v>
      </c>
    </row>
    <row r="198" spans="1:22" ht="13.5" thickBot="1">
      <c r="A198" s="660"/>
      <c r="B198" s="63" t="s">
        <v>532</v>
      </c>
      <c r="C198" s="365"/>
      <c r="D198" s="659"/>
      <c r="E198" s="656"/>
      <c r="F198" s="579"/>
      <c r="G198" s="579"/>
      <c r="H198" s="579"/>
      <c r="I198" s="579"/>
      <c r="J198" s="586"/>
      <c r="K198" s="586"/>
      <c r="L198" s="579"/>
      <c r="M198" s="579"/>
      <c r="N198" s="579"/>
      <c r="O198" s="579"/>
      <c r="P198" s="579"/>
      <c r="Q198" s="586"/>
      <c r="R198" s="586"/>
      <c r="S198" s="663"/>
      <c r="T198" s="579"/>
      <c r="U198" s="663"/>
      <c r="V198" s="663">
        <f>+U198-'ROR-Model'!G198</f>
        <v>0</v>
      </c>
    </row>
    <row r="199" spans="1:22" ht="13.5" thickTop="1">
      <c r="A199" s="660"/>
      <c r="B199" s="2"/>
      <c r="C199" s="2"/>
      <c r="D199" s="659"/>
      <c r="E199" s="656"/>
      <c r="F199" s="357"/>
      <c r="G199" s="357"/>
      <c r="H199" s="357"/>
      <c r="I199" s="357"/>
      <c r="J199" s="390"/>
      <c r="K199" s="390"/>
      <c r="L199" s="357"/>
      <c r="M199" s="357"/>
      <c r="N199" s="357"/>
      <c r="O199" s="357"/>
      <c r="P199" s="357"/>
      <c r="Q199" s="390"/>
      <c r="R199" s="390"/>
      <c r="S199" s="657"/>
      <c r="T199" s="357"/>
      <c r="U199" s="657"/>
      <c r="V199" s="657">
        <f>+U199-'ROR-Model'!G199</f>
        <v>0</v>
      </c>
    </row>
    <row r="200" spans="1:22">
      <c r="A200" s="660"/>
      <c r="B200" s="63"/>
      <c r="C200" s="365" t="s">
        <v>15</v>
      </c>
      <c r="D200" s="659"/>
      <c r="E200" s="656"/>
      <c r="F200" s="358">
        <f t="shared" ref="F200" si="24">+F16+F34+F43+F52+F61+F70+F79+F88+F97+F106+F115+F124+F133+F142+F151+F160+F169+F178+F187+F25+F196+F197</f>
        <v>0</v>
      </c>
      <c r="G200" s="358">
        <f>+G16+G34+G43+G52+G61+G70+G79+G88+G97+G106+G115+G124+G133+G142+G151+G160+G169+G178+G187+G25+G196+G197</f>
        <v>-20806992</v>
      </c>
      <c r="H200" s="358">
        <f t="shared" ref="H200:Q200" si="25">+H16+H34+H43+H52+H61+H70+H79+H88+H97+H106+H115+H124+H133+H142+H151+H160+H169+H178+H187+H25+H196+H197</f>
        <v>0</v>
      </c>
      <c r="I200" s="358">
        <f t="shared" si="25"/>
        <v>0</v>
      </c>
      <c r="J200" s="358">
        <f>+J16+J34+J43+J52+J61+J70+J79+J88+J97+J106+J115+J124+J133+J142+J151+J160+J169+J178+J187+J25+J196+J197</f>
        <v>0</v>
      </c>
      <c r="K200" s="358">
        <f>+K16+K34+K43+K52+K61+K70+K79+K88+K97+K106+K115+K124+K133+K142+K151+K160+K169+K178+K187+K25+K196+K197</f>
        <v>0</v>
      </c>
      <c r="L200" s="358">
        <f>+L16+L34+L43+L52+L61+L70+L79+L88+L97+L106+L115+L124+L133+L142+L151+L160+L169+L178+L187+L25+L196+L197</f>
        <v>0</v>
      </c>
      <c r="M200" s="358">
        <f t="shared" si="25"/>
        <v>0</v>
      </c>
      <c r="N200" s="358">
        <f t="shared" si="25"/>
        <v>0</v>
      </c>
      <c r="O200" s="358">
        <f t="shared" si="25"/>
        <v>0</v>
      </c>
      <c r="P200" s="358">
        <f t="shared" si="25"/>
        <v>0</v>
      </c>
      <c r="Q200" s="358">
        <f t="shared" si="25"/>
        <v>0</v>
      </c>
      <c r="R200" s="358">
        <f>+R16+R34+R43+R52+R61+R70+R79+R88+R97+R106+R115+R124+R133+R142+R151+R160+R169+R178+R187+R25+R196+R197</f>
        <v>0</v>
      </c>
      <c r="S200" s="654">
        <f>+S16+S34+S43+S52+S61+S70+S79+S88+S97+S106+S115+S124+S133+S142+S151+S160+S169+S178+S187+S25+S196+S197</f>
        <v>-20806992</v>
      </c>
      <c r="T200" s="358"/>
      <c r="U200" s="654">
        <f>+U16+U34+U43+U52+U61+U70+U79+U88+U97+U106+U115+U124+U133+U142+U151+U160+U169+U178+U187+U25+U196+U197</f>
        <v>-20806992</v>
      </c>
      <c r="V200" s="654">
        <f>+U200-'ROR-Model'!G200</f>
        <v>0</v>
      </c>
    </row>
    <row r="201" spans="1:22">
      <c r="A201" s="660"/>
      <c r="B201" s="63"/>
      <c r="C201" s="365" t="s">
        <v>16</v>
      </c>
      <c r="D201" s="659"/>
      <c r="E201" s="656"/>
      <c r="F201" s="358">
        <f>F1*+F18+F36+F45+F54+F62+F63+F72+F81+F90+F99+F108+F117+F126+F135+F144+F153+F162+F171+F180+F189+F27</f>
        <v>0</v>
      </c>
      <c r="G201" s="358">
        <f>G1*+G18+G36+G45+G54+G62+G63+G72+G81+G90+G99+G108+G117+G126+G135+G144+G153+G162+G171+G180+G189+G27</f>
        <v>0</v>
      </c>
      <c r="H201" s="358">
        <f>H1*+H18+H36+H45+H54+H62+H63+H72+H81+H90+H99+H108+H117+H126+H135+H144+H153+H162+H171+H180+H189+H27</f>
        <v>0</v>
      </c>
      <c r="I201" s="358">
        <f t="shared" ref="I201:Q201" si="26">I1*+I18+I36+I45+I54+I62+I63+I72+I81+I90+I99+I108+I117+I126+I135+I144+I153+I162+I171+I180+I189+I27</f>
        <v>0</v>
      </c>
      <c r="J201" s="358">
        <f>J1*+J18+J36+J45+J54+J62+J63+J72+J81+J90+J99+J108+J117+J126+J135+J144+J153+J162+J171+J180+J189+J27</f>
        <v>0</v>
      </c>
      <c r="K201" s="358">
        <f>K1*+K18+K36+K45+K54+K62+K63+K72+K81+K90+K99+K108+K117+K126+K135+K144+K153+K162+K171+K180+K189+K27</f>
        <v>0</v>
      </c>
      <c r="L201" s="358">
        <f t="shared" si="26"/>
        <v>0</v>
      </c>
      <c r="M201" s="358">
        <f t="shared" si="26"/>
        <v>0</v>
      </c>
      <c r="N201" s="358">
        <f t="shared" si="26"/>
        <v>0</v>
      </c>
      <c r="O201" s="358">
        <f t="shared" si="26"/>
        <v>0</v>
      </c>
      <c r="P201" s="358">
        <f t="shared" si="26"/>
        <v>0</v>
      </c>
      <c r="Q201" s="358">
        <f t="shared" si="26"/>
        <v>0</v>
      </c>
      <c r="R201" s="358">
        <f>R1*+R18+R36+R45+R54+R62+R63+R72+R81+R90+R99+R108+R117+R126+R135+R144+R153+R162+R171+R180+R189+R27</f>
        <v>0</v>
      </c>
      <c r="S201" s="654">
        <f>+S18+S36+S45+S54+S62+S63+S72+S81+S90+S99+S108+S117+S126+S135+S144+S153+S162+S171+S180+S189+S27</f>
        <v>0</v>
      </c>
      <c r="T201" s="358"/>
      <c r="U201" s="654">
        <f>+U18+U36+U45+U54+U62+U63+U72+U81+U90+U99+U108+U117+U126+U135+U144+U153+U162+U171+U180+U189+U27</f>
        <v>0</v>
      </c>
      <c r="V201" s="654">
        <f>+U201-'ROR-Model'!G201</f>
        <v>0</v>
      </c>
    </row>
    <row r="202" spans="1:22">
      <c r="A202" s="660"/>
      <c r="B202" s="63"/>
      <c r="C202" s="365" t="s">
        <v>17</v>
      </c>
      <c r="D202" s="659"/>
      <c r="E202" s="656"/>
      <c r="F202" s="358">
        <f>F1*+F20+F38+F47+F56+F64+F65+F74+F83+F92+F101+F110+F119+F128+F137+F146+F155+F164+F173+F182+F191+F29</f>
        <v>0</v>
      </c>
      <c r="G202" s="358">
        <f>G1*+G20+G38+G47+G56+G64+G65+G74+G83+G92+G101+G110+G119+G128+G137+G146+G155+G164+G173+G182+G191+G29</f>
        <v>0</v>
      </c>
      <c r="H202" s="358">
        <f>H1*+H20+H38+H47+H56+H64+H65+H74+H83+H92+H101+H110+H119+H128+H137+H146+H155+H164+H173+H182+H191+H29</f>
        <v>0</v>
      </c>
      <c r="I202" s="358">
        <f t="shared" ref="I202:Q202" si="27">I1*+I20+I38+I47+I56+I64+I65+I74+I83+I92+I101+I110+I119+I128+I137+I146+I155+I164+I173+I182+I191+I29</f>
        <v>0</v>
      </c>
      <c r="J202" s="358">
        <f>J1*+J20+J38+J47+J56+J64+J65+J74+J83+J92+J101+J110+J119+J128+J137+J146+J155+J164+J173+J182+J191+J29</f>
        <v>0</v>
      </c>
      <c r="K202" s="358">
        <f>K1*+K20+K38+K47+K56+K64+K65+K74+K83+K92+K101+K110+K119+K128+K137+K146+K155+K164+K173+K182+K191+K29</f>
        <v>0</v>
      </c>
      <c r="L202" s="358">
        <f t="shared" si="27"/>
        <v>0</v>
      </c>
      <c r="M202" s="358">
        <f t="shared" si="27"/>
        <v>0</v>
      </c>
      <c r="N202" s="358">
        <f t="shared" si="27"/>
        <v>0</v>
      </c>
      <c r="O202" s="358">
        <f t="shared" si="27"/>
        <v>0</v>
      </c>
      <c r="P202" s="358">
        <f t="shared" si="27"/>
        <v>0</v>
      </c>
      <c r="Q202" s="358">
        <f t="shared" si="27"/>
        <v>0</v>
      </c>
      <c r="R202" s="358">
        <f>R1*+R20+R38+R47+R56+R64+R65+R74+R83+R92+R101+R110+R119+R128+R137+R146+R155+R164+R173+R182+R191+R29</f>
        <v>0</v>
      </c>
      <c r="S202" s="654">
        <f>+S20+S38+S47+S56+S64+S65+S74+S83+S92+S101+S110+S119+S128+S137+S146+S155+S164+S173+S182+S191+S29</f>
        <v>0</v>
      </c>
      <c r="T202" s="358"/>
      <c r="U202" s="654">
        <f>+U20+U38+U47+U56+U64+U65+U74+U83+U92+U101+U110+U119+U128+U137+U146+U155+U164+U173+U182+U191+U29</f>
        <v>0</v>
      </c>
      <c r="V202" s="654">
        <f>+U202-'ROR-Model'!G202</f>
        <v>0</v>
      </c>
    </row>
    <row r="203" spans="1:22">
      <c r="A203" s="905"/>
      <c r="B203" s="63"/>
      <c r="C203" s="365" t="s">
        <v>441</v>
      </c>
      <c r="D203" s="323"/>
      <c r="E203" s="906"/>
      <c r="F203" s="389">
        <f>+F21+F39+F48+F57+F66+F75+F84+F93+F102+F111+F120+F129+F138+F147+F156+F165+F174+F183+F192+F30+F196+F197</f>
        <v>0</v>
      </c>
      <c r="G203" s="389">
        <f>+G21+G39+G48+G57+G66+G75+G84+G93+G102+G111+G120+G129+G138+G147+G156+G165+G174+G183+G192+G30+G196+G197</f>
        <v>-20806992</v>
      </c>
      <c r="H203" s="389">
        <f t="shared" ref="H203:N203" si="28">+H21+H39+H48+H57+H66+H75+H84+H93+H102+H111+H120+H129+H138+H147+H156+H165+H174+H183+H192+H30+H196+H197</f>
        <v>0</v>
      </c>
      <c r="I203" s="389">
        <f t="shared" si="28"/>
        <v>0</v>
      </c>
      <c r="J203" s="389">
        <f>+J21+J39+J48+J57+J66+J75+J84+J93+J102+J111+J120+J129+J138+J147+J156+J165+J174+J183+J192+J30+J196+J197</f>
        <v>0</v>
      </c>
      <c r="K203" s="389">
        <f>+K21+K39+K48+K57+K66+K75+K84+K93+K102+K111+K120+K129+K138+K147+K156+K165+K174+K183+K192+K30+K196+K197</f>
        <v>0</v>
      </c>
      <c r="L203" s="389">
        <f t="shared" si="28"/>
        <v>0</v>
      </c>
      <c r="M203" s="389">
        <f t="shared" si="28"/>
        <v>0</v>
      </c>
      <c r="N203" s="389">
        <f t="shared" si="28"/>
        <v>0</v>
      </c>
      <c r="O203" s="389">
        <f>+O21+O39+O48+O57+O66+O75+O84+O93+O102+O111+O120+O129+O138+O147+O156+O165+O174+O183+O192+O30+O196+O197</f>
        <v>0</v>
      </c>
      <c r="P203" s="389">
        <f t="shared" ref="P203:U203" si="29">+P21+P39+P48+P57+P66+P75+P84+P93+P102+P111+P120+P129+P138+P147+P156+P165+P174+P183+P192+P30+P196+P197</f>
        <v>0</v>
      </c>
      <c r="Q203" s="389">
        <f t="shared" si="29"/>
        <v>0</v>
      </c>
      <c r="R203" s="389">
        <f>+R21+R39+R48+R57+R66+R75+R84+R93+R102+R111+R120+R129+R138+R147+R156+R165+R174+R183+R192+R30+R196+R197</f>
        <v>0</v>
      </c>
      <c r="S203" s="389">
        <f t="shared" si="29"/>
        <v>-20806992</v>
      </c>
      <c r="T203" s="2"/>
      <c r="U203" s="389">
        <f t="shared" si="29"/>
        <v>-20806992</v>
      </c>
      <c r="V203" s="2"/>
    </row>
    <row r="204" spans="1:22">
      <c r="A204" s="660"/>
      <c r="B204" s="63"/>
      <c r="C204" s="365"/>
      <c r="D204" s="659"/>
      <c r="E204" s="656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657"/>
      <c r="T204" s="390"/>
      <c r="U204" s="657"/>
      <c r="V204" s="657">
        <f>+U204-'ROR-Model'!G204</f>
        <v>0</v>
      </c>
    </row>
    <row r="205" spans="1:22">
      <c r="A205" s="660"/>
      <c r="B205" s="365"/>
      <c r="C205" s="365" t="s">
        <v>57</v>
      </c>
      <c r="D205" s="659"/>
      <c r="E205" s="656"/>
      <c r="F205" s="358">
        <f>F1*F23+F41+F50+F59+F68+F77+F86+F95+F104+F113+F194+F32</f>
        <v>0</v>
      </c>
      <c r="G205" s="358">
        <f>G1*G23+G41+G50+G59+G68+G77+G86+G95+G104+G113+G194+G32</f>
        <v>0</v>
      </c>
      <c r="H205" s="358">
        <f>H1*H23+H41+H50+H59+H68+H77+H86+H95+H104+H113+H194+H32</f>
        <v>0</v>
      </c>
      <c r="I205" s="358">
        <f t="shared" ref="I205:Q205" si="30">I1*I23+I41+I50+I59+I68+I77+I86+I95+I104+I113+I194+I32</f>
        <v>0</v>
      </c>
      <c r="J205" s="358">
        <f>J1*J23+J41+J50+J59+J68+J77+J86+J95+J104+J113+J194+J32</f>
        <v>0</v>
      </c>
      <c r="K205" s="358">
        <f>K1*K23+K41+K50+K59+K68+K77+K86+K95+K104+K113+K194+K32</f>
        <v>0</v>
      </c>
      <c r="L205" s="358">
        <f t="shared" si="30"/>
        <v>0</v>
      </c>
      <c r="M205" s="358">
        <f t="shared" si="30"/>
        <v>0</v>
      </c>
      <c r="N205" s="358">
        <f t="shared" si="30"/>
        <v>0</v>
      </c>
      <c r="O205" s="358">
        <f t="shared" si="30"/>
        <v>0</v>
      </c>
      <c r="P205" s="358">
        <f t="shared" si="30"/>
        <v>0</v>
      </c>
      <c r="Q205" s="358">
        <f t="shared" si="30"/>
        <v>0</v>
      </c>
      <c r="R205" s="358">
        <f>R1*R23+R41+R50+R59+R68+R77+R86+R95+R104+R113+R194+R32</f>
        <v>0</v>
      </c>
      <c r="S205" s="654">
        <f>S23+S32+S41+S50+S59+S68+S77+S86+S95+S104+S113+S194</f>
        <v>0</v>
      </c>
      <c r="T205" s="358"/>
      <c r="U205" s="654">
        <f>U23+U32+U41+U50+U59+U68+U77+U86+U95+U104+U113+U194</f>
        <v>0</v>
      </c>
      <c r="V205" s="654">
        <f>+U205-'ROR-Model'!G205</f>
        <v>0</v>
      </c>
    </row>
    <row r="206" spans="1:22">
      <c r="A206" s="660"/>
      <c r="B206" s="365"/>
      <c r="C206" s="365" t="s">
        <v>58</v>
      </c>
      <c r="D206" s="659"/>
      <c r="E206" s="656"/>
      <c r="F206" s="358">
        <f>F1*F131+F140+F149+F158+F167+F176+F185+F122</f>
        <v>0</v>
      </c>
      <c r="G206" s="358">
        <f>G1*G131+G140+G149+G158+G167+G176+G185+G122</f>
        <v>0</v>
      </c>
      <c r="H206" s="358">
        <f>H1*H131+H140+H149+H158+H167+H176+H185+H122</f>
        <v>0</v>
      </c>
      <c r="I206" s="358">
        <f t="shared" ref="I206:Q206" si="31">I1*I131+I140+I149+I158+I167+I176+I185+I122</f>
        <v>0</v>
      </c>
      <c r="J206" s="358">
        <f>J1*J131+J140+J149+J158+J167+J176+J185+J122</f>
        <v>0</v>
      </c>
      <c r="K206" s="358">
        <f>K1*K131+K140+K149+K158+K167+K176+K185+K122</f>
        <v>0</v>
      </c>
      <c r="L206" s="358">
        <f t="shared" si="31"/>
        <v>0</v>
      </c>
      <c r="M206" s="358">
        <f t="shared" si="31"/>
        <v>0</v>
      </c>
      <c r="N206" s="358">
        <f t="shared" si="31"/>
        <v>0</v>
      </c>
      <c r="O206" s="358">
        <f t="shared" si="31"/>
        <v>0</v>
      </c>
      <c r="P206" s="358">
        <f t="shared" si="31"/>
        <v>0</v>
      </c>
      <c r="Q206" s="358">
        <f t="shared" si="31"/>
        <v>0</v>
      </c>
      <c r="R206" s="358">
        <f>R1*R131+R140+R149+R158+R167+R176+R185+R122</f>
        <v>0</v>
      </c>
      <c r="S206" s="654">
        <f>S131+S140+S149+S158+S167+S176+S185+S122</f>
        <v>0</v>
      </c>
      <c r="T206" s="358"/>
      <c r="U206" s="654">
        <f>U131+U140+U149+U158+U167+U176+U185+U122</f>
        <v>0</v>
      </c>
      <c r="V206" s="654">
        <f>+U206-'ROR-Model'!G206</f>
        <v>0</v>
      </c>
    </row>
    <row r="207" spans="1:22">
      <c r="A207" s="660"/>
      <c r="B207" s="63"/>
      <c r="C207" s="365" t="s">
        <v>442</v>
      </c>
      <c r="D207" s="659"/>
      <c r="E207" s="656"/>
      <c r="F207" s="389">
        <f>F1*+F23+F41+F50+F59+F68+F77+F86+F95+F104+F113+F122+F131+F140+F149+F158+F167+F176+F185+F194+F32</f>
        <v>0</v>
      </c>
      <c r="G207" s="389">
        <f>G1*+G23+G41+G50+G59+G68+G77+G86+G95+G104+G113+G122+G131+G140+G149+G158+G167+G176+G185+G194+G32</f>
        <v>0</v>
      </c>
      <c r="H207" s="389">
        <f>H1*+H23+H41+H50+H59+H68+H77+H86+H95+H104+H113+H122+H131+H140+H149+H158+H167+H176+H185+H194+H32</f>
        <v>0</v>
      </c>
      <c r="I207" s="389">
        <f t="shared" ref="I207:Q207" si="32">I1*+I23+I41+I50+I59+I68+I77+I86+I95+I104+I113+I122+I131+I140+I149+I158+I167+I176+I185+I194+I32</f>
        <v>0</v>
      </c>
      <c r="J207" s="389">
        <f>J1*+J23+J41+J50+J59+J68+J77+J86+J95+J104+J113+J122+J131+J140+J149+J158+J167+J176+J185+J194+J32</f>
        <v>0</v>
      </c>
      <c r="K207" s="389">
        <f>K1*+K23+K41+K50+K59+K68+K77+K86+K95+K104+K113+K122+K131+K140+K149+K158+K167+K176+K185+K194+K32</f>
        <v>0</v>
      </c>
      <c r="L207" s="389">
        <f t="shared" si="32"/>
        <v>0</v>
      </c>
      <c r="M207" s="389">
        <f t="shared" si="32"/>
        <v>0</v>
      </c>
      <c r="N207" s="389">
        <f t="shared" si="32"/>
        <v>0</v>
      </c>
      <c r="O207" s="389">
        <f t="shared" si="32"/>
        <v>0</v>
      </c>
      <c r="P207" s="389">
        <f t="shared" si="32"/>
        <v>0</v>
      </c>
      <c r="Q207" s="389">
        <f t="shared" si="32"/>
        <v>0</v>
      </c>
      <c r="R207" s="389">
        <f>R1*+R23+R41+R50+R59+R68+R77+R86+R95+R104+R113+R122+R131+R140+R149+R158+R167+R176+R185+R194+R32</f>
        <v>0</v>
      </c>
      <c r="S207" s="664">
        <f>+S23+S41+S50+S59+S68+S77+S86+S95+S104+S113+S122+S131+S140+S149+S158+S167+S176+S185+S194+S32</f>
        <v>0</v>
      </c>
      <c r="T207" s="389"/>
      <c r="U207" s="664">
        <f>+U23+U41+U50+U59+U68+U77+U86+U95+U104+U113+U122+U131+U140+U149+U158+U167+U176+U185+U194+U32</f>
        <v>0</v>
      </c>
      <c r="V207" s="664">
        <f>+U207-'ROR-Model'!G207</f>
        <v>0</v>
      </c>
    </row>
    <row r="208" spans="1:22">
      <c r="A208" s="660"/>
      <c r="B208" s="365"/>
      <c r="C208" s="365"/>
      <c r="D208" s="659"/>
      <c r="E208" s="656"/>
      <c r="F208" s="357"/>
      <c r="G208" s="357"/>
      <c r="H208" s="357"/>
      <c r="I208" s="357"/>
      <c r="J208" s="390"/>
      <c r="K208" s="390"/>
      <c r="L208" s="357"/>
      <c r="M208" s="357"/>
      <c r="N208" s="357"/>
      <c r="O208" s="357"/>
      <c r="P208" s="357"/>
      <c r="Q208" s="390"/>
      <c r="R208" s="390"/>
      <c r="S208" s="657"/>
      <c r="T208" s="357"/>
      <c r="U208" s="657"/>
      <c r="V208" s="657">
        <f>+U208-'ROR-Model'!G208</f>
        <v>0</v>
      </c>
    </row>
    <row r="209" spans="1:22">
      <c r="A209" s="189" t="s">
        <v>443</v>
      </c>
      <c r="B209" s="63"/>
      <c r="C209" s="63"/>
      <c r="D209" s="659"/>
      <c r="E209" s="656"/>
      <c r="F209" s="357"/>
      <c r="G209" s="357"/>
      <c r="H209" s="357"/>
      <c r="I209" s="357"/>
      <c r="J209" s="390"/>
      <c r="K209" s="390"/>
      <c r="L209" s="357"/>
      <c r="M209" s="357"/>
      <c r="N209" s="357"/>
      <c r="O209" s="357"/>
      <c r="P209" s="357"/>
      <c r="Q209" s="390"/>
      <c r="R209" s="390"/>
      <c r="S209" s="657"/>
      <c r="T209" s="357"/>
      <c r="U209" s="657"/>
      <c r="V209" s="657">
        <f>+U209-'ROR-Model'!G209</f>
        <v>0</v>
      </c>
    </row>
    <row r="210" spans="1:22">
      <c r="A210" s="660"/>
      <c r="B210" s="365" t="s">
        <v>14</v>
      </c>
      <c r="C210" s="365" t="s">
        <v>15</v>
      </c>
      <c r="D210" s="659"/>
      <c r="E210" s="656"/>
      <c r="F210" s="357"/>
      <c r="G210" s="357">
        <f>G1*Revenue!$I$209</f>
        <v>0</v>
      </c>
      <c r="H210" s="357"/>
      <c r="I210" s="357"/>
      <c r="J210" s="390"/>
      <c r="K210" s="390"/>
      <c r="L210" s="357"/>
      <c r="M210" s="357"/>
      <c r="N210" s="357"/>
      <c r="O210" s="357"/>
      <c r="P210" s="357"/>
      <c r="Q210" s="390"/>
      <c r="R210" s="390"/>
      <c r="S210" s="657">
        <f>SUM(F210:R210)</f>
        <v>0</v>
      </c>
      <c r="T210" s="357"/>
      <c r="U210" s="657">
        <f>SUM(S210:S210)</f>
        <v>0</v>
      </c>
      <c r="V210" s="657">
        <f>+U210-'ROR-Model'!G210</f>
        <v>0</v>
      </c>
    </row>
    <row r="211" spans="1:22">
      <c r="A211" s="660"/>
      <c r="B211" s="365"/>
      <c r="C211" s="365"/>
      <c r="D211" s="659"/>
      <c r="E211" s="656"/>
      <c r="F211" s="357"/>
      <c r="G211" s="357"/>
      <c r="H211" s="357"/>
      <c r="I211" s="357"/>
      <c r="J211" s="390"/>
      <c r="K211" s="390"/>
      <c r="L211" s="357"/>
      <c r="M211" s="357"/>
      <c r="N211" s="357"/>
      <c r="O211" s="357"/>
      <c r="P211" s="357"/>
      <c r="Q211" s="390"/>
      <c r="R211" s="390"/>
      <c r="S211" s="657"/>
      <c r="T211" s="357"/>
      <c r="U211" s="657"/>
      <c r="V211" s="657">
        <f>+U211-'ROR-Model'!G211</f>
        <v>0</v>
      </c>
    </row>
    <row r="212" spans="1:22">
      <c r="A212" s="660"/>
      <c r="B212" s="365"/>
      <c r="C212" s="365" t="s">
        <v>16</v>
      </c>
      <c r="D212" s="659"/>
      <c r="E212" s="656"/>
      <c r="F212" s="357"/>
      <c r="G212" s="357">
        <f>G1*Revenue!$I$211</f>
        <v>0</v>
      </c>
      <c r="H212" s="357"/>
      <c r="I212" s="357"/>
      <c r="J212" s="390"/>
      <c r="K212" s="390"/>
      <c r="L212" s="357"/>
      <c r="M212" s="357"/>
      <c r="N212" s="357"/>
      <c r="O212" s="357"/>
      <c r="P212" s="357"/>
      <c r="Q212" s="390"/>
      <c r="R212" s="390"/>
      <c r="S212" s="657">
        <f>SUM(F212:R212)</f>
        <v>0</v>
      </c>
      <c r="T212" s="357"/>
      <c r="U212" s="657">
        <f>SUM(S212:S212)</f>
        <v>0</v>
      </c>
      <c r="V212" s="657">
        <f>+U212-'ROR-Model'!G212</f>
        <v>0</v>
      </c>
    </row>
    <row r="213" spans="1:22">
      <c r="A213" s="660"/>
      <c r="B213" s="365"/>
      <c r="C213" s="365"/>
      <c r="D213" s="659"/>
      <c r="E213" s="656"/>
      <c r="F213" s="357"/>
      <c r="G213" s="357"/>
      <c r="H213" s="357"/>
      <c r="I213" s="357"/>
      <c r="J213" s="390"/>
      <c r="K213" s="390"/>
      <c r="L213" s="357"/>
      <c r="M213" s="357"/>
      <c r="N213" s="357"/>
      <c r="O213" s="357"/>
      <c r="P213" s="357"/>
      <c r="Q213" s="390"/>
      <c r="R213" s="390"/>
      <c r="S213" s="657"/>
      <c r="T213" s="357"/>
      <c r="U213" s="657"/>
      <c r="V213" s="657">
        <f>+U213-'ROR-Model'!G213</f>
        <v>0</v>
      </c>
    </row>
    <row r="214" spans="1:22">
      <c r="A214" s="660"/>
      <c r="B214" s="365"/>
      <c r="C214" s="365" t="s">
        <v>17</v>
      </c>
      <c r="D214" s="659"/>
      <c r="E214" s="656"/>
      <c r="F214" s="357"/>
      <c r="G214" s="357">
        <f>G1*Revenue!$I$213</f>
        <v>0</v>
      </c>
      <c r="H214" s="357"/>
      <c r="I214" s="357"/>
      <c r="J214" s="390"/>
      <c r="K214" s="390"/>
      <c r="L214" s="357"/>
      <c r="M214" s="357"/>
      <c r="N214" s="357"/>
      <c r="O214" s="357"/>
      <c r="P214" s="357"/>
      <c r="Q214" s="390"/>
      <c r="R214" s="390"/>
      <c r="S214" s="657">
        <f>SUM(F214:R214)</f>
        <v>0</v>
      </c>
      <c r="T214" s="357"/>
      <c r="U214" s="657">
        <f>SUM(S214:S214)</f>
        <v>0</v>
      </c>
      <c r="V214" s="657">
        <f>+U214-'ROR-Model'!G214</f>
        <v>0</v>
      </c>
    </row>
    <row r="215" spans="1:22">
      <c r="A215" s="660"/>
      <c r="B215" s="365"/>
      <c r="C215" s="365" t="s">
        <v>18</v>
      </c>
      <c r="D215" s="659"/>
      <c r="E215" s="656"/>
      <c r="F215" s="388">
        <f>SUM(F210:F214)</f>
        <v>0</v>
      </c>
      <c r="G215" s="388">
        <f>G1*SUM(G210:G214)</f>
        <v>0</v>
      </c>
      <c r="H215" s="388">
        <f>SUM(H210:H214)</f>
        <v>0</v>
      </c>
      <c r="I215" s="388">
        <f t="shared" ref="I215:P215" si="33">SUM(I210:I214)</f>
        <v>0</v>
      </c>
      <c r="J215" s="585">
        <f>SUM(J210:J214)</f>
        <v>0</v>
      </c>
      <c r="K215" s="585">
        <f>SUM(K210:K214)</f>
        <v>0</v>
      </c>
      <c r="L215" s="388">
        <f t="shared" si="33"/>
        <v>0</v>
      </c>
      <c r="M215" s="388">
        <f t="shared" si="33"/>
        <v>0</v>
      </c>
      <c r="N215" s="388">
        <f t="shared" si="33"/>
        <v>0</v>
      </c>
      <c r="O215" s="388">
        <f t="shared" si="33"/>
        <v>0</v>
      </c>
      <c r="P215" s="388">
        <f t="shared" si="33"/>
        <v>0</v>
      </c>
      <c r="Q215" s="585">
        <f>SUM(Q210:Q214)</f>
        <v>0</v>
      </c>
      <c r="R215" s="585">
        <f>SUM(R210:R214)</f>
        <v>0</v>
      </c>
      <c r="S215" s="661">
        <f>SUM(S210:S214)</f>
        <v>0</v>
      </c>
      <c r="T215" s="388"/>
      <c r="U215" s="661">
        <f>SUM(U210:U214)</f>
        <v>0</v>
      </c>
      <c r="V215" s="661">
        <f>+U215-'ROR-Model'!G215</f>
        <v>0</v>
      </c>
    </row>
    <row r="216" spans="1:22">
      <c r="A216" s="660"/>
      <c r="B216" s="365"/>
      <c r="C216" s="365"/>
      <c r="D216" s="659"/>
      <c r="E216" s="656"/>
      <c r="F216" s="357"/>
      <c r="G216" s="357"/>
      <c r="H216" s="357"/>
      <c r="I216" s="357"/>
      <c r="J216" s="390"/>
      <c r="K216" s="390"/>
      <c r="L216" s="357"/>
      <c r="M216" s="357"/>
      <c r="N216" s="357"/>
      <c r="O216" s="357"/>
      <c r="P216" s="357"/>
      <c r="Q216" s="390"/>
      <c r="R216" s="390"/>
      <c r="S216" s="657"/>
      <c r="T216" s="357"/>
      <c r="U216" s="657"/>
      <c r="V216" s="657">
        <f>+U216-'ROR-Model'!G216</f>
        <v>0</v>
      </c>
    </row>
    <row r="217" spans="1:22">
      <c r="A217" s="660"/>
      <c r="B217" s="365"/>
      <c r="C217" s="365" t="s">
        <v>19</v>
      </c>
      <c r="D217" s="659"/>
      <c r="E217" s="656"/>
      <c r="F217" s="357"/>
      <c r="G217" s="357">
        <f>G1*Revenue!$I$216</f>
        <v>0</v>
      </c>
      <c r="H217" s="357"/>
      <c r="I217" s="357"/>
      <c r="J217" s="390"/>
      <c r="K217" s="390"/>
      <c r="L217" s="357"/>
      <c r="M217" s="357"/>
      <c r="N217" s="357"/>
      <c r="O217" s="357"/>
      <c r="P217" s="357"/>
      <c r="Q217" s="390"/>
      <c r="R217" s="390"/>
      <c r="S217" s="657">
        <f>SUM(F217:R217)</f>
        <v>0</v>
      </c>
      <c r="T217" s="357"/>
      <c r="U217" s="657">
        <f>SUM(S217:S217)</f>
        <v>0</v>
      </c>
      <c r="V217" s="657">
        <f>+U217-'ROR-Model'!G217</f>
        <v>0</v>
      </c>
    </row>
    <row r="218" spans="1:22">
      <c r="A218" s="660"/>
      <c r="B218" s="365"/>
      <c r="C218" s="365"/>
      <c r="D218" s="659"/>
      <c r="E218" s="656"/>
      <c r="F218" s="357"/>
      <c r="G218" s="357"/>
      <c r="H218" s="357"/>
      <c r="I218" s="357"/>
      <c r="J218" s="390"/>
      <c r="K218" s="390"/>
      <c r="L218" s="357"/>
      <c r="M218" s="357"/>
      <c r="N218" s="357"/>
      <c r="O218" s="357"/>
      <c r="P218" s="357"/>
      <c r="Q218" s="390"/>
      <c r="R218" s="390"/>
      <c r="S218" s="657"/>
      <c r="T218" s="357"/>
      <c r="U218" s="657"/>
      <c r="V218" s="657">
        <f>+U218-'ROR-Model'!G218</f>
        <v>0</v>
      </c>
    </row>
    <row r="219" spans="1:22">
      <c r="A219" s="660"/>
      <c r="B219" s="365" t="s">
        <v>80</v>
      </c>
      <c r="C219" s="365" t="s">
        <v>15</v>
      </c>
      <c r="D219" s="659"/>
      <c r="E219" s="656"/>
      <c r="F219" s="357"/>
      <c r="G219" s="357">
        <f>G1*Revenue!$I$218</f>
        <v>0</v>
      </c>
      <c r="H219" s="357"/>
      <c r="I219" s="357"/>
      <c r="J219" s="390"/>
      <c r="K219" s="390"/>
      <c r="L219" s="357"/>
      <c r="M219" s="357"/>
      <c r="N219" s="357"/>
      <c r="O219" s="357"/>
      <c r="P219" s="357"/>
      <c r="Q219" s="390"/>
      <c r="R219" s="390"/>
      <c r="S219" s="657">
        <f>SUM(F219:R219)</f>
        <v>0</v>
      </c>
      <c r="T219" s="357"/>
      <c r="U219" s="657">
        <f>SUM(S219:S219)</f>
        <v>0</v>
      </c>
      <c r="V219" s="657">
        <f>+U219-'ROR-Model'!G219</f>
        <v>0</v>
      </c>
    </row>
    <row r="220" spans="1:22">
      <c r="A220" s="660"/>
      <c r="B220" s="365"/>
      <c r="C220" s="365"/>
      <c r="D220" s="659"/>
      <c r="E220" s="656"/>
      <c r="F220" s="357"/>
      <c r="G220" s="357"/>
      <c r="H220" s="357"/>
      <c r="I220" s="357"/>
      <c r="J220" s="390"/>
      <c r="K220" s="390"/>
      <c r="L220" s="357"/>
      <c r="M220" s="357"/>
      <c r="N220" s="357"/>
      <c r="O220" s="357"/>
      <c r="P220" s="357"/>
      <c r="Q220" s="390"/>
      <c r="R220" s="390"/>
      <c r="S220" s="657"/>
      <c r="T220" s="357"/>
      <c r="U220" s="657"/>
      <c r="V220" s="657">
        <f>+U220-'ROR-Model'!G220</f>
        <v>0</v>
      </c>
    </row>
    <row r="221" spans="1:22">
      <c r="A221" s="660"/>
      <c r="B221" s="365"/>
      <c r="C221" s="365" t="s">
        <v>16</v>
      </c>
      <c r="D221" s="659"/>
      <c r="E221" s="656"/>
      <c r="F221" s="357"/>
      <c r="G221" s="357">
        <f>G1*Revenue!$I$220</f>
        <v>0</v>
      </c>
      <c r="H221" s="357"/>
      <c r="I221" s="357"/>
      <c r="J221" s="390"/>
      <c r="K221" s="390"/>
      <c r="L221" s="357"/>
      <c r="M221" s="357"/>
      <c r="N221" s="357"/>
      <c r="O221" s="357"/>
      <c r="P221" s="357"/>
      <c r="Q221" s="390"/>
      <c r="R221" s="390"/>
      <c r="S221" s="657">
        <f>SUM(F221:R221)</f>
        <v>0</v>
      </c>
      <c r="T221" s="357"/>
      <c r="U221" s="657">
        <f>SUM(S221:S221)</f>
        <v>0</v>
      </c>
      <c r="V221" s="657">
        <f>+U221-'ROR-Model'!G221</f>
        <v>0</v>
      </c>
    </row>
    <row r="222" spans="1:22">
      <c r="A222" s="660"/>
      <c r="B222" s="365"/>
      <c r="C222" s="365"/>
      <c r="D222" s="659"/>
      <c r="E222" s="656"/>
      <c r="F222" s="357"/>
      <c r="G222" s="357"/>
      <c r="H222" s="357"/>
      <c r="I222" s="357"/>
      <c r="J222" s="390"/>
      <c r="K222" s="390"/>
      <c r="L222" s="357"/>
      <c r="M222" s="357"/>
      <c r="N222" s="357"/>
      <c r="O222" s="357"/>
      <c r="P222" s="357"/>
      <c r="Q222" s="390"/>
      <c r="R222" s="390"/>
      <c r="S222" s="657"/>
      <c r="T222" s="357"/>
      <c r="U222" s="657"/>
      <c r="V222" s="657">
        <f>+U222-'ROR-Model'!G222</f>
        <v>0</v>
      </c>
    </row>
    <row r="223" spans="1:22">
      <c r="A223" s="660"/>
      <c r="B223" s="365"/>
      <c r="C223" s="365" t="s">
        <v>17</v>
      </c>
      <c r="D223" s="659"/>
      <c r="E223" s="656"/>
      <c r="F223" s="357"/>
      <c r="G223" s="357">
        <f>G1*Revenue!$I$222</f>
        <v>0</v>
      </c>
      <c r="H223" s="357"/>
      <c r="I223" s="357"/>
      <c r="J223" s="390"/>
      <c r="K223" s="390"/>
      <c r="L223" s="357"/>
      <c r="M223" s="357"/>
      <c r="N223" s="357"/>
      <c r="O223" s="357"/>
      <c r="P223" s="357"/>
      <c r="Q223" s="390"/>
      <c r="R223" s="390"/>
      <c r="S223" s="657">
        <f>SUM(F223:R223)</f>
        <v>0</v>
      </c>
      <c r="T223" s="357"/>
      <c r="U223" s="657">
        <f>SUM(S223:S223)</f>
        <v>0</v>
      </c>
      <c r="V223" s="657">
        <f>+U223-'ROR-Model'!G223</f>
        <v>0</v>
      </c>
    </row>
    <row r="224" spans="1:22">
      <c r="A224" s="660"/>
      <c r="B224" s="365"/>
      <c r="C224" s="365" t="s">
        <v>18</v>
      </c>
      <c r="D224" s="659"/>
      <c r="E224" s="656"/>
      <c r="F224" s="388">
        <f>SUM(F219:F223)</f>
        <v>0</v>
      </c>
      <c r="G224" s="388">
        <f>G1*SUM(G219:G223)</f>
        <v>0</v>
      </c>
      <c r="H224" s="388">
        <f>SUM(H219:H223)</f>
        <v>0</v>
      </c>
      <c r="I224" s="388">
        <f t="shared" ref="I224:P224" si="34">SUM(I219:I223)</f>
        <v>0</v>
      </c>
      <c r="J224" s="585">
        <f>SUM(J219:J223)</f>
        <v>0</v>
      </c>
      <c r="K224" s="585">
        <f>SUM(K219:K223)</f>
        <v>0</v>
      </c>
      <c r="L224" s="388">
        <f t="shared" si="34"/>
        <v>0</v>
      </c>
      <c r="M224" s="388">
        <f t="shared" si="34"/>
        <v>0</v>
      </c>
      <c r="N224" s="388">
        <f t="shared" si="34"/>
        <v>0</v>
      </c>
      <c r="O224" s="388">
        <f t="shared" si="34"/>
        <v>0</v>
      </c>
      <c r="P224" s="388">
        <f t="shared" si="34"/>
        <v>0</v>
      </c>
      <c r="Q224" s="585">
        <f>SUM(Q219:Q223)</f>
        <v>0</v>
      </c>
      <c r="R224" s="585">
        <f>SUM(R219:R223)</f>
        <v>0</v>
      </c>
      <c r="S224" s="661">
        <f>SUM(S219:S223)</f>
        <v>0</v>
      </c>
      <c r="T224" s="388"/>
      <c r="U224" s="661">
        <f>SUM(U219:U223)</f>
        <v>0</v>
      </c>
      <c r="V224" s="661">
        <f>+U224-'ROR-Model'!G224</f>
        <v>0</v>
      </c>
    </row>
    <row r="225" spans="1:22">
      <c r="A225" s="660"/>
      <c r="B225" s="365"/>
      <c r="C225" s="365"/>
      <c r="D225" s="659"/>
      <c r="E225" s="656"/>
      <c r="F225" s="357"/>
      <c r="G225" s="357"/>
      <c r="H225" s="357"/>
      <c r="I225" s="357"/>
      <c r="J225" s="390"/>
      <c r="K225" s="390"/>
      <c r="L225" s="357"/>
      <c r="M225" s="357"/>
      <c r="N225" s="357"/>
      <c r="O225" s="357"/>
      <c r="P225" s="357"/>
      <c r="Q225" s="390"/>
      <c r="R225" s="390"/>
      <c r="S225" s="657"/>
      <c r="T225" s="357"/>
      <c r="U225" s="657"/>
      <c r="V225" s="657">
        <f>+U225-'ROR-Model'!G225</f>
        <v>0</v>
      </c>
    </row>
    <row r="226" spans="1:22">
      <c r="A226" s="660"/>
      <c r="B226" s="365"/>
      <c r="C226" s="365" t="s">
        <v>19</v>
      </c>
      <c r="D226" s="659"/>
      <c r="E226" s="656"/>
      <c r="F226" s="357"/>
      <c r="G226" s="357">
        <f>G1*Revenue!$I$225</f>
        <v>0</v>
      </c>
      <c r="H226" s="357"/>
      <c r="I226" s="357"/>
      <c r="J226" s="390"/>
      <c r="K226" s="390"/>
      <c r="L226" s="357"/>
      <c r="M226" s="357"/>
      <c r="N226" s="357"/>
      <c r="O226" s="357"/>
      <c r="P226" s="357"/>
      <c r="Q226" s="390"/>
      <c r="R226" s="390"/>
      <c r="S226" s="657">
        <f>SUM(F226:R226)</f>
        <v>0</v>
      </c>
      <c r="T226" s="357"/>
      <c r="U226" s="657">
        <f>SUM(S226:S226)</f>
        <v>0</v>
      </c>
      <c r="V226" s="657">
        <f>+U226-'ROR-Model'!G226</f>
        <v>0</v>
      </c>
    </row>
    <row r="227" spans="1:22" ht="13.5" thickBot="1">
      <c r="A227" s="660"/>
      <c r="B227" s="365"/>
      <c r="C227" s="365"/>
      <c r="D227" s="659"/>
      <c r="E227" s="656"/>
      <c r="F227" s="579"/>
      <c r="G227" s="579"/>
      <c r="H227" s="579"/>
      <c r="I227" s="579"/>
      <c r="J227" s="586"/>
      <c r="K227" s="586"/>
      <c r="L227" s="579"/>
      <c r="M227" s="579"/>
      <c r="N227" s="579"/>
      <c r="O227" s="579"/>
      <c r="P227" s="579"/>
      <c r="Q227" s="586"/>
      <c r="R227" s="586"/>
      <c r="S227" s="663"/>
      <c r="T227" s="579"/>
      <c r="U227" s="663"/>
      <c r="V227" s="663">
        <f>+U227-'ROR-Model'!G227</f>
        <v>0</v>
      </c>
    </row>
    <row r="228" spans="1:22" ht="13.5" thickTop="1">
      <c r="A228" s="660"/>
      <c r="B228" s="365" t="s">
        <v>533</v>
      </c>
      <c r="C228" s="365"/>
      <c r="D228" s="659"/>
      <c r="E228" s="656"/>
      <c r="F228" s="357"/>
      <c r="G228" s="357"/>
      <c r="H228" s="357"/>
      <c r="I228" s="357"/>
      <c r="J228" s="390"/>
      <c r="K228" s="390"/>
      <c r="L228" s="357"/>
      <c r="M228" s="357"/>
      <c r="N228" s="357"/>
      <c r="O228" s="357"/>
      <c r="P228" s="357"/>
      <c r="Q228" s="390"/>
      <c r="R228" s="390"/>
      <c r="S228" s="657"/>
      <c r="T228" s="357"/>
      <c r="U228" s="657"/>
      <c r="V228" s="657">
        <f>+U228-'ROR-Model'!G228</f>
        <v>0</v>
      </c>
    </row>
    <row r="229" spans="1:22">
      <c r="A229" s="660"/>
      <c r="B229" s="63"/>
      <c r="C229" s="365" t="s">
        <v>15</v>
      </c>
      <c r="D229" s="659"/>
      <c r="E229" s="656"/>
      <c r="F229" s="357">
        <f>+F210+F219</f>
        <v>0</v>
      </c>
      <c r="G229" s="357">
        <f>G1*+G210+G219</f>
        <v>0</v>
      </c>
      <c r="H229" s="357">
        <f>+H210+H219</f>
        <v>0</v>
      </c>
      <c r="I229" s="357">
        <f t="shared" ref="I229:Q229" si="35">+I210+I219</f>
        <v>0</v>
      </c>
      <c r="J229" s="390">
        <f>+J210+J219</f>
        <v>0</v>
      </c>
      <c r="K229" s="390">
        <f>+K210+K219</f>
        <v>0</v>
      </c>
      <c r="L229" s="357">
        <f t="shared" si="35"/>
        <v>0</v>
      </c>
      <c r="M229" s="357">
        <f t="shared" si="35"/>
        <v>0</v>
      </c>
      <c r="N229" s="357">
        <f t="shared" si="35"/>
        <v>0</v>
      </c>
      <c r="O229" s="357">
        <f t="shared" si="35"/>
        <v>0</v>
      </c>
      <c r="P229" s="357">
        <f t="shared" si="35"/>
        <v>0</v>
      </c>
      <c r="Q229" s="390">
        <f t="shared" si="35"/>
        <v>0</v>
      </c>
      <c r="R229" s="390">
        <f>+R210+R219</f>
        <v>0</v>
      </c>
      <c r="S229" s="657">
        <f>+S210+S219</f>
        <v>0</v>
      </c>
      <c r="T229" s="357"/>
      <c r="U229" s="657">
        <f>+U210+U219</f>
        <v>0</v>
      </c>
      <c r="V229" s="657">
        <f>+U229-'ROR-Model'!G229</f>
        <v>0</v>
      </c>
    </row>
    <row r="230" spans="1:22">
      <c r="A230" s="660"/>
      <c r="B230" s="63"/>
      <c r="C230" s="365" t="s">
        <v>16</v>
      </c>
      <c r="D230" s="659"/>
      <c r="E230" s="656"/>
      <c r="F230" s="357">
        <f>+F212+F221</f>
        <v>0</v>
      </c>
      <c r="G230" s="357">
        <f>G1*+G212+G221</f>
        <v>0</v>
      </c>
      <c r="H230" s="357">
        <f>+H212+H221</f>
        <v>0</v>
      </c>
      <c r="I230" s="357">
        <f t="shared" ref="I230:Q230" si="36">+I212+I221</f>
        <v>0</v>
      </c>
      <c r="J230" s="390">
        <f>+J212+J221</f>
        <v>0</v>
      </c>
      <c r="K230" s="390">
        <f>+K212+K221</f>
        <v>0</v>
      </c>
      <c r="L230" s="357">
        <f t="shared" si="36"/>
        <v>0</v>
      </c>
      <c r="M230" s="357">
        <f t="shared" si="36"/>
        <v>0</v>
      </c>
      <c r="N230" s="357">
        <f t="shared" si="36"/>
        <v>0</v>
      </c>
      <c r="O230" s="357">
        <f t="shared" si="36"/>
        <v>0</v>
      </c>
      <c r="P230" s="357">
        <f t="shared" si="36"/>
        <v>0</v>
      </c>
      <c r="Q230" s="390">
        <f t="shared" si="36"/>
        <v>0</v>
      </c>
      <c r="R230" s="390">
        <f>+R212+R221</f>
        <v>0</v>
      </c>
      <c r="S230" s="657">
        <f>+S212+S221</f>
        <v>0</v>
      </c>
      <c r="T230" s="357"/>
      <c r="U230" s="657">
        <f>+U212+U221</f>
        <v>0</v>
      </c>
      <c r="V230" s="657">
        <f>+U230-'ROR-Model'!G230</f>
        <v>0</v>
      </c>
    </row>
    <row r="231" spans="1:22">
      <c r="A231" s="660"/>
      <c r="B231" s="63"/>
      <c r="C231" s="365" t="s">
        <v>17</v>
      </c>
      <c r="D231" s="659"/>
      <c r="E231" s="656"/>
      <c r="F231" s="357">
        <f>+F214+F223</f>
        <v>0</v>
      </c>
      <c r="G231" s="357">
        <f>G1*+G214+G223</f>
        <v>0</v>
      </c>
      <c r="H231" s="357">
        <f>+H214+H223</f>
        <v>0</v>
      </c>
      <c r="I231" s="357">
        <f t="shared" ref="I231:Q232" si="37">+I214+I223</f>
        <v>0</v>
      </c>
      <c r="J231" s="390">
        <f>+J214+J223</f>
        <v>0</v>
      </c>
      <c r="K231" s="390">
        <f>+K214+K223</f>
        <v>0</v>
      </c>
      <c r="L231" s="357">
        <f t="shared" si="37"/>
        <v>0</v>
      </c>
      <c r="M231" s="357">
        <f t="shared" si="37"/>
        <v>0</v>
      </c>
      <c r="N231" s="357">
        <f t="shared" si="37"/>
        <v>0</v>
      </c>
      <c r="O231" s="357">
        <f t="shared" si="37"/>
        <v>0</v>
      </c>
      <c r="P231" s="357">
        <f t="shared" si="37"/>
        <v>0</v>
      </c>
      <c r="Q231" s="390">
        <f t="shared" si="37"/>
        <v>0</v>
      </c>
      <c r="R231" s="390">
        <f t="shared" ref="R231:S232" si="38">+R214+R223</f>
        <v>0</v>
      </c>
      <c r="S231" s="657">
        <f t="shared" si="38"/>
        <v>0</v>
      </c>
      <c r="T231" s="357"/>
      <c r="U231" s="657">
        <f>+U214+U223</f>
        <v>0</v>
      </c>
      <c r="V231" s="657">
        <f>+U231-'ROR-Model'!G231</f>
        <v>0</v>
      </c>
    </row>
    <row r="232" spans="1:22">
      <c r="A232" s="660"/>
      <c r="B232" s="63"/>
      <c r="C232" s="365" t="s">
        <v>444</v>
      </c>
      <c r="D232" s="659"/>
      <c r="E232" s="656"/>
      <c r="F232" s="388">
        <f>+F215+F224</f>
        <v>0</v>
      </c>
      <c r="G232" s="388">
        <f>G1*+G215+G224</f>
        <v>0</v>
      </c>
      <c r="H232" s="388">
        <f>+H215+H224</f>
        <v>0</v>
      </c>
      <c r="I232" s="388">
        <f t="shared" si="37"/>
        <v>0</v>
      </c>
      <c r="J232" s="585">
        <f>+J215+J224</f>
        <v>0</v>
      </c>
      <c r="K232" s="585">
        <f>+K215+K224</f>
        <v>0</v>
      </c>
      <c r="L232" s="388">
        <f t="shared" si="37"/>
        <v>0</v>
      </c>
      <c r="M232" s="388">
        <f t="shared" si="37"/>
        <v>0</v>
      </c>
      <c r="N232" s="388">
        <f t="shared" si="37"/>
        <v>0</v>
      </c>
      <c r="O232" s="388">
        <f t="shared" si="37"/>
        <v>0</v>
      </c>
      <c r="P232" s="388">
        <f>+P215+P224</f>
        <v>0</v>
      </c>
      <c r="Q232" s="585">
        <f>+Q215+Q224</f>
        <v>0</v>
      </c>
      <c r="R232" s="585">
        <f t="shared" si="38"/>
        <v>0</v>
      </c>
      <c r="S232" s="661">
        <f t="shared" si="38"/>
        <v>0</v>
      </c>
      <c r="T232" s="388"/>
      <c r="U232" s="661">
        <f>+U215+U224</f>
        <v>0</v>
      </c>
      <c r="V232" s="661">
        <f>+U232-'ROR-Model'!G232</f>
        <v>0</v>
      </c>
    </row>
    <row r="233" spans="1:22">
      <c r="A233" s="660"/>
      <c r="B233" s="63"/>
      <c r="C233" s="365"/>
      <c r="D233" s="659"/>
      <c r="E233" s="656"/>
      <c r="F233" s="357"/>
      <c r="G233" s="357"/>
      <c r="H233" s="357"/>
      <c r="I233" s="357"/>
      <c r="J233" s="390"/>
      <c r="K233" s="390"/>
      <c r="L233" s="357"/>
      <c r="M233" s="357"/>
      <c r="N233" s="357"/>
      <c r="O233" s="357"/>
      <c r="P233" s="357"/>
      <c r="Q233" s="390"/>
      <c r="R233" s="390"/>
      <c r="S233" s="657"/>
      <c r="T233" s="357"/>
      <c r="U233" s="657"/>
      <c r="V233" s="657">
        <f>+U233-'ROR-Model'!G233</f>
        <v>0</v>
      </c>
    </row>
    <row r="234" spans="1:22">
      <c r="A234" s="660"/>
      <c r="B234" s="63"/>
      <c r="C234" s="365" t="s">
        <v>57</v>
      </c>
      <c r="D234" s="659"/>
      <c r="E234" s="656"/>
      <c r="F234" s="357">
        <f>F217+F226</f>
        <v>0</v>
      </c>
      <c r="G234" s="357">
        <f>G1*G217+G226</f>
        <v>0</v>
      </c>
      <c r="H234" s="357">
        <f>H217+H226</f>
        <v>0</v>
      </c>
      <c r="I234" s="357">
        <f t="shared" ref="I234:Q234" si="39">I217+I226</f>
        <v>0</v>
      </c>
      <c r="J234" s="390">
        <f>J217+J226</f>
        <v>0</v>
      </c>
      <c r="K234" s="390">
        <f>K217+K226</f>
        <v>0</v>
      </c>
      <c r="L234" s="357">
        <f t="shared" si="39"/>
        <v>0</v>
      </c>
      <c r="M234" s="357">
        <f t="shared" si="39"/>
        <v>0</v>
      </c>
      <c r="N234" s="357">
        <f t="shared" si="39"/>
        <v>0</v>
      </c>
      <c r="O234" s="357">
        <f t="shared" si="39"/>
        <v>0</v>
      </c>
      <c r="P234" s="357">
        <f t="shared" si="39"/>
        <v>0</v>
      </c>
      <c r="Q234" s="390">
        <f t="shared" si="39"/>
        <v>0</v>
      </c>
      <c r="R234" s="390">
        <f>R217+R226</f>
        <v>0</v>
      </c>
      <c r="S234" s="657">
        <f>S217+S226</f>
        <v>0</v>
      </c>
      <c r="T234" s="357"/>
      <c r="U234" s="657">
        <f>U217+U226</f>
        <v>0</v>
      </c>
      <c r="V234" s="657">
        <f>+U234-'ROR-Model'!G234</f>
        <v>0</v>
      </c>
    </row>
    <row r="235" spans="1:22">
      <c r="A235" s="660"/>
      <c r="B235" s="365"/>
      <c r="C235" s="365" t="s">
        <v>58</v>
      </c>
      <c r="D235" s="659"/>
      <c r="E235" s="656"/>
      <c r="F235" s="357">
        <v>0</v>
      </c>
      <c r="G235" s="357">
        <v>0</v>
      </c>
      <c r="H235" s="357">
        <v>0</v>
      </c>
      <c r="I235" s="357">
        <v>0</v>
      </c>
      <c r="J235" s="390">
        <v>0</v>
      </c>
      <c r="K235" s="390">
        <v>0</v>
      </c>
      <c r="L235" s="357">
        <v>0</v>
      </c>
      <c r="M235" s="357">
        <v>0</v>
      </c>
      <c r="N235" s="357">
        <v>0</v>
      </c>
      <c r="O235" s="357">
        <v>0</v>
      </c>
      <c r="P235" s="357">
        <v>0</v>
      </c>
      <c r="Q235" s="390">
        <v>0</v>
      </c>
      <c r="R235" s="390">
        <v>0</v>
      </c>
      <c r="S235" s="657">
        <v>0</v>
      </c>
      <c r="T235" s="357"/>
      <c r="U235" s="657">
        <v>0</v>
      </c>
      <c r="V235" s="657">
        <f>+U235-'ROR-Model'!G235</f>
        <v>0</v>
      </c>
    </row>
    <row r="236" spans="1:22">
      <c r="A236" s="660"/>
      <c r="B236" s="63"/>
      <c r="C236" s="365" t="s">
        <v>445</v>
      </c>
      <c r="D236" s="659"/>
      <c r="E236" s="656"/>
      <c r="F236" s="388">
        <f>+F217+F226</f>
        <v>0</v>
      </c>
      <c r="G236" s="388">
        <f>G1*+G217+G226</f>
        <v>0</v>
      </c>
      <c r="H236" s="388">
        <f>+H217+H226</f>
        <v>0</v>
      </c>
      <c r="I236" s="388">
        <f t="shared" ref="I236:Q236" si="40">+I217+I226</f>
        <v>0</v>
      </c>
      <c r="J236" s="585">
        <f>+J217+J226</f>
        <v>0</v>
      </c>
      <c r="K236" s="585">
        <f>+K217+K226</f>
        <v>0</v>
      </c>
      <c r="L236" s="388">
        <f t="shared" si="40"/>
        <v>0</v>
      </c>
      <c r="M236" s="388">
        <f t="shared" si="40"/>
        <v>0</v>
      </c>
      <c r="N236" s="388">
        <f t="shared" si="40"/>
        <v>0</v>
      </c>
      <c r="O236" s="388">
        <f t="shared" si="40"/>
        <v>0</v>
      </c>
      <c r="P236" s="388">
        <f t="shared" si="40"/>
        <v>0</v>
      </c>
      <c r="Q236" s="585">
        <f t="shared" si="40"/>
        <v>0</v>
      </c>
      <c r="R236" s="585">
        <f>+R217+R226</f>
        <v>0</v>
      </c>
      <c r="S236" s="661">
        <f>+S217+S226</f>
        <v>0</v>
      </c>
      <c r="T236" s="388"/>
      <c r="U236" s="661">
        <f>+U217+U226</f>
        <v>0</v>
      </c>
      <c r="V236" s="661">
        <f>+U236-'ROR-Model'!G236</f>
        <v>0</v>
      </c>
    </row>
    <row r="237" spans="1:22">
      <c r="A237" s="660"/>
      <c r="B237" s="665"/>
      <c r="C237" s="666"/>
      <c r="D237" s="659"/>
      <c r="E237" s="656"/>
      <c r="F237" s="357"/>
      <c r="G237" s="357"/>
      <c r="H237" s="357"/>
      <c r="I237" s="357"/>
      <c r="J237" s="390"/>
      <c r="K237" s="390"/>
      <c r="L237" s="357"/>
      <c r="M237" s="357"/>
      <c r="N237" s="357"/>
      <c r="O237" s="357"/>
      <c r="P237" s="357"/>
      <c r="Q237" s="390"/>
      <c r="R237" s="390"/>
      <c r="S237" s="657"/>
      <c r="T237" s="357"/>
      <c r="U237" s="657"/>
      <c r="V237" s="657">
        <f>+U237-'ROR-Model'!G237</f>
        <v>0</v>
      </c>
    </row>
    <row r="238" spans="1:22">
      <c r="A238" s="189" t="s">
        <v>24</v>
      </c>
      <c r="B238" s="665"/>
      <c r="C238" s="666"/>
      <c r="D238" s="659"/>
      <c r="E238" s="656"/>
      <c r="F238" s="357"/>
      <c r="G238" s="357"/>
      <c r="H238" s="357"/>
      <c r="I238" s="357"/>
      <c r="J238" s="390"/>
      <c r="K238" s="390"/>
      <c r="L238" s="357"/>
      <c r="M238" s="357"/>
      <c r="N238" s="357"/>
      <c r="O238" s="357"/>
      <c r="P238" s="357"/>
      <c r="Q238" s="390"/>
      <c r="R238" s="390"/>
      <c r="S238" s="657"/>
      <c r="T238" s="357"/>
      <c r="U238" s="657"/>
      <c r="V238" s="657">
        <f>+U238-'ROR-Model'!G238</f>
        <v>0</v>
      </c>
    </row>
    <row r="239" spans="1:22">
      <c r="A239" s="660"/>
      <c r="B239" s="63" t="s">
        <v>14</v>
      </c>
      <c r="C239" s="63" t="s">
        <v>15</v>
      </c>
      <c r="D239" s="659"/>
      <c r="E239" s="656"/>
      <c r="F239" s="357"/>
      <c r="G239" s="357">
        <f>G1*Revenue!$I$238</f>
        <v>0</v>
      </c>
      <c r="H239" s="357"/>
      <c r="I239" s="357"/>
      <c r="J239" s="390"/>
      <c r="K239" s="390"/>
      <c r="L239" s="357"/>
      <c r="M239" s="357"/>
      <c r="N239" s="357"/>
      <c r="O239" s="357"/>
      <c r="P239" s="357"/>
      <c r="Q239" s="390"/>
      <c r="R239" s="390"/>
      <c r="S239" s="657">
        <f>SUM(F239:R239)</f>
        <v>0</v>
      </c>
      <c r="T239" s="357"/>
      <c r="U239" s="657">
        <f>SUM(S239:S239)</f>
        <v>0</v>
      </c>
      <c r="V239" s="657">
        <f>+U239-'ROR-Model'!G239</f>
        <v>0</v>
      </c>
    </row>
    <row r="240" spans="1:22">
      <c r="A240" s="660"/>
      <c r="B240" s="365"/>
      <c r="C240" s="365"/>
      <c r="D240" s="659"/>
      <c r="E240" s="656"/>
      <c r="F240" s="357"/>
      <c r="G240" s="357"/>
      <c r="H240" s="357"/>
      <c r="I240" s="357"/>
      <c r="J240" s="390"/>
      <c r="K240" s="390"/>
      <c r="L240" s="357"/>
      <c r="M240" s="357"/>
      <c r="N240" s="357"/>
      <c r="O240" s="357"/>
      <c r="P240" s="357"/>
      <c r="Q240" s="390"/>
      <c r="R240" s="390"/>
      <c r="S240" s="657"/>
      <c r="T240" s="357"/>
      <c r="U240" s="657"/>
      <c r="V240" s="657">
        <f>+U240-'ROR-Model'!G240</f>
        <v>0</v>
      </c>
    </row>
    <row r="241" spans="1:22">
      <c r="A241" s="660"/>
      <c r="B241" s="365"/>
      <c r="C241" s="365"/>
      <c r="D241" s="659"/>
      <c r="E241" s="656"/>
      <c r="F241" s="357"/>
      <c r="G241" s="357"/>
      <c r="H241" s="357"/>
      <c r="I241" s="357"/>
      <c r="J241" s="390"/>
      <c r="K241" s="390"/>
      <c r="L241" s="357"/>
      <c r="M241" s="357"/>
      <c r="N241" s="357"/>
      <c r="O241" s="357"/>
      <c r="P241" s="357"/>
      <c r="Q241" s="390"/>
      <c r="R241" s="390"/>
      <c r="S241" s="657">
        <f>SUM(F241:R241)</f>
        <v>0</v>
      </c>
      <c r="T241" s="357"/>
      <c r="U241" s="657">
        <f>SUM(S241:S241)</f>
        <v>0</v>
      </c>
      <c r="V241" s="657">
        <f>+U241-'ROR-Model'!G241</f>
        <v>0</v>
      </c>
    </row>
    <row r="242" spans="1:22">
      <c r="A242" s="660"/>
      <c r="B242" s="365"/>
      <c r="C242" s="365"/>
      <c r="D242" s="659"/>
      <c r="E242" s="656"/>
      <c r="F242" s="357"/>
      <c r="G242" s="357"/>
      <c r="H242" s="357"/>
      <c r="I242" s="357"/>
      <c r="J242" s="390"/>
      <c r="K242" s="390"/>
      <c r="L242" s="357"/>
      <c r="M242" s="357"/>
      <c r="N242" s="357"/>
      <c r="O242" s="357"/>
      <c r="P242" s="357"/>
      <c r="Q242" s="390"/>
      <c r="R242" s="390"/>
      <c r="S242" s="657"/>
      <c r="T242" s="357"/>
      <c r="U242" s="657"/>
      <c r="V242" s="657">
        <f>+U242-'ROR-Model'!G242</f>
        <v>0</v>
      </c>
    </row>
    <row r="243" spans="1:22">
      <c r="A243" s="660"/>
      <c r="B243" s="63"/>
      <c r="C243" s="63" t="s">
        <v>17</v>
      </c>
      <c r="D243" s="659"/>
      <c r="E243" s="656"/>
      <c r="F243" s="357"/>
      <c r="G243" s="357">
        <f>G1*Revenue!$I$242</f>
        <v>0</v>
      </c>
      <c r="H243" s="357"/>
      <c r="I243" s="357"/>
      <c r="J243" s="390"/>
      <c r="K243" s="390"/>
      <c r="L243" s="357"/>
      <c r="M243" s="357"/>
      <c r="N243" s="357"/>
      <c r="O243" s="357"/>
      <c r="P243" s="357"/>
      <c r="Q243" s="390"/>
      <c r="R243" s="390"/>
      <c r="S243" s="657">
        <f>SUM(F243:R243)</f>
        <v>0</v>
      </c>
      <c r="T243" s="357"/>
      <c r="U243" s="657">
        <f>SUM(S243:S243)</f>
        <v>0</v>
      </c>
      <c r="V243" s="657">
        <f>+U243-'ROR-Model'!G243</f>
        <v>0</v>
      </c>
    </row>
    <row r="244" spans="1:22">
      <c r="A244" s="660"/>
      <c r="B244" s="63"/>
      <c r="C244" s="63" t="s">
        <v>18</v>
      </c>
      <c r="D244" s="659"/>
      <c r="E244" s="656"/>
      <c r="F244" s="388">
        <f>SUM(F239:F243)</f>
        <v>0</v>
      </c>
      <c r="G244" s="388">
        <f>G1*SUM(G239:G243)</f>
        <v>0</v>
      </c>
      <c r="H244" s="388">
        <f>SUM(H239:H243)</f>
        <v>0</v>
      </c>
      <c r="I244" s="388">
        <f t="shared" ref="I244:P244" si="41">SUM(I239:I243)</f>
        <v>0</v>
      </c>
      <c r="J244" s="585">
        <f>SUM(J239:J243)</f>
        <v>0</v>
      </c>
      <c r="K244" s="585">
        <f>SUM(K239:K243)</f>
        <v>0</v>
      </c>
      <c r="L244" s="388">
        <f t="shared" si="41"/>
        <v>0</v>
      </c>
      <c r="M244" s="388">
        <f t="shared" si="41"/>
        <v>0</v>
      </c>
      <c r="N244" s="388">
        <f t="shared" si="41"/>
        <v>0</v>
      </c>
      <c r="O244" s="388">
        <f t="shared" si="41"/>
        <v>0</v>
      </c>
      <c r="P244" s="388">
        <f t="shared" si="41"/>
        <v>0</v>
      </c>
      <c r="Q244" s="585">
        <f>SUM(Q239:Q243)</f>
        <v>0</v>
      </c>
      <c r="R244" s="585">
        <f>SUM(R239:R243)</f>
        <v>0</v>
      </c>
      <c r="S244" s="661">
        <f>SUM(S239:S243)</f>
        <v>0</v>
      </c>
      <c r="T244" s="388"/>
      <c r="U244" s="661">
        <f>SUM(U239:U243)</f>
        <v>0</v>
      </c>
      <c r="V244" s="661">
        <f>+U244-'ROR-Model'!G244</f>
        <v>0</v>
      </c>
    </row>
    <row r="245" spans="1:22">
      <c r="A245" s="660"/>
      <c r="B245" s="63"/>
      <c r="C245" s="63"/>
      <c r="D245" s="659"/>
      <c r="E245" s="656"/>
      <c r="F245" s="357"/>
      <c r="G245" s="357"/>
      <c r="H245" s="357"/>
      <c r="I245" s="357"/>
      <c r="J245" s="390"/>
      <c r="K245" s="390"/>
      <c r="L245" s="357"/>
      <c r="M245" s="357"/>
      <c r="N245" s="357"/>
      <c r="O245" s="357"/>
      <c r="P245" s="357"/>
      <c r="Q245" s="390"/>
      <c r="R245" s="390"/>
      <c r="S245" s="657"/>
      <c r="T245" s="357"/>
      <c r="U245" s="657"/>
      <c r="V245" s="657">
        <f>+U245-'ROR-Model'!G245</f>
        <v>0</v>
      </c>
    </row>
    <row r="246" spans="1:22">
      <c r="A246" s="660"/>
      <c r="B246" s="63"/>
      <c r="C246" s="63" t="s">
        <v>19</v>
      </c>
      <c r="D246" s="659"/>
      <c r="E246" s="656"/>
      <c r="F246" s="357"/>
      <c r="G246" s="357">
        <f>G1*Revenue!$I$245</f>
        <v>0</v>
      </c>
      <c r="H246" s="357"/>
      <c r="I246" s="357"/>
      <c r="J246" s="390"/>
      <c r="K246" s="390"/>
      <c r="L246" s="357"/>
      <c r="M246" s="357"/>
      <c r="N246" s="357"/>
      <c r="O246" s="357"/>
      <c r="P246" s="357"/>
      <c r="Q246" s="390"/>
      <c r="R246" s="390"/>
      <c r="S246" s="657">
        <f>SUM(F246:R246)</f>
        <v>0</v>
      </c>
      <c r="T246" s="357"/>
      <c r="U246" s="657">
        <f>SUM(S246:S246)</f>
        <v>0</v>
      </c>
      <c r="V246" s="657">
        <f>+U246-'ROR-Model'!G246</f>
        <v>0</v>
      </c>
    </row>
    <row r="247" spans="1:22">
      <c r="A247" s="660"/>
      <c r="B247" s="365"/>
      <c r="C247" s="365"/>
      <c r="D247" s="659"/>
      <c r="E247" s="656"/>
      <c r="F247" s="357"/>
      <c r="G247" s="357"/>
      <c r="H247" s="357"/>
      <c r="I247" s="357"/>
      <c r="J247" s="390"/>
      <c r="K247" s="390"/>
      <c r="L247" s="357"/>
      <c r="M247" s="357"/>
      <c r="N247" s="357"/>
      <c r="O247" s="357"/>
      <c r="P247" s="357"/>
      <c r="Q247" s="390"/>
      <c r="R247" s="390"/>
      <c r="S247" s="657"/>
      <c r="T247" s="357"/>
      <c r="U247" s="657"/>
      <c r="V247" s="657">
        <f>+U247-'ROR-Model'!G247</f>
        <v>0</v>
      </c>
    </row>
    <row r="248" spans="1:22">
      <c r="A248" s="660"/>
      <c r="B248" s="63" t="s">
        <v>797</v>
      </c>
      <c r="C248" s="63" t="s">
        <v>15</v>
      </c>
      <c r="D248" s="659"/>
      <c r="E248" s="656"/>
      <c r="F248" s="357"/>
      <c r="G248" s="357">
        <f>G1*Revenue!$I$247</f>
        <v>0</v>
      </c>
      <c r="H248" s="357"/>
      <c r="I248" s="357"/>
      <c r="J248" s="390"/>
      <c r="K248" s="390"/>
      <c r="L248" s="357"/>
      <c r="M248" s="357"/>
      <c r="N248" s="357"/>
      <c r="O248" s="357"/>
      <c r="P248" s="357"/>
      <c r="Q248" s="390"/>
      <c r="R248" s="390"/>
      <c r="S248" s="657">
        <f>SUM(F248:R248)</f>
        <v>0</v>
      </c>
      <c r="T248" s="357"/>
      <c r="U248" s="657">
        <f>SUM(S248:S248)</f>
        <v>0</v>
      </c>
      <c r="V248" s="657">
        <f>+U248-'ROR-Model'!G248</f>
        <v>0</v>
      </c>
    </row>
    <row r="249" spans="1:22">
      <c r="A249" s="660"/>
      <c r="B249" s="63"/>
      <c r="C249" s="63"/>
      <c r="D249" s="659"/>
      <c r="E249" s="656"/>
      <c r="F249" s="357"/>
      <c r="G249" s="357"/>
      <c r="H249" s="357"/>
      <c r="I249" s="357"/>
      <c r="J249" s="390"/>
      <c r="K249" s="390"/>
      <c r="L249" s="357"/>
      <c r="M249" s="357"/>
      <c r="N249" s="357"/>
      <c r="O249" s="357"/>
      <c r="P249" s="357"/>
      <c r="Q249" s="390"/>
      <c r="R249" s="390"/>
      <c r="S249" s="657"/>
      <c r="T249" s="357"/>
      <c r="U249" s="657"/>
      <c r="V249" s="657">
        <f>+U249-'ROR-Model'!G249</f>
        <v>0</v>
      </c>
    </row>
    <row r="250" spans="1:22">
      <c r="A250" s="660"/>
      <c r="B250" s="63"/>
      <c r="C250" s="63"/>
      <c r="D250" s="659"/>
      <c r="E250" s="656"/>
      <c r="F250" s="357"/>
      <c r="G250" s="357"/>
      <c r="H250" s="357"/>
      <c r="I250" s="357"/>
      <c r="J250" s="390"/>
      <c r="K250" s="390"/>
      <c r="L250" s="357"/>
      <c r="M250" s="357"/>
      <c r="N250" s="357"/>
      <c r="O250" s="357"/>
      <c r="P250" s="357"/>
      <c r="Q250" s="390"/>
      <c r="R250" s="390"/>
      <c r="S250" s="657">
        <f>SUM(F250:R250)</f>
        <v>0</v>
      </c>
      <c r="T250" s="357"/>
      <c r="U250" s="657">
        <f>SUM(S250:S250)</f>
        <v>0</v>
      </c>
      <c r="V250" s="657">
        <f>+U250-'ROR-Model'!G250</f>
        <v>0</v>
      </c>
    </row>
    <row r="251" spans="1:22">
      <c r="A251" s="660"/>
      <c r="B251" s="365"/>
      <c r="C251" s="365"/>
      <c r="D251" s="659"/>
      <c r="E251" s="656"/>
      <c r="F251" s="357"/>
      <c r="G251" s="357"/>
      <c r="H251" s="357"/>
      <c r="I251" s="357"/>
      <c r="J251" s="390"/>
      <c r="K251" s="390"/>
      <c r="L251" s="357"/>
      <c r="M251" s="357"/>
      <c r="N251" s="357"/>
      <c r="O251" s="357"/>
      <c r="P251" s="357"/>
      <c r="Q251" s="390"/>
      <c r="R251" s="390"/>
      <c r="S251" s="657"/>
      <c r="T251" s="357"/>
      <c r="U251" s="657"/>
      <c r="V251" s="657">
        <f>+U251-'ROR-Model'!G251</f>
        <v>0</v>
      </c>
    </row>
    <row r="252" spans="1:22">
      <c r="A252" s="660"/>
      <c r="B252" s="63"/>
      <c r="C252" s="63" t="s">
        <v>17</v>
      </c>
      <c r="D252" s="659"/>
      <c r="E252" s="656"/>
      <c r="F252" s="357"/>
      <c r="G252" s="357">
        <f>G1*Revenue!$I$251</f>
        <v>0</v>
      </c>
      <c r="H252" s="357"/>
      <c r="I252" s="357"/>
      <c r="J252" s="390"/>
      <c r="K252" s="390"/>
      <c r="L252" s="357"/>
      <c r="M252" s="357"/>
      <c r="N252" s="357"/>
      <c r="O252" s="357"/>
      <c r="P252" s="357"/>
      <c r="Q252" s="390"/>
      <c r="R252" s="390"/>
      <c r="S252" s="657">
        <f>SUM(F252:R252)</f>
        <v>0</v>
      </c>
      <c r="T252" s="357"/>
      <c r="U252" s="657">
        <f>SUM(S252:S252)</f>
        <v>0</v>
      </c>
      <c r="V252" s="657">
        <f>+U252-'ROR-Model'!G252</f>
        <v>0</v>
      </c>
    </row>
    <row r="253" spans="1:22">
      <c r="A253" s="660"/>
      <c r="B253" s="63"/>
      <c r="C253" s="63" t="s">
        <v>18</v>
      </c>
      <c r="D253" s="659"/>
      <c r="E253" s="656"/>
      <c r="F253" s="388">
        <f>SUM(F248:F252)</f>
        <v>0</v>
      </c>
      <c r="G253" s="388">
        <f>G1*SUM(G248:G252)</f>
        <v>0</v>
      </c>
      <c r="H253" s="388">
        <f>SUM(H248:H252)</f>
        <v>0</v>
      </c>
      <c r="I253" s="388">
        <f t="shared" ref="I253:P253" si="42">SUM(I248:I252)</f>
        <v>0</v>
      </c>
      <c r="J253" s="585">
        <f>SUM(J248:J252)</f>
        <v>0</v>
      </c>
      <c r="K253" s="585">
        <f>SUM(K248:K252)</f>
        <v>0</v>
      </c>
      <c r="L253" s="388">
        <f t="shared" si="42"/>
        <v>0</v>
      </c>
      <c r="M253" s="388">
        <f t="shared" si="42"/>
        <v>0</v>
      </c>
      <c r="N253" s="388">
        <f t="shared" si="42"/>
        <v>0</v>
      </c>
      <c r="O253" s="388">
        <f t="shared" si="42"/>
        <v>0</v>
      </c>
      <c r="P253" s="388">
        <f t="shared" si="42"/>
        <v>0</v>
      </c>
      <c r="Q253" s="585">
        <f>SUM(Q248:Q252)</f>
        <v>0</v>
      </c>
      <c r="R253" s="585">
        <f>SUM(R248:R252)</f>
        <v>0</v>
      </c>
      <c r="S253" s="661">
        <f>SUM(S248:S252)</f>
        <v>0</v>
      </c>
      <c r="T253" s="388"/>
      <c r="U253" s="661">
        <f>SUM(U248:U252)</f>
        <v>0</v>
      </c>
      <c r="V253" s="661">
        <f>+U253-'ROR-Model'!G253</f>
        <v>0</v>
      </c>
    </row>
    <row r="254" spans="1:22">
      <c r="A254" s="660"/>
      <c r="B254" s="63"/>
      <c r="C254" s="63"/>
      <c r="D254" s="659"/>
      <c r="E254" s="656"/>
      <c r="F254" s="357"/>
      <c r="G254" s="357"/>
      <c r="H254" s="357"/>
      <c r="I254" s="357"/>
      <c r="J254" s="390"/>
      <c r="K254" s="390"/>
      <c r="L254" s="357"/>
      <c r="M254" s="357"/>
      <c r="N254" s="357"/>
      <c r="O254" s="357"/>
      <c r="P254" s="357"/>
      <c r="Q254" s="390"/>
      <c r="R254" s="390"/>
      <c r="S254" s="657"/>
      <c r="T254" s="357"/>
      <c r="U254" s="657"/>
      <c r="V254" s="657">
        <f>+U254-'ROR-Model'!G254</f>
        <v>0</v>
      </c>
    </row>
    <row r="255" spans="1:22">
      <c r="A255" s="660"/>
      <c r="B255" s="63"/>
      <c r="C255" s="63" t="s">
        <v>19</v>
      </c>
      <c r="D255" s="659"/>
      <c r="E255" s="656"/>
      <c r="F255" s="357"/>
      <c r="G255" s="357">
        <f>G1*Revenue!$I$254</f>
        <v>0</v>
      </c>
      <c r="H255" s="357"/>
      <c r="I255" s="357"/>
      <c r="J255" s="390"/>
      <c r="K255" s="390"/>
      <c r="L255" s="357"/>
      <c r="M255" s="357"/>
      <c r="N255" s="357"/>
      <c r="O255" s="357"/>
      <c r="P255" s="357"/>
      <c r="Q255" s="390"/>
      <c r="R255" s="390"/>
      <c r="S255" s="657">
        <f>SUM(F255:R255)</f>
        <v>0</v>
      </c>
      <c r="T255" s="357"/>
      <c r="U255" s="657">
        <f>SUM(S255:S255)</f>
        <v>0</v>
      </c>
      <c r="V255" s="657">
        <f>+U255-'ROR-Model'!G255</f>
        <v>0</v>
      </c>
    </row>
    <row r="256" spans="1:22">
      <c r="A256" s="660"/>
      <c r="B256" s="365"/>
      <c r="C256" s="365"/>
      <c r="D256" s="659"/>
      <c r="E256" s="656"/>
      <c r="F256" s="357"/>
      <c r="G256" s="357"/>
      <c r="H256" s="357"/>
      <c r="I256" s="357"/>
      <c r="J256" s="390"/>
      <c r="K256" s="390"/>
      <c r="L256" s="357"/>
      <c r="M256" s="357"/>
      <c r="N256" s="357"/>
      <c r="O256" s="357"/>
      <c r="P256" s="357"/>
      <c r="Q256" s="390"/>
      <c r="R256" s="390"/>
      <c r="S256" s="657"/>
      <c r="T256" s="357"/>
      <c r="U256" s="657"/>
      <c r="V256" s="657">
        <f>+U256-'ROR-Model'!G256</f>
        <v>0</v>
      </c>
    </row>
    <row r="257" spans="1:22">
      <c r="A257" s="660"/>
      <c r="B257" s="63" t="s">
        <v>798</v>
      </c>
      <c r="C257" s="63" t="s">
        <v>15</v>
      </c>
      <c r="D257" s="659"/>
      <c r="E257" s="656"/>
      <c r="F257" s="357"/>
      <c r="G257" s="357">
        <f>G1*Revenue!$I$256</f>
        <v>0</v>
      </c>
      <c r="H257" s="357"/>
      <c r="I257" s="357"/>
      <c r="J257" s="390"/>
      <c r="K257" s="390"/>
      <c r="L257" s="357"/>
      <c r="M257" s="357"/>
      <c r="N257" s="357"/>
      <c r="O257" s="357"/>
      <c r="P257" s="357"/>
      <c r="Q257" s="390"/>
      <c r="R257" s="390"/>
      <c r="S257" s="657">
        <f>SUM(F257:R257)</f>
        <v>0</v>
      </c>
      <c r="T257" s="357"/>
      <c r="U257" s="657">
        <f>SUM(S257:S257)</f>
        <v>0</v>
      </c>
      <c r="V257" s="657">
        <f>+U257-'ROR-Model'!G257</f>
        <v>0</v>
      </c>
    </row>
    <row r="258" spans="1:22">
      <c r="A258" s="660"/>
      <c r="B258" s="63"/>
      <c r="C258" s="63"/>
      <c r="D258" s="659"/>
      <c r="E258" s="656"/>
      <c r="F258" s="357"/>
      <c r="G258" s="357"/>
      <c r="H258" s="357"/>
      <c r="I258" s="357"/>
      <c r="J258" s="390"/>
      <c r="K258" s="390"/>
      <c r="L258" s="357"/>
      <c r="M258" s="357"/>
      <c r="N258" s="357"/>
      <c r="O258" s="357"/>
      <c r="P258" s="357"/>
      <c r="Q258" s="390"/>
      <c r="R258" s="390"/>
      <c r="S258" s="657"/>
      <c r="T258" s="357"/>
      <c r="U258" s="657"/>
      <c r="V258" s="657">
        <f>+U258-'ROR-Model'!G258</f>
        <v>0</v>
      </c>
    </row>
    <row r="259" spans="1:22">
      <c r="A259" s="660"/>
      <c r="B259" s="63"/>
      <c r="C259" s="63"/>
      <c r="D259" s="659"/>
      <c r="E259" s="656"/>
      <c r="F259" s="357"/>
      <c r="G259" s="357"/>
      <c r="H259" s="357"/>
      <c r="I259" s="357"/>
      <c r="J259" s="390"/>
      <c r="K259" s="390"/>
      <c r="L259" s="357"/>
      <c r="M259" s="357"/>
      <c r="N259" s="357"/>
      <c r="O259" s="357"/>
      <c r="P259" s="357"/>
      <c r="Q259" s="390"/>
      <c r="R259" s="390"/>
      <c r="S259" s="657">
        <f>SUM(F259:R259)</f>
        <v>0</v>
      </c>
      <c r="T259" s="357"/>
      <c r="U259" s="657">
        <f>SUM(S259:S259)</f>
        <v>0</v>
      </c>
      <c r="V259" s="657">
        <f>+U259-'ROR-Model'!G259</f>
        <v>0</v>
      </c>
    </row>
    <row r="260" spans="1:22">
      <c r="A260" s="660"/>
      <c r="B260" s="365"/>
      <c r="C260" s="365"/>
      <c r="D260" s="659"/>
      <c r="E260" s="656"/>
      <c r="F260" s="357"/>
      <c r="G260" s="357"/>
      <c r="H260" s="357"/>
      <c r="I260" s="357"/>
      <c r="J260" s="390"/>
      <c r="K260" s="390"/>
      <c r="L260" s="357"/>
      <c r="M260" s="357"/>
      <c r="N260" s="357"/>
      <c r="O260" s="357"/>
      <c r="P260" s="357"/>
      <c r="Q260" s="390"/>
      <c r="R260" s="390"/>
      <c r="S260" s="657"/>
      <c r="T260" s="357"/>
      <c r="U260" s="657"/>
      <c r="V260" s="657">
        <f>+U260-'ROR-Model'!G260</f>
        <v>0</v>
      </c>
    </row>
    <row r="261" spans="1:22">
      <c r="A261" s="660"/>
      <c r="B261" s="63"/>
      <c r="C261" s="63" t="s">
        <v>17</v>
      </c>
      <c r="D261" s="659"/>
      <c r="E261" s="656"/>
      <c r="F261" s="357"/>
      <c r="G261" s="357">
        <f>G1*Revenue!$I$260</f>
        <v>0</v>
      </c>
      <c r="H261" s="357"/>
      <c r="I261" s="357"/>
      <c r="J261" s="390"/>
      <c r="K261" s="390"/>
      <c r="L261" s="357"/>
      <c r="M261" s="357"/>
      <c r="N261" s="357"/>
      <c r="O261" s="357"/>
      <c r="P261" s="357"/>
      <c r="Q261" s="390"/>
      <c r="R261" s="390"/>
      <c r="S261" s="657">
        <f>SUM(F261:R261)</f>
        <v>0</v>
      </c>
      <c r="T261" s="357"/>
      <c r="U261" s="657">
        <f>SUM(S261:S261)</f>
        <v>0</v>
      </c>
      <c r="V261" s="657">
        <f>+U261-'ROR-Model'!G261</f>
        <v>0</v>
      </c>
    </row>
    <row r="262" spans="1:22">
      <c r="A262" s="660"/>
      <c r="B262" s="63"/>
      <c r="C262" s="63" t="s">
        <v>18</v>
      </c>
      <c r="D262" s="659"/>
      <c r="E262" s="656"/>
      <c r="F262" s="388">
        <f>SUM(F257:F261)</f>
        <v>0</v>
      </c>
      <c r="G262" s="388">
        <f>G1*SUM(G257:G261)</f>
        <v>0</v>
      </c>
      <c r="H262" s="388">
        <f>SUM(H257:H261)</f>
        <v>0</v>
      </c>
      <c r="I262" s="388">
        <f t="shared" ref="I262:P262" si="43">SUM(I257:I261)</f>
        <v>0</v>
      </c>
      <c r="J262" s="585">
        <f>SUM(J257:J261)</f>
        <v>0</v>
      </c>
      <c r="K262" s="585">
        <f>SUM(K257:K261)</f>
        <v>0</v>
      </c>
      <c r="L262" s="388">
        <f t="shared" si="43"/>
        <v>0</v>
      </c>
      <c r="M262" s="388">
        <f t="shared" si="43"/>
        <v>0</v>
      </c>
      <c r="N262" s="388">
        <f t="shared" si="43"/>
        <v>0</v>
      </c>
      <c r="O262" s="388">
        <f t="shared" si="43"/>
        <v>0</v>
      </c>
      <c r="P262" s="388">
        <f t="shared" si="43"/>
        <v>0</v>
      </c>
      <c r="Q262" s="585">
        <f>SUM(Q257:Q261)</f>
        <v>0</v>
      </c>
      <c r="R262" s="585">
        <f>SUM(R257:R261)</f>
        <v>0</v>
      </c>
      <c r="S262" s="661">
        <f>SUM(S257:S261)</f>
        <v>0</v>
      </c>
      <c r="T262" s="388"/>
      <c r="U262" s="661">
        <f>SUM(U257:U261)</f>
        <v>0</v>
      </c>
      <c r="V262" s="661">
        <f>+U262-'ROR-Model'!G262</f>
        <v>0</v>
      </c>
    </row>
    <row r="263" spans="1:22">
      <c r="A263" s="660"/>
      <c r="B263" s="63"/>
      <c r="C263" s="63"/>
      <c r="D263" s="659"/>
      <c r="E263" s="656"/>
      <c r="F263" s="357"/>
      <c r="G263" s="357"/>
      <c r="H263" s="357"/>
      <c r="I263" s="357"/>
      <c r="J263" s="390"/>
      <c r="K263" s="390"/>
      <c r="L263" s="357"/>
      <c r="M263" s="357"/>
      <c r="N263" s="357"/>
      <c r="O263" s="357"/>
      <c r="P263" s="357"/>
      <c r="Q263" s="390"/>
      <c r="R263" s="390"/>
      <c r="S263" s="657"/>
      <c r="T263" s="357"/>
      <c r="U263" s="657"/>
      <c r="V263" s="657">
        <f>+U263-'ROR-Model'!G263</f>
        <v>0</v>
      </c>
    </row>
    <row r="264" spans="1:22">
      <c r="A264" s="660"/>
      <c r="B264" s="63"/>
      <c r="C264" s="63" t="s">
        <v>19</v>
      </c>
      <c r="D264" s="659"/>
      <c r="E264" s="656"/>
      <c r="F264" s="357"/>
      <c r="G264" s="357">
        <f>G1*Revenue!$I$263</f>
        <v>0</v>
      </c>
      <c r="H264" s="357"/>
      <c r="I264" s="357"/>
      <c r="J264" s="390"/>
      <c r="K264" s="390"/>
      <c r="L264" s="357"/>
      <c r="M264" s="357"/>
      <c r="N264" s="357"/>
      <c r="O264" s="357"/>
      <c r="P264" s="357"/>
      <c r="Q264" s="390"/>
      <c r="R264" s="390"/>
      <c r="S264" s="657">
        <f>SUM(F264:R264)</f>
        <v>0</v>
      </c>
      <c r="T264" s="357"/>
      <c r="U264" s="657">
        <f>SUM(S264:S264)</f>
        <v>0</v>
      </c>
      <c r="V264" s="657">
        <f>+U264-'ROR-Model'!G264</f>
        <v>0</v>
      </c>
    </row>
    <row r="265" spans="1:22">
      <c r="A265" s="660"/>
      <c r="B265" s="365"/>
      <c r="C265" s="365"/>
      <c r="D265" s="659"/>
      <c r="E265" s="656"/>
      <c r="F265" s="357"/>
      <c r="G265" s="357"/>
      <c r="H265" s="357"/>
      <c r="I265" s="357"/>
      <c r="J265" s="390"/>
      <c r="K265" s="390"/>
      <c r="L265" s="357"/>
      <c r="M265" s="357"/>
      <c r="N265" s="357"/>
      <c r="O265" s="357"/>
      <c r="P265" s="357"/>
      <c r="Q265" s="390"/>
      <c r="R265" s="390"/>
      <c r="S265" s="657"/>
      <c r="T265" s="357"/>
      <c r="U265" s="657"/>
      <c r="V265" s="657">
        <f>+U265-'ROR-Model'!G265</f>
        <v>0</v>
      </c>
    </row>
    <row r="266" spans="1:22">
      <c r="A266" s="660"/>
      <c r="B266" s="63" t="s">
        <v>752</v>
      </c>
      <c r="C266" s="63" t="s">
        <v>15</v>
      </c>
      <c r="D266" s="659"/>
      <c r="E266" s="656"/>
      <c r="F266" s="357"/>
      <c r="G266" s="357">
        <f>G1*Revenue!$I$265</f>
        <v>0</v>
      </c>
      <c r="H266" s="357"/>
      <c r="I266" s="357"/>
      <c r="J266" s="390"/>
      <c r="K266" s="390"/>
      <c r="L266" s="357"/>
      <c r="M266" s="357"/>
      <c r="N266" s="357"/>
      <c r="O266" s="357"/>
      <c r="P266" s="357"/>
      <c r="Q266" s="390"/>
      <c r="R266" s="390"/>
      <c r="S266" s="657">
        <f>SUM(F266:R266)</f>
        <v>0</v>
      </c>
      <c r="T266" s="357"/>
      <c r="U266" s="657">
        <f>SUM(S266:S266)</f>
        <v>0</v>
      </c>
      <c r="V266" s="657">
        <f>+U266-'ROR-Model'!G266</f>
        <v>0</v>
      </c>
    </row>
    <row r="267" spans="1:22">
      <c r="A267" s="660"/>
      <c r="B267" s="63"/>
      <c r="C267" s="63"/>
      <c r="D267" s="659"/>
      <c r="E267" s="656"/>
      <c r="F267" s="357"/>
      <c r="G267" s="357"/>
      <c r="H267" s="357"/>
      <c r="I267" s="357"/>
      <c r="J267" s="390"/>
      <c r="K267" s="390"/>
      <c r="L267" s="357"/>
      <c r="M267" s="357"/>
      <c r="N267" s="357"/>
      <c r="O267" s="357"/>
      <c r="P267" s="357"/>
      <c r="Q267" s="390"/>
      <c r="R267" s="390"/>
      <c r="S267" s="657"/>
      <c r="T267" s="357"/>
      <c r="U267" s="657"/>
      <c r="V267" s="657">
        <f>+U267-'ROR-Model'!G267</f>
        <v>0</v>
      </c>
    </row>
    <row r="268" spans="1:22">
      <c r="A268" s="660"/>
      <c r="B268" s="63"/>
      <c r="C268" s="63"/>
      <c r="D268" s="659"/>
      <c r="E268" s="656"/>
      <c r="F268" s="357"/>
      <c r="G268" s="357"/>
      <c r="H268" s="357"/>
      <c r="I268" s="357"/>
      <c r="J268" s="390"/>
      <c r="K268" s="390"/>
      <c r="L268" s="357"/>
      <c r="M268" s="357"/>
      <c r="N268" s="357"/>
      <c r="O268" s="357"/>
      <c r="P268" s="357"/>
      <c r="Q268" s="390"/>
      <c r="R268" s="390"/>
      <c r="S268" s="657">
        <f>SUM(F268:R268)</f>
        <v>0</v>
      </c>
      <c r="T268" s="357"/>
      <c r="U268" s="657">
        <f>SUM(S268:S268)</f>
        <v>0</v>
      </c>
      <c r="V268" s="657">
        <f>+U268-'ROR-Model'!G268</f>
        <v>0</v>
      </c>
    </row>
    <row r="269" spans="1:22">
      <c r="A269" s="660"/>
      <c r="B269" s="365"/>
      <c r="C269" s="365"/>
      <c r="D269" s="659"/>
      <c r="E269" s="656"/>
      <c r="F269" s="357"/>
      <c r="G269" s="357"/>
      <c r="H269" s="357"/>
      <c r="I269" s="357"/>
      <c r="J269" s="390"/>
      <c r="K269" s="390"/>
      <c r="L269" s="357"/>
      <c r="M269" s="357"/>
      <c r="N269" s="357"/>
      <c r="O269" s="357"/>
      <c r="P269" s="357"/>
      <c r="Q269" s="390"/>
      <c r="R269" s="390"/>
      <c r="S269" s="657"/>
      <c r="T269" s="357"/>
      <c r="U269" s="657"/>
      <c r="V269" s="657">
        <f>+U269-'ROR-Model'!G269</f>
        <v>0</v>
      </c>
    </row>
    <row r="270" spans="1:22">
      <c r="A270" s="660"/>
      <c r="B270" s="63"/>
      <c r="C270" s="63" t="s">
        <v>17</v>
      </c>
      <c r="D270" s="659"/>
      <c r="E270" s="656"/>
      <c r="F270" s="357"/>
      <c r="G270" s="357">
        <f>G1*Revenue!$I$269</f>
        <v>0</v>
      </c>
      <c r="H270" s="357"/>
      <c r="I270" s="357"/>
      <c r="J270" s="390"/>
      <c r="K270" s="390"/>
      <c r="L270" s="357"/>
      <c r="M270" s="357"/>
      <c r="N270" s="357"/>
      <c r="O270" s="357"/>
      <c r="P270" s="357"/>
      <c r="Q270" s="390"/>
      <c r="R270" s="390"/>
      <c r="S270" s="657">
        <f>SUM(F270:R270)</f>
        <v>0</v>
      </c>
      <c r="T270" s="357"/>
      <c r="U270" s="657">
        <f>SUM(S270:S270)</f>
        <v>0</v>
      </c>
      <c r="V270" s="657">
        <f>+U270-'ROR-Model'!G270</f>
        <v>0</v>
      </c>
    </row>
    <row r="271" spans="1:22">
      <c r="A271" s="660"/>
      <c r="B271" s="63"/>
      <c r="C271" s="63" t="s">
        <v>18</v>
      </c>
      <c r="D271" s="659"/>
      <c r="E271" s="656"/>
      <c r="F271" s="388">
        <f>SUM(F266:F270)</f>
        <v>0</v>
      </c>
      <c r="G271" s="388">
        <f>G1*SUM(G266:G270)</f>
        <v>0</v>
      </c>
      <c r="H271" s="388">
        <f>SUM(H266:H270)</f>
        <v>0</v>
      </c>
      <c r="I271" s="388">
        <f t="shared" ref="I271:P271" si="44">SUM(I266:I270)</f>
        <v>0</v>
      </c>
      <c r="J271" s="585">
        <f>SUM(J266:J270)</f>
        <v>0</v>
      </c>
      <c r="K271" s="585">
        <f>SUM(K266:K270)</f>
        <v>0</v>
      </c>
      <c r="L271" s="388">
        <f t="shared" si="44"/>
        <v>0</v>
      </c>
      <c r="M271" s="388">
        <f t="shared" si="44"/>
        <v>0</v>
      </c>
      <c r="N271" s="388">
        <f t="shared" si="44"/>
        <v>0</v>
      </c>
      <c r="O271" s="388">
        <f t="shared" si="44"/>
        <v>0</v>
      </c>
      <c r="P271" s="388">
        <f t="shared" si="44"/>
        <v>0</v>
      </c>
      <c r="Q271" s="585">
        <f>SUM(Q266:Q270)</f>
        <v>0</v>
      </c>
      <c r="R271" s="585">
        <f>SUM(R266:R270)</f>
        <v>0</v>
      </c>
      <c r="S271" s="661">
        <f>SUM(S266:S270)</f>
        <v>0</v>
      </c>
      <c r="T271" s="388"/>
      <c r="U271" s="661">
        <f>SUM(U266:U270)</f>
        <v>0</v>
      </c>
      <c r="V271" s="661">
        <f>+U271-'ROR-Model'!G271</f>
        <v>0</v>
      </c>
    </row>
    <row r="272" spans="1:22">
      <c r="A272" s="660"/>
      <c r="B272" s="63"/>
      <c r="C272" s="63"/>
      <c r="D272" s="659"/>
      <c r="E272" s="656"/>
      <c r="F272" s="357"/>
      <c r="G272" s="357"/>
      <c r="H272" s="357"/>
      <c r="I272" s="357"/>
      <c r="J272" s="390"/>
      <c r="K272" s="390"/>
      <c r="L272" s="357"/>
      <c r="M272" s="357"/>
      <c r="N272" s="357"/>
      <c r="O272" s="357"/>
      <c r="P272" s="357"/>
      <c r="Q272" s="390"/>
      <c r="R272" s="390"/>
      <c r="S272" s="657"/>
      <c r="T272" s="357"/>
      <c r="U272" s="657"/>
      <c r="V272" s="657">
        <f>+U272-'ROR-Model'!G272</f>
        <v>0</v>
      </c>
    </row>
    <row r="273" spans="1:22">
      <c r="A273" s="660"/>
      <c r="B273" s="63"/>
      <c r="C273" s="63" t="s">
        <v>19</v>
      </c>
      <c r="D273" s="659"/>
      <c r="E273" s="656"/>
      <c r="F273" s="357"/>
      <c r="G273" s="357">
        <f>G1*Revenue!$I$272</f>
        <v>0</v>
      </c>
      <c r="H273" s="357"/>
      <c r="I273" s="357"/>
      <c r="J273" s="390"/>
      <c r="K273" s="390"/>
      <c r="L273" s="357"/>
      <c r="M273" s="357"/>
      <c r="N273" s="357"/>
      <c r="O273" s="357"/>
      <c r="P273" s="357"/>
      <c r="Q273" s="390"/>
      <c r="R273" s="390"/>
      <c r="S273" s="657">
        <f>SUM(F273:R273)</f>
        <v>0</v>
      </c>
      <c r="T273" s="357"/>
      <c r="U273" s="657">
        <f>SUM(S273:S273)</f>
        <v>0</v>
      </c>
      <c r="V273" s="657">
        <f>+U273-'ROR-Model'!G273</f>
        <v>0</v>
      </c>
    </row>
    <row r="274" spans="1:22">
      <c r="A274" s="660"/>
      <c r="B274" s="365"/>
      <c r="C274" s="365"/>
      <c r="D274" s="659"/>
      <c r="E274" s="656"/>
      <c r="F274" s="357"/>
      <c r="G274" s="357"/>
      <c r="H274" s="357"/>
      <c r="I274" s="357"/>
      <c r="J274" s="390"/>
      <c r="K274" s="390"/>
      <c r="L274" s="357"/>
      <c r="M274" s="357"/>
      <c r="N274" s="357"/>
      <c r="O274" s="357"/>
      <c r="P274" s="357"/>
      <c r="Q274" s="390"/>
      <c r="R274" s="390"/>
      <c r="S274" s="657"/>
      <c r="T274" s="357"/>
      <c r="U274" s="657"/>
      <c r="V274" s="657">
        <f>+U274-'ROR-Model'!G274</f>
        <v>0</v>
      </c>
    </row>
    <row r="275" spans="1:22">
      <c r="A275" s="660"/>
      <c r="B275" s="63" t="s">
        <v>80</v>
      </c>
      <c r="C275" s="365" t="s">
        <v>15</v>
      </c>
      <c r="D275" s="659"/>
      <c r="E275" s="656"/>
      <c r="F275" s="357"/>
      <c r="G275" s="357">
        <f>G1*Revenue!$I$274</f>
        <v>0</v>
      </c>
      <c r="H275" s="357"/>
      <c r="I275" s="357"/>
      <c r="J275" s="390"/>
      <c r="K275" s="390"/>
      <c r="L275" s="357"/>
      <c r="M275" s="357"/>
      <c r="N275" s="357"/>
      <c r="O275" s="357"/>
      <c r="P275" s="357"/>
      <c r="Q275" s="390"/>
      <c r="R275" s="390"/>
      <c r="S275" s="657">
        <f>SUM(F275:R275)</f>
        <v>0</v>
      </c>
      <c r="T275" s="357"/>
      <c r="U275" s="657">
        <f>SUM(S275:S275)</f>
        <v>0</v>
      </c>
      <c r="V275" s="657">
        <f>+U275-'ROR-Model'!G275</f>
        <v>0</v>
      </c>
    </row>
    <row r="276" spans="1:22">
      <c r="A276" s="660"/>
      <c r="B276" s="365"/>
      <c r="C276" s="365"/>
      <c r="D276" s="659"/>
      <c r="E276" s="656"/>
      <c r="F276" s="357"/>
      <c r="G276" s="357"/>
      <c r="H276" s="357"/>
      <c r="I276" s="357"/>
      <c r="J276" s="390"/>
      <c r="K276" s="390"/>
      <c r="L276" s="357"/>
      <c r="M276" s="357"/>
      <c r="N276" s="357"/>
      <c r="O276" s="357"/>
      <c r="P276" s="357"/>
      <c r="Q276" s="390"/>
      <c r="R276" s="390"/>
      <c r="S276" s="657"/>
      <c r="T276" s="357"/>
      <c r="U276" s="657"/>
      <c r="V276" s="657">
        <f>+U276-'ROR-Model'!G276</f>
        <v>0</v>
      </c>
    </row>
    <row r="277" spans="1:22">
      <c r="A277" s="660"/>
      <c r="B277" s="365"/>
      <c r="C277" s="365" t="s">
        <v>16</v>
      </c>
      <c r="D277" s="659"/>
      <c r="E277" s="656"/>
      <c r="F277" s="357"/>
      <c r="G277" s="357">
        <f>G1*Revenue!$I$276</f>
        <v>0</v>
      </c>
      <c r="H277" s="357"/>
      <c r="I277" s="357"/>
      <c r="J277" s="390"/>
      <c r="K277" s="390"/>
      <c r="L277" s="357"/>
      <c r="M277" s="357"/>
      <c r="N277" s="357"/>
      <c r="O277" s="357"/>
      <c r="P277" s="357"/>
      <c r="Q277" s="390"/>
      <c r="R277" s="390"/>
      <c r="S277" s="657">
        <f>SUM(F277:R277)</f>
        <v>0</v>
      </c>
      <c r="T277" s="357"/>
      <c r="U277" s="657">
        <f>SUM(S277:S277)</f>
        <v>0</v>
      </c>
      <c r="V277" s="657">
        <f>+U277-'ROR-Model'!G277</f>
        <v>0</v>
      </c>
    </row>
    <row r="278" spans="1:22">
      <c r="A278" s="660"/>
      <c r="B278" s="365"/>
      <c r="C278" s="365"/>
      <c r="D278" s="659"/>
      <c r="E278" s="656"/>
      <c r="F278" s="357"/>
      <c r="G278" s="357"/>
      <c r="H278" s="357"/>
      <c r="I278" s="357"/>
      <c r="J278" s="390"/>
      <c r="K278" s="390"/>
      <c r="L278" s="357"/>
      <c r="M278" s="357"/>
      <c r="N278" s="357"/>
      <c r="O278" s="357"/>
      <c r="P278" s="357"/>
      <c r="Q278" s="390"/>
      <c r="R278" s="390"/>
      <c r="S278" s="657"/>
      <c r="T278" s="357"/>
      <c r="U278" s="657"/>
      <c r="V278" s="657">
        <f>+U278-'ROR-Model'!G278</f>
        <v>0</v>
      </c>
    </row>
    <row r="279" spans="1:22">
      <c r="A279" s="660"/>
      <c r="B279" s="63"/>
      <c r="C279" s="365" t="s">
        <v>17</v>
      </c>
      <c r="D279" s="659"/>
      <c r="E279" s="656"/>
      <c r="F279" s="357"/>
      <c r="G279" s="357">
        <f>G1*Revenue!$I$278</f>
        <v>0</v>
      </c>
      <c r="H279" s="357"/>
      <c r="I279" s="357"/>
      <c r="J279" s="390"/>
      <c r="K279" s="390"/>
      <c r="L279" s="357"/>
      <c r="M279" s="357"/>
      <c r="N279" s="357"/>
      <c r="O279" s="357"/>
      <c r="P279" s="357"/>
      <c r="Q279" s="390"/>
      <c r="R279" s="390"/>
      <c r="S279" s="657">
        <f>SUM(F279:R279)</f>
        <v>0</v>
      </c>
      <c r="T279" s="357"/>
      <c r="U279" s="657">
        <f>SUM(S279:S279)</f>
        <v>0</v>
      </c>
      <c r="V279" s="657">
        <f>+U279-'ROR-Model'!G279</f>
        <v>0</v>
      </c>
    </row>
    <row r="280" spans="1:22">
      <c r="A280" s="660"/>
      <c r="B280" s="63"/>
      <c r="C280" s="365" t="s">
        <v>18</v>
      </c>
      <c r="D280" s="659"/>
      <c r="E280" s="656"/>
      <c r="F280" s="388">
        <f>SUM(F275:F279)</f>
        <v>0</v>
      </c>
      <c r="G280" s="388">
        <f>G1*SUM(G275:G279)</f>
        <v>0</v>
      </c>
      <c r="H280" s="388">
        <f>SUM(H275:H279)</f>
        <v>0</v>
      </c>
      <c r="I280" s="388">
        <f t="shared" ref="I280:P280" si="45">SUM(I275:I279)</f>
        <v>0</v>
      </c>
      <c r="J280" s="585">
        <f>SUM(J275:J279)</f>
        <v>0</v>
      </c>
      <c r="K280" s="585">
        <f>SUM(K275:K279)</f>
        <v>0</v>
      </c>
      <c r="L280" s="388">
        <f t="shared" si="45"/>
        <v>0</v>
      </c>
      <c r="M280" s="388">
        <f t="shared" si="45"/>
        <v>0</v>
      </c>
      <c r="N280" s="388">
        <f t="shared" si="45"/>
        <v>0</v>
      </c>
      <c r="O280" s="388">
        <f t="shared" si="45"/>
        <v>0</v>
      </c>
      <c r="P280" s="388">
        <f t="shared" si="45"/>
        <v>0</v>
      </c>
      <c r="Q280" s="585">
        <f>SUM(Q275:Q279)</f>
        <v>0</v>
      </c>
      <c r="R280" s="585">
        <f>SUM(R275:R279)</f>
        <v>0</v>
      </c>
      <c r="S280" s="661">
        <f>SUM(S275:S279)</f>
        <v>0</v>
      </c>
      <c r="T280" s="388"/>
      <c r="U280" s="661">
        <f>SUM(U275:U279)</f>
        <v>0</v>
      </c>
      <c r="V280" s="661">
        <f>+U280-'ROR-Model'!G280</f>
        <v>0</v>
      </c>
    </row>
    <row r="281" spans="1:22">
      <c r="A281" s="660"/>
      <c r="B281" s="63"/>
      <c r="C281" s="365"/>
      <c r="D281" s="659"/>
      <c r="E281" s="656"/>
      <c r="F281" s="357"/>
      <c r="G281" s="357"/>
      <c r="H281" s="357"/>
      <c r="I281" s="357"/>
      <c r="J281" s="390"/>
      <c r="K281" s="390"/>
      <c r="L281" s="357"/>
      <c r="M281" s="357"/>
      <c r="N281" s="357"/>
      <c r="O281" s="357"/>
      <c r="P281" s="357"/>
      <c r="Q281" s="390"/>
      <c r="R281" s="390"/>
      <c r="S281" s="657"/>
      <c r="T281" s="357"/>
      <c r="U281" s="657"/>
      <c r="V281" s="657">
        <f>+U281-'ROR-Model'!G281</f>
        <v>0</v>
      </c>
    </row>
    <row r="282" spans="1:22">
      <c r="A282" s="660"/>
      <c r="B282" s="63"/>
      <c r="C282" s="365" t="s">
        <v>19</v>
      </c>
      <c r="D282" s="659"/>
      <c r="E282" s="656"/>
      <c r="F282" s="357"/>
      <c r="G282" s="357">
        <f>G1*Revenue!$I$281</f>
        <v>0</v>
      </c>
      <c r="H282" s="357"/>
      <c r="I282" s="357"/>
      <c r="J282" s="390"/>
      <c r="K282" s="390"/>
      <c r="L282" s="357"/>
      <c r="M282" s="357"/>
      <c r="N282" s="357"/>
      <c r="O282" s="357"/>
      <c r="P282" s="357"/>
      <c r="Q282" s="390"/>
      <c r="R282" s="390"/>
      <c r="S282" s="657">
        <f>SUM(F282:R282)</f>
        <v>0</v>
      </c>
      <c r="T282" s="357"/>
      <c r="U282" s="657">
        <f>SUM(S282:S282)</f>
        <v>0</v>
      </c>
      <c r="V282" s="657">
        <f>+U282-'ROR-Model'!G282</f>
        <v>0</v>
      </c>
    </row>
    <row r="283" spans="1:22">
      <c r="A283" s="660"/>
      <c r="B283" s="365"/>
      <c r="C283" s="365"/>
      <c r="D283" s="659"/>
      <c r="E283" s="656"/>
      <c r="F283" s="357"/>
      <c r="G283" s="357"/>
      <c r="H283" s="357"/>
      <c r="I283" s="357"/>
      <c r="J283" s="390"/>
      <c r="K283" s="390"/>
      <c r="L283" s="357"/>
      <c r="M283" s="357"/>
      <c r="N283" s="357"/>
      <c r="O283" s="357"/>
      <c r="P283" s="357"/>
      <c r="Q283" s="390"/>
      <c r="R283" s="390"/>
      <c r="S283" s="657"/>
      <c r="T283" s="357"/>
      <c r="U283" s="657"/>
      <c r="V283" s="657">
        <f>+U283-'ROR-Model'!G283</f>
        <v>0</v>
      </c>
    </row>
    <row r="284" spans="1:22">
      <c r="A284" s="660"/>
      <c r="B284" s="63" t="s">
        <v>81</v>
      </c>
      <c r="C284" s="365" t="s">
        <v>15</v>
      </c>
      <c r="D284" s="659"/>
      <c r="E284" s="656"/>
      <c r="F284" s="357"/>
      <c r="G284" s="357">
        <f>G1*Revenue!$I$283</f>
        <v>0</v>
      </c>
      <c r="H284" s="357"/>
      <c r="I284" s="357"/>
      <c r="J284" s="390"/>
      <c r="K284" s="390"/>
      <c r="L284" s="357"/>
      <c r="M284" s="357"/>
      <c r="N284" s="357"/>
      <c r="O284" s="357"/>
      <c r="P284" s="357"/>
      <c r="Q284" s="390"/>
      <c r="R284" s="390"/>
      <c r="S284" s="657">
        <f>SUM(F284:R284)</f>
        <v>0</v>
      </c>
      <c r="T284" s="357"/>
      <c r="U284" s="657">
        <f>SUM(S284:S284)</f>
        <v>0</v>
      </c>
      <c r="V284" s="657">
        <f>+U284-'ROR-Model'!G284</f>
        <v>0</v>
      </c>
    </row>
    <row r="285" spans="1:22">
      <c r="A285" s="660"/>
      <c r="B285" s="365"/>
      <c r="C285" s="365"/>
      <c r="D285" s="667" t="s">
        <v>535</v>
      </c>
      <c r="E285" s="656"/>
      <c r="F285" s="357"/>
      <c r="G285" s="357"/>
      <c r="H285" s="357"/>
      <c r="I285" s="357"/>
      <c r="J285" s="390"/>
      <c r="K285" s="390"/>
      <c r="L285" s="357"/>
      <c r="M285" s="357"/>
      <c r="N285" s="357"/>
      <c r="O285" s="357"/>
      <c r="P285" s="357"/>
      <c r="Q285" s="390"/>
      <c r="R285" s="390"/>
      <c r="S285" s="657"/>
      <c r="T285" s="357"/>
      <c r="U285" s="657"/>
      <c r="V285" s="657">
        <f>+U285-'ROR-Model'!G285</f>
        <v>0</v>
      </c>
    </row>
    <row r="286" spans="1:22">
      <c r="A286" s="660"/>
      <c r="B286" s="365"/>
      <c r="C286" s="365" t="s">
        <v>16</v>
      </c>
      <c r="D286" s="659"/>
      <c r="E286" s="656"/>
      <c r="F286" s="357"/>
      <c r="G286" s="357">
        <f>G1*Revenue!$I$285</f>
        <v>0</v>
      </c>
      <c r="H286" s="357"/>
      <c r="I286" s="357"/>
      <c r="J286" s="390"/>
      <c r="K286" s="390"/>
      <c r="L286" s="357"/>
      <c r="M286" s="357"/>
      <c r="N286" s="357"/>
      <c r="O286" s="357"/>
      <c r="P286" s="357"/>
      <c r="Q286" s="390"/>
      <c r="R286" s="390"/>
      <c r="S286" s="657">
        <f>SUM(F286:R286)</f>
        <v>0</v>
      </c>
      <c r="T286" s="357"/>
      <c r="U286" s="657">
        <f>SUM(S286:S286)</f>
        <v>0</v>
      </c>
      <c r="V286" s="657">
        <f>+U286-'ROR-Model'!G286</f>
        <v>0</v>
      </c>
    </row>
    <row r="287" spans="1:22">
      <c r="A287" s="660"/>
      <c r="B287" s="365"/>
      <c r="C287" s="365"/>
      <c r="D287" s="659"/>
      <c r="E287" s="656"/>
      <c r="F287" s="357"/>
      <c r="G287" s="357"/>
      <c r="H287" s="357"/>
      <c r="I287" s="357"/>
      <c r="J287" s="390"/>
      <c r="K287" s="390"/>
      <c r="L287" s="357"/>
      <c r="M287" s="357"/>
      <c r="N287" s="357"/>
      <c r="O287" s="357"/>
      <c r="P287" s="357"/>
      <c r="Q287" s="390"/>
      <c r="R287" s="390"/>
      <c r="S287" s="657"/>
      <c r="T287" s="357"/>
      <c r="U287" s="657"/>
      <c r="V287" s="657">
        <f>+U287-'ROR-Model'!G287</f>
        <v>0</v>
      </c>
    </row>
    <row r="288" spans="1:22">
      <c r="A288" s="660"/>
      <c r="B288" s="63"/>
      <c r="C288" s="365" t="s">
        <v>17</v>
      </c>
      <c r="D288" s="659"/>
      <c r="E288" s="656"/>
      <c r="F288" s="357"/>
      <c r="G288" s="357">
        <f>G1*Revenue!$I$287</f>
        <v>0</v>
      </c>
      <c r="H288" s="357"/>
      <c r="I288" s="357"/>
      <c r="J288" s="390"/>
      <c r="K288" s="390"/>
      <c r="L288" s="357"/>
      <c r="M288" s="357"/>
      <c r="N288" s="357"/>
      <c r="O288" s="357"/>
      <c r="P288" s="357"/>
      <c r="Q288" s="390"/>
      <c r="R288" s="390"/>
      <c r="S288" s="657">
        <f>SUM(F288:R288)</f>
        <v>0</v>
      </c>
      <c r="T288" s="357"/>
      <c r="U288" s="657">
        <f>SUM(S288:S288)</f>
        <v>0</v>
      </c>
      <c r="V288" s="657">
        <f>+U288-'ROR-Model'!G288</f>
        <v>0</v>
      </c>
    </row>
    <row r="289" spans="1:22">
      <c r="A289" s="660"/>
      <c r="B289" s="63"/>
      <c r="C289" s="365" t="s">
        <v>18</v>
      </c>
      <c r="D289" s="659"/>
      <c r="E289" s="656"/>
      <c r="F289" s="388">
        <f>SUM(F284:F288)</f>
        <v>0</v>
      </c>
      <c r="G289" s="388">
        <f>G1*SUM(G284:G288)</f>
        <v>0</v>
      </c>
      <c r="H289" s="388">
        <f>SUM(H284:H288)</f>
        <v>0</v>
      </c>
      <c r="I289" s="388">
        <f t="shared" ref="I289:P289" si="46">SUM(I284:I288)</f>
        <v>0</v>
      </c>
      <c r="J289" s="585">
        <f>SUM(J284:J288)</f>
        <v>0</v>
      </c>
      <c r="K289" s="585">
        <f>SUM(K284:K288)</f>
        <v>0</v>
      </c>
      <c r="L289" s="388">
        <f t="shared" si="46"/>
        <v>0</v>
      </c>
      <c r="M289" s="388">
        <f t="shared" si="46"/>
        <v>0</v>
      </c>
      <c r="N289" s="388">
        <f t="shared" si="46"/>
        <v>0</v>
      </c>
      <c r="O289" s="388">
        <f t="shared" si="46"/>
        <v>0</v>
      </c>
      <c r="P289" s="388">
        <f t="shared" si="46"/>
        <v>0</v>
      </c>
      <c r="Q289" s="585">
        <f>SUM(Q284:Q288)</f>
        <v>0</v>
      </c>
      <c r="R289" s="585">
        <f>SUM(R284:R288)</f>
        <v>0</v>
      </c>
      <c r="S289" s="661">
        <f>SUM(S284:S288)</f>
        <v>0</v>
      </c>
      <c r="T289" s="388"/>
      <c r="U289" s="661">
        <f>SUM(U284:U288)</f>
        <v>0</v>
      </c>
      <c r="V289" s="661">
        <f>+U289-'ROR-Model'!G289</f>
        <v>0</v>
      </c>
    </row>
    <row r="290" spans="1:22">
      <c r="A290" s="660"/>
      <c r="B290" s="63"/>
      <c r="C290" s="365"/>
      <c r="D290" s="659"/>
      <c r="E290" s="656"/>
      <c r="F290" s="357"/>
      <c r="G290" s="357"/>
      <c r="H290" s="357"/>
      <c r="I290" s="357"/>
      <c r="J290" s="390"/>
      <c r="K290" s="390"/>
      <c r="L290" s="357"/>
      <c r="M290" s="357"/>
      <c r="N290" s="357"/>
      <c r="O290" s="357"/>
      <c r="P290" s="357"/>
      <c r="Q290" s="390"/>
      <c r="R290" s="390"/>
      <c r="S290" s="657"/>
      <c r="T290" s="357"/>
      <c r="U290" s="657"/>
      <c r="V290" s="657">
        <f>+U290-'ROR-Model'!G290</f>
        <v>0</v>
      </c>
    </row>
    <row r="291" spans="1:22">
      <c r="A291" s="660"/>
      <c r="B291" s="63"/>
      <c r="C291" s="365" t="s">
        <v>19</v>
      </c>
      <c r="D291" s="659"/>
      <c r="E291" s="656"/>
      <c r="F291" s="357"/>
      <c r="G291" s="357">
        <f>G1*Revenue!$I$290</f>
        <v>0</v>
      </c>
      <c r="H291" s="357"/>
      <c r="I291" s="357"/>
      <c r="J291" s="390"/>
      <c r="K291" s="390"/>
      <c r="L291" s="357"/>
      <c r="M291" s="357"/>
      <c r="N291" s="357"/>
      <c r="O291" s="357"/>
      <c r="P291" s="357"/>
      <c r="Q291" s="390"/>
      <c r="R291" s="390"/>
      <c r="S291" s="657">
        <f>SUM(F291:R291)</f>
        <v>0</v>
      </c>
      <c r="T291" s="357"/>
      <c r="U291" s="657">
        <f>SUM(S291:S291)</f>
        <v>0</v>
      </c>
      <c r="V291" s="657">
        <f>+U291-'ROR-Model'!G291</f>
        <v>0</v>
      </c>
    </row>
    <row r="292" spans="1:22">
      <c r="A292" s="660"/>
      <c r="B292" s="365"/>
      <c r="C292" s="365"/>
      <c r="D292" s="659"/>
      <c r="E292" s="656"/>
      <c r="F292" s="357"/>
      <c r="G292" s="357"/>
      <c r="H292" s="357"/>
      <c r="I292" s="357"/>
      <c r="J292" s="390"/>
      <c r="K292" s="390"/>
      <c r="L292" s="357"/>
      <c r="M292" s="357"/>
      <c r="N292" s="357"/>
      <c r="O292" s="357"/>
      <c r="P292" s="357"/>
      <c r="Q292" s="390"/>
      <c r="R292" s="390"/>
      <c r="S292" s="657"/>
      <c r="T292" s="357"/>
      <c r="U292" s="657"/>
      <c r="V292" s="657">
        <f>+U292-'ROR-Model'!G292</f>
        <v>0</v>
      </c>
    </row>
    <row r="293" spans="1:22">
      <c r="A293" s="660"/>
      <c r="B293" s="365" t="s">
        <v>25</v>
      </c>
      <c r="C293" s="365" t="s">
        <v>15</v>
      </c>
      <c r="D293" s="659"/>
      <c r="E293" s="656"/>
      <c r="F293" s="357"/>
      <c r="G293" s="357">
        <f>G1*Revenue!$I$292</f>
        <v>0</v>
      </c>
      <c r="H293" s="357"/>
      <c r="I293" s="357"/>
      <c r="J293" s="390"/>
      <c r="K293" s="390"/>
      <c r="L293" s="357"/>
      <c r="M293" s="357"/>
      <c r="N293" s="357"/>
      <c r="O293" s="357"/>
      <c r="P293" s="357"/>
      <c r="Q293" s="390"/>
      <c r="R293" s="390"/>
      <c r="S293" s="657">
        <f>SUM(F293:R293)</f>
        <v>0</v>
      </c>
      <c r="T293" s="357"/>
      <c r="U293" s="657">
        <f>SUM(S293:S293)</f>
        <v>0</v>
      </c>
      <c r="V293" s="657">
        <f>+U293-'ROR-Model'!G293</f>
        <v>0</v>
      </c>
    </row>
    <row r="294" spans="1:22">
      <c r="A294" s="660"/>
      <c r="B294" s="365" t="s">
        <v>679</v>
      </c>
      <c r="C294" s="365" t="s">
        <v>446</v>
      </c>
      <c r="D294" s="667" t="s">
        <v>535</v>
      </c>
      <c r="E294" s="656"/>
      <c r="F294" s="357"/>
      <c r="G294" s="357"/>
      <c r="H294" s="357"/>
      <c r="I294" s="357"/>
      <c r="J294" s="390"/>
      <c r="K294" s="390"/>
      <c r="L294" s="357"/>
      <c r="M294" s="357"/>
      <c r="N294" s="357"/>
      <c r="O294" s="357"/>
      <c r="P294" s="357"/>
      <c r="Q294" s="390"/>
      <c r="R294" s="390"/>
      <c r="S294" s="657"/>
      <c r="T294" s="357"/>
      <c r="U294" s="657"/>
      <c r="V294" s="657">
        <f>+U294-'ROR-Model'!G294</f>
        <v>0</v>
      </c>
    </row>
    <row r="295" spans="1:22">
      <c r="A295" s="660"/>
      <c r="B295" s="365"/>
      <c r="C295" s="365"/>
      <c r="D295" s="659"/>
      <c r="E295" s="656"/>
      <c r="F295" s="357"/>
      <c r="G295" s="357"/>
      <c r="H295" s="357"/>
      <c r="I295" s="357"/>
      <c r="J295" s="390"/>
      <c r="K295" s="390"/>
      <c r="L295" s="357"/>
      <c r="M295" s="357"/>
      <c r="N295" s="357"/>
      <c r="O295" s="357"/>
      <c r="P295" s="357"/>
      <c r="Q295" s="390"/>
      <c r="R295" s="390"/>
      <c r="S295" s="657">
        <f>SUM(F295:R295)</f>
        <v>0</v>
      </c>
      <c r="T295" s="357"/>
      <c r="U295" s="657">
        <f>SUM(S295:S295)</f>
        <v>0</v>
      </c>
      <c r="V295" s="657">
        <f>+U295-'ROR-Model'!G295</f>
        <v>0</v>
      </c>
    </row>
    <row r="296" spans="1:22">
      <c r="A296" s="660"/>
      <c r="B296" s="365"/>
      <c r="C296" s="365"/>
      <c r="D296" s="659"/>
      <c r="E296" s="656"/>
      <c r="F296" s="357"/>
      <c r="G296" s="357"/>
      <c r="H296" s="357"/>
      <c r="I296" s="357"/>
      <c r="J296" s="390"/>
      <c r="K296" s="390"/>
      <c r="L296" s="357"/>
      <c r="M296" s="357"/>
      <c r="N296" s="357"/>
      <c r="O296" s="357"/>
      <c r="P296" s="357"/>
      <c r="Q296" s="390"/>
      <c r="R296" s="390"/>
      <c r="S296" s="657"/>
      <c r="T296" s="357"/>
      <c r="U296" s="657"/>
      <c r="V296" s="657">
        <f>+U296-'ROR-Model'!G296</f>
        <v>0</v>
      </c>
    </row>
    <row r="297" spans="1:22">
      <c r="A297" s="660"/>
      <c r="B297" s="63"/>
      <c r="C297" s="63" t="s">
        <v>17</v>
      </c>
      <c r="D297" s="659"/>
      <c r="E297" s="656"/>
      <c r="F297" s="357"/>
      <c r="G297" s="357">
        <f>G1*Revenue!$I$296</f>
        <v>0</v>
      </c>
      <c r="H297" s="357"/>
      <c r="I297" s="357"/>
      <c r="J297" s="390"/>
      <c r="K297" s="390"/>
      <c r="L297" s="357"/>
      <c r="M297" s="357"/>
      <c r="N297" s="357"/>
      <c r="O297" s="357"/>
      <c r="P297" s="357"/>
      <c r="Q297" s="390"/>
      <c r="R297" s="390"/>
      <c r="S297" s="657">
        <f>SUM(F297:R297)</f>
        <v>0</v>
      </c>
      <c r="T297" s="357"/>
      <c r="U297" s="657">
        <f>SUM(S297:S297)</f>
        <v>0</v>
      </c>
      <c r="V297" s="657">
        <f>+U297-'ROR-Model'!G297</f>
        <v>0</v>
      </c>
    </row>
    <row r="298" spans="1:22">
      <c r="A298" s="660"/>
      <c r="B298" s="63"/>
      <c r="C298" s="63" t="s">
        <v>18</v>
      </c>
      <c r="D298" s="659"/>
      <c r="E298" s="656"/>
      <c r="F298" s="388">
        <f>SUM(F293:F297)</f>
        <v>0</v>
      </c>
      <c r="G298" s="388">
        <f>G1*SUM(G293:G297)</f>
        <v>0</v>
      </c>
      <c r="H298" s="388">
        <f>SUM(H293:H297)</f>
        <v>0</v>
      </c>
      <c r="I298" s="388">
        <f t="shared" ref="I298:P298" si="47">SUM(I293:I297)</f>
        <v>0</v>
      </c>
      <c r="J298" s="585">
        <f>SUM(J293:J297)</f>
        <v>0</v>
      </c>
      <c r="K298" s="585">
        <f>SUM(K293:K297)</f>
        <v>0</v>
      </c>
      <c r="L298" s="388">
        <f t="shared" si="47"/>
        <v>0</v>
      </c>
      <c r="M298" s="388">
        <f t="shared" si="47"/>
        <v>0</v>
      </c>
      <c r="N298" s="388">
        <f t="shared" si="47"/>
        <v>0</v>
      </c>
      <c r="O298" s="388">
        <f t="shared" si="47"/>
        <v>0</v>
      </c>
      <c r="P298" s="388">
        <f t="shared" si="47"/>
        <v>0</v>
      </c>
      <c r="Q298" s="585">
        <f>SUM(Q293:Q297)</f>
        <v>0</v>
      </c>
      <c r="R298" s="585">
        <f>SUM(R293:R297)</f>
        <v>0</v>
      </c>
      <c r="S298" s="661">
        <f>SUM(S293:S297)</f>
        <v>0</v>
      </c>
      <c r="T298" s="388"/>
      <c r="U298" s="661">
        <f>SUM(U293:U297)</f>
        <v>0</v>
      </c>
      <c r="V298" s="661">
        <f>+U298-'ROR-Model'!G298</f>
        <v>0</v>
      </c>
    </row>
    <row r="299" spans="1:22">
      <c r="A299" s="660"/>
      <c r="B299" s="63"/>
      <c r="C299" s="63"/>
      <c r="D299" s="659"/>
      <c r="E299" s="656"/>
      <c r="F299" s="357"/>
      <c r="G299" s="357"/>
      <c r="H299" s="357"/>
      <c r="I299" s="357"/>
      <c r="J299" s="390"/>
      <c r="K299" s="390"/>
      <c r="L299" s="357"/>
      <c r="M299" s="357"/>
      <c r="N299" s="357"/>
      <c r="O299" s="357"/>
      <c r="P299" s="357"/>
      <c r="Q299" s="390"/>
      <c r="R299" s="390"/>
      <c r="S299" s="657"/>
      <c r="T299" s="357"/>
      <c r="U299" s="657"/>
      <c r="V299" s="657">
        <f>+U299-'ROR-Model'!G299</f>
        <v>0</v>
      </c>
    </row>
    <row r="300" spans="1:22">
      <c r="A300" s="660"/>
      <c r="B300" s="63"/>
      <c r="C300" s="63" t="s">
        <v>19</v>
      </c>
      <c r="D300" s="659"/>
      <c r="E300" s="656"/>
      <c r="F300" s="357"/>
      <c r="G300" s="357">
        <f>G1*Revenue!$I$299</f>
        <v>0</v>
      </c>
      <c r="H300" s="357"/>
      <c r="I300" s="357"/>
      <c r="J300" s="390"/>
      <c r="K300" s="390"/>
      <c r="L300" s="357"/>
      <c r="M300" s="357"/>
      <c r="N300" s="357"/>
      <c r="O300" s="357"/>
      <c r="P300" s="357"/>
      <c r="Q300" s="390"/>
      <c r="R300" s="390"/>
      <c r="S300" s="657">
        <f>SUM(F300:R300)</f>
        <v>0</v>
      </c>
      <c r="T300" s="357"/>
      <c r="U300" s="657">
        <f>SUM(S300:S300)</f>
        <v>0</v>
      </c>
      <c r="V300" s="657">
        <f>+U300-'ROR-Model'!G300</f>
        <v>0</v>
      </c>
    </row>
    <row r="301" spans="1:22">
      <c r="A301" s="660"/>
      <c r="B301" s="365"/>
      <c r="C301" s="365"/>
      <c r="D301" s="659"/>
      <c r="E301" s="656"/>
      <c r="F301" s="357"/>
      <c r="G301" s="357"/>
      <c r="H301" s="357"/>
      <c r="I301" s="357"/>
      <c r="J301" s="390"/>
      <c r="K301" s="390"/>
      <c r="L301" s="357"/>
      <c r="M301" s="357"/>
      <c r="N301" s="357"/>
      <c r="O301" s="357"/>
      <c r="P301" s="357"/>
      <c r="Q301" s="390"/>
      <c r="R301" s="390"/>
      <c r="S301" s="657"/>
      <c r="T301" s="357"/>
      <c r="U301" s="657"/>
      <c r="V301" s="657">
        <f>+U301-'ROR-Model'!G301</f>
        <v>0</v>
      </c>
    </row>
    <row r="302" spans="1:22">
      <c r="A302" s="660"/>
      <c r="B302" s="63" t="s">
        <v>26</v>
      </c>
      <c r="C302" s="63" t="s">
        <v>15</v>
      </c>
      <c r="D302" s="659"/>
      <c r="E302" s="656"/>
      <c r="F302" s="357"/>
      <c r="G302" s="357">
        <f>G1*Revenue!$I$301</f>
        <v>0</v>
      </c>
      <c r="H302" s="357"/>
      <c r="I302" s="357"/>
      <c r="J302" s="390"/>
      <c r="K302" s="390"/>
      <c r="L302" s="357"/>
      <c r="M302" s="357"/>
      <c r="N302" s="357"/>
      <c r="O302" s="357"/>
      <c r="P302" s="357"/>
      <c r="Q302" s="390"/>
      <c r="R302" s="390"/>
      <c r="S302" s="657">
        <f>SUM(F302:R302)</f>
        <v>0</v>
      </c>
      <c r="T302" s="357"/>
      <c r="U302" s="657">
        <f>SUM(S302:S302)</f>
        <v>0</v>
      </c>
      <c r="V302" s="657">
        <f>+U302-'ROR-Model'!G302</f>
        <v>0</v>
      </c>
    </row>
    <row r="303" spans="1:22">
      <c r="A303" s="660"/>
      <c r="B303" s="365"/>
      <c r="C303" s="63"/>
      <c r="D303" s="667" t="s">
        <v>535</v>
      </c>
      <c r="E303" s="656"/>
      <c r="F303" s="357"/>
      <c r="G303" s="357"/>
      <c r="H303" s="357"/>
      <c r="I303" s="357"/>
      <c r="J303" s="390"/>
      <c r="K303" s="390"/>
      <c r="L303" s="357"/>
      <c r="M303" s="357"/>
      <c r="N303" s="357"/>
      <c r="O303" s="357"/>
      <c r="P303" s="357"/>
      <c r="Q303" s="390"/>
      <c r="R303" s="390"/>
      <c r="S303" s="657"/>
      <c r="T303" s="357"/>
      <c r="U303" s="657"/>
      <c r="V303" s="657">
        <f>+U303-'ROR-Model'!G303</f>
        <v>0</v>
      </c>
    </row>
    <row r="304" spans="1:22">
      <c r="A304" s="660"/>
      <c r="B304" s="365"/>
      <c r="C304" s="63"/>
      <c r="D304" s="659"/>
      <c r="E304" s="656"/>
      <c r="F304" s="357"/>
      <c r="G304" s="357"/>
      <c r="H304" s="357"/>
      <c r="I304" s="357"/>
      <c r="J304" s="390"/>
      <c r="K304" s="390"/>
      <c r="L304" s="357"/>
      <c r="M304" s="357"/>
      <c r="N304" s="357"/>
      <c r="O304" s="357"/>
      <c r="P304" s="357"/>
      <c r="Q304" s="390"/>
      <c r="R304" s="390"/>
      <c r="S304" s="657">
        <f>SUM(F304:R304)</f>
        <v>0</v>
      </c>
      <c r="T304" s="357"/>
      <c r="U304" s="657">
        <f>SUM(S304:S304)</f>
        <v>0</v>
      </c>
      <c r="V304" s="657">
        <f>+U304-'ROR-Model'!G304</f>
        <v>0</v>
      </c>
    </row>
    <row r="305" spans="1:22">
      <c r="A305" s="660"/>
      <c r="B305" s="365"/>
      <c r="C305" s="63"/>
      <c r="D305" s="659"/>
      <c r="E305" s="656"/>
      <c r="F305" s="357"/>
      <c r="G305" s="357"/>
      <c r="H305" s="357"/>
      <c r="I305" s="357"/>
      <c r="J305" s="390"/>
      <c r="K305" s="390"/>
      <c r="L305" s="357"/>
      <c r="M305" s="357"/>
      <c r="N305" s="357"/>
      <c r="O305" s="357"/>
      <c r="P305" s="357"/>
      <c r="Q305" s="390"/>
      <c r="R305" s="390"/>
      <c r="S305" s="657"/>
      <c r="T305" s="357"/>
      <c r="U305" s="657"/>
      <c r="V305" s="657">
        <f>+U305-'ROR-Model'!G305</f>
        <v>0</v>
      </c>
    </row>
    <row r="306" spans="1:22">
      <c r="A306" s="660"/>
      <c r="B306" s="63"/>
      <c r="C306" s="63" t="s">
        <v>17</v>
      </c>
      <c r="D306" s="659"/>
      <c r="E306" s="656"/>
      <c r="F306" s="357"/>
      <c r="G306" s="357">
        <f>G1*Revenue!$I$305</f>
        <v>0</v>
      </c>
      <c r="H306" s="357"/>
      <c r="I306" s="357"/>
      <c r="J306" s="390"/>
      <c r="K306" s="390"/>
      <c r="L306" s="357"/>
      <c r="M306" s="357"/>
      <c r="N306" s="357"/>
      <c r="O306" s="357"/>
      <c r="P306" s="357"/>
      <c r="Q306" s="390"/>
      <c r="R306" s="390"/>
      <c r="S306" s="657">
        <f>SUM(F306:R306)</f>
        <v>0</v>
      </c>
      <c r="T306" s="357"/>
      <c r="U306" s="657">
        <f>SUM(S306:S306)</f>
        <v>0</v>
      </c>
      <c r="V306" s="657">
        <f>+U306-'ROR-Model'!G306</f>
        <v>0</v>
      </c>
    </row>
    <row r="307" spans="1:22">
      <c r="A307" s="660"/>
      <c r="B307" s="63"/>
      <c r="C307" s="63" t="s">
        <v>18</v>
      </c>
      <c r="D307" s="659"/>
      <c r="E307" s="656"/>
      <c r="F307" s="388">
        <f>SUM(F302:F306)</f>
        <v>0</v>
      </c>
      <c r="G307" s="388">
        <f>G1*SUM(G302:G306)</f>
        <v>0</v>
      </c>
      <c r="H307" s="388">
        <f>SUM(H302:H306)</f>
        <v>0</v>
      </c>
      <c r="I307" s="388">
        <f t="shared" ref="I307:P307" si="48">SUM(I302:I306)</f>
        <v>0</v>
      </c>
      <c r="J307" s="585">
        <f>SUM(J302:J306)</f>
        <v>0</v>
      </c>
      <c r="K307" s="585">
        <f>SUM(K302:K306)</f>
        <v>0</v>
      </c>
      <c r="L307" s="388">
        <f t="shared" si="48"/>
        <v>0</v>
      </c>
      <c r="M307" s="388">
        <f t="shared" si="48"/>
        <v>0</v>
      </c>
      <c r="N307" s="388">
        <f t="shared" si="48"/>
        <v>0</v>
      </c>
      <c r="O307" s="388">
        <f t="shared" si="48"/>
        <v>0</v>
      </c>
      <c r="P307" s="388">
        <f t="shared" si="48"/>
        <v>0</v>
      </c>
      <c r="Q307" s="585">
        <f>SUM(Q302:Q306)</f>
        <v>0</v>
      </c>
      <c r="R307" s="585">
        <f>SUM(R302:R306)</f>
        <v>0</v>
      </c>
      <c r="S307" s="661">
        <f>SUM(S302:S306)</f>
        <v>0</v>
      </c>
      <c r="T307" s="388"/>
      <c r="U307" s="661">
        <f>SUM(U302:U306)</f>
        <v>0</v>
      </c>
      <c r="V307" s="661">
        <f>+U307-'ROR-Model'!G307</f>
        <v>0</v>
      </c>
    </row>
    <row r="308" spans="1:22">
      <c r="A308" s="660"/>
      <c r="B308" s="63"/>
      <c r="C308" s="63"/>
      <c r="D308" s="659"/>
      <c r="E308" s="656"/>
      <c r="F308" s="357"/>
      <c r="G308" s="357"/>
      <c r="H308" s="357"/>
      <c r="I308" s="357"/>
      <c r="J308" s="390"/>
      <c r="K308" s="390"/>
      <c r="L308" s="357"/>
      <c r="M308" s="357"/>
      <c r="N308" s="357"/>
      <c r="O308" s="357"/>
      <c r="P308" s="357"/>
      <c r="Q308" s="390"/>
      <c r="R308" s="390"/>
      <c r="S308" s="657"/>
      <c r="T308" s="357"/>
      <c r="U308" s="657"/>
      <c r="V308" s="657">
        <f>+U308-'ROR-Model'!G308</f>
        <v>0</v>
      </c>
    </row>
    <row r="309" spans="1:22">
      <c r="A309" s="660"/>
      <c r="B309" s="63"/>
      <c r="C309" s="63" t="s">
        <v>19</v>
      </c>
      <c r="D309" s="659"/>
      <c r="E309" s="656"/>
      <c r="F309" s="357"/>
      <c r="G309" s="357">
        <f>G1*Revenue!$I$308</f>
        <v>0</v>
      </c>
      <c r="H309" s="357"/>
      <c r="I309" s="357"/>
      <c r="J309" s="390"/>
      <c r="K309" s="390"/>
      <c r="L309" s="357"/>
      <c r="M309" s="357"/>
      <c r="N309" s="357"/>
      <c r="O309" s="357"/>
      <c r="P309" s="357"/>
      <c r="Q309" s="390"/>
      <c r="R309" s="390"/>
      <c r="S309" s="657">
        <f>SUM(F309:R309)</f>
        <v>0</v>
      </c>
      <c r="T309" s="357"/>
      <c r="U309" s="657">
        <f>SUM(S309:S309)</f>
        <v>0</v>
      </c>
      <c r="V309" s="657">
        <f>+U309-'ROR-Model'!G309</f>
        <v>0</v>
      </c>
    </row>
    <row r="310" spans="1:22">
      <c r="A310" s="660"/>
      <c r="B310" s="365"/>
      <c r="C310" s="365"/>
      <c r="D310" s="659"/>
      <c r="E310" s="656"/>
      <c r="F310" s="357"/>
      <c r="G310" s="357"/>
      <c r="H310" s="357"/>
      <c r="I310" s="357"/>
      <c r="J310" s="390"/>
      <c r="K310" s="390"/>
      <c r="L310" s="357"/>
      <c r="M310" s="357"/>
      <c r="N310" s="357"/>
      <c r="O310" s="357"/>
      <c r="P310" s="357"/>
      <c r="Q310" s="390"/>
      <c r="R310" s="390"/>
      <c r="S310" s="657"/>
      <c r="T310" s="357"/>
      <c r="U310" s="657"/>
      <c r="V310" s="657">
        <f>+U310-'ROR-Model'!G310</f>
        <v>0</v>
      </c>
    </row>
    <row r="311" spans="1:22">
      <c r="A311" s="660"/>
      <c r="B311" s="365" t="s">
        <v>25</v>
      </c>
      <c r="C311" s="63" t="s">
        <v>15</v>
      </c>
      <c r="D311" s="659"/>
      <c r="E311" s="656"/>
      <c r="F311" s="357"/>
      <c r="G311" s="357">
        <f>G1*Revenue!$I$310</f>
        <v>0</v>
      </c>
      <c r="H311" s="357"/>
      <c r="I311" s="357"/>
      <c r="J311" s="390"/>
      <c r="K311" s="390"/>
      <c r="L311" s="357"/>
      <c r="M311" s="357"/>
      <c r="N311" s="357"/>
      <c r="O311" s="357"/>
      <c r="P311" s="357"/>
      <c r="Q311" s="390"/>
      <c r="R311" s="390"/>
      <c r="S311" s="657">
        <f>SUM(F311:R311)</f>
        <v>0</v>
      </c>
      <c r="T311" s="357"/>
      <c r="U311" s="657">
        <f>SUM(S311:S311)</f>
        <v>0</v>
      </c>
      <c r="V311" s="657">
        <f>+U311-'ROR-Model'!G311</f>
        <v>0</v>
      </c>
    </row>
    <row r="312" spans="1:22">
      <c r="A312" s="660"/>
      <c r="B312" s="365" t="s">
        <v>680</v>
      </c>
      <c r="C312" s="63"/>
      <c r="D312" s="667" t="s">
        <v>535</v>
      </c>
      <c r="E312" s="656"/>
      <c r="F312" s="357"/>
      <c r="G312" s="357"/>
      <c r="H312" s="357"/>
      <c r="I312" s="357"/>
      <c r="J312" s="390"/>
      <c r="K312" s="390"/>
      <c r="L312" s="357"/>
      <c r="M312" s="357"/>
      <c r="N312" s="357"/>
      <c r="O312" s="357"/>
      <c r="P312" s="357"/>
      <c r="Q312" s="390"/>
      <c r="R312" s="390"/>
      <c r="S312" s="657"/>
      <c r="T312" s="357"/>
      <c r="U312" s="657"/>
      <c r="V312" s="657">
        <f>+U312-'ROR-Model'!G312</f>
        <v>0</v>
      </c>
    </row>
    <row r="313" spans="1:22">
      <c r="A313" s="660"/>
      <c r="B313" s="365"/>
      <c r="C313" s="63"/>
      <c r="D313" s="659"/>
      <c r="E313" s="656"/>
      <c r="F313" s="357"/>
      <c r="G313" s="357"/>
      <c r="H313" s="357"/>
      <c r="I313" s="357"/>
      <c r="J313" s="390"/>
      <c r="K313" s="390"/>
      <c r="L313" s="357"/>
      <c r="M313" s="357"/>
      <c r="N313" s="357"/>
      <c r="O313" s="357"/>
      <c r="P313" s="357"/>
      <c r="Q313" s="390"/>
      <c r="R313" s="390"/>
      <c r="S313" s="657">
        <f>SUM(F313:R313)</f>
        <v>0</v>
      </c>
      <c r="T313" s="357"/>
      <c r="U313" s="657">
        <f>SUM(S313:S313)</f>
        <v>0</v>
      </c>
      <c r="V313" s="657">
        <f>+U313-'ROR-Model'!G313</f>
        <v>0</v>
      </c>
    </row>
    <row r="314" spans="1:22">
      <c r="A314" s="660"/>
      <c r="B314" s="365"/>
      <c r="C314" s="63"/>
      <c r="D314" s="659"/>
      <c r="E314" s="656"/>
      <c r="F314" s="357"/>
      <c r="G314" s="357"/>
      <c r="H314" s="357"/>
      <c r="I314" s="357"/>
      <c r="J314" s="390"/>
      <c r="K314" s="390"/>
      <c r="L314" s="357"/>
      <c r="M314" s="357"/>
      <c r="N314" s="357"/>
      <c r="O314" s="357"/>
      <c r="P314" s="357"/>
      <c r="Q314" s="390"/>
      <c r="R314" s="390"/>
      <c r="S314" s="657"/>
      <c r="T314" s="357"/>
      <c r="U314" s="657"/>
      <c r="V314" s="657">
        <f>+U314-'ROR-Model'!G314</f>
        <v>0</v>
      </c>
    </row>
    <row r="315" spans="1:22">
      <c r="A315" s="660"/>
      <c r="B315" s="63"/>
      <c r="C315" s="63" t="s">
        <v>17</v>
      </c>
      <c r="D315" s="659"/>
      <c r="E315" s="656"/>
      <c r="F315" s="357"/>
      <c r="G315" s="357">
        <f>G1*Revenue!$I$314</f>
        <v>0</v>
      </c>
      <c r="H315" s="357"/>
      <c r="I315" s="357"/>
      <c r="J315" s="390"/>
      <c r="K315" s="390"/>
      <c r="L315" s="357"/>
      <c r="M315" s="357"/>
      <c r="N315" s="357"/>
      <c r="O315" s="357"/>
      <c r="P315" s="357"/>
      <c r="Q315" s="390"/>
      <c r="R315" s="390"/>
      <c r="S315" s="657">
        <f>SUM(F315:R315)</f>
        <v>0</v>
      </c>
      <c r="T315" s="357"/>
      <c r="U315" s="657">
        <f>SUM(S315:S315)</f>
        <v>0</v>
      </c>
      <c r="V315" s="657">
        <f>+U315-'ROR-Model'!G315</f>
        <v>0</v>
      </c>
    </row>
    <row r="316" spans="1:22">
      <c r="A316" s="660"/>
      <c r="B316" s="63"/>
      <c r="C316" s="63" t="s">
        <v>18</v>
      </c>
      <c r="D316" s="659"/>
      <c r="E316" s="656"/>
      <c r="F316" s="388">
        <f>SUM(F311:F315)</f>
        <v>0</v>
      </c>
      <c r="G316" s="388">
        <f>G1*SUM(G311:G315)</f>
        <v>0</v>
      </c>
      <c r="H316" s="388">
        <f>SUM(H311:H315)</f>
        <v>0</v>
      </c>
      <c r="I316" s="388">
        <f t="shared" ref="I316:P316" si="49">SUM(I311:I315)</f>
        <v>0</v>
      </c>
      <c r="J316" s="585">
        <f>SUM(J311:J315)</f>
        <v>0</v>
      </c>
      <c r="K316" s="585">
        <f>SUM(K311:K315)</f>
        <v>0</v>
      </c>
      <c r="L316" s="388">
        <f t="shared" si="49"/>
        <v>0</v>
      </c>
      <c r="M316" s="388">
        <f t="shared" si="49"/>
        <v>0</v>
      </c>
      <c r="N316" s="388">
        <f t="shared" si="49"/>
        <v>0</v>
      </c>
      <c r="O316" s="388">
        <f t="shared" si="49"/>
        <v>0</v>
      </c>
      <c r="P316" s="388">
        <f t="shared" si="49"/>
        <v>0</v>
      </c>
      <c r="Q316" s="585">
        <f>SUM(Q311:Q315)</f>
        <v>0</v>
      </c>
      <c r="R316" s="585">
        <f>SUM(R311:R315)</f>
        <v>0</v>
      </c>
      <c r="S316" s="661">
        <f>SUM(S311:S315)</f>
        <v>0</v>
      </c>
      <c r="T316" s="388"/>
      <c r="U316" s="661">
        <f>SUM(U311:U315)</f>
        <v>0</v>
      </c>
      <c r="V316" s="661">
        <f>+U316-'ROR-Model'!G316</f>
        <v>0</v>
      </c>
    </row>
    <row r="317" spans="1:22">
      <c r="A317" s="660"/>
      <c r="B317" s="63"/>
      <c r="C317" s="63"/>
      <c r="D317" s="659"/>
      <c r="E317" s="656"/>
      <c r="F317" s="357"/>
      <c r="G317" s="357"/>
      <c r="H317" s="357"/>
      <c r="I317" s="357"/>
      <c r="J317" s="390"/>
      <c r="K317" s="390"/>
      <c r="L317" s="357"/>
      <c r="M317" s="357"/>
      <c r="N317" s="357"/>
      <c r="O317" s="357"/>
      <c r="P317" s="357"/>
      <c r="Q317" s="390"/>
      <c r="R317" s="390"/>
      <c r="S317" s="657"/>
      <c r="T317" s="357"/>
      <c r="U317" s="657"/>
      <c r="V317" s="657">
        <f>+U317-'ROR-Model'!G317</f>
        <v>0</v>
      </c>
    </row>
    <row r="318" spans="1:22">
      <c r="A318" s="660"/>
      <c r="B318" s="63"/>
      <c r="C318" s="63" t="s">
        <v>19</v>
      </c>
      <c r="D318" s="659"/>
      <c r="E318" s="656"/>
      <c r="F318" s="357"/>
      <c r="G318" s="357"/>
      <c r="H318" s="357"/>
      <c r="I318" s="357"/>
      <c r="J318" s="390"/>
      <c r="K318" s="390"/>
      <c r="L318" s="357"/>
      <c r="M318" s="357"/>
      <c r="N318" s="357"/>
      <c r="O318" s="357"/>
      <c r="P318" s="357"/>
      <c r="Q318" s="390"/>
      <c r="R318" s="390"/>
      <c r="S318" s="657">
        <f>SUM(F318:R318)</f>
        <v>0</v>
      </c>
      <c r="T318" s="357"/>
      <c r="U318" s="657">
        <f>SUM(S318:S318)</f>
        <v>0</v>
      </c>
      <c r="V318" s="657">
        <f>+U318-'ROR-Model'!G318</f>
        <v>0</v>
      </c>
    </row>
    <row r="319" spans="1:22">
      <c r="A319" s="660"/>
      <c r="B319" s="63"/>
      <c r="C319" s="63"/>
      <c r="D319" s="659"/>
      <c r="E319" s="656"/>
      <c r="F319" s="357"/>
      <c r="G319" s="357"/>
      <c r="H319" s="357"/>
      <c r="I319" s="357"/>
      <c r="J319" s="390"/>
      <c r="K319" s="390"/>
      <c r="L319" s="357"/>
      <c r="M319" s="357"/>
      <c r="N319" s="357"/>
      <c r="O319" s="357"/>
      <c r="P319" s="357"/>
      <c r="Q319" s="390"/>
      <c r="R319" s="390"/>
      <c r="S319" s="657"/>
      <c r="T319" s="357"/>
      <c r="U319" s="657"/>
      <c r="V319" s="657"/>
    </row>
    <row r="320" spans="1:22">
      <c r="A320" s="744"/>
      <c r="B320" s="745" t="s">
        <v>676</v>
      </c>
      <c r="C320" s="745" t="s">
        <v>88</v>
      </c>
      <c r="D320" s="746"/>
      <c r="E320" s="747"/>
      <c r="F320" s="743">
        <v>0</v>
      </c>
      <c r="G320" s="743">
        <f>G1*Revenue!$I$319</f>
        <v>0</v>
      </c>
      <c r="H320" s="743">
        <v>0</v>
      </c>
      <c r="I320" s="743">
        <v>0</v>
      </c>
      <c r="J320" s="743">
        <v>0</v>
      </c>
      <c r="K320" s="743">
        <v>0</v>
      </c>
      <c r="L320" s="743">
        <v>0</v>
      </c>
      <c r="M320" s="743">
        <v>0</v>
      </c>
      <c r="N320" s="743">
        <v>0</v>
      </c>
      <c r="O320" s="743">
        <v>0</v>
      </c>
      <c r="P320" s="743">
        <v>0</v>
      </c>
      <c r="Q320" s="743">
        <v>0</v>
      </c>
      <c r="R320" s="743">
        <v>0</v>
      </c>
      <c r="S320" s="743">
        <f>SUM(F320:R320)</f>
        <v>0</v>
      </c>
      <c r="T320" s="743"/>
      <c r="U320" s="748">
        <f>SUM(S320:S320)</f>
        <v>0</v>
      </c>
      <c r="V320" s="748">
        <f>+U320-'ROR-Model'!G320</f>
        <v>0</v>
      </c>
    </row>
    <row r="321" spans="1:22" ht="13.5" thickBot="1">
      <c r="A321" s="744"/>
      <c r="B321" s="745" t="s">
        <v>107</v>
      </c>
      <c r="C321" s="745" t="s">
        <v>88</v>
      </c>
      <c r="D321" s="746"/>
      <c r="E321" s="747"/>
      <c r="F321" s="749">
        <v>0</v>
      </c>
      <c r="G321" s="749">
        <f>G1*'ENERGY EFFICIENCY SERVICES ADJ'!E13</f>
        <v>-165057.12000000002</v>
      </c>
      <c r="H321" s="749">
        <v>0</v>
      </c>
      <c r="I321" s="749">
        <v>0</v>
      </c>
      <c r="J321" s="749">
        <v>0</v>
      </c>
      <c r="K321" s="749">
        <v>0</v>
      </c>
      <c r="L321" s="749">
        <v>0</v>
      </c>
      <c r="M321" s="749">
        <v>0</v>
      </c>
      <c r="N321" s="749">
        <v>0</v>
      </c>
      <c r="O321" s="749">
        <v>0</v>
      </c>
      <c r="P321" s="749">
        <v>0</v>
      </c>
      <c r="Q321" s="749">
        <v>0</v>
      </c>
      <c r="R321" s="749">
        <v>0</v>
      </c>
      <c r="S321" s="749">
        <f>SUM(F321:R321)</f>
        <v>-165057.12000000002</v>
      </c>
      <c r="T321" s="749"/>
      <c r="U321" s="750">
        <f>SUM(S321:S321)</f>
        <v>-165057.12000000002</v>
      </c>
      <c r="V321" s="750">
        <f>+U321-'ROR-Model'!G321</f>
        <v>0</v>
      </c>
    </row>
    <row r="322" spans="1:22" ht="13.5" thickTop="1">
      <c r="A322" s="660"/>
      <c r="B322" s="365" t="s">
        <v>534</v>
      </c>
      <c r="C322" s="365"/>
      <c r="D322" s="659"/>
      <c r="E322" s="656"/>
      <c r="F322" s="357"/>
      <c r="G322" s="357"/>
      <c r="H322" s="357"/>
      <c r="I322" s="357"/>
      <c r="J322" s="357"/>
      <c r="K322" s="357"/>
      <c r="L322" s="357"/>
      <c r="M322" s="357"/>
      <c r="N322" s="357"/>
      <c r="O322" s="357"/>
      <c r="P322" s="357"/>
      <c r="Q322" s="357"/>
      <c r="R322" s="357"/>
      <c r="S322" s="657"/>
      <c r="T322" s="357"/>
      <c r="U322" s="657"/>
      <c r="V322" s="657">
        <f>+U322-'ROR-Model'!G322</f>
        <v>0</v>
      </c>
    </row>
    <row r="323" spans="1:22">
      <c r="A323" s="660"/>
      <c r="B323" s="63"/>
      <c r="C323" s="63" t="s">
        <v>15</v>
      </c>
      <c r="D323" s="659"/>
      <c r="E323" s="656"/>
      <c r="F323" s="390">
        <f>F1*(+F239+F248+F257+F266+F275+F320+F321)</f>
        <v>0</v>
      </c>
      <c r="G323" s="390">
        <f t="shared" ref="G323:Q323" si="50">G1*(+G239+G248+G257+G266+G275+G320+G321)</f>
        <v>-165057.12000000002</v>
      </c>
      <c r="H323" s="390">
        <f t="shared" si="50"/>
        <v>0</v>
      </c>
      <c r="I323" s="390">
        <f t="shared" si="50"/>
        <v>0</v>
      </c>
      <c r="J323" s="390">
        <f>J1*(+J239+J248+J257+J266+J275+J320+J321)</f>
        <v>0</v>
      </c>
      <c r="K323" s="390">
        <f>K1*(+K239+K248+K257+K266+K275+K320+K321)</f>
        <v>0</v>
      </c>
      <c r="L323" s="390">
        <f t="shared" si="50"/>
        <v>0</v>
      </c>
      <c r="M323" s="390">
        <f t="shared" si="50"/>
        <v>0</v>
      </c>
      <c r="N323" s="390">
        <f t="shared" si="50"/>
        <v>0</v>
      </c>
      <c r="O323" s="390">
        <f t="shared" si="50"/>
        <v>0</v>
      </c>
      <c r="P323" s="390">
        <f t="shared" si="50"/>
        <v>0</v>
      </c>
      <c r="Q323" s="390">
        <f t="shared" si="50"/>
        <v>0</v>
      </c>
      <c r="R323" s="390">
        <f>R1*(+R239+R248+R257+R266+R275+R320+R321)</f>
        <v>0</v>
      </c>
      <c r="S323" s="657">
        <f>+S239+S248+S257+S266+S275+S320+S321</f>
        <v>-165057.12000000002</v>
      </c>
      <c r="T323" s="390"/>
      <c r="U323" s="657">
        <f>+U239+U248+U257+U266+U275+U320+U321</f>
        <v>-165057.12000000002</v>
      </c>
      <c r="V323" s="657">
        <f>+U323-'ROR-Model'!G323</f>
        <v>0</v>
      </c>
    </row>
    <row r="324" spans="1:22">
      <c r="A324" s="660"/>
      <c r="B324" s="63"/>
      <c r="C324" s="63" t="s">
        <v>16</v>
      </c>
      <c r="D324" s="659"/>
      <c r="E324" s="656"/>
      <c r="F324" s="390">
        <f>F1*(+F277+F286)</f>
        <v>0</v>
      </c>
      <c r="G324" s="390">
        <f>G1*(+G277+G286)</f>
        <v>0</v>
      </c>
      <c r="H324" s="390">
        <f>H1*(+H277+H286)</f>
        <v>0</v>
      </c>
      <c r="I324" s="390">
        <f t="shared" ref="I324:Q324" si="51">I1*(+I277+I286)</f>
        <v>0</v>
      </c>
      <c r="J324" s="390">
        <f>J1*(+J277+J286)</f>
        <v>0</v>
      </c>
      <c r="K324" s="390">
        <f>K1*(+K277+K286)</f>
        <v>0</v>
      </c>
      <c r="L324" s="390">
        <f t="shared" si="51"/>
        <v>0</v>
      </c>
      <c r="M324" s="390">
        <f t="shared" si="51"/>
        <v>0</v>
      </c>
      <c r="N324" s="390">
        <f t="shared" si="51"/>
        <v>0</v>
      </c>
      <c r="O324" s="390">
        <f t="shared" si="51"/>
        <v>0</v>
      </c>
      <c r="P324" s="390">
        <f t="shared" si="51"/>
        <v>0</v>
      </c>
      <c r="Q324" s="390">
        <f t="shared" si="51"/>
        <v>0</v>
      </c>
      <c r="R324" s="390">
        <f>R1*(+R277+R286)</f>
        <v>0</v>
      </c>
      <c r="S324" s="657">
        <f>+S277+S286</f>
        <v>0</v>
      </c>
      <c r="T324" s="390"/>
      <c r="U324" s="657">
        <f>+U277+U286</f>
        <v>0</v>
      </c>
      <c r="V324" s="657">
        <f>+U324-'ROR-Model'!G324</f>
        <v>0</v>
      </c>
    </row>
    <row r="325" spans="1:22">
      <c r="A325" s="660"/>
      <c r="B325" s="63"/>
      <c r="C325" s="365" t="s">
        <v>537</v>
      </c>
      <c r="D325" s="659"/>
      <c r="E325" s="656"/>
      <c r="F325" s="390">
        <f>F1*(+F284+F293+F302+F311)</f>
        <v>0</v>
      </c>
      <c r="G325" s="390">
        <f>G1*(+G284+G293+G302+G311)</f>
        <v>0</v>
      </c>
      <c r="H325" s="390">
        <f>H1*(+H284+H293+H302+H311)</f>
        <v>0</v>
      </c>
      <c r="I325" s="390">
        <f t="shared" ref="I325:Q325" si="52">I1*(+I284+I293+I302+I311)</f>
        <v>0</v>
      </c>
      <c r="J325" s="390">
        <f>J1*(+J284+J293+J302+J311)</f>
        <v>0</v>
      </c>
      <c r="K325" s="390">
        <f>K1*(+K284+K293+K302+K311)</f>
        <v>0</v>
      </c>
      <c r="L325" s="390">
        <f t="shared" si="52"/>
        <v>0</v>
      </c>
      <c r="M325" s="390">
        <f t="shared" si="52"/>
        <v>0</v>
      </c>
      <c r="N325" s="390">
        <f t="shared" si="52"/>
        <v>0</v>
      </c>
      <c r="O325" s="390">
        <f t="shared" si="52"/>
        <v>0</v>
      </c>
      <c r="P325" s="390">
        <f t="shared" si="52"/>
        <v>0</v>
      </c>
      <c r="Q325" s="390">
        <f t="shared" si="52"/>
        <v>0</v>
      </c>
      <c r="R325" s="390">
        <f>R1*(+R284+R293+R302+R311)</f>
        <v>0</v>
      </c>
      <c r="S325" s="657">
        <f>+S284+S293+S302+S311</f>
        <v>0</v>
      </c>
      <c r="T325" s="390"/>
      <c r="U325" s="657">
        <f>+U284+U293+U302+U311</f>
        <v>0</v>
      </c>
      <c r="V325" s="657">
        <f>+U325-'ROR-Model'!G325</f>
        <v>0</v>
      </c>
    </row>
    <row r="326" spans="1:22">
      <c r="A326" s="660"/>
      <c r="B326" s="63"/>
      <c r="C326" s="63" t="s">
        <v>17</v>
      </c>
      <c r="D326" s="659"/>
      <c r="E326" s="656"/>
      <c r="F326" s="390">
        <f>F1*(+F243+F252+F261+F270+F279+F288+F297+F306+F315)</f>
        <v>0</v>
      </c>
      <c r="G326" s="390">
        <f>G1*(+G243+G252+G261+G270+G279+G288+G297+G306+G315)</f>
        <v>0</v>
      </c>
      <c r="H326" s="390">
        <f>H1*(+H243+H252+H261+H270+H279+H288+H297+H306+H315)</f>
        <v>0</v>
      </c>
      <c r="I326" s="390">
        <f t="shared" ref="I326:Q326" si="53">I1*(+I243+I252+I261+I270+I279+I288+I297+I306+I315)</f>
        <v>0</v>
      </c>
      <c r="J326" s="390">
        <f>J1*(+J243+J252+J261+J270+J279+J288+J297+J306+J315)</f>
        <v>0</v>
      </c>
      <c r="K326" s="390">
        <f>K1*(+K243+K252+K261+K270+K279+K288+K297+K306+K315)</f>
        <v>0</v>
      </c>
      <c r="L326" s="390">
        <f t="shared" si="53"/>
        <v>0</v>
      </c>
      <c r="M326" s="390">
        <f t="shared" si="53"/>
        <v>0</v>
      </c>
      <c r="N326" s="390">
        <f t="shared" si="53"/>
        <v>0</v>
      </c>
      <c r="O326" s="390">
        <f t="shared" si="53"/>
        <v>0</v>
      </c>
      <c r="P326" s="390">
        <f t="shared" si="53"/>
        <v>0</v>
      </c>
      <c r="Q326" s="390">
        <f t="shared" si="53"/>
        <v>0</v>
      </c>
      <c r="R326" s="390">
        <f>R1*(+R243+R252+R261+R270+R279+R288+R297+R306+R315)</f>
        <v>0</v>
      </c>
      <c r="S326" s="657">
        <f>+S243+S252+S261+S270+S279+S288+S297+S306+S315</f>
        <v>0</v>
      </c>
      <c r="T326" s="390"/>
      <c r="U326" s="657">
        <f>+U243+U252+U261+U270+U279+U288+U297+U306+U315</f>
        <v>0</v>
      </c>
      <c r="V326" s="657">
        <f>+U326-'ROR-Model'!G326</f>
        <v>0</v>
      </c>
    </row>
    <row r="327" spans="1:22">
      <c r="A327" s="660"/>
      <c r="B327" s="63"/>
      <c r="C327" s="63" t="s">
        <v>27</v>
      </c>
      <c r="D327" s="659"/>
      <c r="E327" s="656"/>
      <c r="F327" s="907">
        <f t="shared" ref="F327" si="54">F1*+F244+F253+F262+F271+F280+F289+F298+F307+F316+F320+F321</f>
        <v>0</v>
      </c>
      <c r="G327" s="907">
        <f>G1*+G244+G253+G262+G271+G280+G289+G298+G307+G316+G320+G321</f>
        <v>-165057.12000000002</v>
      </c>
      <c r="H327" s="907">
        <f t="shared" ref="H327:Q327" si="55">H1*+H244+H253+H262+H271+H280+H289+H298+H307+H316+H320+H321</f>
        <v>0</v>
      </c>
      <c r="I327" s="907">
        <f t="shared" si="55"/>
        <v>0</v>
      </c>
      <c r="J327" s="907">
        <f>J1*+J244+J253+J262+J271+J280+J289+J298+J307+J316+J320+J321</f>
        <v>0</v>
      </c>
      <c r="K327" s="907">
        <f>K1*+K244+K253+K262+K271+K280+K289+K298+K307+K316+K320+K321</f>
        <v>0</v>
      </c>
      <c r="L327" s="907">
        <f t="shared" si="55"/>
        <v>0</v>
      </c>
      <c r="M327" s="907">
        <f t="shared" si="55"/>
        <v>0</v>
      </c>
      <c r="N327" s="907">
        <f t="shared" si="55"/>
        <v>0</v>
      </c>
      <c r="O327" s="907">
        <f t="shared" si="55"/>
        <v>0</v>
      </c>
      <c r="P327" s="907">
        <f t="shared" si="55"/>
        <v>0</v>
      </c>
      <c r="Q327" s="907">
        <f t="shared" si="55"/>
        <v>0</v>
      </c>
      <c r="R327" s="907">
        <f>R1*+R244+R253+R262+R271+R280+R289+R298+R307+R316+R320+R321</f>
        <v>0</v>
      </c>
      <c r="S327" s="907">
        <f>S1*+S244+S253+S262+S271+S280+S289+S298+S307+S316+S320+S321</f>
        <v>-165057.12000000002</v>
      </c>
      <c r="T327" s="585"/>
      <c r="U327" s="907">
        <f t="shared" ref="U327" si="56">U1*+U244+U253+U262+U271+U280+U289+U298+U307+U316+U320+U321</f>
        <v>-165057.12000000002</v>
      </c>
      <c r="V327" s="661">
        <f>+U327-'ROR-Model'!G327</f>
        <v>0</v>
      </c>
    </row>
    <row r="328" spans="1:22">
      <c r="A328" s="660"/>
      <c r="B328" s="63"/>
      <c r="C328" s="63"/>
      <c r="D328" s="659"/>
      <c r="E328" s="656"/>
      <c r="F328" s="585"/>
      <c r="G328" s="585"/>
      <c r="H328" s="585"/>
      <c r="I328" s="585"/>
      <c r="J328" s="585"/>
      <c r="K328" s="585"/>
      <c r="L328" s="585"/>
      <c r="M328" s="585"/>
      <c r="N328" s="585"/>
      <c r="O328" s="585"/>
      <c r="P328" s="585"/>
      <c r="Q328" s="585"/>
      <c r="R328" s="585"/>
      <c r="S328" s="661"/>
      <c r="T328" s="585"/>
      <c r="U328" s="661"/>
      <c r="V328" s="661">
        <f>+U328-'ROR-Model'!G328</f>
        <v>0</v>
      </c>
    </row>
    <row r="329" spans="1:22">
      <c r="A329" s="660"/>
      <c r="B329" s="63"/>
      <c r="C329" s="365" t="s">
        <v>57</v>
      </c>
      <c r="D329" s="659"/>
      <c r="E329" s="656"/>
      <c r="F329" s="390">
        <f>F1*(F246+F255+F264+F273+F282+F291)</f>
        <v>0</v>
      </c>
      <c r="G329" s="390">
        <f>G1*(G246+G255+G264+G273+G282+G291)</f>
        <v>0</v>
      </c>
      <c r="H329" s="390">
        <f>H1*(H246+H255+H264+H273+H282+H291)</f>
        <v>0</v>
      </c>
      <c r="I329" s="390">
        <f t="shared" ref="I329:Q329" si="57">I1*(I246+I255+I264+I273+I282+I291)</f>
        <v>0</v>
      </c>
      <c r="J329" s="390">
        <f>J1*(J246+J255+J264+J273+J282+J291)</f>
        <v>0</v>
      </c>
      <c r="K329" s="390">
        <f>K1*(K246+K255+K264+K273+K282+K291)</f>
        <v>0</v>
      </c>
      <c r="L329" s="390">
        <f t="shared" si="57"/>
        <v>0</v>
      </c>
      <c r="M329" s="390">
        <f t="shared" si="57"/>
        <v>0</v>
      </c>
      <c r="N329" s="390">
        <f t="shared" si="57"/>
        <v>0</v>
      </c>
      <c r="O329" s="390">
        <f t="shared" si="57"/>
        <v>0</v>
      </c>
      <c r="P329" s="390">
        <f t="shared" si="57"/>
        <v>0</v>
      </c>
      <c r="Q329" s="390">
        <f t="shared" si="57"/>
        <v>0</v>
      </c>
      <c r="R329" s="390">
        <f>R1*(R246+R255+R264+R273+R282+R291)</f>
        <v>0</v>
      </c>
      <c r="S329" s="657">
        <f>S246+S255+S264+S273+S282+S291</f>
        <v>0</v>
      </c>
      <c r="T329" s="390"/>
      <c r="U329" s="657">
        <f>U246+U255+U264+U273+U282+U291</f>
        <v>0</v>
      </c>
      <c r="V329" s="657">
        <f>+U329-'ROR-Model'!G329</f>
        <v>0</v>
      </c>
    </row>
    <row r="330" spans="1:22">
      <c r="A330" s="660"/>
      <c r="B330" s="63"/>
      <c r="C330" s="63" t="s">
        <v>58</v>
      </c>
      <c r="D330" s="659"/>
      <c r="E330" s="656"/>
      <c r="F330" s="390">
        <f>F1*(F309+F318+F300)</f>
        <v>0</v>
      </c>
      <c r="G330" s="390">
        <f>G1*(G309+G318+G300)</f>
        <v>0</v>
      </c>
      <c r="H330" s="390">
        <f>H1*(H309+H318+H300)</f>
        <v>0</v>
      </c>
      <c r="I330" s="390">
        <f t="shared" ref="I330:Q330" si="58">I1*(I309+I318+I300)</f>
        <v>0</v>
      </c>
      <c r="J330" s="390">
        <f>J1*(J309+J318+J300)</f>
        <v>0</v>
      </c>
      <c r="K330" s="390">
        <f>K1*(K309+K318+K300)</f>
        <v>0</v>
      </c>
      <c r="L330" s="390">
        <f t="shared" si="58"/>
        <v>0</v>
      </c>
      <c r="M330" s="390">
        <f t="shared" si="58"/>
        <v>0</v>
      </c>
      <c r="N330" s="390">
        <f t="shared" si="58"/>
        <v>0</v>
      </c>
      <c r="O330" s="390">
        <f t="shared" si="58"/>
        <v>0</v>
      </c>
      <c r="P330" s="390">
        <f t="shared" si="58"/>
        <v>0</v>
      </c>
      <c r="Q330" s="390">
        <f t="shared" si="58"/>
        <v>0</v>
      </c>
      <c r="R330" s="390">
        <f>R1*(R309+R318+R300)</f>
        <v>0</v>
      </c>
      <c r="S330" s="657">
        <f>S309+S318+S300</f>
        <v>0</v>
      </c>
      <c r="T330" s="390"/>
      <c r="U330" s="657">
        <f>U309+U318+U300</f>
        <v>0</v>
      </c>
      <c r="V330" s="657">
        <f>+U330-'ROR-Model'!G330</f>
        <v>0</v>
      </c>
    </row>
    <row r="331" spans="1:22">
      <c r="A331" s="660"/>
      <c r="B331" s="63"/>
      <c r="C331" s="63" t="s">
        <v>28</v>
      </c>
      <c r="D331" s="659"/>
      <c r="E331" s="656"/>
      <c r="F331" s="585">
        <f>F1*+F246+F255+F264+F273+F282+F291+F300+F309+F318</f>
        <v>0</v>
      </c>
      <c r="G331" s="585">
        <f>G1*+G246+G255+G264+G273+G282+G291+G300+G309+G318</f>
        <v>0</v>
      </c>
      <c r="H331" s="585">
        <f>H1*+H246+H255+H264+H273+H282+H291+H300+H309+H318</f>
        <v>0</v>
      </c>
      <c r="I331" s="585">
        <f t="shared" ref="I331:Q331" si="59">I1*+I246+I255+I264+I273+I282+I291+I300+I309+I318</f>
        <v>0</v>
      </c>
      <c r="J331" s="585">
        <f>J1*+J246+J255+J264+J273+J282+J291+J300+J309+J318</f>
        <v>0</v>
      </c>
      <c r="K331" s="585">
        <f>K1*+K246+K255+K264+K273+K282+K291+K300+K309+K318</f>
        <v>0</v>
      </c>
      <c r="L331" s="585">
        <f t="shared" si="59"/>
        <v>0</v>
      </c>
      <c r="M331" s="585">
        <f t="shared" si="59"/>
        <v>0</v>
      </c>
      <c r="N331" s="585">
        <f t="shared" si="59"/>
        <v>0</v>
      </c>
      <c r="O331" s="585">
        <f t="shared" si="59"/>
        <v>0</v>
      </c>
      <c r="P331" s="585">
        <f t="shared" si="59"/>
        <v>0</v>
      </c>
      <c r="Q331" s="585">
        <f t="shared" si="59"/>
        <v>0</v>
      </c>
      <c r="R331" s="585">
        <f>R1*+R246+R255+R264+R273+R282+R291+R300+R309+R318</f>
        <v>0</v>
      </c>
      <c r="S331" s="661">
        <f>+S246+S255+S264+S273+S282+S291+S300+S309+S318</f>
        <v>0</v>
      </c>
      <c r="T331" s="585"/>
      <c r="U331" s="661">
        <f>+U246+U255+U264+U273+U282+U291+U300+U309+U318</f>
        <v>0</v>
      </c>
      <c r="V331" s="661">
        <f>+U331-'ROR-Model'!G331</f>
        <v>0</v>
      </c>
    </row>
    <row r="332" spans="1:22">
      <c r="A332" s="660"/>
      <c r="B332" s="365"/>
      <c r="C332" s="365"/>
      <c r="D332" s="659"/>
      <c r="E332" s="656"/>
      <c r="F332" s="357"/>
      <c r="G332" s="357"/>
      <c r="H332" s="357"/>
      <c r="I332" s="357"/>
      <c r="J332" s="390"/>
      <c r="K332" s="390"/>
      <c r="L332" s="357"/>
      <c r="M332" s="357"/>
      <c r="N332" s="357"/>
      <c r="O332" s="357"/>
      <c r="P332" s="357"/>
      <c r="Q332" s="390"/>
      <c r="R332" s="390"/>
      <c r="S332" s="657"/>
      <c r="T332" s="357"/>
      <c r="U332" s="657"/>
      <c r="V332" s="657">
        <f>+U332-'ROR-Model'!G332</f>
        <v>0</v>
      </c>
    </row>
    <row r="333" spans="1:22">
      <c r="A333" s="189" t="s">
        <v>29</v>
      </c>
      <c r="B333" s="63"/>
      <c r="C333" s="63"/>
      <c r="D333" s="659"/>
      <c r="E333" s="656"/>
      <c r="F333" s="357"/>
      <c r="G333" s="357"/>
      <c r="H333" s="357"/>
      <c r="I333" s="357"/>
      <c r="J333" s="390"/>
      <c r="K333" s="390"/>
      <c r="L333" s="357"/>
      <c r="M333" s="357"/>
      <c r="N333" s="357"/>
      <c r="O333" s="357"/>
      <c r="P333" s="357"/>
      <c r="Q333" s="390"/>
      <c r="R333" s="390"/>
      <c r="S333" s="657"/>
      <c r="T333" s="357"/>
      <c r="U333" s="657"/>
      <c r="V333" s="657">
        <f>+U333-'ROR-Model'!G333</f>
        <v>0</v>
      </c>
    </row>
    <row r="334" spans="1:22">
      <c r="A334" s="660"/>
      <c r="B334" s="365" t="s">
        <v>81</v>
      </c>
      <c r="C334" s="365" t="s">
        <v>15</v>
      </c>
      <c r="D334" s="659"/>
      <c r="E334" s="656"/>
      <c r="F334" s="357"/>
      <c r="G334" s="357">
        <f>G1*Revenue!$I$333</f>
        <v>0</v>
      </c>
      <c r="H334" s="357"/>
      <c r="I334" s="357"/>
      <c r="J334" s="390"/>
      <c r="K334" s="390"/>
      <c r="L334" s="357"/>
      <c r="M334" s="357"/>
      <c r="N334" s="357"/>
      <c r="O334" s="357"/>
      <c r="P334" s="357"/>
      <c r="Q334" s="390"/>
      <c r="R334" s="390"/>
      <c r="S334" s="657">
        <f>SUM(F334:R334)</f>
        <v>0</v>
      </c>
      <c r="T334" s="357"/>
      <c r="U334" s="657">
        <f>SUM(S334:S334)</f>
        <v>0</v>
      </c>
      <c r="V334" s="657">
        <f>+U334-'ROR-Model'!G334</f>
        <v>0</v>
      </c>
    </row>
    <row r="335" spans="1:22">
      <c r="A335" s="660"/>
      <c r="B335" s="365"/>
      <c r="C335" s="365"/>
      <c r="D335" s="659"/>
      <c r="E335" s="656"/>
      <c r="F335" s="357"/>
      <c r="G335" s="357"/>
      <c r="H335" s="357"/>
      <c r="I335" s="357"/>
      <c r="J335" s="390"/>
      <c r="K335" s="390"/>
      <c r="L335" s="357"/>
      <c r="M335" s="357"/>
      <c r="N335" s="357"/>
      <c r="O335" s="357"/>
      <c r="P335" s="357"/>
      <c r="Q335" s="390"/>
      <c r="R335" s="390"/>
      <c r="S335" s="657"/>
      <c r="T335" s="357"/>
      <c r="U335" s="657"/>
      <c r="V335" s="657">
        <f>+U335-'ROR-Model'!G335</f>
        <v>0</v>
      </c>
    </row>
    <row r="336" spans="1:22">
      <c r="A336" s="660"/>
      <c r="B336" s="365"/>
      <c r="C336" s="365"/>
      <c r="D336" s="659"/>
      <c r="E336" s="656"/>
      <c r="F336" s="357"/>
      <c r="G336" s="357"/>
      <c r="H336" s="357"/>
      <c r="I336" s="357"/>
      <c r="J336" s="390"/>
      <c r="K336" s="390"/>
      <c r="L336" s="357"/>
      <c r="M336" s="357"/>
      <c r="N336" s="357"/>
      <c r="O336" s="357"/>
      <c r="P336" s="357"/>
      <c r="Q336" s="390"/>
      <c r="R336" s="390"/>
      <c r="S336" s="657">
        <f>SUM(F336:R336)</f>
        <v>0</v>
      </c>
      <c r="T336" s="357"/>
      <c r="U336" s="657">
        <f>SUM(S336:S336)</f>
        <v>0</v>
      </c>
      <c r="V336" s="657">
        <f>+U336-'ROR-Model'!G336</f>
        <v>0</v>
      </c>
    </row>
    <row r="337" spans="1:22">
      <c r="A337" s="660"/>
      <c r="B337" s="365"/>
      <c r="C337" s="365"/>
      <c r="D337" s="659"/>
      <c r="E337" s="656"/>
      <c r="F337" s="357"/>
      <c r="G337" s="357"/>
      <c r="H337" s="357"/>
      <c r="I337" s="357"/>
      <c r="J337" s="390"/>
      <c r="K337" s="390"/>
      <c r="L337" s="357"/>
      <c r="M337" s="357"/>
      <c r="N337" s="357"/>
      <c r="O337" s="357"/>
      <c r="P337" s="357"/>
      <c r="Q337" s="390"/>
      <c r="R337" s="390"/>
      <c r="S337" s="657"/>
      <c r="T337" s="357"/>
      <c r="U337" s="657"/>
      <c r="V337" s="657">
        <f>+U337-'ROR-Model'!G337</f>
        <v>0</v>
      </c>
    </row>
    <row r="338" spans="1:22">
      <c r="A338" s="660"/>
      <c r="B338" s="365"/>
      <c r="C338" s="365" t="s">
        <v>17</v>
      </c>
      <c r="D338" s="659"/>
      <c r="E338" s="656"/>
      <c r="F338" s="357"/>
      <c r="G338" s="357">
        <f>G1*Revenue!$I$337</f>
        <v>0</v>
      </c>
      <c r="H338" s="357"/>
      <c r="I338" s="357"/>
      <c r="J338" s="390"/>
      <c r="K338" s="390"/>
      <c r="L338" s="357"/>
      <c r="M338" s="357"/>
      <c r="N338" s="357"/>
      <c r="O338" s="357"/>
      <c r="P338" s="357"/>
      <c r="Q338" s="390"/>
      <c r="R338" s="390"/>
      <c r="S338" s="657">
        <f>SUM(F338:R338)</f>
        <v>0</v>
      </c>
      <c r="T338" s="357"/>
      <c r="U338" s="657">
        <f>SUM(S338:S338)</f>
        <v>0</v>
      </c>
      <c r="V338" s="657">
        <f>+U338-'ROR-Model'!G338</f>
        <v>0</v>
      </c>
    </row>
    <row r="339" spans="1:22">
      <c r="A339" s="660"/>
      <c r="B339" s="365"/>
      <c r="C339" s="365" t="s">
        <v>18</v>
      </c>
      <c r="D339" s="659"/>
      <c r="E339" s="656"/>
      <c r="F339" s="388">
        <f>SUM(F334:F338)</f>
        <v>0</v>
      </c>
      <c r="G339" s="388">
        <f>G1*SUM(G334:G338)</f>
        <v>0</v>
      </c>
      <c r="H339" s="388">
        <f>SUM(H334:H338)</f>
        <v>0</v>
      </c>
      <c r="I339" s="388">
        <f t="shared" ref="I339:P339" si="60">SUM(I334:I338)</f>
        <v>0</v>
      </c>
      <c r="J339" s="585">
        <f>SUM(J334:J338)</f>
        <v>0</v>
      </c>
      <c r="K339" s="585">
        <f>SUM(K334:K338)</f>
        <v>0</v>
      </c>
      <c r="L339" s="388">
        <f t="shared" si="60"/>
        <v>0</v>
      </c>
      <c r="M339" s="388">
        <f t="shared" si="60"/>
        <v>0</v>
      </c>
      <c r="N339" s="388">
        <f t="shared" si="60"/>
        <v>0</v>
      </c>
      <c r="O339" s="388">
        <f t="shared" si="60"/>
        <v>0</v>
      </c>
      <c r="P339" s="388">
        <f t="shared" si="60"/>
        <v>0</v>
      </c>
      <c r="Q339" s="585">
        <f>SUM(Q334:Q338)</f>
        <v>0</v>
      </c>
      <c r="R339" s="585">
        <f>SUM(R334:R338)</f>
        <v>0</v>
      </c>
      <c r="S339" s="661">
        <f>SUM(S334:S338)</f>
        <v>0</v>
      </c>
      <c r="T339" s="388"/>
      <c r="U339" s="661">
        <f>SUM(U334:U338)</f>
        <v>0</v>
      </c>
      <c r="V339" s="661">
        <f>+U339-'ROR-Model'!G339</f>
        <v>0</v>
      </c>
    </row>
    <row r="340" spans="1:22">
      <c r="A340" s="660"/>
      <c r="B340" s="365"/>
      <c r="C340" s="365"/>
      <c r="D340" s="659"/>
      <c r="E340" s="656"/>
      <c r="F340" s="357"/>
      <c r="G340" s="357"/>
      <c r="H340" s="357"/>
      <c r="I340" s="357"/>
      <c r="J340" s="390"/>
      <c r="K340" s="390"/>
      <c r="L340" s="357"/>
      <c r="M340" s="357"/>
      <c r="N340" s="357"/>
      <c r="O340" s="357"/>
      <c r="P340" s="357"/>
      <c r="Q340" s="390"/>
      <c r="R340" s="390"/>
      <c r="S340" s="657"/>
      <c r="T340" s="357"/>
      <c r="U340" s="657"/>
      <c r="V340" s="657">
        <f>+U340-'ROR-Model'!G340</f>
        <v>0</v>
      </c>
    </row>
    <row r="341" spans="1:22">
      <c r="A341" s="660"/>
      <c r="B341" s="365"/>
      <c r="C341" s="365" t="s">
        <v>19</v>
      </c>
      <c r="D341" s="659"/>
      <c r="E341" s="656"/>
      <c r="F341" s="357"/>
      <c r="G341" s="357">
        <f>G1*Revenue!$I$340</f>
        <v>0</v>
      </c>
      <c r="H341" s="357"/>
      <c r="I341" s="357"/>
      <c r="J341" s="390"/>
      <c r="K341" s="390"/>
      <c r="L341" s="357"/>
      <c r="M341" s="357"/>
      <c r="N341" s="357"/>
      <c r="O341" s="357"/>
      <c r="P341" s="357"/>
      <c r="Q341" s="390"/>
      <c r="R341" s="390"/>
      <c r="S341" s="657">
        <f>SUM(F341:R341)</f>
        <v>0</v>
      </c>
      <c r="T341" s="357"/>
      <c r="U341" s="657">
        <f>SUM(S341:S341)</f>
        <v>0</v>
      </c>
      <c r="V341" s="657">
        <f>+U341-'ROR-Model'!G341</f>
        <v>0</v>
      </c>
    </row>
    <row r="342" spans="1:22">
      <c r="A342" s="660"/>
      <c r="B342" s="63"/>
      <c r="C342" s="63"/>
      <c r="D342" s="659"/>
      <c r="E342" s="656"/>
      <c r="F342" s="357"/>
      <c r="G342" s="357"/>
      <c r="H342" s="357"/>
      <c r="I342" s="357"/>
      <c r="J342" s="390"/>
      <c r="K342" s="390"/>
      <c r="L342" s="357"/>
      <c r="M342" s="357"/>
      <c r="N342" s="357"/>
      <c r="O342" s="357"/>
      <c r="P342" s="357"/>
      <c r="Q342" s="390"/>
      <c r="R342" s="390"/>
      <c r="S342" s="657"/>
      <c r="T342" s="357"/>
      <c r="U342" s="657"/>
      <c r="V342" s="657">
        <f>+U342-'ROR-Model'!G342</f>
        <v>0</v>
      </c>
    </row>
    <row r="343" spans="1:22">
      <c r="A343" s="660"/>
      <c r="B343" s="365" t="s">
        <v>25</v>
      </c>
      <c r="C343" s="365" t="s">
        <v>15</v>
      </c>
      <c r="D343" s="659"/>
      <c r="E343" s="656"/>
      <c r="F343" s="357"/>
      <c r="G343" s="357">
        <f>G1*Revenue!$I$342</f>
        <v>0</v>
      </c>
      <c r="H343" s="357"/>
      <c r="I343" s="357"/>
      <c r="J343" s="390"/>
      <c r="K343" s="390"/>
      <c r="L343" s="357"/>
      <c r="M343" s="357"/>
      <c r="N343" s="357"/>
      <c r="O343" s="357"/>
      <c r="P343" s="357"/>
      <c r="Q343" s="390"/>
      <c r="R343" s="390"/>
      <c r="S343" s="657">
        <f>SUM(F343:R343)</f>
        <v>0</v>
      </c>
      <c r="T343" s="357"/>
      <c r="U343" s="657">
        <f>SUM(S343:S343)</f>
        <v>0</v>
      </c>
      <c r="V343" s="657">
        <f>+U343-'ROR-Model'!G343</f>
        <v>0</v>
      </c>
    </row>
    <row r="344" spans="1:22">
      <c r="A344" s="660"/>
      <c r="B344" s="365"/>
      <c r="C344" s="365"/>
      <c r="D344" s="659"/>
      <c r="E344" s="656"/>
      <c r="F344" s="357"/>
      <c r="G344" s="357"/>
      <c r="H344" s="357"/>
      <c r="I344" s="357"/>
      <c r="J344" s="390"/>
      <c r="K344" s="390"/>
      <c r="L344" s="357"/>
      <c r="M344" s="357"/>
      <c r="N344" s="357"/>
      <c r="O344" s="357"/>
      <c r="P344" s="357"/>
      <c r="Q344" s="390"/>
      <c r="R344" s="390"/>
      <c r="S344" s="657"/>
      <c r="T344" s="357"/>
      <c r="U344" s="657"/>
      <c r="V344" s="657">
        <f>+U344-'ROR-Model'!G344</f>
        <v>0</v>
      </c>
    </row>
    <row r="345" spans="1:22">
      <c r="A345" s="660"/>
      <c r="B345" s="365"/>
      <c r="C345" s="365"/>
      <c r="D345" s="659"/>
      <c r="E345" s="656"/>
      <c r="F345" s="357"/>
      <c r="G345" s="357"/>
      <c r="H345" s="357"/>
      <c r="I345" s="357"/>
      <c r="J345" s="390"/>
      <c r="K345" s="390"/>
      <c r="L345" s="357"/>
      <c r="M345" s="357"/>
      <c r="N345" s="357"/>
      <c r="O345" s="357"/>
      <c r="P345" s="357"/>
      <c r="Q345" s="390"/>
      <c r="R345" s="390"/>
      <c r="S345" s="657">
        <f>SUM(F345:R345)</f>
        <v>0</v>
      </c>
      <c r="T345" s="357"/>
      <c r="U345" s="657">
        <f>SUM(S345:S345)</f>
        <v>0</v>
      </c>
      <c r="V345" s="657">
        <f>+U345-'ROR-Model'!G345</f>
        <v>0</v>
      </c>
    </row>
    <row r="346" spans="1:22">
      <c r="A346" s="660"/>
      <c r="B346" s="365"/>
      <c r="C346" s="365"/>
      <c r="D346" s="659"/>
      <c r="E346" s="656"/>
      <c r="F346" s="357"/>
      <c r="G346" s="357"/>
      <c r="H346" s="357"/>
      <c r="I346" s="357"/>
      <c r="J346" s="390"/>
      <c r="K346" s="390"/>
      <c r="L346" s="357"/>
      <c r="M346" s="357"/>
      <c r="N346" s="357"/>
      <c r="O346" s="357"/>
      <c r="P346" s="357"/>
      <c r="Q346" s="390"/>
      <c r="R346" s="390"/>
      <c r="S346" s="657"/>
      <c r="T346" s="357"/>
      <c r="U346" s="657"/>
      <c r="V346" s="657">
        <f>+U346-'ROR-Model'!G346</f>
        <v>0</v>
      </c>
    </row>
    <row r="347" spans="1:22">
      <c r="A347" s="660"/>
      <c r="B347" s="365"/>
      <c r="C347" s="365" t="s">
        <v>17</v>
      </c>
      <c r="D347" s="659"/>
      <c r="E347" s="656"/>
      <c r="F347" s="357"/>
      <c r="G347" s="357">
        <f>G1*Revenue!$I$346</f>
        <v>0</v>
      </c>
      <c r="H347" s="357"/>
      <c r="I347" s="357"/>
      <c r="J347" s="390"/>
      <c r="K347" s="390"/>
      <c r="L347" s="357"/>
      <c r="M347" s="357"/>
      <c r="N347" s="357"/>
      <c r="O347" s="357"/>
      <c r="P347" s="357"/>
      <c r="Q347" s="390"/>
      <c r="R347" s="390"/>
      <c r="S347" s="657">
        <f>SUM(F347:R347)</f>
        <v>0</v>
      </c>
      <c r="T347" s="357"/>
      <c r="U347" s="657">
        <f>SUM(S347:S347)</f>
        <v>0</v>
      </c>
      <c r="V347" s="657">
        <f>+U347-'ROR-Model'!G347</f>
        <v>0</v>
      </c>
    </row>
    <row r="348" spans="1:22">
      <c r="A348" s="660"/>
      <c r="B348" s="365"/>
      <c r="C348" s="365" t="s">
        <v>18</v>
      </c>
      <c r="D348" s="659"/>
      <c r="E348" s="656"/>
      <c r="F348" s="388">
        <f>SUM(F343:F347)</f>
        <v>0</v>
      </c>
      <c r="G348" s="388">
        <f>G1*SUM(G343:G347)</f>
        <v>0</v>
      </c>
      <c r="H348" s="388">
        <f>SUM(H343:H347)</f>
        <v>0</v>
      </c>
      <c r="I348" s="388">
        <f t="shared" ref="I348:P348" si="61">SUM(I343:I347)</f>
        <v>0</v>
      </c>
      <c r="J348" s="585">
        <f>SUM(J343:J347)</f>
        <v>0</v>
      </c>
      <c r="K348" s="585">
        <f>SUM(K343:K347)</f>
        <v>0</v>
      </c>
      <c r="L348" s="388">
        <f t="shared" si="61"/>
        <v>0</v>
      </c>
      <c r="M348" s="388">
        <f t="shared" si="61"/>
        <v>0</v>
      </c>
      <c r="N348" s="388">
        <f t="shared" si="61"/>
        <v>0</v>
      </c>
      <c r="O348" s="388">
        <f t="shared" si="61"/>
        <v>0</v>
      </c>
      <c r="P348" s="388">
        <f t="shared" si="61"/>
        <v>0</v>
      </c>
      <c r="Q348" s="585">
        <f>SUM(Q343:Q347)</f>
        <v>0</v>
      </c>
      <c r="R348" s="585">
        <f>SUM(R343:R347)</f>
        <v>0</v>
      </c>
      <c r="S348" s="661">
        <f>SUM(S343:S347)</f>
        <v>0</v>
      </c>
      <c r="T348" s="388"/>
      <c r="U348" s="661">
        <f>SUM(U343:U347)</f>
        <v>0</v>
      </c>
      <c r="V348" s="661">
        <f>+U348-'ROR-Model'!G348</f>
        <v>0</v>
      </c>
    </row>
    <row r="349" spans="1:22">
      <c r="A349" s="660"/>
      <c r="B349" s="365"/>
      <c r="C349" s="365"/>
      <c r="D349" s="659"/>
      <c r="E349" s="656"/>
      <c r="F349" s="357"/>
      <c r="G349" s="357"/>
      <c r="H349" s="357"/>
      <c r="I349" s="357"/>
      <c r="J349" s="390"/>
      <c r="K349" s="390"/>
      <c r="L349" s="357"/>
      <c r="M349" s="357"/>
      <c r="N349" s="357"/>
      <c r="O349" s="357"/>
      <c r="P349" s="357"/>
      <c r="Q349" s="390"/>
      <c r="R349" s="390"/>
      <c r="S349" s="657"/>
      <c r="T349" s="357"/>
      <c r="U349" s="657"/>
      <c r="V349" s="657"/>
    </row>
    <row r="350" spans="1:22">
      <c r="A350" s="660"/>
      <c r="B350" s="365"/>
      <c r="C350" s="365" t="s">
        <v>19</v>
      </c>
      <c r="D350" s="659"/>
      <c r="E350" s="656"/>
      <c r="F350" s="357"/>
      <c r="G350" s="357">
        <f>G1*Revenue!$I$349</f>
        <v>0</v>
      </c>
      <c r="H350" s="357"/>
      <c r="I350" s="357"/>
      <c r="J350" s="390"/>
      <c r="K350" s="390"/>
      <c r="L350" s="357"/>
      <c r="M350" s="357"/>
      <c r="N350" s="357"/>
      <c r="O350" s="357"/>
      <c r="P350" s="357"/>
      <c r="Q350" s="390"/>
      <c r="R350" s="390"/>
      <c r="S350" s="657">
        <f>SUM(F350:R350)</f>
        <v>0</v>
      </c>
      <c r="T350" s="357"/>
      <c r="U350" s="657">
        <f>SUM(S350:S350)</f>
        <v>0</v>
      </c>
      <c r="V350" s="657">
        <f>+U350-'ROR-Model'!G350</f>
        <v>0</v>
      </c>
    </row>
    <row r="351" spans="1:22" ht="13.5" thickBot="1">
      <c r="A351" s="660"/>
      <c r="B351" s="63"/>
      <c r="C351" s="63"/>
      <c r="D351" s="659"/>
      <c r="E351" s="656"/>
      <c r="F351" s="579"/>
      <c r="G351" s="579"/>
      <c r="H351" s="579"/>
      <c r="I351" s="579"/>
      <c r="J351" s="586"/>
      <c r="K351" s="586"/>
      <c r="L351" s="579"/>
      <c r="M351" s="579"/>
      <c r="N351" s="579"/>
      <c r="O351" s="579"/>
      <c r="P351" s="579"/>
      <c r="Q351" s="586"/>
      <c r="R351" s="586"/>
      <c r="S351" s="663"/>
      <c r="T351" s="579"/>
      <c r="U351" s="663"/>
      <c r="V351" s="663">
        <f>+U351-'ROR-Model'!G351</f>
        <v>0</v>
      </c>
    </row>
    <row r="352" spans="1:22" ht="13.5" thickTop="1">
      <c r="A352" s="660"/>
      <c r="B352" s="63" t="s">
        <v>536</v>
      </c>
      <c r="C352" s="365"/>
      <c r="D352" s="659"/>
      <c r="E352" s="656"/>
      <c r="F352" s="357"/>
      <c r="G352" s="357"/>
      <c r="H352" s="357"/>
      <c r="I352" s="357"/>
      <c r="J352" s="390"/>
      <c r="K352" s="390"/>
      <c r="L352" s="357"/>
      <c r="M352" s="357"/>
      <c r="N352" s="357"/>
      <c r="O352" s="357"/>
      <c r="P352" s="357"/>
      <c r="Q352" s="390"/>
      <c r="R352" s="390"/>
      <c r="S352" s="657"/>
      <c r="T352" s="357"/>
      <c r="U352" s="657"/>
      <c r="V352" s="657">
        <f>+U352-'ROR-Model'!G352</f>
        <v>0</v>
      </c>
    </row>
    <row r="353" spans="1:22">
      <c r="A353" s="660"/>
      <c r="B353" s="63"/>
      <c r="C353" s="365" t="s">
        <v>15</v>
      </c>
      <c r="D353" s="659"/>
      <c r="E353" s="656"/>
      <c r="F353" s="390">
        <f>+F334+F343</f>
        <v>0</v>
      </c>
      <c r="G353" s="390">
        <f>G1*+G334+G343</f>
        <v>0</v>
      </c>
      <c r="H353" s="390">
        <f>+H334+H343</f>
        <v>0</v>
      </c>
      <c r="I353" s="390">
        <f t="shared" ref="I353:Q353" si="62">+I334+I343</f>
        <v>0</v>
      </c>
      <c r="J353" s="390">
        <f>+J334+J343</f>
        <v>0</v>
      </c>
      <c r="K353" s="390">
        <f>+K334+K343</f>
        <v>0</v>
      </c>
      <c r="L353" s="390">
        <f t="shared" si="62"/>
        <v>0</v>
      </c>
      <c r="M353" s="390">
        <f t="shared" si="62"/>
        <v>0</v>
      </c>
      <c r="N353" s="390">
        <f t="shared" si="62"/>
        <v>0</v>
      </c>
      <c r="O353" s="390">
        <f t="shared" si="62"/>
        <v>0</v>
      </c>
      <c r="P353" s="390">
        <f t="shared" si="62"/>
        <v>0</v>
      </c>
      <c r="Q353" s="390">
        <f t="shared" si="62"/>
        <v>0</v>
      </c>
      <c r="R353" s="390">
        <f>+R334+R343</f>
        <v>0</v>
      </c>
      <c r="S353" s="657">
        <f>+S334+S343</f>
        <v>0</v>
      </c>
      <c r="T353" s="390"/>
      <c r="U353" s="657">
        <f>+U334+U343</f>
        <v>0</v>
      </c>
      <c r="V353" s="657">
        <f>+U353-'ROR-Model'!G353</f>
        <v>0</v>
      </c>
    </row>
    <row r="354" spans="1:22">
      <c r="A354" s="660"/>
      <c r="B354" s="63"/>
      <c r="C354" s="365" t="s">
        <v>17</v>
      </c>
      <c r="D354" s="659"/>
      <c r="E354" s="656"/>
      <c r="F354" s="390">
        <f>+F337+F346</f>
        <v>0</v>
      </c>
      <c r="G354" s="390">
        <f>G1*+G337+G346</f>
        <v>0</v>
      </c>
      <c r="H354" s="390">
        <f>+H337+H346</f>
        <v>0</v>
      </c>
      <c r="I354" s="390">
        <f t="shared" ref="I354:Q354" si="63">+I337+I346</f>
        <v>0</v>
      </c>
      <c r="J354" s="390">
        <f>+J337+J346</f>
        <v>0</v>
      </c>
      <c r="K354" s="390">
        <f>+K337+K346</f>
        <v>0</v>
      </c>
      <c r="L354" s="390">
        <f t="shared" si="63"/>
        <v>0</v>
      </c>
      <c r="M354" s="390">
        <f t="shared" si="63"/>
        <v>0</v>
      </c>
      <c r="N354" s="390">
        <f t="shared" si="63"/>
        <v>0</v>
      </c>
      <c r="O354" s="390">
        <f t="shared" si="63"/>
        <v>0</v>
      </c>
      <c r="P354" s="390">
        <f t="shared" si="63"/>
        <v>0</v>
      </c>
      <c r="Q354" s="390">
        <f t="shared" si="63"/>
        <v>0</v>
      </c>
      <c r="R354" s="390">
        <f>+R337+R346</f>
        <v>0</v>
      </c>
      <c r="S354" s="657">
        <f>+S337+S346</f>
        <v>0</v>
      </c>
      <c r="T354" s="390"/>
      <c r="U354" s="657">
        <f>+U337+U346</f>
        <v>0</v>
      </c>
      <c r="V354" s="657">
        <f>+U354-'ROR-Model'!G354</f>
        <v>0</v>
      </c>
    </row>
    <row r="355" spans="1:22">
      <c r="A355" s="660"/>
      <c r="B355" s="63"/>
      <c r="C355" s="63" t="s">
        <v>30</v>
      </c>
      <c r="D355" s="659"/>
      <c r="E355" s="656"/>
      <c r="F355" s="390">
        <f>F339+F348</f>
        <v>0</v>
      </c>
      <c r="G355" s="390">
        <f>G1*G339+G348</f>
        <v>0</v>
      </c>
      <c r="H355" s="390">
        <f>H339+H348</f>
        <v>0</v>
      </c>
      <c r="I355" s="390">
        <f t="shared" ref="I355:Q355" si="64">I339+I348</f>
        <v>0</v>
      </c>
      <c r="J355" s="390">
        <f>J339+J348</f>
        <v>0</v>
      </c>
      <c r="K355" s="390">
        <f>K339+K348</f>
        <v>0</v>
      </c>
      <c r="L355" s="390">
        <f t="shared" si="64"/>
        <v>0</v>
      </c>
      <c r="M355" s="390">
        <f t="shared" si="64"/>
        <v>0</v>
      </c>
      <c r="N355" s="390">
        <f t="shared" si="64"/>
        <v>0</v>
      </c>
      <c r="O355" s="390">
        <f t="shared" si="64"/>
        <v>0</v>
      </c>
      <c r="P355" s="390">
        <f t="shared" si="64"/>
        <v>0</v>
      </c>
      <c r="Q355" s="390">
        <f t="shared" si="64"/>
        <v>0</v>
      </c>
      <c r="R355" s="390">
        <f>R339+R348</f>
        <v>0</v>
      </c>
      <c r="S355" s="657">
        <f>S339+S348</f>
        <v>0</v>
      </c>
      <c r="T355" s="390"/>
      <c r="U355" s="657">
        <f>U339+U348</f>
        <v>0</v>
      </c>
      <c r="V355" s="657">
        <f>+U355-'ROR-Model'!G355</f>
        <v>0</v>
      </c>
    </row>
    <row r="356" spans="1:22">
      <c r="A356" s="660"/>
      <c r="B356" s="63"/>
      <c r="C356" s="63"/>
      <c r="D356" s="659"/>
      <c r="E356" s="656"/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/>
      <c r="R356" s="390"/>
      <c r="S356" s="657"/>
      <c r="T356" s="390"/>
      <c r="U356" s="657"/>
      <c r="V356" s="657">
        <f>+U356-'ROR-Model'!G356</f>
        <v>0</v>
      </c>
    </row>
    <row r="357" spans="1:22">
      <c r="A357" s="660"/>
      <c r="B357" s="365"/>
      <c r="C357" s="63" t="s">
        <v>57</v>
      </c>
      <c r="D357" s="659"/>
      <c r="E357" s="656"/>
      <c r="F357" s="390">
        <f>F341</f>
        <v>0</v>
      </c>
      <c r="G357" s="390">
        <f>G1*G341</f>
        <v>0</v>
      </c>
      <c r="H357" s="390">
        <f>H341</f>
        <v>0</v>
      </c>
      <c r="I357" s="390">
        <f t="shared" ref="I357:Q357" si="65">I341</f>
        <v>0</v>
      </c>
      <c r="J357" s="390">
        <f>J341</f>
        <v>0</v>
      </c>
      <c r="K357" s="390">
        <f>K341</f>
        <v>0</v>
      </c>
      <c r="L357" s="390">
        <f t="shared" si="65"/>
        <v>0</v>
      </c>
      <c r="M357" s="390">
        <f t="shared" si="65"/>
        <v>0</v>
      </c>
      <c r="N357" s="390">
        <f t="shared" si="65"/>
        <v>0</v>
      </c>
      <c r="O357" s="390">
        <f t="shared" si="65"/>
        <v>0</v>
      </c>
      <c r="P357" s="390">
        <f t="shared" si="65"/>
        <v>0</v>
      </c>
      <c r="Q357" s="390">
        <f t="shared" si="65"/>
        <v>0</v>
      </c>
      <c r="R357" s="390">
        <f>R341</f>
        <v>0</v>
      </c>
      <c r="S357" s="657">
        <f>S341</f>
        <v>0</v>
      </c>
      <c r="T357" s="390"/>
      <c r="U357" s="657">
        <f>U341</f>
        <v>0</v>
      </c>
      <c r="V357" s="657">
        <f>+U357-'ROR-Model'!G357</f>
        <v>0</v>
      </c>
    </row>
    <row r="358" spans="1:22">
      <c r="A358" s="660"/>
      <c r="B358" s="365"/>
      <c r="C358" s="365" t="s">
        <v>58</v>
      </c>
      <c r="D358" s="659"/>
      <c r="E358" s="656"/>
      <c r="F358" s="390">
        <f>F350</f>
        <v>0</v>
      </c>
      <c r="G358" s="390">
        <f>G1*G350</f>
        <v>0</v>
      </c>
      <c r="H358" s="390">
        <f>H350</f>
        <v>0</v>
      </c>
      <c r="I358" s="390">
        <f t="shared" ref="I358:Q358" si="66">I350</f>
        <v>0</v>
      </c>
      <c r="J358" s="390">
        <f>J350</f>
        <v>0</v>
      </c>
      <c r="K358" s="390">
        <f>K350</f>
        <v>0</v>
      </c>
      <c r="L358" s="390">
        <f t="shared" si="66"/>
        <v>0</v>
      </c>
      <c r="M358" s="390">
        <f t="shared" si="66"/>
        <v>0</v>
      </c>
      <c r="N358" s="390">
        <f t="shared" si="66"/>
        <v>0</v>
      </c>
      <c r="O358" s="390">
        <f t="shared" si="66"/>
        <v>0</v>
      </c>
      <c r="P358" s="390">
        <f t="shared" si="66"/>
        <v>0</v>
      </c>
      <c r="Q358" s="390">
        <f t="shared" si="66"/>
        <v>0</v>
      </c>
      <c r="R358" s="390">
        <f>R350</f>
        <v>0</v>
      </c>
      <c r="S358" s="657">
        <f>S350</f>
        <v>0</v>
      </c>
      <c r="T358" s="390"/>
      <c r="U358" s="657">
        <f>U350</f>
        <v>0</v>
      </c>
      <c r="V358" s="657">
        <f>+U358-'ROR-Model'!G358</f>
        <v>0</v>
      </c>
    </row>
    <row r="359" spans="1:22">
      <c r="A359" s="660"/>
      <c r="B359" s="365"/>
      <c r="C359" s="63" t="s">
        <v>31</v>
      </c>
      <c r="D359" s="659"/>
      <c r="E359" s="656"/>
      <c r="F359" s="390">
        <f>F341+F350</f>
        <v>0</v>
      </c>
      <c r="G359" s="390">
        <f>G1*G341+G350</f>
        <v>0</v>
      </c>
      <c r="H359" s="390">
        <f>H341+H350</f>
        <v>0</v>
      </c>
      <c r="I359" s="390">
        <f t="shared" ref="I359:Q359" si="67">I341+I350</f>
        <v>0</v>
      </c>
      <c r="J359" s="390">
        <f>J341+J350</f>
        <v>0</v>
      </c>
      <c r="K359" s="390">
        <f>K341+K350</f>
        <v>0</v>
      </c>
      <c r="L359" s="390">
        <f t="shared" si="67"/>
        <v>0</v>
      </c>
      <c r="M359" s="390">
        <f t="shared" si="67"/>
        <v>0</v>
      </c>
      <c r="N359" s="390">
        <f t="shared" si="67"/>
        <v>0</v>
      </c>
      <c r="O359" s="390">
        <f t="shared" si="67"/>
        <v>0</v>
      </c>
      <c r="P359" s="390">
        <f t="shared" si="67"/>
        <v>0</v>
      </c>
      <c r="Q359" s="390">
        <f t="shared" si="67"/>
        <v>0</v>
      </c>
      <c r="R359" s="390">
        <f>R341+R350</f>
        <v>0</v>
      </c>
      <c r="S359" s="657">
        <f>S341+S350</f>
        <v>0</v>
      </c>
      <c r="T359" s="390"/>
      <c r="U359" s="657">
        <f>U341+U350</f>
        <v>0</v>
      </c>
      <c r="V359" s="657">
        <f>+U359-'ROR-Model'!G359</f>
        <v>0</v>
      </c>
    </row>
    <row r="360" spans="1:22" ht="13.5" thickBot="1">
      <c r="A360" s="660"/>
      <c r="B360" s="63"/>
      <c r="C360" s="63"/>
      <c r="D360" s="659"/>
      <c r="E360" s="656"/>
      <c r="F360" s="579"/>
      <c r="G360" s="579"/>
      <c r="H360" s="579"/>
      <c r="I360" s="579"/>
      <c r="J360" s="586"/>
      <c r="K360" s="586"/>
      <c r="L360" s="579"/>
      <c r="M360" s="579"/>
      <c r="N360" s="579"/>
      <c r="O360" s="579"/>
      <c r="P360" s="579"/>
      <c r="Q360" s="586"/>
      <c r="R360" s="586"/>
      <c r="S360" s="663"/>
      <c r="T360" s="579"/>
      <c r="U360" s="663"/>
      <c r="V360" s="663">
        <f>+U360-'ROR-Model'!G360</f>
        <v>0</v>
      </c>
    </row>
    <row r="361" spans="1:22" ht="13.5" thickTop="1">
      <c r="A361" s="189" t="s">
        <v>32</v>
      </c>
      <c r="B361" s="63"/>
      <c r="C361" s="63"/>
      <c r="D361" s="659"/>
      <c r="E361" s="656"/>
      <c r="F361" s="357"/>
      <c r="G361" s="357"/>
      <c r="H361" s="357"/>
      <c r="I361" s="357"/>
      <c r="J361" s="390"/>
      <c r="K361" s="390"/>
      <c r="L361" s="357"/>
      <c r="M361" s="357"/>
      <c r="N361" s="357"/>
      <c r="O361" s="357"/>
      <c r="P361" s="357"/>
      <c r="Q361" s="390"/>
      <c r="R361" s="390"/>
      <c r="S361" s="657"/>
      <c r="T361" s="357"/>
      <c r="U361" s="657"/>
      <c r="V361" s="657"/>
    </row>
    <row r="362" spans="1:22">
      <c r="A362" s="660"/>
      <c r="B362" s="63" t="s">
        <v>647</v>
      </c>
      <c r="C362" s="365"/>
      <c r="D362" s="659"/>
      <c r="E362" s="656"/>
      <c r="F362" s="357"/>
      <c r="G362" s="357"/>
      <c r="H362" s="357"/>
      <c r="I362" s="357"/>
      <c r="J362" s="390"/>
      <c r="K362" s="390"/>
      <c r="L362" s="357"/>
      <c r="M362" s="357"/>
      <c r="N362" s="357"/>
      <c r="O362" s="357"/>
      <c r="P362" s="357"/>
      <c r="Q362" s="390"/>
      <c r="R362" s="390"/>
      <c r="S362" s="657"/>
      <c r="T362" s="357"/>
      <c r="U362" s="657"/>
      <c r="V362" s="657"/>
    </row>
    <row r="363" spans="1:22">
      <c r="A363" s="660"/>
      <c r="B363" s="63"/>
      <c r="C363" s="365" t="s">
        <v>15</v>
      </c>
      <c r="D363" s="659"/>
      <c r="E363" s="656"/>
      <c r="F363" s="390">
        <f t="shared" ref="F363:Q363" si="68">F1*(F200+F229+F323+F353)</f>
        <v>0</v>
      </c>
      <c r="G363" s="390">
        <f t="shared" si="68"/>
        <v>-20972049.120000001</v>
      </c>
      <c r="H363" s="390">
        <f t="shared" si="68"/>
        <v>0</v>
      </c>
      <c r="I363" s="390">
        <f t="shared" si="68"/>
        <v>0</v>
      </c>
      <c r="J363" s="390">
        <f>J1*(J200+J229+J323+J353)</f>
        <v>0</v>
      </c>
      <c r="K363" s="390">
        <f>K1*(K200+K229+K323+K353)</f>
        <v>0</v>
      </c>
      <c r="L363" s="390">
        <f t="shared" si="68"/>
        <v>0</v>
      </c>
      <c r="M363" s="390">
        <f t="shared" si="68"/>
        <v>0</v>
      </c>
      <c r="N363" s="390">
        <f t="shared" si="68"/>
        <v>0</v>
      </c>
      <c r="O363" s="390">
        <f t="shared" si="68"/>
        <v>0</v>
      </c>
      <c r="P363" s="390">
        <f t="shared" si="68"/>
        <v>0</v>
      </c>
      <c r="Q363" s="390">
        <f t="shared" si="68"/>
        <v>0</v>
      </c>
      <c r="R363" s="390">
        <f>R1*(R200+R229+R323+R353)</f>
        <v>0</v>
      </c>
      <c r="S363" s="657">
        <f>(S200+S229+S323+S353)</f>
        <v>-20972049.120000001</v>
      </c>
      <c r="T363" s="390"/>
      <c r="U363" s="657">
        <f>(U200+U229+U323+U353)</f>
        <v>-20972049.120000001</v>
      </c>
      <c r="V363" s="657">
        <f>+U363-'ROR-Model'!G363</f>
        <v>0</v>
      </c>
    </row>
    <row r="364" spans="1:22">
      <c r="A364" s="660"/>
      <c r="B364" s="63"/>
      <c r="C364" s="365" t="s">
        <v>16</v>
      </c>
      <c r="D364" s="659"/>
      <c r="E364" s="656"/>
      <c r="F364" s="390">
        <f t="shared" ref="F364:Q364" si="69">F1*(F201+F230+F324)</f>
        <v>0</v>
      </c>
      <c r="G364" s="390">
        <f t="shared" si="69"/>
        <v>0</v>
      </c>
      <c r="H364" s="390">
        <f t="shared" si="69"/>
        <v>0</v>
      </c>
      <c r="I364" s="390">
        <f t="shared" si="69"/>
        <v>0</v>
      </c>
      <c r="J364" s="390">
        <f>J1*(J201+J230+J324)</f>
        <v>0</v>
      </c>
      <c r="K364" s="390">
        <f>K1*(K201+K230+K324)</f>
        <v>0</v>
      </c>
      <c r="L364" s="390">
        <f t="shared" si="69"/>
        <v>0</v>
      </c>
      <c r="M364" s="390">
        <f t="shared" si="69"/>
        <v>0</v>
      </c>
      <c r="N364" s="390">
        <f t="shared" si="69"/>
        <v>0</v>
      </c>
      <c r="O364" s="390">
        <f t="shared" si="69"/>
        <v>0</v>
      </c>
      <c r="P364" s="390">
        <f t="shared" si="69"/>
        <v>0</v>
      </c>
      <c r="Q364" s="390">
        <f t="shared" si="69"/>
        <v>0</v>
      </c>
      <c r="R364" s="390">
        <f>R1*(R201+R230+R324)</f>
        <v>0</v>
      </c>
      <c r="S364" s="657">
        <f>(S201+S230+S324)</f>
        <v>0</v>
      </c>
      <c r="T364" s="390"/>
      <c r="U364" s="657">
        <f>(U201+U230+U324)</f>
        <v>0</v>
      </c>
      <c r="V364" s="657">
        <f>+U364-'ROR-Model'!G364</f>
        <v>0</v>
      </c>
    </row>
    <row r="365" spans="1:22">
      <c r="A365" s="660"/>
      <c r="B365" s="63"/>
      <c r="C365" s="365" t="s">
        <v>537</v>
      </c>
      <c r="D365" s="659"/>
      <c r="E365" s="656"/>
      <c r="F365" s="390">
        <f t="shared" ref="F365:Q365" si="70">F1*(F325)</f>
        <v>0</v>
      </c>
      <c r="G365" s="390">
        <f t="shared" si="70"/>
        <v>0</v>
      </c>
      <c r="H365" s="390">
        <f t="shared" si="70"/>
        <v>0</v>
      </c>
      <c r="I365" s="390">
        <f t="shared" si="70"/>
        <v>0</v>
      </c>
      <c r="J365" s="390">
        <f>J1*(J325)</f>
        <v>0</v>
      </c>
      <c r="K365" s="390">
        <f>K1*(K325)</f>
        <v>0</v>
      </c>
      <c r="L365" s="390">
        <f t="shared" si="70"/>
        <v>0</v>
      </c>
      <c r="M365" s="390">
        <f t="shared" si="70"/>
        <v>0</v>
      </c>
      <c r="N365" s="390">
        <f t="shared" si="70"/>
        <v>0</v>
      </c>
      <c r="O365" s="390">
        <f t="shared" si="70"/>
        <v>0</v>
      </c>
      <c r="P365" s="390">
        <f t="shared" si="70"/>
        <v>0</v>
      </c>
      <c r="Q365" s="390">
        <f t="shared" si="70"/>
        <v>0</v>
      </c>
      <c r="R365" s="390">
        <f>R1*(R325)</f>
        <v>0</v>
      </c>
      <c r="S365" s="657">
        <f>(S325)</f>
        <v>0</v>
      </c>
      <c r="T365" s="390"/>
      <c r="U365" s="657">
        <f>(U325)</f>
        <v>0</v>
      </c>
      <c r="V365" s="657">
        <f>+U365-'ROR-Model'!G365</f>
        <v>0</v>
      </c>
    </row>
    <row r="366" spans="1:22">
      <c r="A366" s="660"/>
      <c r="B366" s="63"/>
      <c r="C366" s="365" t="s">
        <v>17</v>
      </c>
      <c r="D366" s="659"/>
      <c r="E366" s="656"/>
      <c r="F366" s="390">
        <f t="shared" ref="F366:Q366" si="71">F1*(F202+F231+F326+F354)</f>
        <v>0</v>
      </c>
      <c r="G366" s="390">
        <f t="shared" si="71"/>
        <v>0</v>
      </c>
      <c r="H366" s="390">
        <f t="shared" si="71"/>
        <v>0</v>
      </c>
      <c r="I366" s="390">
        <f t="shared" si="71"/>
        <v>0</v>
      </c>
      <c r="J366" s="390">
        <f>J1*(J202+J231+J326+J354)</f>
        <v>0</v>
      </c>
      <c r="K366" s="390">
        <f>K1*(K202+K231+K326+K354)</f>
        <v>0</v>
      </c>
      <c r="L366" s="390">
        <f t="shared" si="71"/>
        <v>0</v>
      </c>
      <c r="M366" s="390">
        <f t="shared" si="71"/>
        <v>0</v>
      </c>
      <c r="N366" s="390">
        <f t="shared" si="71"/>
        <v>0</v>
      </c>
      <c r="O366" s="390">
        <f t="shared" si="71"/>
        <v>0</v>
      </c>
      <c r="P366" s="390">
        <f t="shared" si="71"/>
        <v>0</v>
      </c>
      <c r="Q366" s="390">
        <f t="shared" si="71"/>
        <v>0</v>
      </c>
      <c r="R366" s="390">
        <f>R1*(R202+R231+R326+R354)</f>
        <v>0</v>
      </c>
      <c r="S366" s="657">
        <f>(S202+S231+S326+S354)</f>
        <v>0</v>
      </c>
      <c r="T366" s="390"/>
      <c r="U366" s="657">
        <f>(U202+U231+U326+U354)</f>
        <v>0</v>
      </c>
      <c r="V366" s="657">
        <f>+U366-'ROR-Model'!G366</f>
        <v>0</v>
      </c>
    </row>
    <row r="367" spans="1:22">
      <c r="A367" s="660"/>
      <c r="B367" s="63"/>
      <c r="C367" s="365"/>
      <c r="D367" s="659"/>
      <c r="E367" s="656"/>
      <c r="F367" s="390"/>
      <c r="G367" s="390"/>
      <c r="H367" s="390"/>
      <c r="I367" s="390"/>
      <c r="J367" s="390"/>
      <c r="K367" s="390"/>
      <c r="L367" s="390"/>
      <c r="M367" s="390"/>
      <c r="N367" s="390"/>
      <c r="O367" s="390"/>
      <c r="P367" s="390"/>
      <c r="Q367" s="390"/>
      <c r="R367" s="390"/>
      <c r="S367" s="657"/>
      <c r="T367" s="390"/>
      <c r="U367" s="657"/>
      <c r="V367" s="657">
        <f>+U367-'ROR-Model'!G367</f>
        <v>0</v>
      </c>
    </row>
    <row r="368" spans="1:22">
      <c r="A368" s="660"/>
      <c r="B368" s="63"/>
      <c r="C368" s="63" t="s">
        <v>647</v>
      </c>
      <c r="D368" s="659"/>
      <c r="E368" s="656"/>
      <c r="F368" s="390">
        <f t="shared" ref="F368:Q368" si="72">F1*(F203+F232+F327+F355)</f>
        <v>0</v>
      </c>
      <c r="G368" s="390">
        <f t="shared" si="72"/>
        <v>-20972049.120000001</v>
      </c>
      <c r="H368" s="390">
        <f t="shared" si="72"/>
        <v>0</v>
      </c>
      <c r="I368" s="390">
        <f t="shared" si="72"/>
        <v>0</v>
      </c>
      <c r="J368" s="390">
        <f>J1*(J203+J232+J327+J355)</f>
        <v>0</v>
      </c>
      <c r="K368" s="390">
        <f>K1*(K203+K232+K327+K355)</f>
        <v>0</v>
      </c>
      <c r="L368" s="390">
        <f t="shared" si="72"/>
        <v>0</v>
      </c>
      <c r="M368" s="390">
        <f t="shared" si="72"/>
        <v>0</v>
      </c>
      <c r="N368" s="390">
        <f t="shared" si="72"/>
        <v>0</v>
      </c>
      <c r="O368" s="390">
        <f t="shared" si="72"/>
        <v>0</v>
      </c>
      <c r="P368" s="390">
        <f t="shared" si="72"/>
        <v>0</v>
      </c>
      <c r="Q368" s="390">
        <f t="shared" si="72"/>
        <v>0</v>
      </c>
      <c r="R368" s="390">
        <f>R1*(R203+R232+R327+R355)</f>
        <v>0</v>
      </c>
      <c r="S368" s="657">
        <f>(S203+S232+S327+S355)</f>
        <v>-20972049.120000001</v>
      </c>
      <c r="T368" s="390"/>
      <c r="U368" s="657">
        <f>(U203+U232+U327+U355)</f>
        <v>-20972049.120000001</v>
      </c>
      <c r="V368" s="657">
        <f>+U368-'ROR-Model'!G368</f>
        <v>0</v>
      </c>
    </row>
    <row r="369" spans="1:22">
      <c r="A369" s="660"/>
      <c r="B369" s="63"/>
      <c r="C369" s="63"/>
      <c r="D369" s="659"/>
      <c r="E369" s="656"/>
      <c r="F369" s="390"/>
      <c r="G369" s="390"/>
      <c r="H369" s="390"/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657"/>
      <c r="T369" s="390"/>
      <c r="U369" s="657"/>
      <c r="V369" s="657">
        <f>+U369-'ROR-Model'!G369</f>
        <v>0</v>
      </c>
    </row>
    <row r="370" spans="1:22">
      <c r="A370" s="660"/>
      <c r="B370" s="365"/>
      <c r="C370" s="63" t="s">
        <v>57</v>
      </c>
      <c r="D370" s="659"/>
      <c r="E370" s="656"/>
      <c r="F370" s="390">
        <f t="shared" ref="F370:Q370" si="73">F1*(F205+F234+F329+F357)</f>
        <v>0</v>
      </c>
      <c r="G370" s="390">
        <f t="shared" si="73"/>
        <v>0</v>
      </c>
      <c r="H370" s="390">
        <f t="shared" si="73"/>
        <v>0</v>
      </c>
      <c r="I370" s="390">
        <f t="shared" si="73"/>
        <v>0</v>
      </c>
      <c r="J370" s="390">
        <f>J1*(J205+J234+J329+J357)</f>
        <v>0</v>
      </c>
      <c r="K370" s="390">
        <f>K1*(K205+K234+K329+K357)</f>
        <v>0</v>
      </c>
      <c r="L370" s="390">
        <f t="shared" si="73"/>
        <v>0</v>
      </c>
      <c r="M370" s="390">
        <f t="shared" si="73"/>
        <v>0</v>
      </c>
      <c r="N370" s="390">
        <f t="shared" si="73"/>
        <v>0</v>
      </c>
      <c r="O370" s="390">
        <f t="shared" si="73"/>
        <v>0</v>
      </c>
      <c r="P370" s="390">
        <f t="shared" si="73"/>
        <v>0</v>
      </c>
      <c r="Q370" s="390">
        <f t="shared" si="73"/>
        <v>0</v>
      </c>
      <c r="R370" s="390">
        <f>R1*(R205+R234+R329+R357)</f>
        <v>0</v>
      </c>
      <c r="S370" s="657">
        <f>(S205+S234+S329+S357)</f>
        <v>0</v>
      </c>
      <c r="T370" s="390"/>
      <c r="U370" s="657">
        <f>(U205+U234+U329+U357)</f>
        <v>0</v>
      </c>
      <c r="V370" s="657">
        <f>+U370-'ROR-Model'!G370</f>
        <v>0</v>
      </c>
    </row>
    <row r="371" spans="1:22">
      <c r="A371" s="660"/>
      <c r="B371" s="365"/>
      <c r="C371" s="365" t="s">
        <v>58</v>
      </c>
      <c r="D371" s="659"/>
      <c r="E371" s="656"/>
      <c r="F371" s="390">
        <f t="shared" ref="F371:Q371" si="74">F1*(F206+F235+F330+F358)</f>
        <v>0</v>
      </c>
      <c r="G371" s="390">
        <f t="shared" si="74"/>
        <v>0</v>
      </c>
      <c r="H371" s="390">
        <f t="shared" si="74"/>
        <v>0</v>
      </c>
      <c r="I371" s="390">
        <f t="shared" si="74"/>
        <v>0</v>
      </c>
      <c r="J371" s="390">
        <f>J1*(J206+J235+J330+J358)</f>
        <v>0</v>
      </c>
      <c r="K371" s="390">
        <f>K1*(K206+K235+K330+K358)</f>
        <v>0</v>
      </c>
      <c r="L371" s="390">
        <f t="shared" si="74"/>
        <v>0</v>
      </c>
      <c r="M371" s="390">
        <f t="shared" si="74"/>
        <v>0</v>
      </c>
      <c r="N371" s="390">
        <f t="shared" si="74"/>
        <v>0</v>
      </c>
      <c r="O371" s="390">
        <f t="shared" si="74"/>
        <v>0</v>
      </c>
      <c r="P371" s="390">
        <f t="shared" si="74"/>
        <v>0</v>
      </c>
      <c r="Q371" s="390">
        <f t="shared" si="74"/>
        <v>0</v>
      </c>
      <c r="R371" s="390">
        <f>R1*(R206+R235+R330+R358)</f>
        <v>0</v>
      </c>
      <c r="S371" s="657">
        <f>(S206+S235+S330+S358)</f>
        <v>0</v>
      </c>
      <c r="T371" s="390"/>
      <c r="U371" s="657">
        <f>(U206+U235+U330+U358)</f>
        <v>0</v>
      </c>
      <c r="V371" s="657">
        <f>+U371-'ROR-Model'!G371</f>
        <v>0</v>
      </c>
    </row>
    <row r="372" spans="1:22">
      <c r="A372" s="660"/>
      <c r="B372" s="2"/>
      <c r="C372" s="63" t="s">
        <v>33</v>
      </c>
      <c r="D372" s="659"/>
      <c r="E372" s="656"/>
      <c r="F372" s="390">
        <f t="shared" ref="F372:Q372" si="75">F1*(F207+F236+F331+F359)</f>
        <v>0</v>
      </c>
      <c r="G372" s="390">
        <f t="shared" si="75"/>
        <v>0</v>
      </c>
      <c r="H372" s="390">
        <f t="shared" si="75"/>
        <v>0</v>
      </c>
      <c r="I372" s="390">
        <f t="shared" si="75"/>
        <v>0</v>
      </c>
      <c r="J372" s="390">
        <f>J1*(J207+J236+J331+J359)</f>
        <v>0</v>
      </c>
      <c r="K372" s="390">
        <f>K1*(K207+K236+K331+K359)</f>
        <v>0</v>
      </c>
      <c r="L372" s="390">
        <f t="shared" si="75"/>
        <v>0</v>
      </c>
      <c r="M372" s="390">
        <f t="shared" si="75"/>
        <v>0</v>
      </c>
      <c r="N372" s="390">
        <f t="shared" si="75"/>
        <v>0</v>
      </c>
      <c r="O372" s="390">
        <f t="shared" si="75"/>
        <v>0</v>
      </c>
      <c r="P372" s="390">
        <f t="shared" si="75"/>
        <v>0</v>
      </c>
      <c r="Q372" s="390">
        <f t="shared" si="75"/>
        <v>0</v>
      </c>
      <c r="R372" s="390">
        <f>R1*(R207+R236+R331+R359)</f>
        <v>0</v>
      </c>
      <c r="S372" s="657">
        <f>(S207+S236+S331+S359)</f>
        <v>0</v>
      </c>
      <c r="T372" s="390"/>
      <c r="U372" s="657">
        <f>(U207+U236+U331+U359)</f>
        <v>0</v>
      </c>
      <c r="V372" s="657">
        <f>+U372-'ROR-Model'!G372</f>
        <v>0</v>
      </c>
    </row>
    <row r="373" spans="1:22">
      <c r="A373" s="660"/>
      <c r="B373" s="659"/>
      <c r="C373" s="659"/>
      <c r="D373" s="659"/>
      <c r="E373" s="656"/>
      <c r="F373" s="357"/>
      <c r="G373" s="357"/>
      <c r="H373" s="357"/>
      <c r="I373" s="357"/>
      <c r="J373" s="390"/>
      <c r="K373" s="390"/>
      <c r="L373" s="357"/>
      <c r="M373" s="357"/>
      <c r="N373" s="357"/>
      <c r="O373" s="357"/>
      <c r="P373" s="357"/>
      <c r="Q373" s="390"/>
      <c r="R373" s="390"/>
      <c r="S373" s="657"/>
      <c r="T373" s="357"/>
      <c r="U373" s="657"/>
      <c r="V373" s="657">
        <f>+U373-'ROR-Model'!G373</f>
        <v>0</v>
      </c>
    </row>
    <row r="374" spans="1:22">
      <c r="A374" s="660"/>
      <c r="B374" s="659"/>
      <c r="C374" s="659"/>
      <c r="D374" s="659"/>
      <c r="E374" s="656"/>
      <c r="F374" s="357"/>
      <c r="G374" s="357"/>
      <c r="H374" s="357"/>
      <c r="I374" s="357"/>
      <c r="J374" s="390"/>
      <c r="K374" s="390"/>
      <c r="L374" s="357"/>
      <c r="M374" s="357"/>
      <c r="N374" s="357"/>
      <c r="O374" s="357"/>
      <c r="P374" s="357"/>
      <c r="Q374" s="390"/>
      <c r="R374" s="390"/>
      <c r="S374" s="657"/>
      <c r="T374" s="357"/>
      <c r="U374" s="657"/>
      <c r="V374" s="657">
        <f>+U374-'ROR-Model'!G374</f>
        <v>0</v>
      </c>
    </row>
    <row r="375" spans="1:22">
      <c r="A375" s="189" t="s">
        <v>157</v>
      </c>
      <c r="B375" s="659"/>
      <c r="C375" s="659"/>
      <c r="D375" s="659"/>
      <c r="E375" s="656"/>
      <c r="F375" s="357"/>
      <c r="G375" s="357"/>
      <c r="H375" s="357"/>
      <c r="I375" s="357"/>
      <c r="J375" s="390"/>
      <c r="K375" s="390"/>
      <c r="L375" s="357"/>
      <c r="M375" s="357"/>
      <c r="N375" s="357"/>
      <c r="O375" s="357"/>
      <c r="P375" s="357"/>
      <c r="Q375" s="390"/>
      <c r="R375" s="390"/>
      <c r="S375" s="657"/>
      <c r="T375" s="357"/>
      <c r="U375" s="657"/>
      <c r="V375" s="657">
        <f>+U375-'ROR-Model'!G375</f>
        <v>0</v>
      </c>
    </row>
    <row r="376" spans="1:22">
      <c r="A376" s="660"/>
      <c r="B376" s="659"/>
      <c r="C376" s="659"/>
      <c r="D376" s="659"/>
      <c r="E376" s="656"/>
      <c r="F376" s="357"/>
      <c r="G376" s="357"/>
      <c r="H376" s="357"/>
      <c r="I376" s="357"/>
      <c r="J376" s="390"/>
      <c r="K376" s="390"/>
      <c r="L376" s="357"/>
      <c r="M376" s="357"/>
      <c r="N376" s="357"/>
      <c r="O376" s="357"/>
      <c r="P376" s="357"/>
      <c r="Q376" s="390"/>
      <c r="R376" s="390"/>
      <c r="S376" s="657"/>
      <c r="T376" s="357"/>
      <c r="U376" s="657"/>
      <c r="V376" s="657">
        <f>+U376-'ROR-Model'!G376</f>
        <v>0</v>
      </c>
    </row>
    <row r="377" spans="1:22">
      <c r="A377" s="668"/>
      <c r="B377" s="659" t="s">
        <v>158</v>
      </c>
      <c r="C377" s="659"/>
      <c r="D377" s="659"/>
      <c r="E377" s="656"/>
      <c r="F377" s="357"/>
      <c r="G377" s="357"/>
      <c r="H377" s="357"/>
      <c r="I377" s="357"/>
      <c r="J377" s="390"/>
      <c r="K377" s="390"/>
      <c r="L377" s="357"/>
      <c r="M377" s="357"/>
      <c r="N377" s="357"/>
      <c r="O377" s="357"/>
      <c r="P377" s="357"/>
      <c r="Q377" s="390"/>
      <c r="R377" s="390"/>
      <c r="S377" s="657"/>
      <c r="T377" s="357"/>
      <c r="U377" s="657"/>
      <c r="V377" s="657">
        <f>+U377-'ROR-Model'!G377</f>
        <v>0</v>
      </c>
    </row>
    <row r="378" spans="1:22">
      <c r="A378" s="668"/>
      <c r="B378" s="659"/>
      <c r="C378" s="659"/>
      <c r="D378" s="659"/>
      <c r="E378" s="656"/>
      <c r="F378" s="357"/>
      <c r="G378" s="357"/>
      <c r="H378" s="357"/>
      <c r="I378" s="357"/>
      <c r="J378" s="390"/>
      <c r="K378" s="390"/>
      <c r="L378" s="357"/>
      <c r="M378" s="357"/>
      <c r="N378" s="357"/>
      <c r="O378" s="357"/>
      <c r="P378" s="357"/>
      <c r="Q378" s="390"/>
      <c r="R378" s="390"/>
      <c r="S378" s="657"/>
      <c r="T378" s="357"/>
      <c r="U378" s="657"/>
      <c r="V378" s="657">
        <f>+U378-'ROR-Model'!G378</f>
        <v>0</v>
      </c>
    </row>
    <row r="379" spans="1:22">
      <c r="A379" s="668">
        <v>483</v>
      </c>
      <c r="B379" s="659" t="s">
        <v>159</v>
      </c>
      <c r="C379" s="659"/>
      <c r="D379" s="659"/>
      <c r="E379" s="656"/>
      <c r="F379" s="357"/>
      <c r="G379" s="357"/>
      <c r="H379" s="357"/>
      <c r="I379" s="357"/>
      <c r="J379" s="390"/>
      <c r="K379" s="390"/>
      <c r="L379" s="357"/>
      <c r="M379" s="357"/>
      <c r="N379" s="357"/>
      <c r="O379" s="357"/>
      <c r="P379" s="357"/>
      <c r="Q379" s="390"/>
      <c r="R379" s="390"/>
      <c r="S379" s="657"/>
      <c r="T379" s="357"/>
      <c r="U379" s="657"/>
      <c r="V379" s="657">
        <f>+U379-'ROR-Model'!G379</f>
        <v>0</v>
      </c>
    </row>
    <row r="380" spans="1:22">
      <c r="A380" s="668"/>
      <c r="B380" s="659"/>
      <c r="C380" s="659" t="s">
        <v>13</v>
      </c>
      <c r="D380" s="659"/>
      <c r="E380" s="669"/>
      <c r="F380" s="357"/>
      <c r="G380" s="357"/>
      <c r="H380" s="357"/>
      <c r="I380" s="357"/>
      <c r="J380" s="390"/>
      <c r="K380" s="390"/>
      <c r="L380" s="357"/>
      <c r="M380" s="357"/>
      <c r="N380" s="357"/>
      <c r="O380" s="357"/>
      <c r="P380" s="357"/>
      <c r="Q380" s="390"/>
      <c r="R380" s="390"/>
      <c r="S380" s="657">
        <f>SUM(F380:R380)</f>
        <v>0</v>
      </c>
      <c r="T380" s="357"/>
      <c r="U380" s="657">
        <f>SUM(S380:S380)</f>
        <v>0</v>
      </c>
      <c r="V380" s="657">
        <f>+U380-'ROR-Model'!G380</f>
        <v>0</v>
      </c>
    </row>
    <row r="381" spans="1:22">
      <c r="A381" s="668"/>
      <c r="B381" s="659"/>
      <c r="C381" s="659" t="s">
        <v>24</v>
      </c>
      <c r="D381" s="659"/>
      <c r="E381" s="669"/>
      <c r="F381" s="357"/>
      <c r="G381" s="357"/>
      <c r="H381" s="357"/>
      <c r="I381" s="357"/>
      <c r="J381" s="390"/>
      <c r="K381" s="390"/>
      <c r="L381" s="357"/>
      <c r="M381" s="357"/>
      <c r="N381" s="357"/>
      <c r="O381" s="357"/>
      <c r="P381" s="357"/>
      <c r="Q381" s="390"/>
      <c r="R381" s="390"/>
      <c r="S381" s="657">
        <f>SUM(F381:R381)</f>
        <v>0</v>
      </c>
      <c r="T381" s="357"/>
      <c r="U381" s="657">
        <f>SUM(S381:S381)</f>
        <v>0</v>
      </c>
      <c r="V381" s="657">
        <f>+U381-'ROR-Model'!G381</f>
        <v>0</v>
      </c>
    </row>
    <row r="382" spans="1:22">
      <c r="A382" s="668"/>
      <c r="B382" s="659"/>
      <c r="C382" s="659" t="s">
        <v>160</v>
      </c>
      <c r="D382" s="659"/>
      <c r="E382" s="669"/>
      <c r="F382" s="388">
        <f>SUM(F380:F381)</f>
        <v>0</v>
      </c>
      <c r="G382" s="388">
        <f>G1*SUM(G380:G381)</f>
        <v>0</v>
      </c>
      <c r="H382" s="388">
        <f>SUM(H380:H381)</f>
        <v>0</v>
      </c>
      <c r="I382" s="388">
        <f t="shared" ref="I382:P382" si="76">SUM(I380:I381)</f>
        <v>0</v>
      </c>
      <c r="J382" s="585">
        <f>J1*SUM(J380:J381)</f>
        <v>0</v>
      </c>
      <c r="K382" s="585">
        <f>K1*SUM(K380:K381)</f>
        <v>0</v>
      </c>
      <c r="L382" s="388">
        <f t="shared" si="76"/>
        <v>0</v>
      </c>
      <c r="M382" s="388">
        <f t="shared" si="76"/>
        <v>0</v>
      </c>
      <c r="N382" s="388">
        <f t="shared" si="76"/>
        <v>0</v>
      </c>
      <c r="O382" s="388">
        <f t="shared" si="76"/>
        <v>0</v>
      </c>
      <c r="P382" s="388">
        <f t="shared" si="76"/>
        <v>0</v>
      </c>
      <c r="Q382" s="585">
        <f>SUM(Q380:Q381)</f>
        <v>0</v>
      </c>
      <c r="R382" s="585">
        <f>R1*SUM(R380:R381)</f>
        <v>0</v>
      </c>
      <c r="S382" s="661">
        <f>SUM(S380:S381)</f>
        <v>0</v>
      </c>
      <c r="T382" s="388"/>
      <c r="U382" s="661">
        <f>SUM(U380:U381)</f>
        <v>0</v>
      </c>
      <c r="V382" s="661">
        <f>+U382-'ROR-Model'!G382</f>
        <v>0</v>
      </c>
    </row>
    <row r="383" spans="1:22">
      <c r="A383" s="668"/>
      <c r="B383" s="659"/>
      <c r="C383" s="659"/>
      <c r="D383" s="659"/>
      <c r="E383" s="669"/>
      <c r="F383" s="357"/>
      <c r="G383" s="357"/>
      <c r="H383" s="357"/>
      <c r="I383" s="357"/>
      <c r="J383" s="390"/>
      <c r="K383" s="390"/>
      <c r="L383" s="357"/>
      <c r="M383" s="357"/>
      <c r="N383" s="357"/>
      <c r="O383" s="357"/>
      <c r="P383" s="357"/>
      <c r="Q383" s="390"/>
      <c r="R383" s="390"/>
      <c r="S383" s="657"/>
      <c r="T383" s="357"/>
      <c r="U383" s="657"/>
      <c r="V383" s="657">
        <f>+U383-'ROR-Model'!G383</f>
        <v>0</v>
      </c>
    </row>
    <row r="384" spans="1:22">
      <c r="A384" s="668">
        <v>487</v>
      </c>
      <c r="B384" s="659" t="s">
        <v>163</v>
      </c>
      <c r="C384" s="659"/>
      <c r="D384" s="659"/>
      <c r="E384" s="669"/>
      <c r="F384" s="357"/>
      <c r="G384" s="357"/>
      <c r="H384" s="357"/>
      <c r="I384" s="357"/>
      <c r="J384" s="390"/>
      <c r="K384" s="390"/>
      <c r="L384" s="357"/>
      <c r="M384" s="357"/>
      <c r="N384" s="357"/>
      <c r="O384" s="357"/>
      <c r="P384" s="357"/>
      <c r="Q384" s="390"/>
      <c r="R384" s="390"/>
      <c r="S384" s="657"/>
      <c r="T384" s="357"/>
      <c r="U384" s="657"/>
      <c r="V384" s="657">
        <f>+U384-'ROR-Model'!G384</f>
        <v>0</v>
      </c>
    </row>
    <row r="385" spans="1:22">
      <c r="A385" s="668"/>
      <c r="B385" s="659"/>
      <c r="C385" s="659" t="s">
        <v>13</v>
      </c>
      <c r="D385" s="659"/>
      <c r="E385" s="669"/>
      <c r="F385" s="357"/>
      <c r="G385" s="357"/>
      <c r="H385" s="357"/>
      <c r="I385" s="357"/>
      <c r="J385" s="390"/>
      <c r="K385" s="390"/>
      <c r="L385" s="357"/>
      <c r="M385" s="357"/>
      <c r="N385" s="357"/>
      <c r="O385" s="357"/>
      <c r="P385" s="357"/>
      <c r="Q385" s="390"/>
      <c r="R385" s="390"/>
      <c r="S385" s="657">
        <f>SUM(F385:R385)</f>
        <v>0</v>
      </c>
      <c r="T385" s="357"/>
      <c r="U385" s="657">
        <f>SUM(S385:S385)</f>
        <v>0</v>
      </c>
      <c r="V385" s="657">
        <f>+U385-'ROR-Model'!G385</f>
        <v>0</v>
      </c>
    </row>
    <row r="386" spans="1:22">
      <c r="A386" s="668"/>
      <c r="B386" s="659"/>
      <c r="C386" s="659" t="s">
        <v>24</v>
      </c>
      <c r="D386" s="659"/>
      <c r="E386" s="669"/>
      <c r="F386" s="357"/>
      <c r="G386" s="357"/>
      <c r="H386" s="357"/>
      <c r="I386" s="357"/>
      <c r="J386" s="390"/>
      <c r="K386" s="390"/>
      <c r="L386" s="357"/>
      <c r="M386" s="357"/>
      <c r="N386" s="357"/>
      <c r="O386" s="357"/>
      <c r="P386" s="357"/>
      <c r="Q386" s="390"/>
      <c r="R386" s="390"/>
      <c r="S386" s="657">
        <f>SUM(F386:R386)</f>
        <v>0</v>
      </c>
      <c r="T386" s="357"/>
      <c r="U386" s="657">
        <f>SUM(S386:S386)</f>
        <v>0</v>
      </c>
      <c r="V386" s="657">
        <f>+U386-'ROR-Model'!G386</f>
        <v>0</v>
      </c>
    </row>
    <row r="387" spans="1:22">
      <c r="A387" s="668"/>
      <c r="B387" s="659"/>
      <c r="C387" s="659" t="s">
        <v>160</v>
      </c>
      <c r="D387" s="659"/>
      <c r="E387" s="669"/>
      <c r="F387" s="388">
        <f>SUM(F385:F386)</f>
        <v>0</v>
      </c>
      <c r="G387" s="388">
        <f>G1*SUM(G385:G386)</f>
        <v>0</v>
      </c>
      <c r="H387" s="388">
        <f>SUM(H385:H386)</f>
        <v>0</v>
      </c>
      <c r="I387" s="388">
        <f t="shared" ref="I387:P387" si="77">SUM(I385:I386)</f>
        <v>0</v>
      </c>
      <c r="J387" s="585">
        <f>J1*SUM(J385:J386)</f>
        <v>0</v>
      </c>
      <c r="K387" s="585">
        <f>K1*SUM(K385:K386)</f>
        <v>0</v>
      </c>
      <c r="L387" s="388">
        <f t="shared" si="77"/>
        <v>0</v>
      </c>
      <c r="M387" s="388">
        <f t="shared" si="77"/>
        <v>0</v>
      </c>
      <c r="N387" s="388">
        <f t="shared" si="77"/>
        <v>0</v>
      </c>
      <c r="O387" s="388">
        <f t="shared" si="77"/>
        <v>0</v>
      </c>
      <c r="P387" s="388">
        <f t="shared" si="77"/>
        <v>0</v>
      </c>
      <c r="Q387" s="585">
        <f>SUM(Q385:Q386)</f>
        <v>0</v>
      </c>
      <c r="R387" s="585">
        <f>R1*SUM(R385:R386)</f>
        <v>0</v>
      </c>
      <c r="S387" s="661">
        <f>SUM(S385:S386)</f>
        <v>0</v>
      </c>
      <c r="T387" s="388"/>
      <c r="U387" s="661">
        <f>SUM(U385:U386)</f>
        <v>0</v>
      </c>
      <c r="V387" s="661">
        <f>+U387-'ROR-Model'!G387</f>
        <v>0</v>
      </c>
    </row>
    <row r="388" spans="1:22">
      <c r="A388" s="668"/>
      <c r="B388" s="659"/>
      <c r="C388" s="659"/>
      <c r="D388" s="659"/>
      <c r="E388" s="669"/>
      <c r="F388" s="357"/>
      <c r="G388" s="357"/>
      <c r="H388" s="357"/>
      <c r="I388" s="357"/>
      <c r="J388" s="390"/>
      <c r="K388" s="390"/>
      <c r="L388" s="357"/>
      <c r="M388" s="357"/>
      <c r="N388" s="357"/>
      <c r="O388" s="357"/>
      <c r="P388" s="357"/>
      <c r="Q388" s="390"/>
      <c r="R388" s="390"/>
      <c r="S388" s="657"/>
      <c r="T388" s="357"/>
      <c r="U388" s="657"/>
      <c r="V388" s="657">
        <f>+U388-'ROR-Model'!G388</f>
        <v>0</v>
      </c>
    </row>
    <row r="389" spans="1:22">
      <c r="A389" s="668">
        <v>4860</v>
      </c>
      <c r="B389" s="659" t="s">
        <v>300</v>
      </c>
      <c r="C389" s="659"/>
      <c r="D389" s="659"/>
      <c r="E389" s="669"/>
      <c r="F389" s="357"/>
      <c r="G389" s="357"/>
      <c r="H389" s="357"/>
      <c r="I389" s="357"/>
      <c r="J389" s="390"/>
      <c r="K389" s="390"/>
      <c r="L389" s="357"/>
      <c r="M389" s="357"/>
      <c r="N389" s="357"/>
      <c r="O389" s="357"/>
      <c r="P389" s="357"/>
      <c r="Q389" s="390"/>
      <c r="R389" s="390"/>
      <c r="S389" s="657"/>
      <c r="T389" s="357"/>
      <c r="U389" s="657"/>
      <c r="V389" s="657">
        <f>+U389-'ROR-Model'!G389</f>
        <v>0</v>
      </c>
    </row>
    <row r="390" spans="1:22">
      <c r="A390" s="668"/>
      <c r="B390" s="659"/>
      <c r="C390" s="659" t="s">
        <v>13</v>
      </c>
      <c r="D390" s="659"/>
      <c r="E390" s="669"/>
      <c r="F390" s="357"/>
      <c r="G390" s="357"/>
      <c r="H390" s="357"/>
      <c r="I390" s="357"/>
      <c r="J390" s="390"/>
      <c r="K390" s="390"/>
      <c r="L390" s="357"/>
      <c r="M390" s="357"/>
      <c r="N390" s="357"/>
      <c r="O390" s="357"/>
      <c r="P390" s="357"/>
      <c r="Q390" s="390"/>
      <c r="R390" s="390"/>
      <c r="S390" s="657">
        <f>SUM(F390:R390)</f>
        <v>0</v>
      </c>
      <c r="T390" s="357"/>
      <c r="U390" s="657">
        <f>SUM(S390:S390)</f>
        <v>0</v>
      </c>
      <c r="V390" s="657">
        <f>+U390-'ROR-Model'!G390</f>
        <v>0</v>
      </c>
    </row>
    <row r="391" spans="1:22">
      <c r="A391" s="668"/>
      <c r="B391" s="659"/>
      <c r="C391" s="659" t="s">
        <v>24</v>
      </c>
      <c r="D391" s="659"/>
      <c r="E391" s="669"/>
      <c r="F391" s="357"/>
      <c r="G391" s="357"/>
      <c r="H391" s="357"/>
      <c r="I391" s="357"/>
      <c r="J391" s="390"/>
      <c r="K391" s="390"/>
      <c r="L391" s="357"/>
      <c r="M391" s="357"/>
      <c r="N391" s="357"/>
      <c r="O391" s="357"/>
      <c r="P391" s="357"/>
      <c r="Q391" s="390"/>
      <c r="R391" s="390"/>
      <c r="S391" s="657">
        <f>SUM(F391:R391)</f>
        <v>0</v>
      </c>
      <c r="T391" s="357"/>
      <c r="U391" s="657">
        <f>SUM(S391:S391)</f>
        <v>0</v>
      </c>
      <c r="V391" s="657">
        <f>+U391-'ROR-Model'!G391</f>
        <v>0</v>
      </c>
    </row>
    <row r="392" spans="1:22">
      <c r="A392" s="668"/>
      <c r="B392" s="659"/>
      <c r="C392" s="659" t="s">
        <v>160</v>
      </c>
      <c r="D392" s="659"/>
      <c r="E392" s="669"/>
      <c r="F392" s="388">
        <f>SUM(F390:F391)</f>
        <v>0</v>
      </c>
      <c r="G392" s="388">
        <f>G1*SUM(G390:G391)</f>
        <v>0</v>
      </c>
      <c r="H392" s="388">
        <f>SUM(H390:H391)</f>
        <v>0</v>
      </c>
      <c r="I392" s="388">
        <f t="shared" ref="I392:P392" si="78">SUM(I390:I391)</f>
        <v>0</v>
      </c>
      <c r="J392" s="585">
        <f>J1*SUM(J390:J391)</f>
        <v>0</v>
      </c>
      <c r="K392" s="585">
        <f>K1*SUM(K390:K391)</f>
        <v>0</v>
      </c>
      <c r="L392" s="388">
        <f t="shared" si="78"/>
        <v>0</v>
      </c>
      <c r="M392" s="388">
        <f t="shared" si="78"/>
        <v>0</v>
      </c>
      <c r="N392" s="388">
        <f t="shared" si="78"/>
        <v>0</v>
      </c>
      <c r="O392" s="388">
        <f t="shared" si="78"/>
        <v>0</v>
      </c>
      <c r="P392" s="388">
        <f t="shared" si="78"/>
        <v>0</v>
      </c>
      <c r="Q392" s="585">
        <f>SUM(Q390:Q391)</f>
        <v>0</v>
      </c>
      <c r="R392" s="585">
        <f>R1*SUM(R390:R391)</f>
        <v>0</v>
      </c>
      <c r="S392" s="661">
        <f>SUM(S390:S391)</f>
        <v>0</v>
      </c>
      <c r="T392" s="388"/>
      <c r="U392" s="661">
        <f>SUM(U390:U391)</f>
        <v>0</v>
      </c>
      <c r="V392" s="661">
        <f>+U392-'ROR-Model'!G392</f>
        <v>0</v>
      </c>
    </row>
    <row r="393" spans="1:22">
      <c r="A393" s="668"/>
      <c r="B393" s="659"/>
      <c r="C393" s="659"/>
      <c r="D393" s="659"/>
      <c r="E393" s="669"/>
      <c r="F393" s="357"/>
      <c r="G393" s="357"/>
      <c r="H393" s="357"/>
      <c r="I393" s="357"/>
      <c r="J393" s="390"/>
      <c r="K393" s="390"/>
      <c r="L393" s="357"/>
      <c r="M393" s="357"/>
      <c r="N393" s="357"/>
      <c r="O393" s="357"/>
      <c r="P393" s="357"/>
      <c r="Q393" s="390"/>
      <c r="R393" s="390"/>
      <c r="S393" s="657"/>
      <c r="T393" s="357"/>
      <c r="U393" s="657"/>
      <c r="V393" s="657">
        <f>+U393-'ROR-Model'!G393</f>
        <v>0</v>
      </c>
    </row>
    <row r="394" spans="1:22">
      <c r="A394" s="668">
        <v>4861</v>
      </c>
      <c r="B394" s="659" t="s">
        <v>301</v>
      </c>
      <c r="C394" s="659"/>
      <c r="D394" s="659"/>
      <c r="E394" s="669"/>
      <c r="F394" s="357"/>
      <c r="G394" s="357"/>
      <c r="H394" s="357"/>
      <c r="I394" s="357"/>
      <c r="J394" s="390"/>
      <c r="K394" s="390"/>
      <c r="L394" s="357"/>
      <c r="M394" s="357"/>
      <c r="N394" s="357"/>
      <c r="O394" s="357"/>
      <c r="P394" s="357"/>
      <c r="Q394" s="390"/>
      <c r="R394" s="390"/>
      <c r="S394" s="657"/>
      <c r="T394" s="357"/>
      <c r="U394" s="657"/>
      <c r="V394" s="657">
        <f>+U394-'ROR-Model'!G394</f>
        <v>0</v>
      </c>
    </row>
    <row r="395" spans="1:22">
      <c r="A395" s="668"/>
      <c r="B395" s="659"/>
      <c r="C395" s="659" t="s">
        <v>13</v>
      </c>
      <c r="D395" s="659"/>
      <c r="E395" s="669"/>
      <c r="F395" s="357"/>
      <c r="G395" s="357"/>
      <c r="H395" s="357"/>
      <c r="I395" s="357"/>
      <c r="J395" s="390"/>
      <c r="K395" s="390"/>
      <c r="L395" s="357"/>
      <c r="M395" s="357"/>
      <c r="N395" s="357"/>
      <c r="O395" s="357"/>
      <c r="P395" s="357"/>
      <c r="Q395" s="390"/>
      <c r="R395" s="390"/>
      <c r="S395" s="657">
        <f>SUM(F395:R395)</f>
        <v>0</v>
      </c>
      <c r="T395" s="357"/>
      <c r="U395" s="657">
        <f>SUM(S395:S395)</f>
        <v>0</v>
      </c>
      <c r="V395" s="657">
        <f>+U395-'ROR-Model'!G395</f>
        <v>0</v>
      </c>
    </row>
    <row r="396" spans="1:22">
      <c r="A396" s="668"/>
      <c r="B396" s="659"/>
      <c r="C396" s="659" t="s">
        <v>24</v>
      </c>
      <c r="D396" s="659"/>
      <c r="E396" s="669"/>
      <c r="F396" s="357"/>
      <c r="G396" s="357"/>
      <c r="H396" s="357"/>
      <c r="I396" s="357"/>
      <c r="J396" s="390"/>
      <c r="K396" s="390"/>
      <c r="L396" s="357"/>
      <c r="M396" s="357"/>
      <c r="N396" s="357"/>
      <c r="O396" s="357"/>
      <c r="P396" s="357"/>
      <c r="Q396" s="390"/>
      <c r="R396" s="390"/>
      <c r="S396" s="657">
        <f>SUM(F396:R396)</f>
        <v>0</v>
      </c>
      <c r="T396" s="357"/>
      <c r="U396" s="657">
        <f>SUM(S396:S396)</f>
        <v>0</v>
      </c>
      <c r="V396" s="657">
        <f>+U396-'ROR-Model'!G396</f>
        <v>0</v>
      </c>
    </row>
    <row r="397" spans="1:22">
      <c r="A397" s="668"/>
      <c r="B397" s="659"/>
      <c r="C397" s="659" t="s">
        <v>160</v>
      </c>
      <c r="D397" s="659"/>
      <c r="E397" s="669"/>
      <c r="F397" s="388">
        <f>SUM(F395:F396)</f>
        <v>0</v>
      </c>
      <c r="G397" s="388">
        <f>G1*SUM(G395:G396)</f>
        <v>0</v>
      </c>
      <c r="H397" s="388">
        <f>SUM(H395:H396)</f>
        <v>0</v>
      </c>
      <c r="I397" s="388">
        <f t="shared" ref="I397:P397" si="79">SUM(I395:I396)</f>
        <v>0</v>
      </c>
      <c r="J397" s="585">
        <f>J1*SUM(J395:J396)</f>
        <v>0</v>
      </c>
      <c r="K397" s="585">
        <f>K1*SUM(K395:K396)</f>
        <v>0</v>
      </c>
      <c r="L397" s="388">
        <f t="shared" si="79"/>
        <v>0</v>
      </c>
      <c r="M397" s="388">
        <f t="shared" si="79"/>
        <v>0</v>
      </c>
      <c r="N397" s="388">
        <f t="shared" si="79"/>
        <v>0</v>
      </c>
      <c r="O397" s="388">
        <f t="shared" si="79"/>
        <v>0</v>
      </c>
      <c r="P397" s="388">
        <f t="shared" si="79"/>
        <v>0</v>
      </c>
      <c r="Q397" s="585">
        <f>SUM(Q395:Q396)</f>
        <v>0</v>
      </c>
      <c r="R397" s="585">
        <f>R1*SUM(R395:R396)</f>
        <v>0</v>
      </c>
      <c r="S397" s="661">
        <f>SUM(S395:S396)</f>
        <v>0</v>
      </c>
      <c r="T397" s="388"/>
      <c r="U397" s="661">
        <f>SUM(U395:U396)</f>
        <v>0</v>
      </c>
      <c r="V397" s="661">
        <f>+U397-'ROR-Model'!G397</f>
        <v>0</v>
      </c>
    </row>
    <row r="398" spans="1:22">
      <c r="A398" s="668"/>
      <c r="B398" s="659"/>
      <c r="C398" s="659"/>
      <c r="D398" s="659"/>
      <c r="E398" s="669"/>
      <c r="F398" s="357"/>
      <c r="G398" s="357"/>
      <c r="H398" s="357"/>
      <c r="I398" s="357"/>
      <c r="J398" s="390"/>
      <c r="K398" s="390"/>
      <c r="L398" s="357"/>
      <c r="M398" s="357"/>
      <c r="N398" s="357"/>
      <c r="O398" s="357"/>
      <c r="P398" s="357"/>
      <c r="Q398" s="390"/>
      <c r="R398" s="390"/>
      <c r="S398" s="657"/>
      <c r="T398" s="357"/>
      <c r="U398" s="657"/>
      <c r="V398" s="657">
        <f>+U398-'ROR-Model'!G398</f>
        <v>0</v>
      </c>
    </row>
    <row r="399" spans="1:22">
      <c r="A399" s="668">
        <v>4862</v>
      </c>
      <c r="B399" s="659" t="s">
        <v>302</v>
      </c>
      <c r="C399" s="659"/>
      <c r="D399" s="659"/>
      <c r="E399" s="669"/>
      <c r="F399" s="357"/>
      <c r="G399" s="357"/>
      <c r="H399" s="357"/>
      <c r="I399" s="357"/>
      <c r="J399" s="390"/>
      <c r="K399" s="390"/>
      <c r="L399" s="357"/>
      <c r="M399" s="357"/>
      <c r="N399" s="357"/>
      <c r="O399" s="357"/>
      <c r="P399" s="357"/>
      <c r="Q399" s="390"/>
      <c r="R399" s="390"/>
      <c r="S399" s="657"/>
      <c r="T399" s="357"/>
      <c r="U399" s="657"/>
      <c r="V399" s="657">
        <f>+U399-'ROR-Model'!G399</f>
        <v>0</v>
      </c>
    </row>
    <row r="400" spans="1:22">
      <c r="A400" s="668"/>
      <c r="B400" s="659"/>
      <c r="C400" s="659" t="s">
        <v>13</v>
      </c>
      <c r="D400" s="659"/>
      <c r="E400" s="669"/>
      <c r="F400" s="357"/>
      <c r="G400" s="357"/>
      <c r="H400" s="357"/>
      <c r="I400" s="357"/>
      <c r="J400" s="390"/>
      <c r="K400" s="390"/>
      <c r="L400" s="357"/>
      <c r="M400" s="357"/>
      <c r="N400" s="357"/>
      <c r="O400" s="357"/>
      <c r="P400" s="357"/>
      <c r="Q400" s="390"/>
      <c r="R400" s="390"/>
      <c r="S400" s="657">
        <f>SUM(F400:R400)</f>
        <v>0</v>
      </c>
      <c r="T400" s="357"/>
      <c r="U400" s="657">
        <f>SUM(S400:S400)</f>
        <v>0</v>
      </c>
      <c r="V400" s="657">
        <f>+U400-'ROR-Model'!G400</f>
        <v>0</v>
      </c>
    </row>
    <row r="401" spans="1:22">
      <c r="A401" s="668"/>
      <c r="B401" s="659"/>
      <c r="C401" s="659" t="s">
        <v>24</v>
      </c>
      <c r="D401" s="659"/>
      <c r="E401" s="669"/>
      <c r="F401" s="357"/>
      <c r="G401" s="357"/>
      <c r="H401" s="357"/>
      <c r="I401" s="357"/>
      <c r="J401" s="390"/>
      <c r="K401" s="390"/>
      <c r="L401" s="357"/>
      <c r="M401" s="357"/>
      <c r="N401" s="357"/>
      <c r="O401" s="357"/>
      <c r="P401" s="357"/>
      <c r="Q401" s="390"/>
      <c r="R401" s="390"/>
      <c r="S401" s="657">
        <f>SUM(F401:R401)</f>
        <v>0</v>
      </c>
      <c r="T401" s="357"/>
      <c r="U401" s="657">
        <f>SUM(S401:S401)</f>
        <v>0</v>
      </c>
      <c r="V401" s="657">
        <f>+U401-'ROR-Model'!G401</f>
        <v>0</v>
      </c>
    </row>
    <row r="402" spans="1:22">
      <c r="A402" s="668"/>
      <c r="B402" s="659"/>
      <c r="C402" s="659" t="s">
        <v>160</v>
      </c>
      <c r="D402" s="659"/>
      <c r="E402" s="669"/>
      <c r="F402" s="388">
        <f>SUM(F400:F401)</f>
        <v>0</v>
      </c>
      <c r="G402" s="388">
        <f>G1*SUM(G400:G401)</f>
        <v>0</v>
      </c>
      <c r="H402" s="388">
        <f>SUM(H400:H401)</f>
        <v>0</v>
      </c>
      <c r="I402" s="388">
        <f t="shared" ref="I402:P402" si="80">SUM(I400:I401)</f>
        <v>0</v>
      </c>
      <c r="J402" s="585">
        <f>J1*SUM(J400:J401)</f>
        <v>0</v>
      </c>
      <c r="K402" s="585">
        <f>K1*SUM(K400:K401)</f>
        <v>0</v>
      </c>
      <c r="L402" s="388">
        <f t="shared" si="80"/>
        <v>0</v>
      </c>
      <c r="M402" s="388">
        <f t="shared" si="80"/>
        <v>0</v>
      </c>
      <c r="N402" s="388">
        <f t="shared" si="80"/>
        <v>0</v>
      </c>
      <c r="O402" s="388">
        <f t="shared" si="80"/>
        <v>0</v>
      </c>
      <c r="P402" s="388">
        <f t="shared" si="80"/>
        <v>0</v>
      </c>
      <c r="Q402" s="585">
        <f>SUM(Q400:Q401)</f>
        <v>0</v>
      </c>
      <c r="R402" s="585">
        <f>R1*SUM(R400:R401)</f>
        <v>0</v>
      </c>
      <c r="S402" s="661">
        <f>SUM(S400:S401)</f>
        <v>0</v>
      </c>
      <c r="T402" s="388"/>
      <c r="U402" s="661">
        <f>SUM(U400:U401)</f>
        <v>0</v>
      </c>
      <c r="V402" s="661">
        <f>+U402-'ROR-Model'!G402</f>
        <v>0</v>
      </c>
    </row>
    <row r="403" spans="1:22">
      <c r="A403" s="668"/>
      <c r="B403" s="659"/>
      <c r="C403" s="659"/>
      <c r="D403" s="659"/>
      <c r="E403" s="669"/>
      <c r="F403" s="357"/>
      <c r="G403" s="357"/>
      <c r="H403" s="357"/>
      <c r="I403" s="357"/>
      <c r="J403" s="390"/>
      <c r="K403" s="390"/>
      <c r="L403" s="357"/>
      <c r="M403" s="357"/>
      <c r="N403" s="357"/>
      <c r="O403" s="357"/>
      <c r="P403" s="357"/>
      <c r="Q403" s="390"/>
      <c r="R403" s="390"/>
      <c r="S403" s="657"/>
      <c r="T403" s="357"/>
      <c r="U403" s="657"/>
      <c r="V403" s="657">
        <f>+U403-'ROR-Model'!G403</f>
        <v>0</v>
      </c>
    </row>
    <row r="404" spans="1:22">
      <c r="A404" s="668" t="s">
        <v>395</v>
      </c>
      <c r="B404" s="659" t="s">
        <v>303</v>
      </c>
      <c r="C404" s="659"/>
      <c r="D404" s="659"/>
      <c r="E404" s="669"/>
      <c r="F404" s="357"/>
      <c r="G404" s="357"/>
      <c r="H404" s="357"/>
      <c r="I404" s="357"/>
      <c r="J404" s="390"/>
      <c r="K404" s="390"/>
      <c r="L404" s="357"/>
      <c r="M404" s="357"/>
      <c r="N404" s="357"/>
      <c r="O404" s="357"/>
      <c r="P404" s="357"/>
      <c r="Q404" s="390"/>
      <c r="R404" s="390"/>
      <c r="S404" s="657"/>
      <c r="T404" s="357"/>
      <c r="U404" s="657"/>
      <c r="V404" s="657">
        <f>+U404-'ROR-Model'!G404</f>
        <v>0</v>
      </c>
    </row>
    <row r="405" spans="1:22">
      <c r="A405" s="668"/>
      <c r="B405" s="659"/>
      <c r="C405" s="659" t="s">
        <v>13</v>
      </c>
      <c r="D405" s="659"/>
      <c r="E405" s="669"/>
      <c r="F405" s="357"/>
      <c r="G405" s="357"/>
      <c r="H405" s="357"/>
      <c r="I405" s="357"/>
      <c r="J405" s="390"/>
      <c r="K405" s="390"/>
      <c r="L405" s="357"/>
      <c r="M405" s="357"/>
      <c r="N405" s="357"/>
      <c r="O405" s="357"/>
      <c r="P405" s="357"/>
      <c r="Q405" s="390"/>
      <c r="R405" s="390"/>
      <c r="S405" s="657">
        <f>SUM(F405:R405)</f>
        <v>0</v>
      </c>
      <c r="T405" s="357"/>
      <c r="U405" s="657">
        <f>SUM(S405:S405)</f>
        <v>0</v>
      </c>
      <c r="V405" s="657">
        <f>+U405-'ROR-Model'!G405</f>
        <v>0</v>
      </c>
    </row>
    <row r="406" spans="1:22">
      <c r="A406" s="668"/>
      <c r="B406" s="659"/>
      <c r="C406" s="659" t="s">
        <v>24</v>
      </c>
      <c r="D406" s="659"/>
      <c r="E406" s="669"/>
      <c r="F406" s="357"/>
      <c r="G406" s="357"/>
      <c r="H406" s="357"/>
      <c r="I406" s="357"/>
      <c r="J406" s="390"/>
      <c r="K406" s="390"/>
      <c r="L406" s="357"/>
      <c r="M406" s="357"/>
      <c r="N406" s="357"/>
      <c r="O406" s="357"/>
      <c r="P406" s="357"/>
      <c r="Q406" s="390"/>
      <c r="R406" s="390"/>
      <c r="S406" s="657">
        <f>SUM(F406:R406)</f>
        <v>0</v>
      </c>
      <c r="T406" s="357"/>
      <c r="U406" s="657">
        <f>SUM(S406:S406)</f>
        <v>0</v>
      </c>
      <c r="V406" s="657">
        <f>+U406-'ROR-Model'!G406</f>
        <v>0</v>
      </c>
    </row>
    <row r="407" spans="1:22">
      <c r="A407" s="668"/>
      <c r="B407" s="659"/>
      <c r="C407" s="659" t="s">
        <v>160</v>
      </c>
      <c r="D407" s="659"/>
      <c r="E407" s="669"/>
      <c r="F407" s="388">
        <f>SUM(F405:F406)</f>
        <v>0</v>
      </c>
      <c r="G407" s="388">
        <f>G1*SUM(G405:G406)</f>
        <v>0</v>
      </c>
      <c r="H407" s="388">
        <f>SUM(H405:H406)</f>
        <v>0</v>
      </c>
      <c r="I407" s="388">
        <f t="shared" ref="I407:P407" si="81">SUM(I405:I406)</f>
        <v>0</v>
      </c>
      <c r="J407" s="585">
        <f>J1*SUM(J405:J406)</f>
        <v>0</v>
      </c>
      <c r="K407" s="585">
        <f>K1*SUM(K405:K406)</f>
        <v>0</v>
      </c>
      <c r="L407" s="388">
        <f t="shared" si="81"/>
        <v>0</v>
      </c>
      <c r="M407" s="388">
        <f t="shared" si="81"/>
        <v>0</v>
      </c>
      <c r="N407" s="388">
        <f t="shared" si="81"/>
        <v>0</v>
      </c>
      <c r="O407" s="388">
        <f t="shared" si="81"/>
        <v>0</v>
      </c>
      <c r="P407" s="388">
        <f t="shared" si="81"/>
        <v>0</v>
      </c>
      <c r="Q407" s="585">
        <f>SUM(Q405:Q406)</f>
        <v>0</v>
      </c>
      <c r="R407" s="585">
        <f>R1*SUM(R405:R406)</f>
        <v>0</v>
      </c>
      <c r="S407" s="661">
        <f>SUM(S405:S406)</f>
        <v>0</v>
      </c>
      <c r="T407" s="388"/>
      <c r="U407" s="661">
        <f>SUM(U405:U406)</f>
        <v>0</v>
      </c>
      <c r="V407" s="661">
        <f>+U407-'ROR-Model'!G407</f>
        <v>0</v>
      </c>
    </row>
    <row r="408" spans="1:22">
      <c r="A408" s="668"/>
      <c r="B408" s="659"/>
      <c r="C408" s="659"/>
      <c r="D408" s="659"/>
      <c r="E408" s="669"/>
      <c r="F408" s="357"/>
      <c r="G408" s="357"/>
      <c r="H408" s="357"/>
      <c r="I408" s="357"/>
      <c r="J408" s="390"/>
      <c r="K408" s="390"/>
      <c r="L408" s="357"/>
      <c r="M408" s="357"/>
      <c r="N408" s="357"/>
      <c r="O408" s="357"/>
      <c r="P408" s="357"/>
      <c r="Q408" s="390"/>
      <c r="R408" s="390"/>
      <c r="S408" s="657"/>
      <c r="T408" s="357"/>
      <c r="U408" s="657"/>
      <c r="V408" s="657">
        <f>+U408-'ROR-Model'!G408</f>
        <v>0</v>
      </c>
    </row>
    <row r="409" spans="1:22">
      <c r="A409" s="668" t="s">
        <v>396</v>
      </c>
      <c r="B409" s="659" t="s">
        <v>304</v>
      </c>
      <c r="C409" s="659"/>
      <c r="D409" s="659"/>
      <c r="E409" s="669"/>
      <c r="F409" s="357"/>
      <c r="G409" s="357"/>
      <c r="H409" s="357"/>
      <c r="I409" s="357"/>
      <c r="J409" s="390"/>
      <c r="K409" s="390"/>
      <c r="L409" s="357"/>
      <c r="M409" s="357"/>
      <c r="N409" s="357"/>
      <c r="O409" s="357"/>
      <c r="P409" s="357"/>
      <c r="Q409" s="390"/>
      <c r="R409" s="390"/>
      <c r="S409" s="657"/>
      <c r="T409" s="357"/>
      <c r="U409" s="657"/>
      <c r="V409" s="657">
        <f>+U409-'ROR-Model'!G409</f>
        <v>0</v>
      </c>
    </row>
    <row r="410" spans="1:22">
      <c r="A410" s="668"/>
      <c r="B410" s="659"/>
      <c r="C410" s="659" t="s">
        <v>13</v>
      </c>
      <c r="D410" s="659"/>
      <c r="E410" s="669"/>
      <c r="F410" s="357"/>
      <c r="G410" s="357"/>
      <c r="H410" s="357"/>
      <c r="I410" s="357"/>
      <c r="J410" s="390"/>
      <c r="K410" s="390"/>
      <c r="L410" s="357"/>
      <c r="M410" s="357"/>
      <c r="N410" s="357"/>
      <c r="O410" s="357"/>
      <c r="P410" s="357"/>
      <c r="Q410" s="390"/>
      <c r="R410" s="390"/>
      <c r="S410" s="657">
        <f>SUM(F410:R410)</f>
        <v>0</v>
      </c>
      <c r="T410" s="357"/>
      <c r="U410" s="657">
        <f>SUM(S410:S410)</f>
        <v>0</v>
      </c>
      <c r="V410" s="657">
        <f>+U410-'ROR-Model'!G410</f>
        <v>0</v>
      </c>
    </row>
    <row r="411" spans="1:22">
      <c r="A411" s="668"/>
      <c r="B411" s="659"/>
      <c r="C411" s="659" t="s">
        <v>24</v>
      </c>
      <c r="D411" s="659"/>
      <c r="E411" s="669"/>
      <c r="F411" s="357"/>
      <c r="G411" s="357"/>
      <c r="H411" s="357"/>
      <c r="I411" s="357"/>
      <c r="J411" s="390"/>
      <c r="K411" s="390"/>
      <c r="L411" s="357"/>
      <c r="M411" s="357"/>
      <c r="N411" s="357"/>
      <c r="O411" s="357"/>
      <c r="P411" s="357"/>
      <c r="Q411" s="390"/>
      <c r="R411" s="390"/>
      <c r="S411" s="657">
        <f>SUM(F411:R411)</f>
        <v>0</v>
      </c>
      <c r="T411" s="357"/>
      <c r="U411" s="657">
        <f>SUM(S411:S411)</f>
        <v>0</v>
      </c>
      <c r="V411" s="657">
        <f>+U411-'ROR-Model'!G411</f>
        <v>0</v>
      </c>
    </row>
    <row r="412" spans="1:22">
      <c r="A412" s="668"/>
      <c r="B412" s="659"/>
      <c r="C412" s="659" t="s">
        <v>160</v>
      </c>
      <c r="D412" s="659"/>
      <c r="E412" s="669"/>
      <c r="F412" s="388">
        <f>SUM(F410:F411)</f>
        <v>0</v>
      </c>
      <c r="G412" s="388">
        <f>G1*SUM(G410:G411)</f>
        <v>0</v>
      </c>
      <c r="H412" s="388">
        <f>SUM(H410:H411)</f>
        <v>0</v>
      </c>
      <c r="I412" s="388">
        <f t="shared" ref="I412:P412" si="82">SUM(I410:I411)</f>
        <v>0</v>
      </c>
      <c r="J412" s="585">
        <f>J1*SUM(J410:J411)</f>
        <v>0</v>
      </c>
      <c r="K412" s="585">
        <f>K1*SUM(K410:K411)</f>
        <v>0</v>
      </c>
      <c r="L412" s="388">
        <f t="shared" si="82"/>
        <v>0</v>
      </c>
      <c r="M412" s="388">
        <f t="shared" si="82"/>
        <v>0</v>
      </c>
      <c r="N412" s="388">
        <f t="shared" si="82"/>
        <v>0</v>
      </c>
      <c r="O412" s="388">
        <f t="shared" si="82"/>
        <v>0</v>
      </c>
      <c r="P412" s="388">
        <f t="shared" si="82"/>
        <v>0</v>
      </c>
      <c r="Q412" s="585">
        <f>SUM(Q410:Q411)</f>
        <v>0</v>
      </c>
      <c r="R412" s="585">
        <f>R1*SUM(R410:R411)</f>
        <v>0</v>
      </c>
      <c r="S412" s="661">
        <f>SUM(S410:S411)</f>
        <v>0</v>
      </c>
      <c r="T412" s="388"/>
      <c r="U412" s="661">
        <f>SUM(U410:U411)</f>
        <v>0</v>
      </c>
      <c r="V412" s="661">
        <f>+U412-'ROR-Model'!G412</f>
        <v>0</v>
      </c>
    </row>
    <row r="413" spans="1:22">
      <c r="A413" s="668"/>
      <c r="B413" s="659"/>
      <c r="C413" s="659"/>
      <c r="D413" s="659"/>
      <c r="E413" s="669"/>
      <c r="F413" s="357"/>
      <c r="G413" s="357"/>
      <c r="H413" s="357"/>
      <c r="I413" s="357"/>
      <c r="J413" s="390"/>
      <c r="K413" s="390"/>
      <c r="L413" s="357"/>
      <c r="M413" s="357"/>
      <c r="N413" s="357"/>
      <c r="O413" s="357"/>
      <c r="P413" s="357"/>
      <c r="Q413" s="390"/>
      <c r="R413" s="390"/>
      <c r="S413" s="657"/>
      <c r="T413" s="357"/>
      <c r="U413" s="657"/>
      <c r="V413" s="657">
        <f>+U413-'ROR-Model'!G413</f>
        <v>0</v>
      </c>
    </row>
    <row r="414" spans="1:22">
      <c r="A414" s="668" t="s">
        <v>397</v>
      </c>
      <c r="B414" s="659" t="s">
        <v>305</v>
      </c>
      <c r="C414" s="659"/>
      <c r="D414" s="659"/>
      <c r="E414" s="669"/>
      <c r="F414" s="357"/>
      <c r="G414" s="357"/>
      <c r="H414" s="357"/>
      <c r="I414" s="357"/>
      <c r="J414" s="390"/>
      <c r="K414" s="390"/>
      <c r="L414" s="357"/>
      <c r="M414" s="357"/>
      <c r="N414" s="357"/>
      <c r="O414" s="357"/>
      <c r="P414" s="357"/>
      <c r="Q414" s="390"/>
      <c r="R414" s="390"/>
      <c r="S414" s="657"/>
      <c r="T414" s="357"/>
      <c r="U414" s="657"/>
      <c r="V414" s="657">
        <f>+U414-'ROR-Model'!G414</f>
        <v>0</v>
      </c>
    </row>
    <row r="415" spans="1:22">
      <c r="A415" s="668"/>
      <c r="B415" s="659"/>
      <c r="C415" s="659" t="s">
        <v>13</v>
      </c>
      <c r="D415" s="659"/>
      <c r="E415" s="669"/>
      <c r="F415" s="357"/>
      <c r="G415" s="357"/>
      <c r="H415" s="357"/>
      <c r="I415" s="357"/>
      <c r="J415" s="390"/>
      <c r="K415" s="390"/>
      <c r="L415" s="357"/>
      <c r="M415" s="357"/>
      <c r="N415" s="357"/>
      <c r="O415" s="357"/>
      <c r="P415" s="357"/>
      <c r="Q415" s="390"/>
      <c r="R415" s="390"/>
      <c r="S415" s="657">
        <f>SUM(F415:R415)</f>
        <v>0</v>
      </c>
      <c r="T415" s="357"/>
      <c r="U415" s="657">
        <f>SUM(S415:S415)</f>
        <v>0</v>
      </c>
      <c r="V415" s="657">
        <f>+U415-'ROR-Model'!G415</f>
        <v>0</v>
      </c>
    </row>
    <row r="416" spans="1:22">
      <c r="A416" s="668"/>
      <c r="B416" s="659"/>
      <c r="C416" s="659" t="s">
        <v>24</v>
      </c>
      <c r="D416" s="659"/>
      <c r="E416" s="669"/>
      <c r="F416" s="357"/>
      <c r="G416" s="357"/>
      <c r="H416" s="357"/>
      <c r="I416" s="357"/>
      <c r="J416" s="390"/>
      <c r="K416" s="390"/>
      <c r="L416" s="357"/>
      <c r="M416" s="357"/>
      <c r="N416" s="357"/>
      <c r="O416" s="357"/>
      <c r="P416" s="357"/>
      <c r="Q416" s="390"/>
      <c r="R416" s="390"/>
      <c r="S416" s="657">
        <f>SUM(F416:R416)</f>
        <v>0</v>
      </c>
      <c r="T416" s="357"/>
      <c r="U416" s="657">
        <f>SUM(S416:S416)</f>
        <v>0</v>
      </c>
      <c r="V416" s="657">
        <f>+U416-'ROR-Model'!G416</f>
        <v>0</v>
      </c>
    </row>
    <row r="417" spans="1:22">
      <c r="A417" s="668"/>
      <c r="B417" s="659"/>
      <c r="C417" s="659" t="s">
        <v>160</v>
      </c>
      <c r="D417" s="659"/>
      <c r="E417" s="669"/>
      <c r="F417" s="388">
        <f>SUM(F415:F416)</f>
        <v>0</v>
      </c>
      <c r="G417" s="388">
        <f>G1*SUM(G415:G416)</f>
        <v>0</v>
      </c>
      <c r="H417" s="388">
        <f>SUM(H415:H416)</f>
        <v>0</v>
      </c>
      <c r="I417" s="388">
        <f t="shared" ref="I417:P417" si="83">SUM(I415:I416)</f>
        <v>0</v>
      </c>
      <c r="J417" s="585">
        <f>J1*SUM(J415:J416)</f>
        <v>0</v>
      </c>
      <c r="K417" s="585">
        <f>K1*SUM(K415:K416)</f>
        <v>0</v>
      </c>
      <c r="L417" s="388">
        <f t="shared" si="83"/>
        <v>0</v>
      </c>
      <c r="M417" s="388">
        <f t="shared" si="83"/>
        <v>0</v>
      </c>
      <c r="N417" s="388">
        <f t="shared" si="83"/>
        <v>0</v>
      </c>
      <c r="O417" s="388">
        <f t="shared" si="83"/>
        <v>0</v>
      </c>
      <c r="P417" s="388">
        <f t="shared" si="83"/>
        <v>0</v>
      </c>
      <c r="Q417" s="585">
        <f>SUM(Q415:Q416)</f>
        <v>0</v>
      </c>
      <c r="R417" s="585">
        <f>R1*SUM(R415:R416)</f>
        <v>0</v>
      </c>
      <c r="S417" s="661">
        <f>SUM(S415:S416)</f>
        <v>0</v>
      </c>
      <c r="T417" s="388"/>
      <c r="U417" s="661">
        <f>SUM(U415:U416)</f>
        <v>0</v>
      </c>
      <c r="V417" s="661">
        <f>+U417-'ROR-Model'!G417</f>
        <v>0</v>
      </c>
    </row>
    <row r="418" spans="1:22">
      <c r="A418" s="668"/>
      <c r="B418" s="659"/>
      <c r="C418" s="659"/>
      <c r="D418" s="659"/>
      <c r="E418" s="669"/>
      <c r="F418" s="357"/>
      <c r="G418" s="357"/>
      <c r="H418" s="357"/>
      <c r="I418" s="357"/>
      <c r="J418" s="390"/>
      <c r="K418" s="390"/>
      <c r="L418" s="357"/>
      <c r="M418" s="357"/>
      <c r="N418" s="357"/>
      <c r="O418" s="357"/>
      <c r="P418" s="357"/>
      <c r="Q418" s="390"/>
      <c r="R418" s="390"/>
      <c r="S418" s="657"/>
      <c r="T418" s="357"/>
      <c r="U418" s="657"/>
      <c r="V418" s="657">
        <f>+U418-'ROR-Model'!G418</f>
        <v>0</v>
      </c>
    </row>
    <row r="419" spans="1:22">
      <c r="A419" s="668" t="s">
        <v>398</v>
      </c>
      <c r="B419" s="659" t="s">
        <v>399</v>
      </c>
      <c r="C419" s="659"/>
      <c r="D419" s="659"/>
      <c r="E419" s="669"/>
      <c r="F419" s="357"/>
      <c r="G419" s="357"/>
      <c r="H419" s="357"/>
      <c r="I419" s="357"/>
      <c r="J419" s="390"/>
      <c r="K419" s="390"/>
      <c r="L419" s="357"/>
      <c r="M419" s="357"/>
      <c r="N419" s="357"/>
      <c r="O419" s="357"/>
      <c r="P419" s="357"/>
      <c r="Q419" s="390"/>
      <c r="R419" s="390"/>
      <c r="S419" s="657"/>
      <c r="T419" s="357"/>
      <c r="U419" s="657"/>
      <c r="V419" s="657">
        <f>+U419-'ROR-Model'!G419</f>
        <v>0</v>
      </c>
    </row>
    <row r="420" spans="1:22">
      <c r="A420" s="668"/>
      <c r="B420" s="659"/>
      <c r="C420" s="659" t="s">
        <v>13</v>
      </c>
      <c r="D420" s="659"/>
      <c r="E420" s="669"/>
      <c r="F420" s="357"/>
      <c r="G420" s="357"/>
      <c r="H420" s="357"/>
      <c r="I420" s="357"/>
      <c r="J420" s="390"/>
      <c r="K420" s="390"/>
      <c r="L420" s="357"/>
      <c r="M420" s="357"/>
      <c r="N420" s="357"/>
      <c r="O420" s="357"/>
      <c r="P420" s="357"/>
      <c r="Q420" s="390"/>
      <c r="R420" s="390"/>
      <c r="S420" s="657">
        <f>SUM(F420:R420)</f>
        <v>0</v>
      </c>
      <c r="T420" s="357"/>
      <c r="U420" s="657">
        <f>SUM(S420:S420)</f>
        <v>0</v>
      </c>
      <c r="V420" s="657">
        <f>+U420-'ROR-Model'!G420</f>
        <v>0</v>
      </c>
    </row>
    <row r="421" spans="1:22">
      <c r="A421" s="668"/>
      <c r="B421" s="659"/>
      <c r="C421" s="659" t="s">
        <v>24</v>
      </c>
      <c r="D421" s="659"/>
      <c r="E421" s="669"/>
      <c r="F421" s="357"/>
      <c r="G421" s="357"/>
      <c r="H421" s="357"/>
      <c r="I421" s="357"/>
      <c r="J421" s="390"/>
      <c r="K421" s="390"/>
      <c r="L421" s="357"/>
      <c r="M421" s="357"/>
      <c r="N421" s="357"/>
      <c r="O421" s="357"/>
      <c r="P421" s="357"/>
      <c r="Q421" s="390"/>
      <c r="R421" s="390"/>
      <c r="S421" s="657">
        <f>SUM(F421:R421)</f>
        <v>0</v>
      </c>
      <c r="T421" s="357"/>
      <c r="U421" s="657">
        <f>SUM(S421:S421)</f>
        <v>0</v>
      </c>
      <c r="V421" s="657">
        <f>+U421-'ROR-Model'!G421</f>
        <v>0</v>
      </c>
    </row>
    <row r="422" spans="1:22">
      <c r="A422" s="668"/>
      <c r="B422" s="659"/>
      <c r="C422" s="659" t="s">
        <v>160</v>
      </c>
      <c r="D422" s="659"/>
      <c r="E422" s="669"/>
      <c r="F422" s="388">
        <f>SUM(F420:F421)</f>
        <v>0</v>
      </c>
      <c r="G422" s="388">
        <f>G1*SUM(G420:G421)</f>
        <v>0</v>
      </c>
      <c r="H422" s="388">
        <f>SUM(H420:H421)</f>
        <v>0</v>
      </c>
      <c r="I422" s="388">
        <f t="shared" ref="I422:P422" si="84">SUM(I420:I421)</f>
        <v>0</v>
      </c>
      <c r="J422" s="585">
        <f>J1*SUM(J420:J421)</f>
        <v>0</v>
      </c>
      <c r="K422" s="585">
        <f>K1*SUM(K420:K421)</f>
        <v>0</v>
      </c>
      <c r="L422" s="388">
        <f t="shared" si="84"/>
        <v>0</v>
      </c>
      <c r="M422" s="388">
        <f t="shared" si="84"/>
        <v>0</v>
      </c>
      <c r="N422" s="388">
        <f t="shared" si="84"/>
        <v>0</v>
      </c>
      <c r="O422" s="388">
        <f t="shared" si="84"/>
        <v>0</v>
      </c>
      <c r="P422" s="388">
        <f t="shared" si="84"/>
        <v>0</v>
      </c>
      <c r="Q422" s="585">
        <f>SUM(Q420:Q421)</f>
        <v>0</v>
      </c>
      <c r="R422" s="585">
        <f>R1*SUM(R420:R421)</f>
        <v>0</v>
      </c>
      <c r="S422" s="661">
        <f>SUM(S420:S421)</f>
        <v>0</v>
      </c>
      <c r="T422" s="388"/>
      <c r="U422" s="661">
        <f>SUM(U420:U421)</f>
        <v>0</v>
      </c>
      <c r="V422" s="661">
        <f>+U422-'ROR-Model'!G422</f>
        <v>0</v>
      </c>
    </row>
    <row r="423" spans="1:22">
      <c r="A423" s="668"/>
      <c r="B423" s="659"/>
      <c r="C423" s="659"/>
      <c r="D423" s="659"/>
      <c r="E423" s="669"/>
      <c r="F423" s="357"/>
      <c r="G423" s="357"/>
      <c r="H423" s="357"/>
      <c r="I423" s="357"/>
      <c r="J423" s="390"/>
      <c r="K423" s="390"/>
      <c r="L423" s="357"/>
      <c r="M423" s="357"/>
      <c r="N423" s="357"/>
      <c r="O423" s="357"/>
      <c r="P423" s="357"/>
      <c r="Q423" s="390"/>
      <c r="R423" s="390"/>
      <c r="S423" s="657"/>
      <c r="T423" s="357"/>
      <c r="U423" s="657"/>
      <c r="V423" s="657">
        <f>+U423-'ROR-Model'!G423</f>
        <v>0</v>
      </c>
    </row>
    <row r="424" spans="1:22">
      <c r="A424" s="668" t="s">
        <v>400</v>
      </c>
      <c r="B424" s="659" t="s">
        <v>306</v>
      </c>
      <c r="C424" s="659"/>
      <c r="D424" s="659"/>
      <c r="E424" s="669"/>
      <c r="F424" s="357"/>
      <c r="G424" s="357"/>
      <c r="H424" s="357"/>
      <c r="I424" s="357"/>
      <c r="J424" s="390"/>
      <c r="K424" s="390"/>
      <c r="L424" s="357"/>
      <c r="M424" s="357"/>
      <c r="N424" s="357"/>
      <c r="O424" s="357"/>
      <c r="P424" s="357"/>
      <c r="Q424" s="390"/>
      <c r="R424" s="390"/>
      <c r="S424" s="657"/>
      <c r="T424" s="357"/>
      <c r="U424" s="657"/>
      <c r="V424" s="657">
        <f>+U424-'ROR-Model'!G424</f>
        <v>0</v>
      </c>
    </row>
    <row r="425" spans="1:22">
      <c r="A425" s="668"/>
      <c r="B425" s="659"/>
      <c r="C425" s="659" t="s">
        <v>13</v>
      </c>
      <c r="D425" s="659"/>
      <c r="E425" s="669"/>
      <c r="F425" s="357"/>
      <c r="G425" s="357"/>
      <c r="H425" s="357"/>
      <c r="I425" s="357"/>
      <c r="J425" s="390"/>
      <c r="K425" s="390"/>
      <c r="L425" s="357"/>
      <c r="M425" s="357"/>
      <c r="N425" s="357"/>
      <c r="O425" s="357"/>
      <c r="P425" s="357"/>
      <c r="Q425" s="390"/>
      <c r="R425" s="390"/>
      <c r="S425" s="657">
        <f>SUM(F425:R425)</f>
        <v>0</v>
      </c>
      <c r="T425" s="357"/>
      <c r="U425" s="657">
        <f>SUM(S425:S425)</f>
        <v>0</v>
      </c>
      <c r="V425" s="657">
        <f>+U425-'ROR-Model'!G425</f>
        <v>0</v>
      </c>
    </row>
    <row r="426" spans="1:22">
      <c r="A426" s="668"/>
      <c r="B426" s="659"/>
      <c r="C426" s="659" t="s">
        <v>24</v>
      </c>
      <c r="D426" s="659"/>
      <c r="E426" s="669"/>
      <c r="F426" s="357"/>
      <c r="G426" s="357"/>
      <c r="H426" s="357"/>
      <c r="I426" s="357"/>
      <c r="J426" s="390"/>
      <c r="K426" s="390"/>
      <c r="L426" s="357"/>
      <c r="M426" s="357"/>
      <c r="N426" s="357"/>
      <c r="O426" s="357"/>
      <c r="P426" s="357"/>
      <c r="Q426" s="390"/>
      <c r="R426" s="390"/>
      <c r="S426" s="657">
        <f>SUM(F426:R426)</f>
        <v>0</v>
      </c>
      <c r="T426" s="357"/>
      <c r="U426" s="657">
        <f>SUM(S426:S426)</f>
        <v>0</v>
      </c>
      <c r="V426" s="657">
        <f>+U426-'ROR-Model'!G426</f>
        <v>0</v>
      </c>
    </row>
    <row r="427" spans="1:22">
      <c r="A427" s="668"/>
      <c r="B427" s="659"/>
      <c r="C427" s="659" t="s">
        <v>160</v>
      </c>
      <c r="D427" s="659"/>
      <c r="E427" s="669"/>
      <c r="F427" s="388">
        <f>SUM(F425:F426)</f>
        <v>0</v>
      </c>
      <c r="G427" s="388">
        <f>G1*SUM(G425:G426)</f>
        <v>0</v>
      </c>
      <c r="H427" s="388">
        <f>SUM(H425:H426)</f>
        <v>0</v>
      </c>
      <c r="I427" s="388">
        <f t="shared" ref="I427:P427" si="85">SUM(I425:I426)</f>
        <v>0</v>
      </c>
      <c r="J427" s="585">
        <f>J1*SUM(J425:J426)</f>
        <v>0</v>
      </c>
      <c r="K427" s="585">
        <f>K1*SUM(K425:K426)</f>
        <v>0</v>
      </c>
      <c r="L427" s="388">
        <f t="shared" si="85"/>
        <v>0</v>
      </c>
      <c r="M427" s="388">
        <f t="shared" si="85"/>
        <v>0</v>
      </c>
      <c r="N427" s="388">
        <f t="shared" si="85"/>
        <v>0</v>
      </c>
      <c r="O427" s="388">
        <f t="shared" si="85"/>
        <v>0</v>
      </c>
      <c r="P427" s="388">
        <f t="shared" si="85"/>
        <v>0</v>
      </c>
      <c r="Q427" s="585">
        <f>SUM(Q425:Q426)</f>
        <v>0</v>
      </c>
      <c r="R427" s="585">
        <f>R1*SUM(R425:R426)</f>
        <v>0</v>
      </c>
      <c r="S427" s="661">
        <f>SUM(S425:S426)</f>
        <v>0</v>
      </c>
      <c r="T427" s="388"/>
      <c r="U427" s="661">
        <f>SUM(U425:U426)</f>
        <v>0</v>
      </c>
      <c r="V427" s="661">
        <f>+U427-'ROR-Model'!G427</f>
        <v>0</v>
      </c>
    </row>
    <row r="428" spans="1:22">
      <c r="A428" s="668"/>
      <c r="B428" s="659"/>
      <c r="C428" s="659"/>
      <c r="D428" s="659"/>
      <c r="E428" s="669"/>
      <c r="F428" s="357"/>
      <c r="G428" s="357"/>
      <c r="H428" s="357"/>
      <c r="I428" s="357"/>
      <c r="J428" s="390"/>
      <c r="K428" s="390"/>
      <c r="L428" s="357"/>
      <c r="M428" s="357"/>
      <c r="N428" s="357"/>
      <c r="O428" s="357"/>
      <c r="P428" s="357"/>
      <c r="Q428" s="390"/>
      <c r="R428" s="390"/>
      <c r="S428" s="657"/>
      <c r="T428" s="357"/>
      <c r="U428" s="657"/>
      <c r="V428" s="657">
        <f>+U428-'ROR-Model'!G428</f>
        <v>0</v>
      </c>
    </row>
    <row r="429" spans="1:22">
      <c r="A429" s="670" t="s">
        <v>401</v>
      </c>
      <c r="B429" s="659" t="s">
        <v>307</v>
      </c>
      <c r="C429" s="659"/>
      <c r="D429" s="659"/>
      <c r="E429" s="669"/>
      <c r="F429" s="357"/>
      <c r="G429" s="357"/>
      <c r="H429" s="357"/>
      <c r="I429" s="357"/>
      <c r="J429" s="390"/>
      <c r="K429" s="390"/>
      <c r="L429" s="357"/>
      <c r="M429" s="357"/>
      <c r="N429" s="357"/>
      <c r="O429" s="357"/>
      <c r="P429" s="357"/>
      <c r="Q429" s="390"/>
      <c r="R429" s="390"/>
      <c r="S429" s="657"/>
      <c r="T429" s="357"/>
      <c r="U429" s="657"/>
      <c r="V429" s="657">
        <f>+U429-'ROR-Model'!G429</f>
        <v>0</v>
      </c>
    </row>
    <row r="430" spans="1:22">
      <c r="A430" s="668"/>
      <c r="B430" s="659"/>
      <c r="C430" s="659" t="s">
        <v>13</v>
      </c>
      <c r="D430" s="659"/>
      <c r="E430" s="669"/>
      <c r="F430" s="357"/>
      <c r="G430" s="357"/>
      <c r="H430" s="357"/>
      <c r="I430" s="357"/>
      <c r="J430" s="390"/>
      <c r="K430" s="390"/>
      <c r="L430" s="357"/>
      <c r="M430" s="357"/>
      <c r="N430" s="357"/>
      <c r="O430" s="357"/>
      <c r="P430" s="357"/>
      <c r="Q430" s="390"/>
      <c r="R430" s="390"/>
      <c r="S430" s="657">
        <f>SUM(F430:R430)</f>
        <v>0</v>
      </c>
      <c r="T430" s="357"/>
      <c r="U430" s="657">
        <f>SUM(S430:S430)</f>
        <v>0</v>
      </c>
      <c r="V430" s="657">
        <f>+U430-'ROR-Model'!G430</f>
        <v>0</v>
      </c>
    </row>
    <row r="431" spans="1:22">
      <c r="A431" s="668"/>
      <c r="B431" s="659"/>
      <c r="C431" s="659" t="s">
        <v>24</v>
      </c>
      <c r="D431" s="659"/>
      <c r="E431" s="669"/>
      <c r="F431" s="357"/>
      <c r="G431" s="357"/>
      <c r="H431" s="357"/>
      <c r="I431" s="357"/>
      <c r="J431" s="390"/>
      <c r="K431" s="390"/>
      <c r="L431" s="357"/>
      <c r="M431" s="357"/>
      <c r="N431" s="357"/>
      <c r="O431" s="357"/>
      <c r="P431" s="357"/>
      <c r="Q431" s="390"/>
      <c r="R431" s="390"/>
      <c r="S431" s="657">
        <f>SUM(F431:R431)</f>
        <v>0</v>
      </c>
      <c r="T431" s="357"/>
      <c r="U431" s="657">
        <f>SUM(S431:S431)</f>
        <v>0</v>
      </c>
      <c r="V431" s="657">
        <f>+U431-'ROR-Model'!G431</f>
        <v>0</v>
      </c>
    </row>
    <row r="432" spans="1:22">
      <c r="A432" s="668"/>
      <c r="B432" s="659"/>
      <c r="C432" s="659" t="s">
        <v>160</v>
      </c>
      <c r="D432" s="659"/>
      <c r="E432" s="669"/>
      <c r="F432" s="388">
        <f>SUM(F430:F431)</f>
        <v>0</v>
      </c>
      <c r="G432" s="388">
        <f>G1*SUM(G430:G431)</f>
        <v>0</v>
      </c>
      <c r="H432" s="388">
        <f>SUM(H430:H431)</f>
        <v>0</v>
      </c>
      <c r="I432" s="388">
        <f t="shared" ref="I432:P432" si="86">SUM(I430:I431)</f>
        <v>0</v>
      </c>
      <c r="J432" s="585">
        <f>J1*SUM(J430:J431)</f>
        <v>0</v>
      </c>
      <c r="K432" s="585">
        <f>K1*SUM(K430:K431)</f>
        <v>0</v>
      </c>
      <c r="L432" s="388">
        <f t="shared" si="86"/>
        <v>0</v>
      </c>
      <c r="M432" s="388">
        <f t="shared" si="86"/>
        <v>0</v>
      </c>
      <c r="N432" s="388">
        <f t="shared" si="86"/>
        <v>0</v>
      </c>
      <c r="O432" s="388">
        <f t="shared" si="86"/>
        <v>0</v>
      </c>
      <c r="P432" s="388">
        <f t="shared" si="86"/>
        <v>0</v>
      </c>
      <c r="Q432" s="585">
        <f>SUM(Q430:Q431)</f>
        <v>0</v>
      </c>
      <c r="R432" s="585">
        <f>R1*SUM(R430:R431)</f>
        <v>0</v>
      </c>
      <c r="S432" s="661">
        <f>SUM(S430:S431)</f>
        <v>0</v>
      </c>
      <c r="T432" s="388"/>
      <c r="U432" s="661">
        <f>SUM(U430:U431)</f>
        <v>0</v>
      </c>
      <c r="V432" s="661">
        <f>+U432-'ROR-Model'!G432</f>
        <v>0</v>
      </c>
    </row>
    <row r="433" spans="1:22">
      <c r="A433" s="668"/>
      <c r="B433" s="659"/>
      <c r="C433" s="659"/>
      <c r="D433" s="659"/>
      <c r="E433" s="669"/>
      <c r="F433" s="357"/>
      <c r="G433" s="357"/>
      <c r="H433" s="357"/>
      <c r="I433" s="357"/>
      <c r="J433" s="390"/>
      <c r="K433" s="390"/>
      <c r="L433" s="357"/>
      <c r="M433" s="357"/>
      <c r="N433" s="357"/>
      <c r="O433" s="357"/>
      <c r="P433" s="357"/>
      <c r="Q433" s="390"/>
      <c r="R433" s="390"/>
      <c r="S433" s="657"/>
      <c r="T433" s="357"/>
      <c r="U433" s="657"/>
      <c r="V433" s="657">
        <f>+U433-'ROR-Model'!G433</f>
        <v>0</v>
      </c>
    </row>
    <row r="434" spans="1:22">
      <c r="A434" s="668" t="s">
        <v>402</v>
      </c>
      <c r="B434" s="659" t="s">
        <v>309</v>
      </c>
      <c r="C434" s="659"/>
      <c r="D434" s="659"/>
      <c r="E434" s="669"/>
      <c r="F434" s="357"/>
      <c r="G434" s="357"/>
      <c r="H434" s="357"/>
      <c r="I434" s="357"/>
      <c r="J434" s="390"/>
      <c r="K434" s="390"/>
      <c r="L434" s="357"/>
      <c r="M434" s="357"/>
      <c r="N434" s="357"/>
      <c r="O434" s="357"/>
      <c r="P434" s="357"/>
      <c r="Q434" s="390"/>
      <c r="R434" s="390"/>
      <c r="S434" s="657"/>
      <c r="T434" s="357"/>
      <c r="U434" s="657"/>
      <c r="V434" s="657">
        <f>+U434-'ROR-Model'!G434</f>
        <v>0</v>
      </c>
    </row>
    <row r="435" spans="1:22">
      <c r="A435" s="668"/>
      <c r="B435" s="659"/>
      <c r="C435" s="659" t="s">
        <v>13</v>
      </c>
      <c r="D435" s="659"/>
      <c r="E435" s="669"/>
      <c r="F435" s="357"/>
      <c r="G435" s="357"/>
      <c r="H435" s="357"/>
      <c r="I435" s="357"/>
      <c r="J435" s="390"/>
      <c r="K435" s="390"/>
      <c r="L435" s="357"/>
      <c r="M435" s="357"/>
      <c r="N435" s="357"/>
      <c r="O435" s="357"/>
      <c r="P435" s="357"/>
      <c r="Q435" s="390"/>
      <c r="R435" s="390"/>
      <c r="S435" s="657">
        <f>SUM(F435:R435)</f>
        <v>0</v>
      </c>
      <c r="T435" s="357"/>
      <c r="U435" s="657">
        <f>SUM(S435:S435)</f>
        <v>0</v>
      </c>
      <c r="V435" s="657">
        <f>+U435-'ROR-Model'!G435</f>
        <v>0</v>
      </c>
    </row>
    <row r="436" spans="1:22">
      <c r="A436" s="668"/>
      <c r="B436" s="659"/>
      <c r="C436" s="659" t="s">
        <v>24</v>
      </c>
      <c r="D436" s="659"/>
      <c r="E436" s="669"/>
      <c r="F436" s="357"/>
      <c r="G436" s="357"/>
      <c r="H436" s="357"/>
      <c r="I436" s="357"/>
      <c r="J436" s="390"/>
      <c r="K436" s="390"/>
      <c r="L436" s="357"/>
      <c r="M436" s="357"/>
      <c r="N436" s="357"/>
      <c r="O436" s="357"/>
      <c r="P436" s="357"/>
      <c r="Q436" s="390"/>
      <c r="R436" s="390"/>
      <c r="S436" s="657">
        <f>SUM(F436:R436)</f>
        <v>0</v>
      </c>
      <c r="T436" s="357"/>
      <c r="U436" s="657">
        <f>SUM(S436:S436)</f>
        <v>0</v>
      </c>
      <c r="V436" s="657">
        <f>+U436-'ROR-Model'!G436</f>
        <v>0</v>
      </c>
    </row>
    <row r="437" spans="1:22">
      <c r="A437" s="668"/>
      <c r="B437" s="659"/>
      <c r="C437" s="659" t="s">
        <v>160</v>
      </c>
      <c r="D437" s="659"/>
      <c r="E437" s="669"/>
      <c r="F437" s="388">
        <f>SUM(F435:F436)</f>
        <v>0</v>
      </c>
      <c r="G437" s="388">
        <f>G1*SUM(G435:G436)</f>
        <v>0</v>
      </c>
      <c r="H437" s="388">
        <f>SUM(H435:H436)</f>
        <v>0</v>
      </c>
      <c r="I437" s="388">
        <f t="shared" ref="I437:P437" si="87">SUM(I435:I436)</f>
        <v>0</v>
      </c>
      <c r="J437" s="585">
        <f>J1*SUM(J435:J436)</f>
        <v>0</v>
      </c>
      <c r="K437" s="585">
        <f>K1*SUM(K435:K436)</f>
        <v>0</v>
      </c>
      <c r="L437" s="388">
        <f t="shared" si="87"/>
        <v>0</v>
      </c>
      <c r="M437" s="388">
        <f t="shared" si="87"/>
        <v>0</v>
      </c>
      <c r="N437" s="388">
        <f t="shared" si="87"/>
        <v>0</v>
      </c>
      <c r="O437" s="388">
        <f t="shared" si="87"/>
        <v>0</v>
      </c>
      <c r="P437" s="388">
        <f t="shared" si="87"/>
        <v>0</v>
      </c>
      <c r="Q437" s="585">
        <f>SUM(Q435:Q436)</f>
        <v>0</v>
      </c>
      <c r="R437" s="585">
        <f>R1*SUM(R435:R436)</f>
        <v>0</v>
      </c>
      <c r="S437" s="661">
        <f>SUM(S435:S436)</f>
        <v>0</v>
      </c>
      <c r="T437" s="388"/>
      <c r="U437" s="661">
        <f>SUM(U435:U436)</f>
        <v>0</v>
      </c>
      <c r="V437" s="661">
        <f>+U437-'ROR-Model'!G437</f>
        <v>0</v>
      </c>
    </row>
    <row r="438" spans="1:22">
      <c r="A438" s="668"/>
      <c r="B438" s="659"/>
      <c r="C438" s="659"/>
      <c r="D438" s="659"/>
      <c r="E438" s="669"/>
      <c r="F438" s="357"/>
      <c r="G438" s="357"/>
      <c r="H438" s="357"/>
      <c r="I438" s="357"/>
      <c r="J438" s="390"/>
      <c r="K438" s="390"/>
      <c r="L438" s="357"/>
      <c r="M438" s="357"/>
      <c r="N438" s="357"/>
      <c r="O438" s="357"/>
      <c r="P438" s="357"/>
      <c r="Q438" s="390"/>
      <c r="R438" s="390"/>
      <c r="S438" s="657"/>
      <c r="T438" s="357"/>
      <c r="U438" s="657"/>
      <c r="V438" s="657">
        <f>+U438-'ROR-Model'!G438</f>
        <v>0</v>
      </c>
    </row>
    <row r="439" spans="1:22">
      <c r="A439" s="668" t="s">
        <v>403</v>
      </c>
      <c r="B439" s="659" t="s">
        <v>310</v>
      </c>
      <c r="C439" s="659"/>
      <c r="D439" s="659"/>
      <c r="E439" s="669"/>
      <c r="F439" s="357"/>
      <c r="G439" s="357"/>
      <c r="H439" s="357"/>
      <c r="I439" s="357"/>
      <c r="J439" s="390"/>
      <c r="K439" s="390"/>
      <c r="L439" s="357"/>
      <c r="M439" s="357"/>
      <c r="N439" s="357"/>
      <c r="O439" s="357"/>
      <c r="P439" s="357"/>
      <c r="Q439" s="390"/>
      <c r="R439" s="390"/>
      <c r="S439" s="657"/>
      <c r="T439" s="357"/>
      <c r="U439" s="657"/>
      <c r="V439" s="657">
        <f>+U439-'ROR-Model'!G439</f>
        <v>0</v>
      </c>
    </row>
    <row r="440" spans="1:22">
      <c r="A440" s="668"/>
      <c r="B440" s="659"/>
      <c r="C440" s="659" t="s">
        <v>13</v>
      </c>
      <c r="D440" s="659"/>
      <c r="E440" s="669"/>
      <c r="F440" s="357"/>
      <c r="G440" s="357"/>
      <c r="H440" s="357"/>
      <c r="I440" s="357"/>
      <c r="J440" s="390"/>
      <c r="K440" s="390"/>
      <c r="L440" s="357"/>
      <c r="M440" s="357"/>
      <c r="N440" s="357"/>
      <c r="O440" s="357"/>
      <c r="P440" s="357"/>
      <c r="Q440" s="390"/>
      <c r="R440" s="390"/>
      <c r="S440" s="657">
        <f>SUM(F440:R440)</f>
        <v>0</v>
      </c>
      <c r="T440" s="357"/>
      <c r="U440" s="657">
        <f>SUM(S440:S440)</f>
        <v>0</v>
      </c>
      <c r="V440" s="657">
        <f>+U440-'ROR-Model'!G440</f>
        <v>0</v>
      </c>
    </row>
    <row r="441" spans="1:22">
      <c r="A441" s="668"/>
      <c r="B441" s="659"/>
      <c r="C441" s="659" t="s">
        <v>24</v>
      </c>
      <c r="D441" s="659"/>
      <c r="E441" s="669"/>
      <c r="F441" s="357"/>
      <c r="G441" s="357"/>
      <c r="H441" s="357"/>
      <c r="I441" s="357"/>
      <c r="J441" s="390"/>
      <c r="K441" s="390"/>
      <c r="L441" s="357"/>
      <c r="M441" s="357"/>
      <c r="N441" s="357"/>
      <c r="O441" s="357"/>
      <c r="P441" s="357"/>
      <c r="Q441" s="390"/>
      <c r="R441" s="390"/>
      <c r="S441" s="657">
        <f>SUM(F441:R441)</f>
        <v>0</v>
      </c>
      <c r="T441" s="357"/>
      <c r="U441" s="657">
        <f>SUM(S441:S441)</f>
        <v>0</v>
      </c>
      <c r="V441" s="657">
        <f>+U441-'ROR-Model'!G441</f>
        <v>0</v>
      </c>
    </row>
    <row r="442" spans="1:22">
      <c r="A442" s="668"/>
      <c r="B442" s="659"/>
      <c r="C442" s="659" t="s">
        <v>160</v>
      </c>
      <c r="D442" s="659"/>
      <c r="E442" s="669"/>
      <c r="F442" s="388">
        <f>SUM(F440:F441)</f>
        <v>0</v>
      </c>
      <c r="G442" s="388">
        <f>G1*SUM(G440:G441)</f>
        <v>0</v>
      </c>
      <c r="H442" s="388">
        <f>SUM(H440:H441)</f>
        <v>0</v>
      </c>
      <c r="I442" s="388">
        <f t="shared" ref="I442:P442" si="88">SUM(I440:I441)</f>
        <v>0</v>
      </c>
      <c r="J442" s="585">
        <f>J1*SUM(J440:J441)</f>
        <v>0</v>
      </c>
      <c r="K442" s="585">
        <f>K1*SUM(K440:K441)</f>
        <v>0</v>
      </c>
      <c r="L442" s="388">
        <f t="shared" si="88"/>
        <v>0</v>
      </c>
      <c r="M442" s="388">
        <f t="shared" si="88"/>
        <v>0</v>
      </c>
      <c r="N442" s="388">
        <f t="shared" si="88"/>
        <v>0</v>
      </c>
      <c r="O442" s="388">
        <f t="shared" si="88"/>
        <v>0</v>
      </c>
      <c r="P442" s="388">
        <f t="shared" si="88"/>
        <v>0</v>
      </c>
      <c r="Q442" s="585">
        <f>SUM(Q440:Q441)</f>
        <v>0</v>
      </c>
      <c r="R442" s="585">
        <f>R1*SUM(R440:R441)</f>
        <v>0</v>
      </c>
      <c r="S442" s="661">
        <f>SUM(S440:S441)</f>
        <v>0</v>
      </c>
      <c r="T442" s="388"/>
      <c r="U442" s="661">
        <f>SUM(U440:U441)</f>
        <v>0</v>
      </c>
      <c r="V442" s="661">
        <f>+U442-'ROR-Model'!G442</f>
        <v>0</v>
      </c>
    </row>
    <row r="443" spans="1:22">
      <c r="A443" s="668"/>
      <c r="B443" s="659"/>
      <c r="C443" s="659"/>
      <c r="D443" s="659"/>
      <c r="E443" s="669"/>
      <c r="F443" s="357"/>
      <c r="G443" s="357"/>
      <c r="H443" s="357"/>
      <c r="I443" s="357"/>
      <c r="J443" s="390"/>
      <c r="K443" s="390"/>
      <c r="L443" s="357"/>
      <c r="M443" s="357"/>
      <c r="N443" s="357"/>
      <c r="O443" s="357"/>
      <c r="P443" s="357"/>
      <c r="Q443" s="390"/>
      <c r="R443" s="390"/>
      <c r="S443" s="657"/>
      <c r="T443" s="357"/>
      <c r="U443" s="657"/>
      <c r="V443" s="657">
        <f>+U443-'ROR-Model'!G443</f>
        <v>0</v>
      </c>
    </row>
    <row r="444" spans="1:22">
      <c r="A444" s="668" t="s">
        <v>404</v>
      </c>
      <c r="B444" s="659" t="s">
        <v>311</v>
      </c>
      <c r="C444" s="659"/>
      <c r="D444" s="659"/>
      <c r="E444" s="669"/>
      <c r="F444" s="357"/>
      <c r="G444" s="357"/>
      <c r="H444" s="357"/>
      <c r="I444" s="357"/>
      <c r="J444" s="390"/>
      <c r="K444" s="390"/>
      <c r="L444" s="357"/>
      <c r="M444" s="357"/>
      <c r="N444" s="357"/>
      <c r="O444" s="357"/>
      <c r="P444" s="357"/>
      <c r="Q444" s="390"/>
      <c r="R444" s="390"/>
      <c r="S444" s="657"/>
      <c r="T444" s="357"/>
      <c r="U444" s="657"/>
      <c r="V444" s="657">
        <f>+U444-'ROR-Model'!G444</f>
        <v>0</v>
      </c>
    </row>
    <row r="445" spans="1:22">
      <c r="A445" s="668"/>
      <c r="B445" s="659"/>
      <c r="C445" s="659" t="s">
        <v>13</v>
      </c>
      <c r="D445" s="659"/>
      <c r="E445" s="669"/>
      <c r="F445" s="357"/>
      <c r="G445" s="357"/>
      <c r="H445" s="357"/>
      <c r="I445" s="357"/>
      <c r="J445" s="390"/>
      <c r="K445" s="390"/>
      <c r="L445" s="357"/>
      <c r="M445" s="357"/>
      <c r="N445" s="357"/>
      <c r="O445" s="357"/>
      <c r="P445" s="357"/>
      <c r="Q445" s="390"/>
      <c r="R445" s="390"/>
      <c r="S445" s="657">
        <f>SUM(F445:R445)</f>
        <v>0</v>
      </c>
      <c r="T445" s="357"/>
      <c r="U445" s="657">
        <f>SUM(S445:S445)</f>
        <v>0</v>
      </c>
      <c r="V445" s="657">
        <f>+U445-'ROR-Model'!G445</f>
        <v>0</v>
      </c>
    </row>
    <row r="446" spans="1:22">
      <c r="A446" s="668"/>
      <c r="B446" s="659"/>
      <c r="C446" s="659" t="s">
        <v>24</v>
      </c>
      <c r="D446" s="659"/>
      <c r="E446" s="669"/>
      <c r="F446" s="357"/>
      <c r="G446" s="357"/>
      <c r="H446" s="357"/>
      <c r="I446" s="357"/>
      <c r="J446" s="390"/>
      <c r="K446" s="390"/>
      <c r="L446" s="357"/>
      <c r="M446" s="357"/>
      <c r="N446" s="357"/>
      <c r="O446" s="357"/>
      <c r="P446" s="357"/>
      <c r="Q446" s="390"/>
      <c r="R446" s="390"/>
      <c r="S446" s="657">
        <f>SUM(F446:R446)</f>
        <v>0</v>
      </c>
      <c r="T446" s="357"/>
      <c r="U446" s="657">
        <f>SUM(S446:S446)</f>
        <v>0</v>
      </c>
      <c r="V446" s="657">
        <f>+U446-'ROR-Model'!G446</f>
        <v>0</v>
      </c>
    </row>
    <row r="447" spans="1:22">
      <c r="A447" s="668"/>
      <c r="B447" s="659"/>
      <c r="C447" s="659" t="s">
        <v>160</v>
      </c>
      <c r="D447" s="659"/>
      <c r="E447" s="669"/>
      <c r="F447" s="388">
        <f>SUM(F445:F446)</f>
        <v>0</v>
      </c>
      <c r="G447" s="388">
        <f>G1*SUM(G445:G446)</f>
        <v>0</v>
      </c>
      <c r="H447" s="388">
        <f>SUM(H445:H446)</f>
        <v>0</v>
      </c>
      <c r="I447" s="388">
        <f t="shared" ref="I447:P447" si="89">SUM(I445:I446)</f>
        <v>0</v>
      </c>
      <c r="J447" s="585">
        <f>J1*SUM(J445:J446)</f>
        <v>0</v>
      </c>
      <c r="K447" s="585">
        <f>K1*SUM(K445:K446)</f>
        <v>0</v>
      </c>
      <c r="L447" s="388">
        <f t="shared" si="89"/>
        <v>0</v>
      </c>
      <c r="M447" s="388">
        <f t="shared" si="89"/>
        <v>0</v>
      </c>
      <c r="N447" s="388">
        <f t="shared" si="89"/>
        <v>0</v>
      </c>
      <c r="O447" s="388">
        <f t="shared" si="89"/>
        <v>0</v>
      </c>
      <c r="P447" s="388">
        <f t="shared" si="89"/>
        <v>0</v>
      </c>
      <c r="Q447" s="585">
        <f>SUM(Q445:Q446)</f>
        <v>0</v>
      </c>
      <c r="R447" s="585">
        <f>R1*SUM(R445:R446)</f>
        <v>0</v>
      </c>
      <c r="S447" s="661">
        <f>SUM(S445:S446)</f>
        <v>0</v>
      </c>
      <c r="T447" s="388"/>
      <c r="U447" s="661">
        <f>SUM(U445:U446)</f>
        <v>0</v>
      </c>
      <c r="V447" s="661">
        <f>+U447-'ROR-Model'!G447</f>
        <v>0</v>
      </c>
    </row>
    <row r="448" spans="1:22">
      <c r="A448" s="668"/>
      <c r="B448" s="659"/>
      <c r="C448" s="659"/>
      <c r="D448" s="659"/>
      <c r="E448" s="669"/>
      <c r="F448" s="357"/>
      <c r="G448" s="357"/>
      <c r="H448" s="357"/>
      <c r="I448" s="357"/>
      <c r="J448" s="390"/>
      <c r="K448" s="390"/>
      <c r="L448" s="357"/>
      <c r="M448" s="357"/>
      <c r="N448" s="357"/>
      <c r="O448" s="357"/>
      <c r="P448" s="357"/>
      <c r="Q448" s="390"/>
      <c r="R448" s="390"/>
      <c r="S448" s="657"/>
      <c r="T448" s="357"/>
      <c r="U448" s="657"/>
      <c r="V448" s="657">
        <f>+U448-'ROR-Model'!G448</f>
        <v>0</v>
      </c>
    </row>
    <row r="449" spans="1:22">
      <c r="A449" s="668" t="s">
        <v>405</v>
      </c>
      <c r="B449" s="659" t="s">
        <v>312</v>
      </c>
      <c r="C449" s="659"/>
      <c r="D449" s="659"/>
      <c r="E449" s="669"/>
      <c r="F449" s="357"/>
      <c r="G449" s="357"/>
      <c r="H449" s="357"/>
      <c r="I449" s="357"/>
      <c r="J449" s="390"/>
      <c r="K449" s="390"/>
      <c r="L449" s="357"/>
      <c r="M449" s="357"/>
      <c r="N449" s="357"/>
      <c r="O449" s="357"/>
      <c r="P449" s="357"/>
      <c r="Q449" s="390"/>
      <c r="R449" s="390"/>
      <c r="S449" s="657"/>
      <c r="T449" s="357"/>
      <c r="U449" s="657"/>
      <c r="V449" s="657">
        <f>+U449-'ROR-Model'!G449</f>
        <v>0</v>
      </c>
    </row>
    <row r="450" spans="1:22">
      <c r="A450" s="668"/>
      <c r="B450" s="659"/>
      <c r="C450" s="659" t="s">
        <v>13</v>
      </c>
      <c r="D450" s="659"/>
      <c r="E450" s="669"/>
      <c r="F450" s="357"/>
      <c r="G450" s="357"/>
      <c r="H450" s="357"/>
      <c r="I450" s="357"/>
      <c r="J450" s="390"/>
      <c r="K450" s="390"/>
      <c r="L450" s="357"/>
      <c r="M450" s="357"/>
      <c r="N450" s="357"/>
      <c r="O450" s="357"/>
      <c r="P450" s="357"/>
      <c r="Q450" s="390"/>
      <c r="R450" s="390"/>
      <c r="S450" s="657">
        <f>SUM(F450:R450)</f>
        <v>0</v>
      </c>
      <c r="T450" s="357"/>
      <c r="U450" s="657">
        <f>SUM(S450:S450)</f>
        <v>0</v>
      </c>
      <c r="V450" s="657">
        <f>+U450-'ROR-Model'!G450</f>
        <v>0</v>
      </c>
    </row>
    <row r="451" spans="1:22">
      <c r="A451" s="668"/>
      <c r="B451" s="659"/>
      <c r="C451" s="659" t="s">
        <v>24</v>
      </c>
      <c r="D451" s="659"/>
      <c r="E451" s="669"/>
      <c r="F451" s="357"/>
      <c r="G451" s="357"/>
      <c r="H451" s="357"/>
      <c r="I451" s="357"/>
      <c r="J451" s="390"/>
      <c r="K451" s="390"/>
      <c r="L451" s="357"/>
      <c r="M451" s="357"/>
      <c r="N451" s="357"/>
      <c r="O451" s="357"/>
      <c r="P451" s="357"/>
      <c r="Q451" s="390"/>
      <c r="R451" s="390"/>
      <c r="S451" s="657">
        <f>SUM(F451:R451)</f>
        <v>0</v>
      </c>
      <c r="T451" s="357"/>
      <c r="U451" s="657">
        <f>SUM(S451:S451)</f>
        <v>0</v>
      </c>
      <c r="V451" s="657">
        <f>+U451-'ROR-Model'!G451</f>
        <v>0</v>
      </c>
    </row>
    <row r="452" spans="1:22">
      <c r="A452" s="668"/>
      <c r="B452" s="659"/>
      <c r="C452" s="659" t="s">
        <v>160</v>
      </c>
      <c r="D452" s="659"/>
      <c r="E452" s="669"/>
      <c r="F452" s="388">
        <f>SUM(F450:F451)</f>
        <v>0</v>
      </c>
      <c r="G452" s="388">
        <f>G1*SUM(G450:G451)</f>
        <v>0</v>
      </c>
      <c r="H452" s="388">
        <f>SUM(H450:H451)</f>
        <v>0</v>
      </c>
      <c r="I452" s="388">
        <f t="shared" ref="I452:P452" si="90">SUM(I450:I451)</f>
        <v>0</v>
      </c>
      <c r="J452" s="585">
        <f>J1*SUM(J450:J451)</f>
        <v>0</v>
      </c>
      <c r="K452" s="585">
        <f>K1*SUM(K450:K451)</f>
        <v>0</v>
      </c>
      <c r="L452" s="388">
        <f t="shared" si="90"/>
        <v>0</v>
      </c>
      <c r="M452" s="388">
        <f t="shared" si="90"/>
        <v>0</v>
      </c>
      <c r="N452" s="388">
        <f t="shared" si="90"/>
        <v>0</v>
      </c>
      <c r="O452" s="388">
        <f t="shared" si="90"/>
        <v>0</v>
      </c>
      <c r="P452" s="388">
        <f t="shared" si="90"/>
        <v>0</v>
      </c>
      <c r="Q452" s="585">
        <f>SUM(Q450:Q451)</f>
        <v>0</v>
      </c>
      <c r="R452" s="585">
        <f>R1*SUM(R450:R451)</f>
        <v>0</v>
      </c>
      <c r="S452" s="661">
        <f>SUM(S450:S451)</f>
        <v>0</v>
      </c>
      <c r="T452" s="388"/>
      <c r="U452" s="661">
        <f>SUM(U450:U451)</f>
        <v>0</v>
      </c>
      <c r="V452" s="661">
        <f>+U452-'ROR-Model'!G452</f>
        <v>0</v>
      </c>
    </row>
    <row r="453" spans="1:22">
      <c r="A453" s="668"/>
      <c r="B453" s="659"/>
      <c r="C453" s="659"/>
      <c r="D453" s="659"/>
      <c r="E453" s="669"/>
      <c r="F453" s="357"/>
      <c r="G453" s="357"/>
      <c r="H453" s="357"/>
      <c r="I453" s="357"/>
      <c r="J453" s="390"/>
      <c r="K453" s="390"/>
      <c r="L453" s="357"/>
      <c r="M453" s="357"/>
      <c r="N453" s="357"/>
      <c r="O453" s="357"/>
      <c r="P453" s="357"/>
      <c r="Q453" s="390"/>
      <c r="R453" s="390"/>
      <c r="S453" s="657"/>
      <c r="T453" s="357"/>
      <c r="U453" s="657"/>
      <c r="V453" s="657">
        <f>+U453-'ROR-Model'!G453</f>
        <v>0</v>
      </c>
    </row>
    <row r="454" spans="1:22">
      <c r="A454" s="668">
        <v>4891</v>
      </c>
      <c r="B454" s="659" t="s">
        <v>313</v>
      </c>
      <c r="C454" s="659"/>
      <c r="D454" s="659"/>
      <c r="E454" s="669"/>
      <c r="F454" s="357"/>
      <c r="G454" s="357"/>
      <c r="H454" s="357"/>
      <c r="I454" s="357"/>
      <c r="J454" s="390"/>
      <c r="K454" s="390"/>
      <c r="L454" s="357"/>
      <c r="M454" s="357"/>
      <c r="N454" s="357"/>
      <c r="O454" s="357"/>
      <c r="P454" s="357"/>
      <c r="Q454" s="390"/>
      <c r="R454" s="390"/>
      <c r="S454" s="657"/>
      <c r="T454" s="357"/>
      <c r="U454" s="657"/>
      <c r="V454" s="657">
        <f>+U454-'ROR-Model'!G454</f>
        <v>0</v>
      </c>
    </row>
    <row r="455" spans="1:22">
      <c r="A455" s="668"/>
      <c r="B455" s="659"/>
      <c r="C455" s="659" t="s">
        <v>13</v>
      </c>
      <c r="D455" s="659"/>
      <c r="E455" s="669"/>
      <c r="F455" s="357"/>
      <c r="G455" s="357"/>
      <c r="H455" s="357"/>
      <c r="I455" s="357"/>
      <c r="J455" s="390"/>
      <c r="K455" s="390"/>
      <c r="L455" s="357"/>
      <c r="M455" s="357"/>
      <c r="N455" s="357"/>
      <c r="O455" s="357"/>
      <c r="P455" s="357"/>
      <c r="Q455" s="390"/>
      <c r="R455" s="390"/>
      <c r="S455" s="657">
        <f>SUM(F455:R455)</f>
        <v>0</v>
      </c>
      <c r="T455" s="357"/>
      <c r="U455" s="657">
        <f>SUM(S455:S455)</f>
        <v>0</v>
      </c>
      <c r="V455" s="657">
        <f>+U455-'ROR-Model'!G455</f>
        <v>0</v>
      </c>
    </row>
    <row r="456" spans="1:22">
      <c r="A456" s="668"/>
      <c r="B456" s="659"/>
      <c r="C456" s="659" t="s">
        <v>24</v>
      </c>
      <c r="D456" s="659"/>
      <c r="E456" s="669"/>
      <c r="F456" s="357"/>
      <c r="G456" s="357"/>
      <c r="H456" s="357"/>
      <c r="I456" s="357"/>
      <c r="J456" s="390"/>
      <c r="K456" s="390"/>
      <c r="L456" s="357"/>
      <c r="M456" s="357"/>
      <c r="N456" s="357"/>
      <c r="O456" s="357"/>
      <c r="P456" s="357"/>
      <c r="Q456" s="390"/>
      <c r="R456" s="390"/>
      <c r="S456" s="657">
        <f>SUM(F456:R456)</f>
        <v>0</v>
      </c>
      <c r="T456" s="357"/>
      <c r="U456" s="657">
        <f>SUM(S456:S456)</f>
        <v>0</v>
      </c>
      <c r="V456" s="657">
        <f>+U456-'ROR-Model'!G456</f>
        <v>0</v>
      </c>
    </row>
    <row r="457" spans="1:22">
      <c r="A457" s="668"/>
      <c r="B457" s="659"/>
      <c r="C457" s="659" t="s">
        <v>160</v>
      </c>
      <c r="D457" s="659"/>
      <c r="E457" s="669"/>
      <c r="F457" s="388">
        <f>SUM(F455:F456)</f>
        <v>0</v>
      </c>
      <c r="G457" s="388">
        <f>G1*SUM(G455:G456)</f>
        <v>0</v>
      </c>
      <c r="H457" s="388">
        <f>SUM(H455:H456)</f>
        <v>0</v>
      </c>
      <c r="I457" s="388">
        <f t="shared" ref="I457:P457" si="91">SUM(I455:I456)</f>
        <v>0</v>
      </c>
      <c r="J457" s="585">
        <f>J1*SUM(J455:J456)</f>
        <v>0</v>
      </c>
      <c r="K457" s="585">
        <f>K1*SUM(K455:K456)</f>
        <v>0</v>
      </c>
      <c r="L457" s="388">
        <f t="shared" si="91"/>
        <v>0</v>
      </c>
      <c r="M457" s="388">
        <f t="shared" si="91"/>
        <v>0</v>
      </c>
      <c r="N457" s="388">
        <f t="shared" si="91"/>
        <v>0</v>
      </c>
      <c r="O457" s="388">
        <f t="shared" si="91"/>
        <v>0</v>
      </c>
      <c r="P457" s="388">
        <f t="shared" si="91"/>
        <v>0</v>
      </c>
      <c r="Q457" s="585">
        <f>SUM(Q455:Q456)</f>
        <v>0</v>
      </c>
      <c r="R457" s="585">
        <f>R1*SUM(R455:R456)</f>
        <v>0</v>
      </c>
      <c r="S457" s="661">
        <f>SUM(S455:S456)</f>
        <v>0</v>
      </c>
      <c r="T457" s="388"/>
      <c r="U457" s="661">
        <f>SUM(U455:U456)</f>
        <v>0</v>
      </c>
      <c r="V457" s="661">
        <f>+U457-'ROR-Model'!G457</f>
        <v>0</v>
      </c>
    </row>
    <row r="458" spans="1:22">
      <c r="A458" s="668"/>
      <c r="B458" s="659"/>
      <c r="C458" s="659"/>
      <c r="D458" s="659"/>
      <c r="E458" s="669"/>
      <c r="F458" s="357"/>
      <c r="G458" s="357"/>
      <c r="H458" s="357"/>
      <c r="I458" s="357"/>
      <c r="J458" s="390"/>
      <c r="K458" s="390"/>
      <c r="L458" s="357"/>
      <c r="M458" s="357"/>
      <c r="N458" s="357"/>
      <c r="O458" s="357"/>
      <c r="P458" s="357"/>
      <c r="Q458" s="390"/>
      <c r="R458" s="390"/>
      <c r="S458" s="657"/>
      <c r="T458" s="357"/>
      <c r="U458" s="657"/>
      <c r="V458" s="657">
        <f>+U458-'ROR-Model'!G458</f>
        <v>0</v>
      </c>
    </row>
    <row r="459" spans="1:22">
      <c r="A459" s="668">
        <v>490</v>
      </c>
      <c r="B459" s="659" t="s">
        <v>314</v>
      </c>
      <c r="C459" s="659"/>
      <c r="D459" s="659"/>
      <c r="E459" s="669"/>
      <c r="F459" s="357"/>
      <c r="G459" s="357"/>
      <c r="H459" s="357"/>
      <c r="I459" s="357"/>
      <c r="J459" s="390"/>
      <c r="K459" s="390"/>
      <c r="L459" s="357"/>
      <c r="M459" s="357"/>
      <c r="N459" s="357"/>
      <c r="O459" s="357"/>
      <c r="P459" s="357"/>
      <c r="Q459" s="390"/>
      <c r="R459" s="390"/>
      <c r="S459" s="657"/>
      <c r="T459" s="357"/>
      <c r="U459" s="657"/>
      <c r="V459" s="657">
        <f>+U459-'ROR-Model'!G459</f>
        <v>0</v>
      </c>
    </row>
    <row r="460" spans="1:22">
      <c r="A460" s="668"/>
      <c r="B460" s="659"/>
      <c r="C460" s="659" t="s">
        <v>13</v>
      </c>
      <c r="D460" s="659"/>
      <c r="E460" s="669"/>
      <c r="F460" s="357"/>
      <c r="G460" s="357"/>
      <c r="H460" s="357"/>
      <c r="I460" s="357"/>
      <c r="J460" s="390"/>
      <c r="K460" s="390"/>
      <c r="L460" s="357"/>
      <c r="M460" s="357"/>
      <c r="N460" s="357"/>
      <c r="O460" s="357"/>
      <c r="P460" s="357"/>
      <c r="Q460" s="390"/>
      <c r="R460" s="390"/>
      <c r="S460" s="657">
        <f>SUM(F460:R460)</f>
        <v>0</v>
      </c>
      <c r="T460" s="357"/>
      <c r="U460" s="657">
        <f>SUM(S460:S460)</f>
        <v>0</v>
      </c>
      <c r="V460" s="657">
        <f>+U460-'ROR-Model'!G460</f>
        <v>0</v>
      </c>
    </row>
    <row r="461" spans="1:22">
      <c r="A461" s="668"/>
      <c r="B461" s="659"/>
      <c r="C461" s="659" t="s">
        <v>24</v>
      </c>
      <c r="D461" s="659"/>
      <c r="E461" s="669"/>
      <c r="F461" s="357"/>
      <c r="G461" s="357"/>
      <c r="H461" s="357"/>
      <c r="I461" s="357"/>
      <c r="J461" s="390"/>
      <c r="K461" s="390"/>
      <c r="L461" s="357"/>
      <c r="M461" s="357"/>
      <c r="N461" s="357"/>
      <c r="O461" s="357"/>
      <c r="P461" s="357"/>
      <c r="Q461" s="390"/>
      <c r="R461" s="390"/>
      <c r="S461" s="657">
        <f>SUM(F461:R461)</f>
        <v>0</v>
      </c>
      <c r="T461" s="357"/>
      <c r="U461" s="657">
        <f>SUM(S461:S461)</f>
        <v>0</v>
      </c>
      <c r="V461" s="657">
        <f>+U461-'ROR-Model'!G461</f>
        <v>0</v>
      </c>
    </row>
    <row r="462" spans="1:22">
      <c r="A462" s="668"/>
      <c r="B462" s="659"/>
      <c r="C462" s="659" t="s">
        <v>160</v>
      </c>
      <c r="D462" s="659"/>
      <c r="E462" s="669"/>
      <c r="F462" s="388">
        <f>SUM(F460:F461)</f>
        <v>0</v>
      </c>
      <c r="G462" s="388">
        <f>G1*SUM(G460:G461)</f>
        <v>0</v>
      </c>
      <c r="H462" s="388">
        <f>SUM(H460:H461)</f>
        <v>0</v>
      </c>
      <c r="I462" s="388">
        <f t="shared" ref="I462:P462" si="92">SUM(I460:I461)</f>
        <v>0</v>
      </c>
      <c r="J462" s="585">
        <f>J1*SUM(J460:J461)</f>
        <v>0</v>
      </c>
      <c r="K462" s="585">
        <f>K1*SUM(K460:K461)</f>
        <v>0</v>
      </c>
      <c r="L462" s="388">
        <f t="shared" si="92"/>
        <v>0</v>
      </c>
      <c r="M462" s="388">
        <f t="shared" si="92"/>
        <v>0</v>
      </c>
      <c r="N462" s="388">
        <f t="shared" si="92"/>
        <v>0</v>
      </c>
      <c r="O462" s="388">
        <f t="shared" si="92"/>
        <v>0</v>
      </c>
      <c r="P462" s="388">
        <f t="shared" si="92"/>
        <v>0</v>
      </c>
      <c r="Q462" s="585">
        <f>SUM(Q460:Q461)</f>
        <v>0</v>
      </c>
      <c r="R462" s="585">
        <f>R1*SUM(R460:R461)</f>
        <v>0</v>
      </c>
      <c r="S462" s="661">
        <f>SUM(S460:S461)</f>
        <v>0</v>
      </c>
      <c r="T462" s="388"/>
      <c r="U462" s="661">
        <f>SUM(U460:U461)</f>
        <v>0</v>
      </c>
      <c r="V462" s="661">
        <f>+U462-'ROR-Model'!G462</f>
        <v>0</v>
      </c>
    </row>
    <row r="463" spans="1:22">
      <c r="A463" s="668"/>
      <c r="B463" s="659"/>
      <c r="C463" s="659"/>
      <c r="D463" s="659"/>
      <c r="E463" s="669"/>
      <c r="F463" s="357"/>
      <c r="G463" s="357"/>
      <c r="H463" s="357"/>
      <c r="I463" s="357"/>
      <c r="J463" s="390"/>
      <c r="K463" s="390"/>
      <c r="L463" s="357"/>
      <c r="M463" s="357"/>
      <c r="N463" s="357"/>
      <c r="O463" s="357"/>
      <c r="P463" s="357"/>
      <c r="Q463" s="390"/>
      <c r="R463" s="390"/>
      <c r="S463" s="657"/>
      <c r="T463" s="357"/>
      <c r="U463" s="657"/>
      <c r="V463" s="657">
        <f>+U463-'ROR-Model'!G463</f>
        <v>0</v>
      </c>
    </row>
    <row r="464" spans="1:22">
      <c r="A464" s="668">
        <v>491</v>
      </c>
      <c r="B464" s="659" t="s">
        <v>315</v>
      </c>
      <c r="C464" s="659"/>
      <c r="D464" s="659"/>
      <c r="E464" s="669"/>
      <c r="F464" s="357"/>
      <c r="G464" s="357"/>
      <c r="H464" s="357"/>
      <c r="I464" s="357"/>
      <c r="J464" s="390"/>
      <c r="K464" s="390"/>
      <c r="L464" s="357"/>
      <c r="M464" s="357"/>
      <c r="N464" s="357"/>
      <c r="O464" s="357"/>
      <c r="P464" s="357"/>
      <c r="Q464" s="390"/>
      <c r="R464" s="390"/>
      <c r="S464" s="657"/>
      <c r="T464" s="357"/>
      <c r="U464" s="657"/>
      <c r="V464" s="657">
        <f>+U464-'ROR-Model'!G464</f>
        <v>0</v>
      </c>
    </row>
    <row r="465" spans="1:22">
      <c r="A465" s="668"/>
      <c r="B465" s="659"/>
      <c r="C465" s="659" t="s">
        <v>13</v>
      </c>
      <c r="D465" s="659"/>
      <c r="E465" s="669"/>
      <c r="F465" s="357"/>
      <c r="G465" s="357"/>
      <c r="H465" s="357"/>
      <c r="I465" s="357"/>
      <c r="J465" s="390"/>
      <c r="K465" s="390"/>
      <c r="L465" s="357"/>
      <c r="M465" s="357"/>
      <c r="N465" s="357"/>
      <c r="O465" s="357"/>
      <c r="P465" s="357"/>
      <c r="Q465" s="390"/>
      <c r="R465" s="390"/>
      <c r="S465" s="657">
        <f>SUM(F465:R465)</f>
        <v>0</v>
      </c>
      <c r="T465" s="357"/>
      <c r="U465" s="657">
        <f>SUM(S465:S465)</f>
        <v>0</v>
      </c>
      <c r="V465" s="657">
        <f>+U465-'ROR-Model'!G465</f>
        <v>0</v>
      </c>
    </row>
    <row r="466" spans="1:22">
      <c r="A466" s="668"/>
      <c r="B466" s="659"/>
      <c r="C466" s="659" t="s">
        <v>24</v>
      </c>
      <c r="D466" s="659"/>
      <c r="E466" s="669"/>
      <c r="F466" s="357"/>
      <c r="G466" s="357"/>
      <c r="H466" s="357"/>
      <c r="I466" s="357"/>
      <c r="J466" s="390"/>
      <c r="K466" s="390"/>
      <c r="L466" s="357"/>
      <c r="M466" s="357"/>
      <c r="N466" s="357"/>
      <c r="O466" s="357"/>
      <c r="P466" s="357"/>
      <c r="Q466" s="390"/>
      <c r="R466" s="390"/>
      <c r="S466" s="657">
        <f>SUM(F466:R466)</f>
        <v>0</v>
      </c>
      <c r="T466" s="357"/>
      <c r="U466" s="657">
        <f>SUM(S466:S466)</f>
        <v>0</v>
      </c>
      <c r="V466" s="657">
        <f>+U466-'ROR-Model'!G466</f>
        <v>0</v>
      </c>
    </row>
    <row r="467" spans="1:22">
      <c r="A467" s="668"/>
      <c r="B467" s="659"/>
      <c r="C467" s="659" t="s">
        <v>160</v>
      </c>
      <c r="D467" s="659"/>
      <c r="E467" s="669"/>
      <c r="F467" s="388">
        <f>SUM(F465:F466)</f>
        <v>0</v>
      </c>
      <c r="G467" s="388">
        <f>G1*SUM(G465:G466)</f>
        <v>0</v>
      </c>
      <c r="H467" s="388">
        <f>SUM(H465:H466)</f>
        <v>0</v>
      </c>
      <c r="I467" s="388">
        <f t="shared" ref="I467:P467" si="93">SUM(I465:I466)</f>
        <v>0</v>
      </c>
      <c r="J467" s="585">
        <f>J1*SUM(J465:J466)</f>
        <v>0</v>
      </c>
      <c r="K467" s="585">
        <f>K1*SUM(K465:K466)</f>
        <v>0</v>
      </c>
      <c r="L467" s="388">
        <f t="shared" si="93"/>
        <v>0</v>
      </c>
      <c r="M467" s="388">
        <f t="shared" si="93"/>
        <v>0</v>
      </c>
      <c r="N467" s="388">
        <f t="shared" si="93"/>
        <v>0</v>
      </c>
      <c r="O467" s="388">
        <f t="shared" si="93"/>
        <v>0</v>
      </c>
      <c r="P467" s="388">
        <f t="shared" si="93"/>
        <v>0</v>
      </c>
      <c r="Q467" s="585">
        <f>SUM(Q465:Q466)</f>
        <v>0</v>
      </c>
      <c r="R467" s="585">
        <f>R1*SUM(R465:R466)</f>
        <v>0</v>
      </c>
      <c r="S467" s="661">
        <f>SUM(S465:S466)</f>
        <v>0</v>
      </c>
      <c r="T467" s="388"/>
      <c r="U467" s="661">
        <f>SUM(U465:U466)</f>
        <v>0</v>
      </c>
      <c r="V467" s="661">
        <f>+U467-'ROR-Model'!G467</f>
        <v>0</v>
      </c>
    </row>
    <row r="468" spans="1:22">
      <c r="A468" s="668"/>
      <c r="B468" s="659"/>
      <c r="C468" s="659"/>
      <c r="D468" s="659"/>
      <c r="E468" s="669"/>
      <c r="F468" s="357"/>
      <c r="G468" s="357"/>
      <c r="H468" s="357"/>
      <c r="I468" s="357"/>
      <c r="J468" s="390"/>
      <c r="K468" s="390"/>
      <c r="L468" s="357"/>
      <c r="M468" s="357"/>
      <c r="N468" s="357"/>
      <c r="O468" s="357"/>
      <c r="P468" s="357"/>
      <c r="Q468" s="390"/>
      <c r="R468" s="390"/>
      <c r="S468" s="657"/>
      <c r="T468" s="357"/>
      <c r="U468" s="657"/>
      <c r="V468" s="657">
        <f>+U468-'ROR-Model'!G468</f>
        <v>0</v>
      </c>
    </row>
    <row r="469" spans="1:22">
      <c r="A469" s="668">
        <v>492</v>
      </c>
      <c r="B469" s="659" t="s">
        <v>316</v>
      </c>
      <c r="C469" s="659"/>
      <c r="D469" s="659"/>
      <c r="E469" s="669"/>
      <c r="F469" s="357"/>
      <c r="G469" s="357"/>
      <c r="H469" s="357"/>
      <c r="I469" s="357"/>
      <c r="J469" s="390"/>
      <c r="K469" s="390"/>
      <c r="L469" s="357"/>
      <c r="M469" s="357"/>
      <c r="N469" s="357"/>
      <c r="O469" s="357"/>
      <c r="P469" s="357"/>
      <c r="Q469" s="390"/>
      <c r="R469" s="390"/>
      <c r="S469" s="657"/>
      <c r="T469" s="357"/>
      <c r="U469" s="657"/>
      <c r="V469" s="657">
        <f>+U469-'ROR-Model'!G469</f>
        <v>0</v>
      </c>
    </row>
    <row r="470" spans="1:22">
      <c r="A470" s="668"/>
      <c r="B470" s="659"/>
      <c r="C470" s="659" t="s">
        <v>13</v>
      </c>
      <c r="D470" s="659"/>
      <c r="E470" s="669"/>
      <c r="F470" s="357"/>
      <c r="G470" s="357"/>
      <c r="H470" s="357"/>
      <c r="I470" s="357"/>
      <c r="J470" s="390"/>
      <c r="K470" s="390"/>
      <c r="L470" s="357"/>
      <c r="M470" s="357"/>
      <c r="N470" s="357"/>
      <c r="O470" s="357"/>
      <c r="P470" s="357"/>
      <c r="Q470" s="390"/>
      <c r="R470" s="390"/>
      <c r="S470" s="657">
        <f>SUM(F470:R470)</f>
        <v>0</v>
      </c>
      <c r="T470" s="357"/>
      <c r="U470" s="657">
        <f>SUM(S470:S470)</f>
        <v>0</v>
      </c>
      <c r="V470" s="657">
        <f>+U470-'ROR-Model'!G470</f>
        <v>0</v>
      </c>
    </row>
    <row r="471" spans="1:22">
      <c r="A471" s="668"/>
      <c r="B471" s="659"/>
      <c r="C471" s="659" t="s">
        <v>24</v>
      </c>
      <c r="D471" s="659"/>
      <c r="E471" s="669"/>
      <c r="F471" s="357"/>
      <c r="G471" s="357"/>
      <c r="H471" s="357"/>
      <c r="I471" s="357"/>
      <c r="J471" s="390"/>
      <c r="K471" s="390"/>
      <c r="L471" s="357"/>
      <c r="M471" s="357"/>
      <c r="N471" s="357"/>
      <c r="O471" s="357"/>
      <c r="P471" s="357"/>
      <c r="Q471" s="390"/>
      <c r="R471" s="390"/>
      <c r="S471" s="657">
        <f>SUM(F471:R471)</f>
        <v>0</v>
      </c>
      <c r="T471" s="357"/>
      <c r="U471" s="657">
        <f>SUM(S471:S471)</f>
        <v>0</v>
      </c>
      <c r="V471" s="657">
        <f>+U471-'ROR-Model'!G471</f>
        <v>0</v>
      </c>
    </row>
    <row r="472" spans="1:22">
      <c r="A472" s="668"/>
      <c r="B472" s="659"/>
      <c r="C472" s="659" t="s">
        <v>160</v>
      </c>
      <c r="D472" s="659"/>
      <c r="E472" s="669"/>
      <c r="F472" s="388">
        <f>SUM(F470:F471)</f>
        <v>0</v>
      </c>
      <c r="G472" s="388">
        <f>G1*SUM(G470:G471)</f>
        <v>0</v>
      </c>
      <c r="H472" s="388">
        <f>SUM(H470:H471)</f>
        <v>0</v>
      </c>
      <c r="I472" s="388">
        <f t="shared" ref="I472:P472" si="94">SUM(I470:I471)</f>
        <v>0</v>
      </c>
      <c r="J472" s="585">
        <f>J1*SUM(J470:J471)</f>
        <v>0</v>
      </c>
      <c r="K472" s="585">
        <f>K1*SUM(K470:K471)</f>
        <v>0</v>
      </c>
      <c r="L472" s="388">
        <f t="shared" si="94"/>
        <v>0</v>
      </c>
      <c r="M472" s="388">
        <f t="shared" si="94"/>
        <v>0</v>
      </c>
      <c r="N472" s="388">
        <f t="shared" si="94"/>
        <v>0</v>
      </c>
      <c r="O472" s="388">
        <f t="shared" si="94"/>
        <v>0</v>
      </c>
      <c r="P472" s="388">
        <f t="shared" si="94"/>
        <v>0</v>
      </c>
      <c r="Q472" s="585">
        <f>SUM(Q470:Q471)</f>
        <v>0</v>
      </c>
      <c r="R472" s="585">
        <f>R1*SUM(R470:R471)</f>
        <v>0</v>
      </c>
      <c r="S472" s="661">
        <f>SUM(S470:S471)</f>
        <v>0</v>
      </c>
      <c r="T472" s="388"/>
      <c r="U472" s="661">
        <f>SUM(U470:U471)</f>
        <v>0</v>
      </c>
      <c r="V472" s="661">
        <f>+U472-'ROR-Model'!G472</f>
        <v>0</v>
      </c>
    </row>
    <row r="473" spans="1:22">
      <c r="A473" s="668"/>
      <c r="B473" s="659"/>
      <c r="C473" s="659"/>
      <c r="D473" s="659"/>
      <c r="E473" s="669"/>
      <c r="F473" s="357"/>
      <c r="G473" s="357"/>
      <c r="H473" s="357"/>
      <c r="I473" s="357"/>
      <c r="J473" s="390"/>
      <c r="K473" s="390"/>
      <c r="L473" s="357"/>
      <c r="M473" s="357"/>
      <c r="N473" s="357"/>
      <c r="O473" s="357"/>
      <c r="P473" s="357"/>
      <c r="Q473" s="390"/>
      <c r="R473" s="390"/>
      <c r="S473" s="657"/>
      <c r="T473" s="357"/>
      <c r="U473" s="657"/>
      <c r="V473" s="657">
        <f>+U473-'ROR-Model'!G473</f>
        <v>0</v>
      </c>
    </row>
    <row r="474" spans="1:22">
      <c r="A474" s="668">
        <v>493</v>
      </c>
      <c r="B474" s="659" t="s">
        <v>317</v>
      </c>
      <c r="C474" s="659"/>
      <c r="D474" s="659"/>
      <c r="E474" s="669"/>
      <c r="F474" s="357"/>
      <c r="G474" s="357"/>
      <c r="H474" s="357"/>
      <c r="I474" s="357"/>
      <c r="J474" s="390"/>
      <c r="K474" s="390"/>
      <c r="L474" s="357"/>
      <c r="M474" s="357"/>
      <c r="N474" s="357"/>
      <c r="O474" s="357"/>
      <c r="P474" s="357"/>
      <c r="Q474" s="390"/>
      <c r="R474" s="390"/>
      <c r="S474" s="657"/>
      <c r="T474" s="357"/>
      <c r="U474" s="657"/>
      <c r="V474" s="657">
        <f>+U474-'ROR-Model'!G474</f>
        <v>0</v>
      </c>
    </row>
    <row r="475" spans="1:22">
      <c r="A475" s="668"/>
      <c r="B475" s="659"/>
      <c r="C475" s="659" t="s">
        <v>13</v>
      </c>
      <c r="D475" s="659"/>
      <c r="E475" s="669"/>
      <c r="F475" s="357"/>
      <c r="G475" s="357"/>
      <c r="H475" s="357"/>
      <c r="I475" s="357"/>
      <c r="J475" s="390"/>
      <c r="K475" s="390"/>
      <c r="L475" s="357"/>
      <c r="M475" s="357"/>
      <c r="N475" s="357"/>
      <c r="O475" s="357"/>
      <c r="P475" s="357"/>
      <c r="Q475" s="390"/>
      <c r="R475" s="390"/>
      <c r="S475" s="657">
        <f>SUM(F475:R475)</f>
        <v>0</v>
      </c>
      <c r="T475" s="357"/>
      <c r="U475" s="657">
        <f>SUM(S475:S475)</f>
        <v>0</v>
      </c>
      <c r="V475" s="657">
        <f>+U475-'ROR-Model'!G475</f>
        <v>0</v>
      </c>
    </row>
    <row r="476" spans="1:22">
      <c r="A476" s="668"/>
      <c r="B476" s="659"/>
      <c r="C476" s="659" t="s">
        <v>24</v>
      </c>
      <c r="D476" s="659"/>
      <c r="E476" s="669"/>
      <c r="F476" s="357"/>
      <c r="G476" s="357"/>
      <c r="H476" s="357"/>
      <c r="I476" s="357"/>
      <c r="J476" s="390"/>
      <c r="K476" s="390"/>
      <c r="L476" s="357"/>
      <c r="M476" s="357"/>
      <c r="N476" s="357"/>
      <c r="O476" s="357"/>
      <c r="P476" s="357"/>
      <c r="Q476" s="390"/>
      <c r="R476" s="390"/>
      <c r="S476" s="657">
        <f>SUM(F476:R476)</f>
        <v>0</v>
      </c>
      <c r="T476" s="357"/>
      <c r="U476" s="657">
        <f>SUM(S476:S476)</f>
        <v>0</v>
      </c>
      <c r="V476" s="657">
        <f>+U476-'ROR-Model'!G476</f>
        <v>0</v>
      </c>
    </row>
    <row r="477" spans="1:22">
      <c r="A477" s="668"/>
      <c r="B477" s="659"/>
      <c r="C477" s="659" t="s">
        <v>160</v>
      </c>
      <c r="D477" s="659"/>
      <c r="E477" s="669"/>
      <c r="F477" s="388">
        <f>SUM(F475:F476)</f>
        <v>0</v>
      </c>
      <c r="G477" s="388">
        <f>G1*SUM(G475:G476)</f>
        <v>0</v>
      </c>
      <c r="H477" s="388">
        <f>SUM(H475:H476)</f>
        <v>0</v>
      </c>
      <c r="I477" s="388">
        <f t="shared" ref="I477:P477" si="95">SUM(I475:I476)</f>
        <v>0</v>
      </c>
      <c r="J477" s="585">
        <f>J1*SUM(J475:J476)</f>
        <v>0</v>
      </c>
      <c r="K477" s="585">
        <f>K1*SUM(K475:K476)</f>
        <v>0</v>
      </c>
      <c r="L477" s="388">
        <f t="shared" si="95"/>
        <v>0</v>
      </c>
      <c r="M477" s="388">
        <f t="shared" si="95"/>
        <v>0</v>
      </c>
      <c r="N477" s="388">
        <f t="shared" si="95"/>
        <v>0</v>
      </c>
      <c r="O477" s="388">
        <f t="shared" si="95"/>
        <v>0</v>
      </c>
      <c r="P477" s="388">
        <f t="shared" si="95"/>
        <v>0</v>
      </c>
      <c r="Q477" s="585">
        <f>SUM(Q475:Q476)</f>
        <v>0</v>
      </c>
      <c r="R477" s="585">
        <f>R1*SUM(R475:R476)</f>
        <v>0</v>
      </c>
      <c r="S477" s="661">
        <f>SUM(S475:S476)</f>
        <v>0</v>
      </c>
      <c r="T477" s="388"/>
      <c r="U477" s="661">
        <f>SUM(U475:U476)</f>
        <v>0</v>
      </c>
      <c r="V477" s="661">
        <f>+U477-'ROR-Model'!G477</f>
        <v>0</v>
      </c>
    </row>
    <row r="478" spans="1:22">
      <c r="A478" s="668"/>
      <c r="B478" s="659"/>
      <c r="C478" s="659"/>
      <c r="D478" s="659"/>
      <c r="E478" s="669"/>
      <c r="F478" s="357"/>
      <c r="G478" s="357"/>
      <c r="H478" s="357"/>
      <c r="I478" s="357"/>
      <c r="J478" s="390"/>
      <c r="K478" s="390"/>
      <c r="L478" s="357"/>
      <c r="M478" s="357"/>
      <c r="N478" s="357"/>
      <c r="O478" s="357"/>
      <c r="P478" s="357"/>
      <c r="Q478" s="390"/>
      <c r="R478" s="390"/>
      <c r="S478" s="657"/>
      <c r="T478" s="357"/>
      <c r="U478" s="657"/>
      <c r="V478" s="657">
        <f>+U478-'ROR-Model'!G478</f>
        <v>0</v>
      </c>
    </row>
    <row r="479" spans="1:22">
      <c r="A479" s="668">
        <v>495</v>
      </c>
      <c r="B479" s="659" t="s">
        <v>320</v>
      </c>
      <c r="C479" s="659"/>
      <c r="D479" s="659"/>
      <c r="E479" s="669"/>
      <c r="F479" s="357"/>
      <c r="G479" s="357"/>
      <c r="H479" s="357"/>
      <c r="I479" s="357"/>
      <c r="J479" s="390"/>
      <c r="K479" s="390"/>
      <c r="L479" s="357"/>
      <c r="M479" s="357"/>
      <c r="N479" s="357"/>
      <c r="O479" s="357"/>
      <c r="P479" s="357"/>
      <c r="Q479" s="390"/>
      <c r="R479" s="390"/>
      <c r="S479" s="657"/>
      <c r="T479" s="357"/>
      <c r="U479" s="657"/>
      <c r="V479" s="657">
        <f>+U479-'ROR-Model'!G479</f>
        <v>0</v>
      </c>
    </row>
    <row r="480" spans="1:22">
      <c r="A480" s="668"/>
      <c r="B480" s="659"/>
      <c r="C480" s="659" t="s">
        <v>13</v>
      </c>
      <c r="D480" s="659"/>
      <c r="E480" s="669"/>
      <c r="F480" s="357"/>
      <c r="G480" s="357"/>
      <c r="H480" s="357"/>
      <c r="I480" s="357"/>
      <c r="J480" s="390"/>
      <c r="K480" s="390"/>
      <c r="L480" s="357"/>
      <c r="M480" s="357"/>
      <c r="N480" s="357"/>
      <c r="O480" s="357"/>
      <c r="P480" s="357"/>
      <c r="Q480" s="390"/>
      <c r="R480" s="390"/>
      <c r="S480" s="657">
        <f>SUM(F480:R480)</f>
        <v>0</v>
      </c>
      <c r="T480" s="357"/>
      <c r="U480" s="657">
        <f>SUM(S480:S480)</f>
        <v>0</v>
      </c>
      <c r="V480" s="657">
        <f>+U480-'ROR-Model'!G480</f>
        <v>0</v>
      </c>
    </row>
    <row r="481" spans="1:22">
      <c r="A481" s="668"/>
      <c r="B481" s="659"/>
      <c r="C481" s="659" t="s">
        <v>24</v>
      </c>
      <c r="D481" s="659"/>
      <c r="E481" s="669"/>
      <c r="F481" s="357"/>
      <c r="G481" s="357"/>
      <c r="H481" s="357"/>
      <c r="I481" s="357"/>
      <c r="J481" s="390"/>
      <c r="K481" s="390"/>
      <c r="L481" s="357"/>
      <c r="M481" s="357"/>
      <c r="N481" s="357"/>
      <c r="O481" s="357"/>
      <c r="P481" s="357"/>
      <c r="Q481" s="390"/>
      <c r="R481" s="390"/>
      <c r="S481" s="657">
        <f>SUM(F481:R481)</f>
        <v>0</v>
      </c>
      <c r="T481" s="357"/>
      <c r="U481" s="657">
        <f>SUM(S481:S481)</f>
        <v>0</v>
      </c>
      <c r="V481" s="657">
        <f>+U481-'ROR-Model'!G481</f>
        <v>0</v>
      </c>
    </row>
    <row r="482" spans="1:22">
      <c r="A482" s="668"/>
      <c r="B482" s="659"/>
      <c r="C482" s="659" t="s">
        <v>160</v>
      </c>
      <c r="D482" s="659"/>
      <c r="E482" s="669"/>
      <c r="F482" s="388">
        <f>SUM(F480:F481)</f>
        <v>0</v>
      </c>
      <c r="G482" s="388">
        <f>G1*SUM(G480:G481)</f>
        <v>0</v>
      </c>
      <c r="H482" s="388">
        <f>SUM(H480:H481)</f>
        <v>0</v>
      </c>
      <c r="I482" s="388">
        <f t="shared" ref="I482:P482" si="96">SUM(I480:I481)</f>
        <v>0</v>
      </c>
      <c r="J482" s="585">
        <f>J1*SUM(J480:J481)</f>
        <v>0</v>
      </c>
      <c r="K482" s="585">
        <f>K1*SUM(K480:K481)</f>
        <v>0</v>
      </c>
      <c r="L482" s="388">
        <f t="shared" si="96"/>
        <v>0</v>
      </c>
      <c r="M482" s="388">
        <f t="shared" si="96"/>
        <v>0</v>
      </c>
      <c r="N482" s="388">
        <f t="shared" si="96"/>
        <v>0</v>
      </c>
      <c r="O482" s="388">
        <f t="shared" si="96"/>
        <v>0</v>
      </c>
      <c r="P482" s="388">
        <f t="shared" si="96"/>
        <v>0</v>
      </c>
      <c r="Q482" s="585">
        <f>SUM(Q480:Q481)</f>
        <v>0</v>
      </c>
      <c r="R482" s="585">
        <f>R1*SUM(R480:R481)</f>
        <v>0</v>
      </c>
      <c r="S482" s="661">
        <f>SUM(S480:S481)</f>
        <v>0</v>
      </c>
      <c r="T482" s="388"/>
      <c r="U482" s="661">
        <f>SUM(U480:U481)</f>
        <v>0</v>
      </c>
      <c r="V482" s="661">
        <f>+U482-'ROR-Model'!G482</f>
        <v>0</v>
      </c>
    </row>
    <row r="483" spans="1:22">
      <c r="A483" s="668"/>
      <c r="B483" s="659"/>
      <c r="C483" s="659"/>
      <c r="D483" s="659"/>
      <c r="E483" s="669"/>
      <c r="F483" s="357"/>
      <c r="G483" s="357"/>
      <c r="H483" s="357"/>
      <c r="I483" s="357"/>
      <c r="J483" s="390"/>
      <c r="K483" s="390"/>
      <c r="L483" s="357"/>
      <c r="M483" s="357"/>
      <c r="N483" s="357"/>
      <c r="O483" s="357"/>
      <c r="P483" s="357"/>
      <c r="Q483" s="390"/>
      <c r="R483" s="390"/>
      <c r="S483" s="657"/>
      <c r="T483" s="357"/>
      <c r="U483" s="657"/>
      <c r="V483" s="657">
        <f>+U483-'ROR-Model'!G483</f>
        <v>0</v>
      </c>
    </row>
    <row r="484" spans="1:22">
      <c r="A484" s="668">
        <v>4951</v>
      </c>
      <c r="B484" s="659" t="s">
        <v>321</v>
      </c>
      <c r="C484" s="659"/>
      <c r="D484" s="659"/>
      <c r="E484" s="669"/>
      <c r="F484" s="357"/>
      <c r="G484" s="357"/>
      <c r="H484" s="357"/>
      <c r="I484" s="357"/>
      <c r="J484" s="390"/>
      <c r="K484" s="390"/>
      <c r="L484" s="357"/>
      <c r="M484" s="357"/>
      <c r="N484" s="357"/>
      <c r="O484" s="357"/>
      <c r="P484" s="357"/>
      <c r="Q484" s="390"/>
      <c r="R484" s="390"/>
      <c r="S484" s="657"/>
      <c r="T484" s="357"/>
      <c r="U484" s="657"/>
      <c r="V484" s="657">
        <f>+U484-'ROR-Model'!G484</f>
        <v>0</v>
      </c>
    </row>
    <row r="485" spans="1:22">
      <c r="A485" s="668"/>
      <c r="B485" s="659"/>
      <c r="C485" s="659" t="s">
        <v>13</v>
      </c>
      <c r="D485" s="659"/>
      <c r="E485" s="669"/>
      <c r="F485" s="357"/>
      <c r="G485" s="357"/>
      <c r="H485" s="357"/>
      <c r="I485" s="357"/>
      <c r="J485" s="390"/>
      <c r="K485" s="390"/>
      <c r="L485" s="357"/>
      <c r="M485" s="357"/>
      <c r="N485" s="357"/>
      <c r="O485" s="357"/>
      <c r="P485" s="357"/>
      <c r="Q485" s="390"/>
      <c r="R485" s="390"/>
      <c r="S485" s="657">
        <f>SUM(F485:R485)</f>
        <v>0</v>
      </c>
      <c r="T485" s="357"/>
      <c r="U485" s="657">
        <f>SUM(S485:S485)</f>
        <v>0</v>
      </c>
      <c r="V485" s="657">
        <f>+U485-'ROR-Model'!G485</f>
        <v>0</v>
      </c>
    </row>
    <row r="486" spans="1:22">
      <c r="A486" s="668"/>
      <c r="B486" s="659"/>
      <c r="C486" s="659" t="s">
        <v>24</v>
      </c>
      <c r="D486" s="659"/>
      <c r="E486" s="669"/>
      <c r="F486" s="357"/>
      <c r="G486" s="357"/>
      <c r="H486" s="357"/>
      <c r="I486" s="357"/>
      <c r="J486" s="390"/>
      <c r="K486" s="390"/>
      <c r="L486" s="357"/>
      <c r="M486" s="357"/>
      <c r="N486" s="357"/>
      <c r="O486" s="357"/>
      <c r="P486" s="357"/>
      <c r="Q486" s="390"/>
      <c r="R486" s="390"/>
      <c r="S486" s="657">
        <f>SUM(F486:R486)</f>
        <v>0</v>
      </c>
      <c r="T486" s="357"/>
      <c r="U486" s="657">
        <f>SUM(S486:S486)</f>
        <v>0</v>
      </c>
      <c r="V486" s="657">
        <f>+U486-'ROR-Model'!G486</f>
        <v>0</v>
      </c>
    </row>
    <row r="487" spans="1:22">
      <c r="A487" s="668"/>
      <c r="B487" s="659"/>
      <c r="C487" s="659" t="s">
        <v>160</v>
      </c>
      <c r="D487" s="659"/>
      <c r="E487" s="669"/>
      <c r="F487" s="388">
        <f>SUM(F485:F486)</f>
        <v>0</v>
      </c>
      <c r="G487" s="388">
        <f>G1*SUM(G485:G486)</f>
        <v>0</v>
      </c>
      <c r="H487" s="388">
        <f>SUM(H485:H486)</f>
        <v>0</v>
      </c>
      <c r="I487" s="388">
        <f t="shared" ref="I487:P487" si="97">SUM(I485:I486)</f>
        <v>0</v>
      </c>
      <c r="J487" s="585">
        <f>J1*SUM(J485:J486)</f>
        <v>0</v>
      </c>
      <c r="K487" s="585">
        <f>K1*SUM(K485:K486)</f>
        <v>0</v>
      </c>
      <c r="L487" s="388">
        <f t="shared" si="97"/>
        <v>0</v>
      </c>
      <c r="M487" s="388">
        <f t="shared" si="97"/>
        <v>0</v>
      </c>
      <c r="N487" s="388">
        <f t="shared" si="97"/>
        <v>0</v>
      </c>
      <c r="O487" s="388">
        <f t="shared" si="97"/>
        <v>0</v>
      </c>
      <c r="P487" s="388">
        <f t="shared" si="97"/>
        <v>0</v>
      </c>
      <c r="Q487" s="585">
        <f>SUM(Q485:Q486)</f>
        <v>0</v>
      </c>
      <c r="R487" s="585">
        <f>R1*SUM(R485:R486)</f>
        <v>0</v>
      </c>
      <c r="S487" s="661">
        <f>SUM(S485:S486)</f>
        <v>0</v>
      </c>
      <c r="T487" s="388"/>
      <c r="U487" s="661">
        <f>SUM(U485:U486)</f>
        <v>0</v>
      </c>
      <c r="V487" s="661">
        <f>+U487-'ROR-Model'!G487</f>
        <v>0</v>
      </c>
    </row>
    <row r="488" spans="1:22">
      <c r="A488" s="668"/>
      <c r="B488" s="659"/>
      <c r="C488" s="659"/>
      <c r="D488" s="659"/>
      <c r="E488" s="669"/>
      <c r="F488" s="357"/>
      <c r="G488" s="357"/>
      <c r="H488" s="357"/>
      <c r="I488" s="357"/>
      <c r="J488" s="390"/>
      <c r="K488" s="390"/>
      <c r="L488" s="357"/>
      <c r="M488" s="357"/>
      <c r="N488" s="357"/>
      <c r="O488" s="357"/>
      <c r="P488" s="357"/>
      <c r="Q488" s="390"/>
      <c r="R488" s="390"/>
      <c r="S488" s="657"/>
      <c r="T488" s="357"/>
      <c r="U488" s="657"/>
      <c r="V488" s="657">
        <f>+U488-'ROR-Model'!G488</f>
        <v>0</v>
      </c>
    </row>
    <row r="489" spans="1:22">
      <c r="A489" s="668">
        <v>4952</v>
      </c>
      <c r="B489" s="659" t="s">
        <v>322</v>
      </c>
      <c r="C489" s="659"/>
      <c r="D489" s="659"/>
      <c r="E489" s="669"/>
      <c r="F489" s="357"/>
      <c r="G489" s="357"/>
      <c r="H489" s="357"/>
      <c r="I489" s="357"/>
      <c r="J489" s="390"/>
      <c r="K489" s="390"/>
      <c r="L489" s="357"/>
      <c r="M489" s="357"/>
      <c r="N489" s="357"/>
      <c r="O489" s="357"/>
      <c r="P489" s="357"/>
      <c r="Q489" s="390"/>
      <c r="R489" s="390"/>
      <c r="S489" s="657"/>
      <c r="T489" s="357"/>
      <c r="U489" s="657"/>
      <c r="V489" s="657">
        <f>+U489-'ROR-Model'!G489</f>
        <v>0</v>
      </c>
    </row>
    <row r="490" spans="1:22">
      <c r="A490" s="668"/>
      <c r="B490" s="659"/>
      <c r="C490" s="659" t="s">
        <v>13</v>
      </c>
      <c r="D490" s="659"/>
      <c r="E490" s="669"/>
      <c r="F490" s="357"/>
      <c r="G490" s="357"/>
      <c r="H490" s="357"/>
      <c r="I490" s="357"/>
      <c r="J490" s="390"/>
      <c r="K490" s="390"/>
      <c r="L490" s="357"/>
      <c r="M490" s="357"/>
      <c r="N490" s="357"/>
      <c r="O490" s="357"/>
      <c r="P490" s="357"/>
      <c r="Q490" s="390"/>
      <c r="R490" s="390"/>
      <c r="S490" s="657">
        <f>SUM(F490:R490)</f>
        <v>0</v>
      </c>
      <c r="T490" s="357"/>
      <c r="U490" s="657">
        <f>SUM(S490:S490)</f>
        <v>0</v>
      </c>
      <c r="V490" s="657">
        <f>+U490-'ROR-Model'!G490</f>
        <v>0</v>
      </c>
    </row>
    <row r="491" spans="1:22">
      <c r="A491" s="668"/>
      <c r="B491" s="659"/>
      <c r="C491" s="659" t="s">
        <v>24</v>
      </c>
      <c r="D491" s="659"/>
      <c r="E491" s="669"/>
      <c r="F491" s="357"/>
      <c r="G491" s="357"/>
      <c r="H491" s="357"/>
      <c r="I491" s="357"/>
      <c r="J491" s="390"/>
      <c r="K491" s="390"/>
      <c r="L491" s="357"/>
      <c r="M491" s="357"/>
      <c r="N491" s="357"/>
      <c r="O491" s="357"/>
      <c r="P491" s="357"/>
      <c r="Q491" s="390"/>
      <c r="R491" s="390"/>
      <c r="S491" s="657">
        <f>SUM(F491:R491)</f>
        <v>0</v>
      </c>
      <c r="T491" s="357"/>
      <c r="U491" s="657">
        <f>SUM(S491:S491)</f>
        <v>0</v>
      </c>
      <c r="V491" s="657">
        <f>+U491-'ROR-Model'!G491</f>
        <v>0</v>
      </c>
    </row>
    <row r="492" spans="1:22">
      <c r="A492" s="668"/>
      <c r="B492" s="659"/>
      <c r="C492" s="659" t="s">
        <v>160</v>
      </c>
      <c r="D492" s="659"/>
      <c r="E492" s="669"/>
      <c r="F492" s="388">
        <f>SUM(F490:F491)</f>
        <v>0</v>
      </c>
      <c r="G492" s="388">
        <f>G1*SUM(G490:G491)</f>
        <v>0</v>
      </c>
      <c r="H492" s="388">
        <f>SUM(H490:H491)</f>
        <v>0</v>
      </c>
      <c r="I492" s="388">
        <f t="shared" ref="I492:P492" si="98">SUM(I490:I491)</f>
        <v>0</v>
      </c>
      <c r="J492" s="585">
        <f>J1*SUM(J490:J491)</f>
        <v>0</v>
      </c>
      <c r="K492" s="585">
        <f>K1*SUM(K490:K491)</f>
        <v>0</v>
      </c>
      <c r="L492" s="388">
        <f t="shared" si="98"/>
        <v>0</v>
      </c>
      <c r="M492" s="388">
        <f t="shared" si="98"/>
        <v>0</v>
      </c>
      <c r="N492" s="388">
        <f t="shared" si="98"/>
        <v>0</v>
      </c>
      <c r="O492" s="388">
        <f t="shared" si="98"/>
        <v>0</v>
      </c>
      <c r="P492" s="388">
        <f t="shared" si="98"/>
        <v>0</v>
      </c>
      <c r="Q492" s="585">
        <f>SUM(Q490:Q491)</f>
        <v>0</v>
      </c>
      <c r="R492" s="585">
        <f>R1*SUM(R490:R491)</f>
        <v>0</v>
      </c>
      <c r="S492" s="661">
        <f>SUM(S490:S491)</f>
        <v>0</v>
      </c>
      <c r="T492" s="388"/>
      <c r="U492" s="661">
        <f>SUM(U490:U491)</f>
        <v>0</v>
      </c>
      <c r="V492" s="661">
        <f>+U492-'ROR-Model'!G492</f>
        <v>0</v>
      </c>
    </row>
    <row r="493" spans="1:22">
      <c r="A493" s="668"/>
      <c r="B493" s="659"/>
      <c r="C493" s="659"/>
      <c r="D493" s="659"/>
      <c r="E493" s="669"/>
      <c r="F493" s="357"/>
      <c r="G493" s="357"/>
      <c r="H493" s="357"/>
      <c r="I493" s="357"/>
      <c r="J493" s="390"/>
      <c r="K493" s="390"/>
      <c r="L493" s="357"/>
      <c r="M493" s="357"/>
      <c r="N493" s="357"/>
      <c r="O493" s="357"/>
      <c r="P493" s="357"/>
      <c r="Q493" s="390"/>
      <c r="R493" s="390"/>
      <c r="S493" s="657"/>
      <c r="T493" s="357"/>
      <c r="U493" s="657"/>
      <c r="V493" s="657">
        <f>+U493-'ROR-Model'!G493</f>
        <v>0</v>
      </c>
    </row>
    <row r="494" spans="1:22">
      <c r="A494" s="668">
        <v>4974</v>
      </c>
      <c r="B494" s="659" t="s">
        <v>326</v>
      </c>
      <c r="C494" s="659"/>
      <c r="D494" s="659"/>
      <c r="E494" s="669"/>
      <c r="F494" s="357"/>
      <c r="G494" s="357"/>
      <c r="H494" s="357"/>
      <c r="I494" s="357"/>
      <c r="J494" s="390"/>
      <c r="K494" s="390"/>
      <c r="L494" s="357"/>
      <c r="M494" s="357"/>
      <c r="N494" s="357"/>
      <c r="O494" s="357"/>
      <c r="P494" s="357"/>
      <c r="Q494" s="390"/>
      <c r="R494" s="390"/>
      <c r="S494" s="657"/>
      <c r="T494" s="357"/>
      <c r="U494" s="657"/>
      <c r="V494" s="657">
        <f>+U494-'ROR-Model'!G494</f>
        <v>0</v>
      </c>
    </row>
    <row r="495" spans="1:22">
      <c r="A495" s="660"/>
      <c r="B495" s="659"/>
      <c r="C495" s="659" t="s">
        <v>13</v>
      </c>
      <c r="D495" s="659"/>
      <c r="E495" s="669"/>
      <c r="F495" s="357"/>
      <c r="G495" s="357"/>
      <c r="H495" s="357"/>
      <c r="I495" s="357"/>
      <c r="J495" s="390"/>
      <c r="K495" s="390"/>
      <c r="L495" s="357"/>
      <c r="M495" s="357"/>
      <c r="N495" s="357"/>
      <c r="O495" s="357"/>
      <c r="P495" s="357"/>
      <c r="Q495" s="390"/>
      <c r="R495" s="390"/>
      <c r="S495" s="657">
        <f>SUM(F495:R495)</f>
        <v>0</v>
      </c>
      <c r="T495" s="357"/>
      <c r="U495" s="657">
        <f>SUM(S495:S495)</f>
        <v>0</v>
      </c>
      <c r="V495" s="657">
        <f>+U495-'ROR-Model'!G495</f>
        <v>0</v>
      </c>
    </row>
    <row r="496" spans="1:22">
      <c r="A496" s="660"/>
      <c r="B496" s="659"/>
      <c r="C496" s="659" t="s">
        <v>24</v>
      </c>
      <c r="D496" s="659"/>
      <c r="E496" s="669"/>
      <c r="F496" s="357"/>
      <c r="G496" s="357"/>
      <c r="H496" s="357"/>
      <c r="I496" s="357"/>
      <c r="J496" s="390"/>
      <c r="K496" s="390"/>
      <c r="L496" s="357"/>
      <c r="M496" s="357"/>
      <c r="N496" s="357"/>
      <c r="O496" s="357"/>
      <c r="P496" s="357"/>
      <c r="Q496" s="390"/>
      <c r="R496" s="390"/>
      <c r="S496" s="657">
        <f>SUM(F496:R496)</f>
        <v>0</v>
      </c>
      <c r="T496" s="357"/>
      <c r="U496" s="657">
        <f>SUM(S496:S496)</f>
        <v>0</v>
      </c>
      <c r="V496" s="657">
        <f>+U496-'ROR-Model'!G496</f>
        <v>0</v>
      </c>
    </row>
    <row r="497" spans="1:22">
      <c r="A497" s="660"/>
      <c r="B497" s="659"/>
      <c r="C497" s="659" t="s">
        <v>160</v>
      </c>
      <c r="D497" s="659"/>
      <c r="E497" s="656"/>
      <c r="F497" s="388">
        <f>SUM(F495:F496)</f>
        <v>0</v>
      </c>
      <c r="G497" s="388">
        <f>G1*SUM(G495:G496)</f>
        <v>0</v>
      </c>
      <c r="H497" s="388">
        <f>SUM(H495:H496)</f>
        <v>0</v>
      </c>
      <c r="I497" s="388">
        <f t="shared" ref="I497:P497" si="99">SUM(I495:I496)</f>
        <v>0</v>
      </c>
      <c r="J497" s="585">
        <f>J1*SUM(J495:J496)</f>
        <v>0</v>
      </c>
      <c r="K497" s="585">
        <f>K1*SUM(K495:K496)</f>
        <v>0</v>
      </c>
      <c r="L497" s="388">
        <f t="shared" si="99"/>
        <v>0</v>
      </c>
      <c r="M497" s="388">
        <f t="shared" si="99"/>
        <v>0</v>
      </c>
      <c r="N497" s="388">
        <f t="shared" si="99"/>
        <v>0</v>
      </c>
      <c r="O497" s="388">
        <f t="shared" si="99"/>
        <v>0</v>
      </c>
      <c r="P497" s="388">
        <f t="shared" si="99"/>
        <v>0</v>
      </c>
      <c r="Q497" s="585">
        <f>SUM(Q495:Q496)</f>
        <v>0</v>
      </c>
      <c r="R497" s="585">
        <f>R1*SUM(R495:R496)</f>
        <v>0</v>
      </c>
      <c r="S497" s="661">
        <f>SUM(S495:S496)</f>
        <v>0</v>
      </c>
      <c r="T497" s="388"/>
      <c r="U497" s="661">
        <f>SUM(U495:U496)</f>
        <v>0</v>
      </c>
      <c r="V497" s="661">
        <f>+U497-'ROR-Model'!G497</f>
        <v>0</v>
      </c>
    </row>
    <row r="498" spans="1:22" ht="13.5" thickBot="1">
      <c r="A498" s="660"/>
      <c r="B498" s="659"/>
      <c r="C498" s="659"/>
      <c r="D498" s="659"/>
      <c r="E498" s="656"/>
      <c r="F498" s="579"/>
      <c r="G498" s="579"/>
      <c r="H498" s="579"/>
      <c r="I498" s="579"/>
      <c r="J498" s="586"/>
      <c r="K498" s="586"/>
      <c r="L498" s="579"/>
      <c r="M498" s="579"/>
      <c r="N498" s="579"/>
      <c r="O498" s="579"/>
      <c r="P498" s="579"/>
      <c r="Q498" s="586"/>
      <c r="R498" s="586"/>
      <c r="S498" s="663"/>
      <c r="T498" s="579"/>
      <c r="U498" s="663"/>
      <c r="V498" s="663">
        <f>+U498-'ROR-Model'!G498</f>
        <v>0</v>
      </c>
    </row>
    <row r="499" spans="1:22" ht="13.5" thickTop="1">
      <c r="A499" s="189" t="s">
        <v>538</v>
      </c>
      <c r="B499" s="659"/>
      <c r="C499" s="659"/>
      <c r="D499" s="659"/>
      <c r="E499" s="656"/>
      <c r="F499" s="357"/>
      <c r="G499" s="357"/>
      <c r="H499" s="357"/>
      <c r="I499" s="357"/>
      <c r="J499" s="390"/>
      <c r="K499" s="390"/>
      <c r="L499" s="357"/>
      <c r="M499" s="357"/>
      <c r="N499" s="357"/>
      <c r="O499" s="357"/>
      <c r="P499" s="357"/>
      <c r="Q499" s="390"/>
      <c r="R499" s="390"/>
      <c r="S499" s="657"/>
      <c r="T499" s="357"/>
      <c r="U499" s="657"/>
      <c r="V499" s="657">
        <f>+U499-'ROR-Model'!G499</f>
        <v>0</v>
      </c>
    </row>
    <row r="500" spans="1:22">
      <c r="A500" s="660"/>
      <c r="B500" s="119" t="s">
        <v>541</v>
      </c>
      <c r="C500" s="659"/>
      <c r="D500" s="659"/>
      <c r="E500" s="656"/>
      <c r="F500" s="357"/>
      <c r="G500" s="357"/>
      <c r="H500" s="357"/>
      <c r="I500" s="357"/>
      <c r="J500" s="390"/>
      <c r="K500" s="390"/>
      <c r="L500" s="357"/>
      <c r="M500" s="357"/>
      <c r="N500" s="357"/>
      <c r="O500" s="357"/>
      <c r="P500" s="357"/>
      <c r="Q500" s="390"/>
      <c r="R500" s="390"/>
      <c r="S500" s="657"/>
      <c r="T500" s="357"/>
      <c r="U500" s="657"/>
      <c r="V500" s="657">
        <f>+U500-'ROR-Model'!G500</f>
        <v>0</v>
      </c>
    </row>
    <row r="501" spans="1:22">
      <c r="A501" s="660"/>
      <c r="B501" s="122"/>
      <c r="C501" s="653" t="s">
        <v>542</v>
      </c>
      <c r="D501" s="659"/>
      <c r="E501" s="656"/>
      <c r="F501" s="390">
        <f>F380+F460+F465+F470+F475+F480+F485+F490</f>
        <v>0</v>
      </c>
      <c r="G501" s="390">
        <f>G1*G380+G460+G465+G470+G475+G480+G485+G490</f>
        <v>0</v>
      </c>
      <c r="H501" s="390">
        <f>H380+H460+H465+H470+H475+H480+H485+H490</f>
        <v>0</v>
      </c>
      <c r="I501" s="390">
        <f t="shared" ref="I501:Q501" si="100">I380+I460+I465+I470+I475+I480+I485+I490</f>
        <v>0</v>
      </c>
      <c r="J501" s="390">
        <f>J1*J380+J460+J465+J470+J475+J480+J485+J490</f>
        <v>0</v>
      </c>
      <c r="K501" s="390">
        <f>K1*K380+K460+K465+K470+K475+K480+K485+K490</f>
        <v>0</v>
      </c>
      <c r="L501" s="390">
        <f t="shared" si="100"/>
        <v>0</v>
      </c>
      <c r="M501" s="390">
        <f t="shared" si="100"/>
        <v>0</v>
      </c>
      <c r="N501" s="390">
        <f t="shared" si="100"/>
        <v>0</v>
      </c>
      <c r="O501" s="390">
        <f t="shared" si="100"/>
        <v>0</v>
      </c>
      <c r="P501" s="390">
        <f t="shared" si="100"/>
        <v>0</v>
      </c>
      <c r="Q501" s="390">
        <f t="shared" si="100"/>
        <v>0</v>
      </c>
      <c r="R501" s="390">
        <f>R1*R380+R460+R465+R470+R475+R480+R485+R490</f>
        <v>0</v>
      </c>
      <c r="S501" s="657">
        <f>S380+S460+S465+S470+S475+S480+S485+S490</f>
        <v>0</v>
      </c>
      <c r="T501" s="390"/>
      <c r="U501" s="657">
        <f>U380+U460+U465+U470+U475+U480+U485+U490</f>
        <v>0</v>
      </c>
      <c r="V501" s="657">
        <f>+U501-'ROR-Model'!G501</f>
        <v>0</v>
      </c>
    </row>
    <row r="502" spans="1:22">
      <c r="A502" s="660"/>
      <c r="B502" s="122"/>
      <c r="C502" s="653" t="s">
        <v>543</v>
      </c>
      <c r="D502" s="659"/>
      <c r="E502" s="656"/>
      <c r="F502" s="390">
        <f>F385+F390+F395+F400+F405+F410+F415+F420+F425+F430+F435+F440+F445+F450+F455+F495</f>
        <v>0</v>
      </c>
      <c r="G502" s="390">
        <f>G1*G385+G390+G395+G400+G405+G410+G415+G420+G425+G430+G435+G440+G445+G450+G455+G495</f>
        <v>0</v>
      </c>
      <c r="H502" s="390">
        <f>H385+H390+H395+H400+H405+H410+H415+H420+H425+H430+H435+H440+H445+H450+H455+H495</f>
        <v>0</v>
      </c>
      <c r="I502" s="390">
        <f t="shared" ref="I502:Q502" si="101">I385+I390+I395+I400+I405+I410+I415+I420+I425+I430+I435+I440+I445+I450+I455+I495</f>
        <v>0</v>
      </c>
      <c r="J502" s="390">
        <f>J1*J385+J390+J395+J400+J405+J410+J415+J420+J425+J430+J435+J440+J445+J450+J455+J495</f>
        <v>0</v>
      </c>
      <c r="K502" s="390">
        <f>K1*K385+K390+K395+K400+K405+K410+K415+K420+K425+K430+K435+K440+K445+K450+K455+K495</f>
        <v>0</v>
      </c>
      <c r="L502" s="390">
        <f t="shared" si="101"/>
        <v>0</v>
      </c>
      <c r="M502" s="390">
        <f t="shared" si="101"/>
        <v>0</v>
      </c>
      <c r="N502" s="390">
        <f t="shared" si="101"/>
        <v>0</v>
      </c>
      <c r="O502" s="390">
        <f t="shared" si="101"/>
        <v>0</v>
      </c>
      <c r="P502" s="390">
        <f t="shared" si="101"/>
        <v>0</v>
      </c>
      <c r="Q502" s="390">
        <f t="shared" si="101"/>
        <v>0</v>
      </c>
      <c r="R502" s="390">
        <f>R1*R385+R390+R395+R400+R405+R410+R415+R420+R425+R430+R435+R440+R445+R450+R455+R495</f>
        <v>0</v>
      </c>
      <c r="S502" s="657">
        <f>S385+S390+S395+S400+S405+S410+S415+S420+S425+S430+S435+S440+S445+S450+S455+S495</f>
        <v>0</v>
      </c>
      <c r="T502" s="390"/>
      <c r="U502" s="657">
        <f>U385+U390+U395+U400+U405+U410+U415+U420+U425+U430+U435+U440+U445+U450+U455+U495</f>
        <v>0</v>
      </c>
      <c r="V502" s="657">
        <f>+U502-'ROR-Model'!G502</f>
        <v>0</v>
      </c>
    </row>
    <row r="503" spans="1:22">
      <c r="A503" s="660"/>
      <c r="B503" s="122"/>
      <c r="C503" s="192" t="s">
        <v>544</v>
      </c>
      <c r="D503" s="659"/>
      <c r="E503" s="656"/>
      <c r="F503" s="390">
        <f>F380+F385+F390+F395+F400+F405+F410+F415+F420+F425+F430+F435+F440+F445+F450+F455+F460+F465+F470+F475+F480+F485+F490+F495</f>
        <v>0</v>
      </c>
      <c r="G503" s="390">
        <f>G1*G380+G385+G390+G395+G400+G405+G410+G415+G420+G425+G430+G435+G440+G445+G450+G455+G460+G465+G470+G475+G480+G485+G490+G495</f>
        <v>0</v>
      </c>
      <c r="H503" s="390">
        <f>H380+H385+H390+H395+H400+H405+H410+H415+H420+H425+H430+H435+H440+H445+H450+H455+H460+H465+H470+H475+H480+H485+H490+H495</f>
        <v>0</v>
      </c>
      <c r="I503" s="390">
        <f t="shared" ref="I503:Q503" si="102">I380+I385+I390+I395+I400+I405+I410+I415+I420+I425+I430+I435+I440+I445+I450+I455+I460+I465+I470+I475+I480+I485+I490+I495</f>
        <v>0</v>
      </c>
      <c r="J503" s="390">
        <f>J1*J380+J385+J390+J395+J400+J405+J410+J415+J420+J425+J430+J435+J440+J445+J450+J455+J460+J465+J470+J475+J480+J485+J490+J495</f>
        <v>0</v>
      </c>
      <c r="K503" s="390">
        <f>K1*K380+K385+K390+K395+K400+K405+K410+K415+K420+K425+K430+K435+K440+K445+K450+K455+K460+K465+K470+K475+K480+K485+K490+K495</f>
        <v>0</v>
      </c>
      <c r="L503" s="390">
        <f t="shared" si="102"/>
        <v>0</v>
      </c>
      <c r="M503" s="390">
        <f t="shared" si="102"/>
        <v>0</v>
      </c>
      <c r="N503" s="390">
        <f t="shared" si="102"/>
        <v>0</v>
      </c>
      <c r="O503" s="390">
        <f t="shared" si="102"/>
        <v>0</v>
      </c>
      <c r="P503" s="390">
        <f t="shared" si="102"/>
        <v>0</v>
      </c>
      <c r="Q503" s="390">
        <f t="shared" si="102"/>
        <v>0</v>
      </c>
      <c r="R503" s="390">
        <f>R1*R380+R385+R390+R395+R400+R405+R410+R415+R420+R425+R430+R435+R440+R445+R450+R455+R460+R465+R470+R475+R480+R485+R490+R495</f>
        <v>0</v>
      </c>
      <c r="S503" s="657">
        <f>S380+S385+S390+S395+S400+S405+S410+S415+S420+S425+S430+S435+S440+S445+S450+S455+S460+S465+S470+S475+S480+S485+S490+S495</f>
        <v>0</v>
      </c>
      <c r="T503" s="390"/>
      <c r="U503" s="657">
        <f>U380+U385+U390+U395+U400+U405+U410+U415+U420+U425+U430+U435+U440+U445+U450+U455+U460+U465+U470+U475+U480+U485+U490+U495</f>
        <v>0</v>
      </c>
      <c r="V503" s="657">
        <f>+U503-'ROR-Model'!G503</f>
        <v>0</v>
      </c>
    </row>
    <row r="504" spans="1:22">
      <c r="A504" s="660"/>
      <c r="B504" s="122" t="s">
        <v>545</v>
      </c>
      <c r="C504" s="653"/>
      <c r="D504" s="659"/>
      <c r="E504" s="656"/>
      <c r="F504" s="390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657"/>
      <c r="T504" s="390"/>
      <c r="U504" s="657"/>
      <c r="V504" s="657">
        <f>+U504-'ROR-Model'!G504</f>
        <v>0</v>
      </c>
    </row>
    <row r="505" spans="1:22">
      <c r="A505" s="660"/>
      <c r="B505" s="122"/>
      <c r="C505" s="653" t="s">
        <v>542</v>
      </c>
      <c r="D505" s="659"/>
      <c r="E505" s="656"/>
      <c r="F505" s="390">
        <f>F486+F491</f>
        <v>0</v>
      </c>
      <c r="G505" s="390">
        <f>G486+G491</f>
        <v>0</v>
      </c>
      <c r="H505" s="390">
        <f>H486+H491</f>
        <v>0</v>
      </c>
      <c r="I505" s="390">
        <f t="shared" ref="I505:Q505" si="103">I486+I491</f>
        <v>0</v>
      </c>
      <c r="J505" s="390">
        <f>J1*J486+J491</f>
        <v>0</v>
      </c>
      <c r="K505" s="390">
        <f>K1*K486+K491</f>
        <v>0</v>
      </c>
      <c r="L505" s="390">
        <f t="shared" si="103"/>
        <v>0</v>
      </c>
      <c r="M505" s="390">
        <f t="shared" si="103"/>
        <v>0</v>
      </c>
      <c r="N505" s="390">
        <f t="shared" si="103"/>
        <v>0</v>
      </c>
      <c r="O505" s="390">
        <f t="shared" si="103"/>
        <v>0</v>
      </c>
      <c r="P505" s="390">
        <f t="shared" si="103"/>
        <v>0</v>
      </c>
      <c r="Q505" s="390">
        <f t="shared" si="103"/>
        <v>0</v>
      </c>
      <c r="R505" s="390">
        <f>R1*R486+R491</f>
        <v>0</v>
      </c>
      <c r="S505" s="657">
        <f>S486+S491</f>
        <v>0</v>
      </c>
      <c r="T505" s="390"/>
      <c r="U505" s="657">
        <f>U486+U491</f>
        <v>0</v>
      </c>
      <c r="V505" s="657">
        <f>+U505-'ROR-Model'!G505</f>
        <v>0</v>
      </c>
    </row>
    <row r="506" spans="1:22">
      <c r="A506" s="660"/>
      <c r="B506" s="122"/>
      <c r="C506" s="653" t="s">
        <v>543</v>
      </c>
      <c r="D506" s="659"/>
      <c r="E506" s="656"/>
      <c r="F506" s="390">
        <f>F381+F386+F391+F396+F401+F406+F411+F416+F421+F426+F431+F436+F441+F446+F451+F456+F461+F466+F471+F476+F481+F496</f>
        <v>0</v>
      </c>
      <c r="G506" s="390">
        <f>G381+G386+G391+G396+G401+G406+G411+G416+G421+G426+G431+G436+G441+G446+G451+G456+G461+G466+G471+G476+G481+G496</f>
        <v>0</v>
      </c>
      <c r="H506" s="390">
        <f>H381+H386+H391+H396+H401+H406+H411+H416+H421+H426+H431+H436+H441+H446+H451+H456+H461+H466+H471+H476+H481+H496</f>
        <v>0</v>
      </c>
      <c r="I506" s="390">
        <f t="shared" ref="I506:Q506" si="104">I381+I386+I391+I396+I401+I406+I411+I416+I421+I426+I431+I436+I441+I446+I451+I456+I461+I466+I471+I476+I481+I496</f>
        <v>0</v>
      </c>
      <c r="J506" s="390">
        <f>J1*J381+J386+J391+J396+J401+J406+J411+J416+J421+J426+J431+J436+J441+J446+J451+J456+J461+J466+J471+J476+J481+J496</f>
        <v>0</v>
      </c>
      <c r="K506" s="390">
        <f>K1*K381+K386+K391+K396+K401+K406+K411+K416+K421+K426+K431+K436+K441+K446+K451+K456+K461+K466+K471+K476+K481+K496</f>
        <v>0</v>
      </c>
      <c r="L506" s="390">
        <f t="shared" si="104"/>
        <v>0</v>
      </c>
      <c r="M506" s="390">
        <f t="shared" si="104"/>
        <v>0</v>
      </c>
      <c r="N506" s="390">
        <f t="shared" si="104"/>
        <v>0</v>
      </c>
      <c r="O506" s="390">
        <f t="shared" si="104"/>
        <v>0</v>
      </c>
      <c r="P506" s="390">
        <f t="shared" si="104"/>
        <v>0</v>
      </c>
      <c r="Q506" s="390">
        <f t="shared" si="104"/>
        <v>0</v>
      </c>
      <c r="R506" s="390">
        <f>R1*R381+R386+R391+R396+R401+R406+R411+R416+R421+R426+R431+R436+R441+R446+R451+R456+R461+R466+R471+R476+R481+R496</f>
        <v>0</v>
      </c>
      <c r="S506" s="657">
        <f>S381+S386+S391+S396+S401+S406+S411+S416+S421+S426+S431+S436+S441+S446+S451+S456+S461+S466+S471+S476+S481+S496</f>
        <v>0</v>
      </c>
      <c r="T506" s="390"/>
      <c r="U506" s="657">
        <f>U381+U386+U391+U396+U401+U406+U411+U416+U421+U426+U431+U436+U441+U446+U451+U456+U461+U466+U471+U476+U481+U496</f>
        <v>0</v>
      </c>
      <c r="V506" s="657">
        <f>+U506-'ROR-Model'!G506</f>
        <v>0</v>
      </c>
    </row>
    <row r="507" spans="1:22">
      <c r="A507" s="660"/>
      <c r="B507" s="122"/>
      <c r="C507" s="192" t="s">
        <v>546</v>
      </c>
      <c r="D507" s="659"/>
      <c r="E507" s="656"/>
      <c r="F507" s="390">
        <f>F381+F386+F391+F396+F401+F406+F411+F416+F421+F426+F431+F436+F441+F446+F451+F456+F461+F466+F471+F476+F481+F486+F491+F496</f>
        <v>0</v>
      </c>
      <c r="G507" s="390">
        <f>G1*G381+G386+G391+G396+G401+G406+G411+G416+G421+G426+G431+G436+G441+G446+G451+G456+G461+G466+G471+G476+G481+G486+G491+G496</f>
        <v>0</v>
      </c>
      <c r="H507" s="390">
        <f>H381+H386+H391+H396+H401+H406+H411+H416+H421+H426+H431+H436+H441+H446+H451+H456+H461+H466+H471+H476+H481+H486+H491+H496</f>
        <v>0</v>
      </c>
      <c r="I507" s="390">
        <f t="shared" ref="I507:Q507" si="105">I381+I386+I391+I396+I401+I406+I411+I416+I421+I426+I431+I436+I441+I446+I451+I456+I461+I466+I471+I476+I481+I486+I491+I496</f>
        <v>0</v>
      </c>
      <c r="J507" s="390">
        <f>J1*J381+J386+J391+J396+J401+J406+J411+J416+J421+J426+J431+J436+J441+J446+J451+J456+J461+J466+J471+J476+J481+J486+J491+J496</f>
        <v>0</v>
      </c>
      <c r="K507" s="390">
        <f>K1*K381+K386+K391+K396+K401+K406+K411+K416+K421+K426+K431+K436+K441+K446+K451+K456+K461+K466+K471+K476+K481+K486+K491+K496</f>
        <v>0</v>
      </c>
      <c r="L507" s="390">
        <f t="shared" si="105"/>
        <v>0</v>
      </c>
      <c r="M507" s="390">
        <f t="shared" si="105"/>
        <v>0</v>
      </c>
      <c r="N507" s="390">
        <f t="shared" si="105"/>
        <v>0</v>
      </c>
      <c r="O507" s="390">
        <f t="shared" si="105"/>
        <v>0</v>
      </c>
      <c r="P507" s="390">
        <f t="shared" si="105"/>
        <v>0</v>
      </c>
      <c r="Q507" s="390">
        <f t="shared" si="105"/>
        <v>0</v>
      </c>
      <c r="R507" s="390">
        <f>R1*R381+R386+R391+R396+R401+R406+R411+R416+R421+R426+R431+R436+R441+R446+R451+R456+R461+R466+R471+R476+R481+R486+R491+R496</f>
        <v>0</v>
      </c>
      <c r="S507" s="657">
        <f>S381+S386+S391+S396+S401+S406+S411+S416+S421+S426+S431+S436+S441+S446+S451+S456+S461+S466+S471+S476+S481+S486+S491+S496</f>
        <v>0</v>
      </c>
      <c r="T507" s="390"/>
      <c r="U507" s="657">
        <f>U381+U386+U391+U396+U401+U406+U411+U416+U421+U426+U431+U436+U441+U446+U451+U456+U461+U466+U471+U476+U481+U486+U491+U496</f>
        <v>0</v>
      </c>
      <c r="V507" s="657">
        <f>+U507-'ROR-Model'!G507</f>
        <v>0</v>
      </c>
    </row>
    <row r="508" spans="1:22">
      <c r="A508" s="660"/>
      <c r="B508" s="122"/>
      <c r="C508" s="653"/>
      <c r="D508" s="659"/>
      <c r="E508" s="656"/>
      <c r="F508" s="390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657"/>
      <c r="T508" s="390"/>
      <c r="U508" s="657"/>
      <c r="V508" s="657">
        <f>+U508-'ROR-Model'!G508</f>
        <v>0</v>
      </c>
    </row>
    <row r="509" spans="1:22">
      <c r="A509" s="660"/>
      <c r="B509" s="122" t="s">
        <v>547</v>
      </c>
      <c r="C509" s="653"/>
      <c r="D509" s="659"/>
      <c r="E509" s="656"/>
      <c r="F509" s="390">
        <f>F382+F387+F392+F397+F402+F407+F412+F417+F422+F427+F432+F437+F442+F447+F452+F457+F462+F467+F472+F477+F482+F487+F492+F497</f>
        <v>0</v>
      </c>
      <c r="G509" s="390">
        <f>G1*G382+G387+G392+G397+G402+G407+G412+G417+G422+G427+G432+G437+G442+G447+G452+G457+G462+G467+G472+G477+G482+G487+G492+G497</f>
        <v>0</v>
      </c>
      <c r="H509" s="390">
        <f>H382+H387+H392+H397+H402+H407+H412+H417+H422+H427+H432+H437+H442+H447+H452+H457+H462+H467+H472+H477+H482+H487+H492+H497</f>
        <v>0</v>
      </c>
      <c r="I509" s="390">
        <f t="shared" ref="I509:Q509" si="106">I382+I387+I392+I397+I402+I407+I412+I417+I422+I427+I432+I437+I442+I447+I452+I457+I462+I467+I472+I477+I482+I487+I492+I497</f>
        <v>0</v>
      </c>
      <c r="J509" s="390">
        <f>J1*J382+J387+J392+J397+J402+J407+J412+J417+J422+J427+J432+J437+J442+J447+J452+J457+J462+J467+J472+J477+J482+J487+J492+J497</f>
        <v>0</v>
      </c>
      <c r="K509" s="390">
        <f>K1*K382+K387+K392+K397+K402+K407+K412+K417+K422+K427+K432+K437+K442+K447+K452+K457+K462+K467+K472+K477+K482+K487+K492+K497</f>
        <v>0</v>
      </c>
      <c r="L509" s="390">
        <f t="shared" si="106"/>
        <v>0</v>
      </c>
      <c r="M509" s="390">
        <f t="shared" si="106"/>
        <v>0</v>
      </c>
      <c r="N509" s="390">
        <f t="shared" si="106"/>
        <v>0</v>
      </c>
      <c r="O509" s="390">
        <f t="shared" si="106"/>
        <v>0</v>
      </c>
      <c r="P509" s="390">
        <f t="shared" si="106"/>
        <v>0</v>
      </c>
      <c r="Q509" s="390">
        <f t="shared" si="106"/>
        <v>0</v>
      </c>
      <c r="R509" s="390">
        <f>R1*R382+R387+R392+R397+R402+R407+R412+R417+R422+R427+R432+R437+R442+R447+R452+R457+R462+R467+R472+R477+R482+R487+R492+R497</f>
        <v>0</v>
      </c>
      <c r="S509" s="657">
        <f>S382+S387+S392+S397+S402+S407+S412+S417+S422+S427+S432+S437+S442+S447+S452+S457+S462+S467+S472+S477+S482+S487+S492+S497</f>
        <v>0</v>
      </c>
      <c r="T509" s="390"/>
      <c r="U509" s="657">
        <f>U382+U387+U392+U397+U402+U407+U412+U417+U422+U427+U432+U437+U442+U447+U452+U457+U462+U467+U472+U477+U482+U487+U492+U497</f>
        <v>0</v>
      </c>
      <c r="V509" s="657">
        <f>+U509-'ROR-Model'!G509</f>
        <v>0</v>
      </c>
    </row>
    <row r="510" spans="1:22">
      <c r="A510" s="660"/>
      <c r="B510" s="122"/>
      <c r="C510" s="653"/>
      <c r="D510" s="659"/>
      <c r="E510" s="656"/>
      <c r="F510" s="390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657"/>
      <c r="T510" s="390"/>
      <c r="U510" s="657"/>
      <c r="V510" s="657"/>
    </row>
    <row r="511" spans="1:22">
      <c r="A511" s="660"/>
      <c r="B511" s="122"/>
      <c r="C511" s="653"/>
      <c r="D511" s="659"/>
      <c r="E511" s="656"/>
      <c r="F511" s="390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657"/>
      <c r="T511" s="390"/>
      <c r="U511" s="657"/>
      <c r="V511" s="657"/>
    </row>
    <row r="512" spans="1:22">
      <c r="A512" s="189" t="s">
        <v>327</v>
      </c>
      <c r="B512" s="122"/>
      <c r="C512" s="653"/>
      <c r="D512" s="659"/>
      <c r="E512" s="656"/>
      <c r="F512" s="390">
        <f>F368+F509</f>
        <v>0</v>
      </c>
      <c r="G512" s="390">
        <f>G1*G368+G509</f>
        <v>-20972049.120000001</v>
      </c>
      <c r="H512" s="390">
        <f>H368+H509</f>
        <v>0</v>
      </c>
      <c r="I512" s="390">
        <f t="shared" ref="I512:Q512" si="107">I368+I509</f>
        <v>0</v>
      </c>
      <c r="J512" s="390">
        <f>J1*J368+J509</f>
        <v>0</v>
      </c>
      <c r="K512" s="390">
        <f>K1*K368+K509</f>
        <v>0</v>
      </c>
      <c r="L512" s="390">
        <f t="shared" si="107"/>
        <v>0</v>
      </c>
      <c r="M512" s="390">
        <f t="shared" si="107"/>
        <v>0</v>
      </c>
      <c r="N512" s="390">
        <f t="shared" si="107"/>
        <v>0</v>
      </c>
      <c r="O512" s="390">
        <f t="shared" si="107"/>
        <v>0</v>
      </c>
      <c r="P512" s="390">
        <f t="shared" si="107"/>
        <v>0</v>
      </c>
      <c r="Q512" s="390">
        <f t="shared" si="107"/>
        <v>0</v>
      </c>
      <c r="R512" s="390">
        <f>R1*R368+R509</f>
        <v>0</v>
      </c>
      <c r="S512" s="657">
        <f>SUM(F512:R512)</f>
        <v>-20972049.120000001</v>
      </c>
      <c r="T512" s="390"/>
      <c r="U512" s="657">
        <f>SUM(S512:S512)</f>
        <v>-20972049.120000001</v>
      </c>
      <c r="V512" s="657">
        <f>+U512-'ROR-Model'!G512</f>
        <v>0</v>
      </c>
    </row>
    <row r="513" spans="1:22">
      <c r="A513" s="660"/>
      <c r="B513" s="659"/>
      <c r="C513" s="659"/>
      <c r="D513" s="659"/>
      <c r="E513" s="656"/>
      <c r="F513" s="357"/>
      <c r="G513" s="357"/>
      <c r="H513" s="357"/>
      <c r="I513" s="357"/>
      <c r="J513" s="390"/>
      <c r="K513" s="390"/>
      <c r="L513" s="357"/>
      <c r="M513" s="357"/>
      <c r="N513" s="357"/>
      <c r="O513" s="357"/>
      <c r="P513" s="357"/>
      <c r="Q513" s="390"/>
      <c r="R513" s="390"/>
      <c r="S513" s="657"/>
      <c r="T513" s="357"/>
      <c r="U513" s="657"/>
      <c r="V513" s="657">
        <f>+U513-'ROR-Model'!G513</f>
        <v>0</v>
      </c>
    </row>
    <row r="514" spans="1:22">
      <c r="A514" s="660"/>
      <c r="B514" s="659"/>
      <c r="C514" s="659"/>
      <c r="D514" s="659"/>
      <c r="E514" s="656"/>
      <c r="F514" s="357"/>
      <c r="G514" s="357"/>
      <c r="H514" s="357"/>
      <c r="I514" s="357"/>
      <c r="J514" s="390"/>
      <c r="K514" s="390"/>
      <c r="L514" s="357"/>
      <c r="M514" s="357"/>
      <c r="N514" s="357"/>
      <c r="O514" s="357"/>
      <c r="P514" s="357"/>
      <c r="Q514" s="390"/>
      <c r="R514" s="390"/>
      <c r="S514" s="657"/>
      <c r="T514" s="357"/>
      <c r="U514" s="657"/>
      <c r="V514" s="657">
        <f>+U514-'ROR-Model'!G514</f>
        <v>0</v>
      </c>
    </row>
    <row r="515" spans="1:22">
      <c r="A515" s="1413" t="s">
        <v>328</v>
      </c>
      <c r="B515" s="1413"/>
      <c r="C515" s="1413"/>
      <c r="D515" s="1413"/>
      <c r="E515" s="1414"/>
      <c r="F515" s="357"/>
      <c r="G515" s="357"/>
      <c r="H515" s="357"/>
      <c r="I515" s="357"/>
      <c r="J515" s="390"/>
      <c r="K515" s="390"/>
      <c r="L515" s="357"/>
      <c r="M515" s="357"/>
      <c r="N515" s="357"/>
      <c r="O515" s="357"/>
      <c r="P515" s="357"/>
      <c r="Q515" s="390"/>
      <c r="R515" s="390"/>
      <c r="S515" s="657"/>
      <c r="T515" s="357"/>
      <c r="U515" s="657"/>
      <c r="V515" s="657">
        <f>+U515-'ROR-Model'!G515</f>
        <v>0</v>
      </c>
    </row>
    <row r="516" spans="1:22">
      <c r="A516" s="189" t="s">
        <v>329</v>
      </c>
      <c r="B516" s="659"/>
      <c r="C516" s="659"/>
      <c r="D516" s="659"/>
      <c r="E516" s="656"/>
      <c r="F516" s="357"/>
      <c r="G516" s="357"/>
      <c r="H516" s="357"/>
      <c r="I516" s="357"/>
      <c r="J516" s="390"/>
      <c r="K516" s="390"/>
      <c r="L516" s="357"/>
      <c r="M516" s="357"/>
      <c r="N516" s="357"/>
      <c r="O516" s="357"/>
      <c r="P516" s="357"/>
      <c r="Q516" s="390"/>
      <c r="R516" s="390"/>
      <c r="S516" s="657"/>
      <c r="T516" s="357"/>
      <c r="U516" s="657"/>
      <c r="V516" s="657">
        <f>+U516-'ROR-Model'!G516</f>
        <v>0</v>
      </c>
    </row>
    <row r="517" spans="1:22">
      <c r="A517" s="660"/>
      <c r="B517" s="659"/>
      <c r="C517" s="659"/>
      <c r="D517" s="659"/>
      <c r="E517" s="656"/>
      <c r="F517" s="357"/>
      <c r="G517" s="357"/>
      <c r="H517" s="357"/>
      <c r="I517" s="357"/>
      <c r="J517" s="390"/>
      <c r="K517" s="390"/>
      <c r="L517" s="357"/>
      <c r="M517" s="357"/>
      <c r="N517" s="357"/>
      <c r="O517" s="357"/>
      <c r="P517" s="357"/>
      <c r="Q517" s="390"/>
      <c r="R517" s="390"/>
      <c r="S517" s="657"/>
      <c r="T517" s="357"/>
      <c r="U517" s="657"/>
      <c r="V517" s="657">
        <f>+U517-'ROR-Model'!G517</f>
        <v>0</v>
      </c>
    </row>
    <row r="518" spans="1:22">
      <c r="A518" s="668"/>
      <c r="B518" s="659" t="s">
        <v>158</v>
      </c>
      <c r="C518" s="659"/>
      <c r="D518" s="659"/>
      <c r="E518" s="656"/>
      <c r="F518" s="357"/>
      <c r="G518" s="357"/>
      <c r="H518" s="357"/>
      <c r="I518" s="357"/>
      <c r="J518" s="390"/>
      <c r="K518" s="390"/>
      <c r="L518" s="357"/>
      <c r="M518" s="357"/>
      <c r="N518" s="357"/>
      <c r="O518" s="357"/>
      <c r="P518" s="357"/>
      <c r="Q518" s="390"/>
      <c r="R518" s="390"/>
      <c r="S518" s="657"/>
      <c r="T518" s="357"/>
      <c r="U518" s="657"/>
      <c r="V518" s="657">
        <f>+U518-'ROR-Model'!G518</f>
        <v>0</v>
      </c>
    </row>
    <row r="519" spans="1:22">
      <c r="A519" s="668"/>
      <c r="B519" s="659"/>
      <c r="C519" s="659"/>
      <c r="D519" s="659"/>
      <c r="E519" s="656"/>
      <c r="F519" s="357"/>
      <c r="G519" s="357"/>
      <c r="H519" s="357"/>
      <c r="I519" s="357"/>
      <c r="J519" s="390"/>
      <c r="K519" s="390"/>
      <c r="L519" s="357"/>
      <c r="M519" s="357"/>
      <c r="N519" s="357"/>
      <c r="O519" s="357"/>
      <c r="P519" s="357"/>
      <c r="Q519" s="390"/>
      <c r="R519" s="390"/>
      <c r="S519" s="657"/>
      <c r="T519" s="357"/>
      <c r="U519" s="657"/>
      <c r="V519" s="657">
        <f>+U519-'ROR-Model'!G519</f>
        <v>0</v>
      </c>
    </row>
    <row r="520" spans="1:22">
      <c r="A520" s="668">
        <v>758</v>
      </c>
      <c r="B520" s="659" t="s">
        <v>330</v>
      </c>
      <c r="C520" s="659"/>
      <c r="D520" s="659"/>
      <c r="E520" s="656"/>
      <c r="F520" s="357"/>
      <c r="G520" s="357"/>
      <c r="H520" s="357"/>
      <c r="I520" s="357"/>
      <c r="J520" s="390"/>
      <c r="K520" s="390"/>
      <c r="L520" s="357"/>
      <c r="M520" s="357"/>
      <c r="N520" s="357"/>
      <c r="O520" s="357"/>
      <c r="P520" s="357"/>
      <c r="Q520" s="390"/>
      <c r="R520" s="390"/>
      <c r="S520" s="657"/>
      <c r="T520" s="357"/>
      <c r="U520" s="657"/>
      <c r="V520" s="657">
        <f>+U520-'ROR-Model'!G520</f>
        <v>0</v>
      </c>
    </row>
    <row r="521" spans="1:22">
      <c r="A521" s="668"/>
      <c r="B521" s="659"/>
      <c r="C521" s="659" t="s">
        <v>13</v>
      </c>
      <c r="D521" s="659"/>
      <c r="E521" s="656"/>
      <c r="F521" s="357"/>
      <c r="G521" s="357"/>
      <c r="H521" s="357"/>
      <c r="I521" s="357"/>
      <c r="J521" s="390">
        <v>0</v>
      </c>
      <c r="K521" s="390">
        <v>0</v>
      </c>
      <c r="L521" s="357"/>
      <c r="M521" s="357"/>
      <c r="N521" s="357"/>
      <c r="O521" s="357"/>
      <c r="P521" s="357"/>
      <c r="Q521" s="390"/>
      <c r="R521" s="390">
        <v>0</v>
      </c>
      <c r="S521" s="657">
        <f>SUM(F521:R521)</f>
        <v>0</v>
      </c>
      <c r="T521" s="357"/>
      <c r="U521" s="657">
        <f>SUM(S521:S521)</f>
        <v>0</v>
      </c>
      <c r="V521" s="657">
        <f>+U521-'ROR-Model'!G521</f>
        <v>0</v>
      </c>
    </row>
    <row r="522" spans="1:22">
      <c r="A522" s="668"/>
      <c r="B522" s="659"/>
      <c r="C522" s="659" t="s">
        <v>24</v>
      </c>
      <c r="D522" s="659"/>
      <c r="E522" s="656"/>
      <c r="F522" s="357"/>
      <c r="G522" s="357"/>
      <c r="H522" s="357"/>
      <c r="I522" s="357"/>
      <c r="J522" s="390"/>
      <c r="K522" s="390"/>
      <c r="L522" s="357"/>
      <c r="M522" s="357"/>
      <c r="N522" s="357"/>
      <c r="O522" s="357"/>
      <c r="P522" s="357"/>
      <c r="Q522" s="390"/>
      <c r="R522" s="390"/>
      <c r="S522" s="657">
        <f>SUM(F522:R522)</f>
        <v>0</v>
      </c>
      <c r="T522" s="357"/>
      <c r="U522" s="657">
        <f>SUM(S522:S522)</f>
        <v>0</v>
      </c>
      <c r="V522" s="657">
        <f>+U522-'ROR-Model'!G522</f>
        <v>0</v>
      </c>
    </row>
    <row r="523" spans="1:22">
      <c r="A523" s="668"/>
      <c r="B523" s="659"/>
      <c r="C523" s="659" t="s">
        <v>160</v>
      </c>
      <c r="D523" s="659"/>
      <c r="E523" s="656"/>
      <c r="F523" s="388">
        <f>SUM(F521:F522)</f>
        <v>0</v>
      </c>
      <c r="G523" s="388">
        <f>G1*SUM(G521:G522)</f>
        <v>0</v>
      </c>
      <c r="H523" s="388">
        <f>SUM(H521:H522)</f>
        <v>0</v>
      </c>
      <c r="I523" s="388">
        <f t="shared" ref="I523:P523" si="108">SUM(I521:I522)</f>
        <v>0</v>
      </c>
      <c r="J523" s="585">
        <f>J1*SUM(J521:J522)</f>
        <v>0</v>
      </c>
      <c r="K523" s="585">
        <f>K1*SUM(K521:K522)</f>
        <v>0</v>
      </c>
      <c r="L523" s="388">
        <f t="shared" si="108"/>
        <v>0</v>
      </c>
      <c r="M523" s="388">
        <f t="shared" si="108"/>
        <v>0</v>
      </c>
      <c r="N523" s="388">
        <f t="shared" si="108"/>
        <v>0</v>
      </c>
      <c r="O523" s="388">
        <f t="shared" si="108"/>
        <v>0</v>
      </c>
      <c r="P523" s="388">
        <f t="shared" si="108"/>
        <v>0</v>
      </c>
      <c r="Q523" s="585">
        <f>SUM(Q521:Q522)</f>
        <v>0</v>
      </c>
      <c r="R523" s="585">
        <f>R1*SUM(R521:R522)</f>
        <v>0</v>
      </c>
      <c r="S523" s="661">
        <f>SUM(S521:S522)</f>
        <v>0</v>
      </c>
      <c r="T523" s="388"/>
      <c r="U523" s="661">
        <f>SUM(U521:U522)</f>
        <v>0</v>
      </c>
      <c r="V523" s="661">
        <f>+U523-'ROR-Model'!G523</f>
        <v>0</v>
      </c>
    </row>
    <row r="524" spans="1:22">
      <c r="A524" s="668"/>
      <c r="B524" s="659"/>
      <c r="C524" s="659"/>
      <c r="D524" s="659"/>
      <c r="E524" s="656"/>
      <c r="F524" s="357"/>
      <c r="G524" s="357"/>
      <c r="H524" s="357"/>
      <c r="I524" s="357"/>
      <c r="J524" s="390"/>
      <c r="K524" s="390"/>
      <c r="L524" s="357"/>
      <c r="M524" s="357"/>
      <c r="N524" s="357"/>
      <c r="O524" s="357"/>
      <c r="P524" s="357"/>
      <c r="Q524" s="390"/>
      <c r="R524" s="390"/>
      <c r="S524" s="657"/>
      <c r="T524" s="357"/>
      <c r="U524" s="657"/>
      <c r="V524" s="657">
        <f>+U524-'ROR-Model'!G524</f>
        <v>0</v>
      </c>
    </row>
    <row r="525" spans="1:22">
      <c r="A525" s="668">
        <v>758.1</v>
      </c>
      <c r="B525" s="659" t="s">
        <v>331</v>
      </c>
      <c r="C525" s="659"/>
      <c r="D525" s="659"/>
      <c r="E525" s="656"/>
      <c r="F525" s="357"/>
      <c r="G525" s="357"/>
      <c r="H525" s="357"/>
      <c r="I525" s="357"/>
      <c r="J525" s="390"/>
      <c r="K525" s="390"/>
      <c r="L525" s="357"/>
      <c r="M525" s="357"/>
      <c r="N525" s="357"/>
      <c r="O525" s="357"/>
      <c r="P525" s="357"/>
      <c r="Q525" s="390"/>
      <c r="R525" s="390"/>
      <c r="S525" s="657"/>
      <c r="T525" s="357"/>
      <c r="U525" s="657"/>
      <c r="V525" s="657">
        <f>+U525-'ROR-Model'!G525</f>
        <v>0</v>
      </c>
    </row>
    <row r="526" spans="1:22">
      <c r="A526" s="668"/>
      <c r="B526" s="659"/>
      <c r="C526" s="659" t="s">
        <v>13</v>
      </c>
      <c r="D526" s="659"/>
      <c r="E526" s="656"/>
      <c r="F526" s="357"/>
      <c r="G526" s="357"/>
      <c r="H526" s="357"/>
      <c r="I526" s="357"/>
      <c r="J526" s="390"/>
      <c r="K526" s="390"/>
      <c r="L526" s="357"/>
      <c r="M526" s="357"/>
      <c r="N526" s="357"/>
      <c r="O526" s="357"/>
      <c r="P526" s="357"/>
      <c r="Q526" s="390"/>
      <c r="R526" s="390"/>
      <c r="S526" s="657">
        <f>SUM(F526:R526)</f>
        <v>0</v>
      </c>
      <c r="T526" s="357"/>
      <c r="U526" s="657">
        <f>SUM(S526:S526)</f>
        <v>0</v>
      </c>
      <c r="V526" s="657">
        <f>+U526-'ROR-Model'!G526</f>
        <v>0</v>
      </c>
    </row>
    <row r="527" spans="1:22">
      <c r="A527" s="668"/>
      <c r="B527" s="659"/>
      <c r="C527" s="659" t="s">
        <v>24</v>
      </c>
      <c r="D527" s="659"/>
      <c r="E527" s="656"/>
      <c r="F527" s="357"/>
      <c r="G527" s="357"/>
      <c r="H527" s="357"/>
      <c r="I527" s="357"/>
      <c r="J527" s="390"/>
      <c r="K527" s="390"/>
      <c r="L527" s="357"/>
      <c r="M527" s="357"/>
      <c r="N527" s="357"/>
      <c r="O527" s="357"/>
      <c r="P527" s="357"/>
      <c r="Q527" s="390"/>
      <c r="R527" s="390"/>
      <c r="S527" s="657">
        <f>SUM(F527:R527)</f>
        <v>0</v>
      </c>
      <c r="T527" s="357"/>
      <c r="U527" s="657">
        <f>SUM(S527:S527)</f>
        <v>0</v>
      </c>
      <c r="V527" s="657">
        <f>+U527-'ROR-Model'!G527</f>
        <v>0</v>
      </c>
    </row>
    <row r="528" spans="1:22">
      <c r="A528" s="668"/>
      <c r="B528" s="659"/>
      <c r="C528" s="659" t="s">
        <v>160</v>
      </c>
      <c r="D528" s="659"/>
      <c r="E528" s="656"/>
      <c r="F528" s="388">
        <f>SUM(F526:F527)</f>
        <v>0</v>
      </c>
      <c r="G528" s="388">
        <f>G1*SUM(G526:G527)</f>
        <v>0</v>
      </c>
      <c r="H528" s="388">
        <f>SUM(H526:H527)</f>
        <v>0</v>
      </c>
      <c r="I528" s="388">
        <f t="shared" ref="I528:P528" si="109">SUM(I526:I527)</f>
        <v>0</v>
      </c>
      <c r="J528" s="585">
        <f>J1*SUM(J526:J527)</f>
        <v>0</v>
      </c>
      <c r="K528" s="585">
        <f>K1*SUM(K526:K527)</f>
        <v>0</v>
      </c>
      <c r="L528" s="388">
        <f t="shared" si="109"/>
        <v>0</v>
      </c>
      <c r="M528" s="388">
        <f t="shared" si="109"/>
        <v>0</v>
      </c>
      <c r="N528" s="388">
        <f t="shared" si="109"/>
        <v>0</v>
      </c>
      <c r="O528" s="388">
        <f t="shared" si="109"/>
        <v>0</v>
      </c>
      <c r="P528" s="388">
        <f t="shared" si="109"/>
        <v>0</v>
      </c>
      <c r="Q528" s="585">
        <f>SUM(Q526:Q527)</f>
        <v>0</v>
      </c>
      <c r="R528" s="585">
        <f>R1*SUM(R526:R527)</f>
        <v>0</v>
      </c>
      <c r="S528" s="661">
        <f>SUM(S526:S527)</f>
        <v>0</v>
      </c>
      <c r="T528" s="388"/>
      <c r="U528" s="661">
        <f>SUM(U526:U527)</f>
        <v>0</v>
      </c>
      <c r="V528" s="661">
        <f>+U528-'ROR-Model'!G528</f>
        <v>0</v>
      </c>
    </row>
    <row r="529" spans="1:22">
      <c r="A529" s="668"/>
      <c r="B529" s="659"/>
      <c r="C529" s="659"/>
      <c r="D529" s="659"/>
      <c r="E529" s="656"/>
      <c r="F529" s="357"/>
      <c r="G529" s="357"/>
      <c r="H529" s="357"/>
      <c r="I529" s="357"/>
      <c r="J529" s="390"/>
      <c r="K529" s="390"/>
      <c r="L529" s="357"/>
      <c r="M529" s="357"/>
      <c r="N529" s="357"/>
      <c r="O529" s="357"/>
      <c r="P529" s="357"/>
      <c r="Q529" s="390"/>
      <c r="R529" s="390"/>
      <c r="S529" s="657"/>
      <c r="T529" s="357"/>
      <c r="U529" s="657"/>
      <c r="V529" s="657">
        <f>+U529-'ROR-Model'!G529</f>
        <v>0</v>
      </c>
    </row>
    <row r="530" spans="1:22">
      <c r="A530" s="668">
        <v>759</v>
      </c>
      <c r="B530" s="659" t="s">
        <v>333</v>
      </c>
      <c r="C530" s="659"/>
      <c r="D530" s="659"/>
      <c r="E530" s="656"/>
      <c r="F530" s="357"/>
      <c r="G530" s="357"/>
      <c r="H530" s="357"/>
      <c r="I530" s="357"/>
      <c r="J530" s="390"/>
      <c r="K530" s="390"/>
      <c r="L530" s="357"/>
      <c r="M530" s="357"/>
      <c r="N530" s="357"/>
      <c r="O530" s="357"/>
      <c r="P530" s="357"/>
      <c r="Q530" s="390"/>
      <c r="R530" s="390"/>
      <c r="S530" s="657"/>
      <c r="T530" s="357"/>
      <c r="U530" s="657"/>
      <c r="V530" s="657">
        <f>+U530-'ROR-Model'!G530</f>
        <v>0</v>
      </c>
    </row>
    <row r="531" spans="1:22">
      <c r="A531" s="668"/>
      <c r="B531" s="659"/>
      <c r="C531" s="659" t="s">
        <v>13</v>
      </c>
      <c r="D531" s="659"/>
      <c r="E531" s="656"/>
      <c r="F531" s="357"/>
      <c r="G531" s="357"/>
      <c r="H531" s="357"/>
      <c r="I531" s="357"/>
      <c r="J531" s="390"/>
      <c r="K531" s="390"/>
      <c r="L531" s="357"/>
      <c r="M531" s="357"/>
      <c r="N531" s="357"/>
      <c r="O531" s="357"/>
      <c r="P531" s="357"/>
      <c r="Q531" s="390"/>
      <c r="R531" s="390"/>
      <c r="S531" s="657">
        <f>SUM(F531:R531)</f>
        <v>0</v>
      </c>
      <c r="T531" s="357"/>
      <c r="U531" s="657">
        <f>SUM(S531:S531)</f>
        <v>0</v>
      </c>
      <c r="V531" s="657">
        <f>+U531-'ROR-Model'!G531</f>
        <v>0</v>
      </c>
    </row>
    <row r="532" spans="1:22">
      <c r="A532" s="668"/>
      <c r="B532" s="659"/>
      <c r="C532" s="659" t="s">
        <v>24</v>
      </c>
      <c r="D532" s="659"/>
      <c r="E532" s="656"/>
      <c r="F532" s="357"/>
      <c r="G532" s="357"/>
      <c r="H532" s="357"/>
      <c r="I532" s="357"/>
      <c r="J532" s="390"/>
      <c r="K532" s="390"/>
      <c r="L532" s="357"/>
      <c r="M532" s="357"/>
      <c r="N532" s="357"/>
      <c r="O532" s="357"/>
      <c r="P532" s="357"/>
      <c r="Q532" s="390"/>
      <c r="R532" s="390"/>
      <c r="S532" s="657">
        <f>SUM(F532:R532)</f>
        <v>0</v>
      </c>
      <c r="T532" s="357"/>
      <c r="U532" s="657">
        <f>SUM(S532:S532)</f>
        <v>0</v>
      </c>
      <c r="V532" s="657">
        <f>+U532-'ROR-Model'!G532</f>
        <v>0</v>
      </c>
    </row>
    <row r="533" spans="1:22">
      <c r="A533" s="668"/>
      <c r="B533" s="659"/>
      <c r="C533" s="659" t="s">
        <v>160</v>
      </c>
      <c r="D533" s="659"/>
      <c r="E533" s="656"/>
      <c r="F533" s="388">
        <f>SUM(F531:F532)</f>
        <v>0</v>
      </c>
      <c r="G533" s="388">
        <f>G1*SUM(G531:G532)</f>
        <v>0</v>
      </c>
      <c r="H533" s="388">
        <f>SUM(H531:H532)</f>
        <v>0</v>
      </c>
      <c r="I533" s="388">
        <f t="shared" ref="I533:P533" si="110">SUM(I531:I532)</f>
        <v>0</v>
      </c>
      <c r="J533" s="585">
        <f>J1*SUM(J531:J532)</f>
        <v>0</v>
      </c>
      <c r="K533" s="585">
        <f>K1*SUM(K531:K532)</f>
        <v>0</v>
      </c>
      <c r="L533" s="388">
        <f t="shared" si="110"/>
        <v>0</v>
      </c>
      <c r="M533" s="388">
        <f t="shared" si="110"/>
        <v>0</v>
      </c>
      <c r="N533" s="388">
        <f t="shared" si="110"/>
        <v>0</v>
      </c>
      <c r="O533" s="388">
        <f t="shared" si="110"/>
        <v>0</v>
      </c>
      <c r="P533" s="388">
        <f t="shared" si="110"/>
        <v>0</v>
      </c>
      <c r="Q533" s="585">
        <f>SUM(Q531:Q532)</f>
        <v>0</v>
      </c>
      <c r="R533" s="585">
        <f>R1*SUM(R531:R532)</f>
        <v>0</v>
      </c>
      <c r="S533" s="661">
        <f>SUM(S531:S532)</f>
        <v>0</v>
      </c>
      <c r="T533" s="388"/>
      <c r="U533" s="661">
        <f>SUM(U531:U532)</f>
        <v>0</v>
      </c>
      <c r="V533" s="661">
        <f>+U533-'ROR-Model'!G533</f>
        <v>0</v>
      </c>
    </row>
    <row r="534" spans="1:22">
      <c r="A534" s="668"/>
      <c r="B534" s="659"/>
      <c r="C534" s="659"/>
      <c r="D534" s="659"/>
      <c r="E534" s="656"/>
      <c r="F534" s="357"/>
      <c r="G534" s="357"/>
      <c r="H534" s="357"/>
      <c r="I534" s="357"/>
      <c r="J534" s="390"/>
      <c r="K534" s="390"/>
      <c r="L534" s="357"/>
      <c r="M534" s="357"/>
      <c r="N534" s="357"/>
      <c r="O534" s="357"/>
      <c r="P534" s="357"/>
      <c r="Q534" s="390"/>
      <c r="R534" s="390"/>
      <c r="S534" s="657"/>
      <c r="T534" s="357"/>
      <c r="U534" s="657"/>
      <c r="V534" s="657">
        <f>+U534-'ROR-Model'!G534</f>
        <v>0</v>
      </c>
    </row>
    <row r="535" spans="1:22">
      <c r="A535" s="668">
        <v>759</v>
      </c>
      <c r="B535" s="659" t="s">
        <v>334</v>
      </c>
      <c r="C535" s="659"/>
      <c r="D535" s="659"/>
      <c r="E535" s="656"/>
      <c r="F535" s="357"/>
      <c r="G535" s="357"/>
      <c r="H535" s="357"/>
      <c r="I535" s="357"/>
      <c r="J535" s="390"/>
      <c r="K535" s="390"/>
      <c r="L535" s="357"/>
      <c r="M535" s="357"/>
      <c r="N535" s="357"/>
      <c r="O535" s="357"/>
      <c r="P535" s="357"/>
      <c r="Q535" s="390"/>
      <c r="R535" s="390"/>
      <c r="S535" s="657"/>
      <c r="T535" s="357"/>
      <c r="U535" s="657"/>
      <c r="V535" s="657">
        <f>+U535-'ROR-Model'!G535</f>
        <v>0</v>
      </c>
    </row>
    <row r="536" spans="1:22">
      <c r="A536" s="668"/>
      <c r="B536" s="659"/>
      <c r="C536" s="659" t="s">
        <v>13</v>
      </c>
      <c r="D536" s="659"/>
      <c r="E536" s="656"/>
      <c r="F536" s="357"/>
      <c r="G536" s="357"/>
      <c r="H536" s="357"/>
      <c r="I536" s="357"/>
      <c r="J536" s="390"/>
      <c r="K536" s="390"/>
      <c r="L536" s="357"/>
      <c r="M536" s="357"/>
      <c r="N536" s="357"/>
      <c r="O536" s="357"/>
      <c r="P536" s="357"/>
      <c r="Q536" s="390"/>
      <c r="R536" s="390"/>
      <c r="S536" s="657">
        <f>SUM(F536:R536)</f>
        <v>0</v>
      </c>
      <c r="T536" s="357"/>
      <c r="U536" s="657">
        <f>SUM(S536:S536)</f>
        <v>0</v>
      </c>
      <c r="V536" s="657">
        <f>+U536-'ROR-Model'!G536</f>
        <v>0</v>
      </c>
    </row>
    <row r="537" spans="1:22">
      <c r="A537" s="668"/>
      <c r="B537" s="659"/>
      <c r="C537" s="659" t="s">
        <v>24</v>
      </c>
      <c r="D537" s="659"/>
      <c r="E537" s="656"/>
      <c r="F537" s="357"/>
      <c r="G537" s="357"/>
      <c r="H537" s="357"/>
      <c r="I537" s="357"/>
      <c r="J537" s="390"/>
      <c r="K537" s="390"/>
      <c r="L537" s="357"/>
      <c r="M537" s="357"/>
      <c r="N537" s="357"/>
      <c r="O537" s="357"/>
      <c r="P537" s="357"/>
      <c r="Q537" s="390"/>
      <c r="R537" s="390"/>
      <c r="S537" s="657">
        <f>SUM(F537:R537)</f>
        <v>0</v>
      </c>
      <c r="T537" s="357"/>
      <c r="U537" s="657">
        <f>SUM(S537:S537)</f>
        <v>0</v>
      </c>
      <c r="V537" s="657">
        <f>+U537-'ROR-Model'!G537</f>
        <v>0</v>
      </c>
    </row>
    <row r="538" spans="1:22">
      <c r="A538" s="668"/>
      <c r="B538" s="659"/>
      <c r="C538" s="659" t="s">
        <v>160</v>
      </c>
      <c r="D538" s="659"/>
      <c r="E538" s="656"/>
      <c r="F538" s="388">
        <f>SUM(F536:F537)</f>
        <v>0</v>
      </c>
      <c r="G538" s="388">
        <f>G1*SUM(G536:G537)</f>
        <v>0</v>
      </c>
      <c r="H538" s="388">
        <f>SUM(H536:H537)</f>
        <v>0</v>
      </c>
      <c r="I538" s="388">
        <f t="shared" ref="I538:P538" si="111">SUM(I536:I537)</f>
        <v>0</v>
      </c>
      <c r="J538" s="585">
        <f>J1*SUM(J536:J537)</f>
        <v>0</v>
      </c>
      <c r="K538" s="585">
        <f>K1*SUM(K536:K537)</f>
        <v>0</v>
      </c>
      <c r="L538" s="388">
        <f t="shared" si="111"/>
        <v>0</v>
      </c>
      <c r="M538" s="388">
        <f t="shared" si="111"/>
        <v>0</v>
      </c>
      <c r="N538" s="388">
        <f t="shared" si="111"/>
        <v>0</v>
      </c>
      <c r="O538" s="388">
        <f t="shared" si="111"/>
        <v>0</v>
      </c>
      <c r="P538" s="388">
        <f t="shared" si="111"/>
        <v>0</v>
      </c>
      <c r="Q538" s="585">
        <f>SUM(Q536:Q537)</f>
        <v>0</v>
      </c>
      <c r="R538" s="585">
        <f>R1*SUM(R536:R537)</f>
        <v>0</v>
      </c>
      <c r="S538" s="661">
        <f>SUM(S536:S537)</f>
        <v>0</v>
      </c>
      <c r="T538" s="388"/>
      <c r="U538" s="661">
        <f>SUM(U536:U537)</f>
        <v>0</v>
      </c>
      <c r="V538" s="661">
        <f>+U538-'ROR-Model'!G538</f>
        <v>0</v>
      </c>
    </row>
    <row r="539" spans="1:22">
      <c r="A539" s="668"/>
      <c r="B539" s="659"/>
      <c r="C539" s="659"/>
      <c r="D539" s="659"/>
      <c r="E539" s="656"/>
      <c r="F539" s="357"/>
      <c r="G539" s="357"/>
      <c r="H539" s="357"/>
      <c r="I539" s="357"/>
      <c r="J539" s="390"/>
      <c r="K539" s="390"/>
      <c r="L539" s="357"/>
      <c r="M539" s="357"/>
      <c r="N539" s="357"/>
      <c r="O539" s="357"/>
      <c r="P539" s="357"/>
      <c r="Q539" s="390"/>
      <c r="R539" s="390"/>
      <c r="S539" s="657"/>
      <c r="T539" s="357"/>
      <c r="U539" s="657"/>
      <c r="V539" s="657">
        <f>+U539-'ROR-Model'!G539</f>
        <v>0</v>
      </c>
    </row>
    <row r="540" spans="1:22">
      <c r="A540" s="668">
        <v>800</v>
      </c>
      <c r="B540" s="659" t="s">
        <v>335</v>
      </c>
      <c r="C540" s="659"/>
      <c r="D540" s="659"/>
      <c r="E540" s="656"/>
      <c r="F540" s="357"/>
      <c r="G540" s="357"/>
      <c r="H540" s="357"/>
      <c r="I540" s="357"/>
      <c r="J540" s="390"/>
      <c r="K540" s="390"/>
      <c r="L540" s="357"/>
      <c r="M540" s="357"/>
      <c r="N540" s="357"/>
      <c r="O540" s="357"/>
      <c r="P540" s="357"/>
      <c r="Q540" s="390"/>
      <c r="R540" s="390"/>
      <c r="S540" s="657"/>
      <c r="T540" s="357"/>
      <c r="U540" s="657"/>
      <c r="V540" s="657">
        <f>+U540-'ROR-Model'!G540</f>
        <v>0</v>
      </c>
    </row>
    <row r="541" spans="1:22">
      <c r="A541" s="668"/>
      <c r="B541" s="659"/>
      <c r="C541" s="659" t="s">
        <v>13</v>
      </c>
      <c r="D541" s="659"/>
      <c r="E541" s="656"/>
      <c r="F541" s="357"/>
      <c r="G541" s="357"/>
      <c r="H541" s="357"/>
      <c r="I541" s="357"/>
      <c r="J541" s="390"/>
      <c r="K541" s="390"/>
      <c r="L541" s="357"/>
      <c r="M541" s="357"/>
      <c r="N541" s="357"/>
      <c r="O541" s="357"/>
      <c r="P541" s="357"/>
      <c r="Q541" s="390"/>
      <c r="R541" s="390"/>
      <c r="S541" s="657">
        <f>SUM(F541:R541)</f>
        <v>0</v>
      </c>
      <c r="T541" s="357"/>
      <c r="U541" s="657">
        <f>SUM(S541:S541)</f>
        <v>0</v>
      </c>
      <c r="V541" s="657">
        <f>+U541-'ROR-Model'!G541</f>
        <v>0</v>
      </c>
    </row>
    <row r="542" spans="1:22">
      <c r="A542" s="668"/>
      <c r="B542" s="659"/>
      <c r="C542" s="659" t="s">
        <v>24</v>
      </c>
      <c r="D542" s="659"/>
      <c r="E542" s="656"/>
      <c r="F542" s="357"/>
      <c r="G542" s="357"/>
      <c r="H542" s="357"/>
      <c r="I542" s="357"/>
      <c r="J542" s="390"/>
      <c r="K542" s="390"/>
      <c r="L542" s="357"/>
      <c r="M542" s="357"/>
      <c r="N542" s="357"/>
      <c r="O542" s="357"/>
      <c r="P542" s="357"/>
      <c r="Q542" s="390"/>
      <c r="R542" s="390"/>
      <c r="S542" s="657">
        <f>SUM(F542:R542)</f>
        <v>0</v>
      </c>
      <c r="T542" s="357"/>
      <c r="U542" s="657">
        <f>SUM(S542:S542)</f>
        <v>0</v>
      </c>
      <c r="V542" s="657">
        <f>+U542-'ROR-Model'!G542</f>
        <v>0</v>
      </c>
    </row>
    <row r="543" spans="1:22">
      <c r="A543" s="668"/>
      <c r="B543" s="659"/>
      <c r="C543" s="659" t="s">
        <v>160</v>
      </c>
      <c r="D543" s="659"/>
      <c r="E543" s="656"/>
      <c r="F543" s="388">
        <f>SUM(F541:F542)</f>
        <v>0</v>
      </c>
      <c r="G543" s="388">
        <f>G1*SUM(G541:G542)</f>
        <v>0</v>
      </c>
      <c r="H543" s="388">
        <f>SUM(H541:H542)</f>
        <v>0</v>
      </c>
      <c r="I543" s="388">
        <f t="shared" ref="I543:P543" si="112">SUM(I541:I542)</f>
        <v>0</v>
      </c>
      <c r="J543" s="585">
        <f>J1*SUM(J541:J542)</f>
        <v>0</v>
      </c>
      <c r="K543" s="585">
        <f>K1*SUM(K541:K542)</f>
        <v>0</v>
      </c>
      <c r="L543" s="388">
        <f t="shared" si="112"/>
        <v>0</v>
      </c>
      <c r="M543" s="388">
        <f t="shared" si="112"/>
        <v>0</v>
      </c>
      <c r="N543" s="388">
        <f t="shared" si="112"/>
        <v>0</v>
      </c>
      <c r="O543" s="388">
        <f t="shared" si="112"/>
        <v>0</v>
      </c>
      <c r="P543" s="388">
        <f t="shared" si="112"/>
        <v>0</v>
      </c>
      <c r="Q543" s="585">
        <f>SUM(Q541:Q542)</f>
        <v>0</v>
      </c>
      <c r="R543" s="585">
        <f>R1*SUM(R541:R542)</f>
        <v>0</v>
      </c>
      <c r="S543" s="661">
        <f>SUM(S541:S542)</f>
        <v>0</v>
      </c>
      <c r="T543" s="388"/>
      <c r="U543" s="661">
        <f>SUM(U541:U542)</f>
        <v>0</v>
      </c>
      <c r="V543" s="661">
        <f>+U543-'ROR-Model'!G543</f>
        <v>0</v>
      </c>
    </row>
    <row r="544" spans="1:22">
      <c r="A544" s="668"/>
      <c r="B544" s="659"/>
      <c r="C544" s="659"/>
      <c r="D544" s="659"/>
      <c r="E544" s="656"/>
      <c r="F544" s="357"/>
      <c r="G544" s="357"/>
      <c r="H544" s="357"/>
      <c r="I544" s="357"/>
      <c r="J544" s="390"/>
      <c r="K544" s="390"/>
      <c r="L544" s="357"/>
      <c r="M544" s="357"/>
      <c r="N544" s="357"/>
      <c r="O544" s="357"/>
      <c r="P544" s="357"/>
      <c r="Q544" s="390"/>
      <c r="R544" s="390"/>
      <c r="S544" s="657"/>
      <c r="T544" s="357"/>
      <c r="U544" s="657"/>
      <c r="V544" s="657">
        <f>+U544-'ROR-Model'!G544</f>
        <v>0</v>
      </c>
    </row>
    <row r="545" spans="1:22">
      <c r="A545" s="668">
        <v>801</v>
      </c>
      <c r="B545" s="659" t="s">
        <v>336</v>
      </c>
      <c r="C545" s="659"/>
      <c r="D545" s="659"/>
      <c r="E545" s="656"/>
      <c r="F545" s="357"/>
      <c r="G545" s="357"/>
      <c r="H545" s="357"/>
      <c r="I545" s="357"/>
      <c r="J545" s="390"/>
      <c r="K545" s="390"/>
      <c r="L545" s="357"/>
      <c r="M545" s="357"/>
      <c r="N545" s="357"/>
      <c r="O545" s="357"/>
      <c r="P545" s="357"/>
      <c r="Q545" s="390"/>
      <c r="R545" s="390"/>
      <c r="S545" s="657"/>
      <c r="T545" s="357"/>
      <c r="U545" s="657"/>
      <c r="V545" s="657">
        <f>+U545-'ROR-Model'!G545</f>
        <v>0</v>
      </c>
    </row>
    <row r="546" spans="1:22">
      <c r="A546" s="668"/>
      <c r="B546" s="659"/>
      <c r="C546" s="659" t="s">
        <v>13</v>
      </c>
      <c r="D546" s="659"/>
      <c r="E546" s="656"/>
      <c r="F546" s="357"/>
      <c r="G546" s="357"/>
      <c r="H546" s="357"/>
      <c r="I546" s="357"/>
      <c r="J546" s="390"/>
      <c r="K546" s="390"/>
      <c r="L546" s="357"/>
      <c r="M546" s="357"/>
      <c r="N546" s="357"/>
      <c r="O546" s="357"/>
      <c r="P546" s="357"/>
      <c r="Q546" s="390"/>
      <c r="R546" s="390"/>
      <c r="S546" s="657">
        <f>SUM(F546:R546)</f>
        <v>0</v>
      </c>
      <c r="T546" s="357"/>
      <c r="U546" s="657">
        <f>SUM(S546:S546)</f>
        <v>0</v>
      </c>
      <c r="V546" s="657">
        <f>+U546-'ROR-Model'!G546</f>
        <v>0</v>
      </c>
    </row>
    <row r="547" spans="1:22">
      <c r="A547" s="668"/>
      <c r="B547" s="659"/>
      <c r="C547" s="659" t="s">
        <v>24</v>
      </c>
      <c r="D547" s="659"/>
      <c r="E547" s="656"/>
      <c r="F547" s="357"/>
      <c r="G547" s="357"/>
      <c r="H547" s="357"/>
      <c r="I547" s="357"/>
      <c r="J547" s="390"/>
      <c r="K547" s="390"/>
      <c r="L547" s="357"/>
      <c r="M547" s="357"/>
      <c r="N547" s="357"/>
      <c r="O547" s="357"/>
      <c r="P547" s="357"/>
      <c r="Q547" s="390"/>
      <c r="R547" s="390"/>
      <c r="S547" s="657">
        <f>SUM(F547:R547)</f>
        <v>0</v>
      </c>
      <c r="T547" s="357"/>
      <c r="U547" s="657">
        <f>SUM(S547:S547)</f>
        <v>0</v>
      </c>
      <c r="V547" s="657">
        <f>+U547-'ROR-Model'!G547</f>
        <v>0</v>
      </c>
    </row>
    <row r="548" spans="1:22">
      <c r="A548" s="668"/>
      <c r="B548" s="659"/>
      <c r="C548" s="659" t="s">
        <v>160</v>
      </c>
      <c r="D548" s="659"/>
      <c r="E548" s="656"/>
      <c r="F548" s="388">
        <f>SUM(F546:F547)</f>
        <v>0</v>
      </c>
      <c r="G548" s="388">
        <f>G1*SUM(G546:G547)</f>
        <v>0</v>
      </c>
      <c r="H548" s="388">
        <f>SUM(H546:H547)</f>
        <v>0</v>
      </c>
      <c r="I548" s="388">
        <f t="shared" ref="I548:P548" si="113">SUM(I546:I547)</f>
        <v>0</v>
      </c>
      <c r="J548" s="585">
        <f>J1*SUM(J546:J547)</f>
        <v>0</v>
      </c>
      <c r="K548" s="585">
        <f>K1*SUM(K546:K547)</f>
        <v>0</v>
      </c>
      <c r="L548" s="388">
        <f t="shared" si="113"/>
        <v>0</v>
      </c>
      <c r="M548" s="388">
        <f t="shared" si="113"/>
        <v>0</v>
      </c>
      <c r="N548" s="388">
        <f t="shared" si="113"/>
        <v>0</v>
      </c>
      <c r="O548" s="388">
        <f t="shared" si="113"/>
        <v>0</v>
      </c>
      <c r="P548" s="388">
        <f t="shared" si="113"/>
        <v>0</v>
      </c>
      <c r="Q548" s="585">
        <f>SUM(Q546:Q547)</f>
        <v>0</v>
      </c>
      <c r="R548" s="585">
        <f>R1*SUM(R546:R547)</f>
        <v>0</v>
      </c>
      <c r="S548" s="661">
        <f>SUM(S546:S547)</f>
        <v>0</v>
      </c>
      <c r="T548" s="388"/>
      <c r="U548" s="661">
        <f>SUM(U546:U547)</f>
        <v>0</v>
      </c>
      <c r="V548" s="661">
        <f>+U548-'ROR-Model'!G548</f>
        <v>0</v>
      </c>
    </row>
    <row r="549" spans="1:22">
      <c r="A549" s="668"/>
      <c r="B549" s="659"/>
      <c r="C549" s="659"/>
      <c r="D549" s="659"/>
      <c r="E549" s="656"/>
      <c r="F549" s="357"/>
      <c r="G549" s="357"/>
      <c r="H549" s="357"/>
      <c r="I549" s="357"/>
      <c r="J549" s="390"/>
      <c r="K549" s="390"/>
      <c r="L549" s="357"/>
      <c r="M549" s="357"/>
      <c r="N549" s="357"/>
      <c r="O549" s="357"/>
      <c r="P549" s="357"/>
      <c r="Q549" s="390"/>
      <c r="R549" s="390"/>
      <c r="S549" s="657"/>
      <c r="T549" s="357"/>
      <c r="U549" s="657"/>
      <c r="V549" s="657">
        <f>+U549-'ROR-Model'!G549</f>
        <v>0</v>
      </c>
    </row>
    <row r="550" spans="1:22">
      <c r="A550" s="668">
        <v>802</v>
      </c>
      <c r="B550" s="659" t="s">
        <v>337</v>
      </c>
      <c r="C550" s="659"/>
      <c r="D550" s="659"/>
      <c r="E550" s="656"/>
      <c r="F550" s="357"/>
      <c r="G550" s="357"/>
      <c r="H550" s="357"/>
      <c r="I550" s="357"/>
      <c r="J550" s="390"/>
      <c r="K550" s="390"/>
      <c r="L550" s="357"/>
      <c r="M550" s="357"/>
      <c r="N550" s="357"/>
      <c r="O550" s="357"/>
      <c r="P550" s="357"/>
      <c r="Q550" s="390"/>
      <c r="R550" s="390"/>
      <c r="S550" s="657"/>
      <c r="T550" s="357"/>
      <c r="U550" s="657"/>
      <c r="V550" s="657">
        <f>+U550-'ROR-Model'!G550</f>
        <v>0</v>
      </c>
    </row>
    <row r="551" spans="1:22">
      <c r="A551" s="668"/>
      <c r="B551" s="659"/>
      <c r="C551" s="659" t="s">
        <v>13</v>
      </c>
      <c r="D551" s="659"/>
      <c r="E551" s="656"/>
      <c r="F551" s="357"/>
      <c r="G551" s="357"/>
      <c r="H551" s="357"/>
      <c r="I551" s="357"/>
      <c r="J551" s="390"/>
      <c r="K551" s="390"/>
      <c r="L551" s="357"/>
      <c r="M551" s="357"/>
      <c r="N551" s="357"/>
      <c r="O551" s="357"/>
      <c r="P551" s="357"/>
      <c r="Q551" s="390"/>
      <c r="R551" s="390"/>
      <c r="S551" s="657">
        <f>SUM(F551:R551)</f>
        <v>0</v>
      </c>
      <c r="T551" s="357"/>
      <c r="U551" s="657">
        <f>SUM(S551:S551)</f>
        <v>0</v>
      </c>
      <c r="V551" s="657">
        <f>+U551-'ROR-Model'!G551</f>
        <v>0</v>
      </c>
    </row>
    <row r="552" spans="1:22">
      <c r="A552" s="668"/>
      <c r="B552" s="659"/>
      <c r="C552" s="659" t="s">
        <v>24</v>
      </c>
      <c r="D552" s="659"/>
      <c r="E552" s="656"/>
      <c r="F552" s="357"/>
      <c r="G552" s="357"/>
      <c r="H552" s="357"/>
      <c r="I552" s="357"/>
      <c r="J552" s="390"/>
      <c r="K552" s="390"/>
      <c r="L552" s="357"/>
      <c r="M552" s="357"/>
      <c r="N552" s="357"/>
      <c r="O552" s="357"/>
      <c r="P552" s="357"/>
      <c r="Q552" s="390"/>
      <c r="R552" s="390"/>
      <c r="S552" s="657">
        <f>SUM(F552:R552)</f>
        <v>0</v>
      </c>
      <c r="T552" s="357"/>
      <c r="U552" s="657">
        <f>SUM(S552:S552)</f>
        <v>0</v>
      </c>
      <c r="V552" s="657">
        <f>+U552-'ROR-Model'!G552</f>
        <v>0</v>
      </c>
    </row>
    <row r="553" spans="1:22">
      <c r="A553" s="668"/>
      <c r="B553" s="659"/>
      <c r="C553" s="659" t="s">
        <v>160</v>
      </c>
      <c r="D553" s="659"/>
      <c r="E553" s="656"/>
      <c r="F553" s="388">
        <f>SUM(F551:F552)</f>
        <v>0</v>
      </c>
      <c r="G553" s="388">
        <f>G1*SUM(G551:G552)</f>
        <v>0</v>
      </c>
      <c r="H553" s="388">
        <f>SUM(H551:H552)</f>
        <v>0</v>
      </c>
      <c r="I553" s="388">
        <f t="shared" ref="I553:P553" si="114">SUM(I551:I552)</f>
        <v>0</v>
      </c>
      <c r="J553" s="585">
        <f>J1*SUM(J551:J552)</f>
        <v>0</v>
      </c>
      <c r="K553" s="585">
        <f>K1*SUM(K551:K552)</f>
        <v>0</v>
      </c>
      <c r="L553" s="388">
        <f t="shared" si="114"/>
        <v>0</v>
      </c>
      <c r="M553" s="388">
        <f t="shared" si="114"/>
        <v>0</v>
      </c>
      <c r="N553" s="388">
        <f t="shared" si="114"/>
        <v>0</v>
      </c>
      <c r="O553" s="388">
        <f t="shared" si="114"/>
        <v>0</v>
      </c>
      <c r="P553" s="388">
        <f t="shared" si="114"/>
        <v>0</v>
      </c>
      <c r="Q553" s="585">
        <f>SUM(Q551:Q552)</f>
        <v>0</v>
      </c>
      <c r="R553" s="585">
        <f>R1*SUM(R551:R552)</f>
        <v>0</v>
      </c>
      <c r="S553" s="661">
        <f>SUM(S551:S552)</f>
        <v>0</v>
      </c>
      <c r="T553" s="388"/>
      <c r="U553" s="661">
        <f>SUM(U551:U552)</f>
        <v>0</v>
      </c>
      <c r="V553" s="661">
        <f>+U553-'ROR-Model'!G553</f>
        <v>0</v>
      </c>
    </row>
    <row r="554" spans="1:22">
      <c r="A554" s="668"/>
      <c r="B554" s="659"/>
      <c r="C554" s="659"/>
      <c r="D554" s="659"/>
      <c r="E554" s="656"/>
      <c r="F554" s="357"/>
      <c r="G554" s="357"/>
      <c r="H554" s="357"/>
      <c r="I554" s="357"/>
      <c r="J554" s="390"/>
      <c r="K554" s="390"/>
      <c r="L554" s="357"/>
      <c r="M554" s="357"/>
      <c r="N554" s="357"/>
      <c r="O554" s="357"/>
      <c r="P554" s="357"/>
      <c r="Q554" s="390"/>
      <c r="R554" s="390"/>
      <c r="S554" s="657"/>
      <c r="T554" s="357"/>
      <c r="U554" s="657"/>
      <c r="V554" s="657">
        <f>+U554-'ROR-Model'!G554</f>
        <v>0</v>
      </c>
    </row>
    <row r="555" spans="1:22">
      <c r="A555" s="668">
        <v>803</v>
      </c>
      <c r="B555" s="659" t="s">
        <v>338</v>
      </c>
      <c r="C555" s="659"/>
      <c r="D555" s="659"/>
      <c r="E555" s="656"/>
      <c r="F555" s="357"/>
      <c r="G555" s="357"/>
      <c r="H555" s="357"/>
      <c r="I555" s="357"/>
      <c r="J555" s="390"/>
      <c r="K555" s="390"/>
      <c r="L555" s="357"/>
      <c r="M555" s="357"/>
      <c r="N555" s="357"/>
      <c r="O555" s="357"/>
      <c r="P555" s="357"/>
      <c r="Q555" s="390"/>
      <c r="R555" s="390"/>
      <c r="S555" s="657"/>
      <c r="T555" s="357"/>
      <c r="U555" s="657"/>
      <c r="V555" s="657">
        <f>+U555-'ROR-Model'!G555</f>
        <v>0</v>
      </c>
    </row>
    <row r="556" spans="1:22">
      <c r="A556" s="668"/>
      <c r="B556" s="659"/>
      <c r="C556" s="659" t="s">
        <v>13</v>
      </c>
      <c r="D556" s="659"/>
      <c r="E556" s="656"/>
      <c r="F556" s="357"/>
      <c r="G556" s="357"/>
      <c r="H556" s="357"/>
      <c r="I556" s="357"/>
      <c r="J556" s="390"/>
      <c r="K556" s="390"/>
      <c r="L556" s="357"/>
      <c r="M556" s="357"/>
      <c r="N556" s="357"/>
      <c r="O556" s="357"/>
      <c r="P556" s="357"/>
      <c r="Q556" s="390"/>
      <c r="R556" s="390"/>
      <c r="S556" s="657">
        <f>SUM(F556:R556)</f>
        <v>0</v>
      </c>
      <c r="T556" s="357"/>
      <c r="U556" s="657">
        <f>SUM(S556:S556)</f>
        <v>0</v>
      </c>
      <c r="V556" s="657">
        <f>+U556-'ROR-Model'!G556</f>
        <v>0</v>
      </c>
    </row>
    <row r="557" spans="1:22">
      <c r="A557" s="668"/>
      <c r="B557" s="659"/>
      <c r="C557" s="659" t="s">
        <v>24</v>
      </c>
      <c r="D557" s="659"/>
      <c r="E557" s="656"/>
      <c r="F557" s="357"/>
      <c r="G557" s="357"/>
      <c r="H557" s="357"/>
      <c r="I557" s="357"/>
      <c r="J557" s="390"/>
      <c r="K557" s="390"/>
      <c r="L557" s="357"/>
      <c r="M557" s="357"/>
      <c r="N557" s="357"/>
      <c r="O557" s="357"/>
      <c r="P557" s="357"/>
      <c r="Q557" s="390"/>
      <c r="R557" s="390"/>
      <c r="S557" s="657">
        <f>SUM(F557:R557)</f>
        <v>0</v>
      </c>
      <c r="T557" s="357"/>
      <c r="U557" s="657">
        <f>SUM(S557:S557)</f>
        <v>0</v>
      </c>
      <c r="V557" s="657">
        <f>+U557-'ROR-Model'!G557</f>
        <v>0</v>
      </c>
    </row>
    <row r="558" spans="1:22">
      <c r="A558" s="668"/>
      <c r="B558" s="659"/>
      <c r="C558" s="659" t="s">
        <v>160</v>
      </c>
      <c r="D558" s="659"/>
      <c r="E558" s="656"/>
      <c r="F558" s="388">
        <f>SUM(F556:F557)</f>
        <v>0</v>
      </c>
      <c r="G558" s="388">
        <f>G1*SUM(G556:G557)</f>
        <v>0</v>
      </c>
      <c r="H558" s="388">
        <f>SUM(H556:H557)</f>
        <v>0</v>
      </c>
      <c r="I558" s="388">
        <f t="shared" ref="I558:P558" si="115">SUM(I556:I557)</f>
        <v>0</v>
      </c>
      <c r="J558" s="585">
        <f>J1*SUM(J556:J557)</f>
        <v>0</v>
      </c>
      <c r="K558" s="585">
        <f>K1*SUM(K556:K557)</f>
        <v>0</v>
      </c>
      <c r="L558" s="388">
        <f t="shared" si="115"/>
        <v>0</v>
      </c>
      <c r="M558" s="388">
        <f t="shared" si="115"/>
        <v>0</v>
      </c>
      <c r="N558" s="388">
        <f t="shared" si="115"/>
        <v>0</v>
      </c>
      <c r="O558" s="388">
        <f t="shared" si="115"/>
        <v>0</v>
      </c>
      <c r="P558" s="388">
        <f t="shared" si="115"/>
        <v>0</v>
      </c>
      <c r="Q558" s="585">
        <f>SUM(Q556:Q557)</f>
        <v>0</v>
      </c>
      <c r="R558" s="585">
        <f>R1*SUM(R556:R557)</f>
        <v>0</v>
      </c>
      <c r="S558" s="661">
        <f>SUM(S556:S557)</f>
        <v>0</v>
      </c>
      <c r="T558" s="388"/>
      <c r="U558" s="661">
        <f>SUM(U556:U557)</f>
        <v>0</v>
      </c>
      <c r="V558" s="661">
        <f>+U558-'ROR-Model'!G558</f>
        <v>0</v>
      </c>
    </row>
    <row r="559" spans="1:22">
      <c r="A559" s="668"/>
      <c r="B559" s="659"/>
      <c r="C559" s="659"/>
      <c r="D559" s="659"/>
      <c r="E559" s="656"/>
      <c r="F559" s="357"/>
      <c r="G559" s="357"/>
      <c r="H559" s="357"/>
      <c r="I559" s="357"/>
      <c r="J559" s="390"/>
      <c r="K559" s="390"/>
      <c r="L559" s="357"/>
      <c r="M559" s="357"/>
      <c r="N559" s="357"/>
      <c r="O559" s="357"/>
      <c r="P559" s="357"/>
      <c r="Q559" s="390"/>
      <c r="R559" s="390"/>
      <c r="S559" s="657"/>
      <c r="T559" s="357"/>
      <c r="U559" s="657"/>
      <c r="V559" s="657">
        <f>+U559-'ROR-Model'!G559</f>
        <v>0</v>
      </c>
    </row>
    <row r="560" spans="1:22">
      <c r="A560" s="668">
        <v>804</v>
      </c>
      <c r="B560" s="659" t="s">
        <v>340</v>
      </c>
      <c r="C560" s="659"/>
      <c r="D560" s="659"/>
      <c r="E560" s="656"/>
      <c r="F560" s="357"/>
      <c r="G560" s="357"/>
      <c r="H560" s="357"/>
      <c r="I560" s="357"/>
      <c r="J560" s="390"/>
      <c r="K560" s="390"/>
      <c r="L560" s="357"/>
      <c r="M560" s="357"/>
      <c r="N560" s="357"/>
      <c r="O560" s="357"/>
      <c r="P560" s="357"/>
      <c r="Q560" s="390"/>
      <c r="R560" s="390"/>
      <c r="S560" s="657"/>
      <c r="T560" s="357"/>
      <c r="U560" s="657"/>
      <c r="V560" s="657">
        <f>+U560-'ROR-Model'!G560</f>
        <v>0</v>
      </c>
    </row>
    <row r="561" spans="1:22">
      <c r="A561" s="668"/>
      <c r="B561" s="659"/>
      <c r="C561" s="659" t="s">
        <v>13</v>
      </c>
      <c r="D561" s="659"/>
      <c r="E561" s="656"/>
      <c r="F561" s="357"/>
      <c r="G561" s="357"/>
      <c r="H561" s="357"/>
      <c r="I561" s="357"/>
      <c r="J561" s="390"/>
      <c r="K561" s="390"/>
      <c r="L561" s="357"/>
      <c r="M561" s="357"/>
      <c r="N561" s="357"/>
      <c r="O561" s="357"/>
      <c r="P561" s="357"/>
      <c r="Q561" s="390"/>
      <c r="R561" s="390"/>
      <c r="S561" s="657">
        <f>SUM(F561:R561)</f>
        <v>0</v>
      </c>
      <c r="T561" s="357"/>
      <c r="U561" s="657">
        <f>SUM(S561:S561)</f>
        <v>0</v>
      </c>
      <c r="V561" s="657">
        <f>+U561-'ROR-Model'!G561</f>
        <v>0</v>
      </c>
    </row>
    <row r="562" spans="1:22">
      <c r="A562" s="668"/>
      <c r="B562" s="659"/>
      <c r="C562" s="659" t="s">
        <v>24</v>
      </c>
      <c r="D562" s="659"/>
      <c r="E562" s="656"/>
      <c r="F562" s="357"/>
      <c r="G562" s="357"/>
      <c r="H562" s="357"/>
      <c r="I562" s="357"/>
      <c r="J562" s="390"/>
      <c r="K562" s="390"/>
      <c r="L562" s="357"/>
      <c r="M562" s="357"/>
      <c r="N562" s="357"/>
      <c r="O562" s="357"/>
      <c r="P562" s="357"/>
      <c r="Q562" s="390"/>
      <c r="R562" s="390"/>
      <c r="S562" s="657">
        <f>SUM(F562:R562)</f>
        <v>0</v>
      </c>
      <c r="T562" s="357"/>
      <c r="U562" s="657">
        <f>SUM(S562:S562)</f>
        <v>0</v>
      </c>
      <c r="V562" s="657">
        <f>+U562-'ROR-Model'!G562</f>
        <v>0</v>
      </c>
    </row>
    <row r="563" spans="1:22">
      <c r="A563" s="668"/>
      <c r="B563" s="659"/>
      <c r="C563" s="659" t="s">
        <v>160</v>
      </c>
      <c r="D563" s="659"/>
      <c r="E563" s="656"/>
      <c r="F563" s="388">
        <f>SUM(F561:F562)</f>
        <v>0</v>
      </c>
      <c r="G563" s="388">
        <f>G1*SUM(G561:G562)</f>
        <v>0</v>
      </c>
      <c r="H563" s="388">
        <f>SUM(H561:H562)</f>
        <v>0</v>
      </c>
      <c r="I563" s="388">
        <f t="shared" ref="I563:P563" si="116">SUM(I561:I562)</f>
        <v>0</v>
      </c>
      <c r="J563" s="585">
        <f>J1*SUM(J561:J562)</f>
        <v>0</v>
      </c>
      <c r="K563" s="585">
        <f>K1*SUM(K561:K562)</f>
        <v>0</v>
      </c>
      <c r="L563" s="388">
        <f t="shared" si="116"/>
        <v>0</v>
      </c>
      <c r="M563" s="388">
        <f t="shared" si="116"/>
        <v>0</v>
      </c>
      <c r="N563" s="388">
        <f t="shared" si="116"/>
        <v>0</v>
      </c>
      <c r="O563" s="388">
        <f t="shared" si="116"/>
        <v>0</v>
      </c>
      <c r="P563" s="388">
        <f t="shared" si="116"/>
        <v>0</v>
      </c>
      <c r="Q563" s="585">
        <f>SUM(Q561:Q562)</f>
        <v>0</v>
      </c>
      <c r="R563" s="585">
        <f>R1*SUM(R561:R562)</f>
        <v>0</v>
      </c>
      <c r="S563" s="661">
        <f>SUM(S561:S562)</f>
        <v>0</v>
      </c>
      <c r="T563" s="388"/>
      <c r="U563" s="661">
        <f>SUM(U561:U562)</f>
        <v>0</v>
      </c>
      <c r="V563" s="661">
        <f>+U563-'ROR-Model'!G563</f>
        <v>0</v>
      </c>
    </row>
    <row r="564" spans="1:22">
      <c r="A564" s="668"/>
      <c r="B564" s="659"/>
      <c r="C564" s="659"/>
      <c r="D564" s="659"/>
      <c r="E564" s="656"/>
      <c r="F564" s="357"/>
      <c r="G564" s="357"/>
      <c r="H564" s="357"/>
      <c r="I564" s="357"/>
      <c r="J564" s="390"/>
      <c r="K564" s="390"/>
      <c r="L564" s="357"/>
      <c r="M564" s="357"/>
      <c r="N564" s="357"/>
      <c r="O564" s="357"/>
      <c r="P564" s="357"/>
      <c r="Q564" s="390"/>
      <c r="R564" s="390"/>
      <c r="S564" s="657"/>
      <c r="T564" s="357"/>
      <c r="U564" s="657"/>
      <c r="V564" s="657">
        <f>+U564-'ROR-Model'!G564</f>
        <v>0</v>
      </c>
    </row>
    <row r="565" spans="1:22">
      <c r="A565" s="668">
        <v>804.1</v>
      </c>
      <c r="B565" s="659" t="s">
        <v>341</v>
      </c>
      <c r="C565" s="659"/>
      <c r="D565" s="659"/>
      <c r="E565" s="656"/>
      <c r="F565" s="357"/>
      <c r="G565" s="357"/>
      <c r="H565" s="357"/>
      <c r="I565" s="357"/>
      <c r="J565" s="390"/>
      <c r="K565" s="390"/>
      <c r="L565" s="357"/>
      <c r="M565" s="357"/>
      <c r="N565" s="357"/>
      <c r="O565" s="357"/>
      <c r="P565" s="357"/>
      <c r="Q565" s="390"/>
      <c r="R565" s="390"/>
      <c r="S565" s="657"/>
      <c r="T565" s="357"/>
      <c r="U565" s="657"/>
      <c r="V565" s="657">
        <f>+U565-'ROR-Model'!G565</f>
        <v>0</v>
      </c>
    </row>
    <row r="566" spans="1:22">
      <c r="A566" s="668"/>
      <c r="B566" s="659"/>
      <c r="C566" s="659" t="s">
        <v>13</v>
      </c>
      <c r="D566" s="659"/>
      <c r="E566" s="656"/>
      <c r="F566" s="357"/>
      <c r="G566" s="357"/>
      <c r="H566" s="357"/>
      <c r="I566" s="357"/>
      <c r="J566" s="390"/>
      <c r="K566" s="390"/>
      <c r="L566" s="357"/>
      <c r="M566" s="357"/>
      <c r="N566" s="357"/>
      <c r="O566" s="357"/>
      <c r="P566" s="357"/>
      <c r="Q566" s="390"/>
      <c r="R566" s="390"/>
      <c r="S566" s="657">
        <f>SUM(F566:R566)</f>
        <v>0</v>
      </c>
      <c r="T566" s="357"/>
      <c r="U566" s="657">
        <f>SUM(S566:S566)</f>
        <v>0</v>
      </c>
      <c r="V566" s="657">
        <f>+U566-'ROR-Model'!G566</f>
        <v>0</v>
      </c>
    </row>
    <row r="567" spans="1:22">
      <c r="A567" s="668"/>
      <c r="B567" s="659"/>
      <c r="C567" s="659" t="s">
        <v>24</v>
      </c>
      <c r="D567" s="659"/>
      <c r="E567" s="656"/>
      <c r="F567" s="357"/>
      <c r="G567" s="357"/>
      <c r="H567" s="357"/>
      <c r="I567" s="357"/>
      <c r="J567" s="390"/>
      <c r="K567" s="390"/>
      <c r="L567" s="357"/>
      <c r="M567" s="357"/>
      <c r="N567" s="357"/>
      <c r="O567" s="357"/>
      <c r="P567" s="357"/>
      <c r="Q567" s="390"/>
      <c r="R567" s="390"/>
      <c r="S567" s="657">
        <f>SUM(F567:R567)</f>
        <v>0</v>
      </c>
      <c r="T567" s="357"/>
      <c r="U567" s="657">
        <f>SUM(S567:S567)</f>
        <v>0</v>
      </c>
      <c r="V567" s="657">
        <f>+U567-'ROR-Model'!G567</f>
        <v>0</v>
      </c>
    </row>
    <row r="568" spans="1:22">
      <c r="A568" s="668"/>
      <c r="B568" s="659"/>
      <c r="C568" s="659" t="s">
        <v>160</v>
      </c>
      <c r="D568" s="659"/>
      <c r="E568" s="656"/>
      <c r="F568" s="388">
        <f>SUM(F566:F567)</f>
        <v>0</v>
      </c>
      <c r="G568" s="388">
        <f>G1*SUM(G566:G567)</f>
        <v>0</v>
      </c>
      <c r="H568" s="388">
        <f>SUM(H566:H567)</f>
        <v>0</v>
      </c>
      <c r="I568" s="388">
        <f t="shared" ref="I568:P568" si="117">SUM(I566:I567)</f>
        <v>0</v>
      </c>
      <c r="J568" s="585">
        <f>J1*SUM(J566:J567)</f>
        <v>0</v>
      </c>
      <c r="K568" s="585">
        <f>K1*SUM(K566:K567)</f>
        <v>0</v>
      </c>
      <c r="L568" s="388">
        <f t="shared" si="117"/>
        <v>0</v>
      </c>
      <c r="M568" s="388">
        <f t="shared" si="117"/>
        <v>0</v>
      </c>
      <c r="N568" s="388">
        <f t="shared" si="117"/>
        <v>0</v>
      </c>
      <c r="O568" s="388">
        <f t="shared" si="117"/>
        <v>0</v>
      </c>
      <c r="P568" s="388">
        <f t="shared" si="117"/>
        <v>0</v>
      </c>
      <c r="Q568" s="585">
        <f>SUM(Q566:Q567)</f>
        <v>0</v>
      </c>
      <c r="R568" s="585">
        <f>R1*SUM(R566:R567)</f>
        <v>0</v>
      </c>
      <c r="S568" s="661">
        <f>SUM(S566:S567)</f>
        <v>0</v>
      </c>
      <c r="T568" s="388"/>
      <c r="U568" s="661">
        <f>SUM(U566:U567)</f>
        <v>0</v>
      </c>
      <c r="V568" s="661">
        <f>+U568-'ROR-Model'!G568</f>
        <v>0</v>
      </c>
    </row>
    <row r="569" spans="1:22">
      <c r="A569" s="668"/>
      <c r="B569" s="659"/>
      <c r="C569" s="659"/>
      <c r="D569" s="659"/>
      <c r="E569" s="656"/>
      <c r="F569" s="357"/>
      <c r="G569" s="357"/>
      <c r="H569" s="357"/>
      <c r="I569" s="357"/>
      <c r="J569" s="390"/>
      <c r="K569" s="390"/>
      <c r="L569" s="357"/>
      <c r="M569" s="357"/>
      <c r="N569" s="357"/>
      <c r="O569" s="357"/>
      <c r="P569" s="357"/>
      <c r="Q569" s="390"/>
      <c r="R569" s="390"/>
      <c r="S569" s="657"/>
      <c r="T569" s="357"/>
      <c r="U569" s="657"/>
      <c r="V569" s="657">
        <f>+U569-'ROR-Model'!G569</f>
        <v>0</v>
      </c>
    </row>
    <row r="570" spans="1:22">
      <c r="A570" s="668">
        <v>805</v>
      </c>
      <c r="B570" s="659" t="s">
        <v>343</v>
      </c>
      <c r="C570" s="659"/>
      <c r="D570" s="659"/>
      <c r="E570" s="656"/>
      <c r="F570" s="357"/>
      <c r="G570" s="357"/>
      <c r="H570" s="357"/>
      <c r="I570" s="357"/>
      <c r="J570" s="390"/>
      <c r="K570" s="390"/>
      <c r="L570" s="357"/>
      <c r="M570" s="357"/>
      <c r="N570" s="357"/>
      <c r="O570" s="357"/>
      <c r="P570" s="357"/>
      <c r="Q570" s="390"/>
      <c r="R570" s="390"/>
      <c r="S570" s="657"/>
      <c r="T570" s="357"/>
      <c r="U570" s="657"/>
      <c r="V570" s="657">
        <f>+U570-'ROR-Model'!G570</f>
        <v>0</v>
      </c>
    </row>
    <row r="571" spans="1:22">
      <c r="A571" s="668"/>
      <c r="B571" s="659"/>
      <c r="C571" s="659" t="s">
        <v>13</v>
      </c>
      <c r="D571" s="659"/>
      <c r="E571" s="656"/>
      <c r="F571" s="357"/>
      <c r="G571" s="357"/>
      <c r="H571" s="357"/>
      <c r="I571" s="357"/>
      <c r="J571" s="390"/>
      <c r="K571" s="390"/>
      <c r="L571" s="357"/>
      <c r="M571" s="357"/>
      <c r="N571" s="357"/>
      <c r="O571" s="357"/>
      <c r="P571" s="357"/>
      <c r="Q571" s="390"/>
      <c r="R571" s="390"/>
      <c r="S571" s="657">
        <f>SUM(F571:R571)</f>
        <v>0</v>
      </c>
      <c r="T571" s="357"/>
      <c r="U571" s="657">
        <f>SUM(S571:S571)</f>
        <v>0</v>
      </c>
      <c r="V571" s="657">
        <f>+U571-'ROR-Model'!G571</f>
        <v>0</v>
      </c>
    </row>
    <row r="572" spans="1:22">
      <c r="A572" s="668"/>
      <c r="B572" s="659"/>
      <c r="C572" s="659" t="s">
        <v>24</v>
      </c>
      <c r="D572" s="659"/>
      <c r="E572" s="656"/>
      <c r="F572" s="357"/>
      <c r="G572" s="357"/>
      <c r="H572" s="357"/>
      <c r="I572" s="357"/>
      <c r="J572" s="390"/>
      <c r="K572" s="390"/>
      <c r="L572" s="357"/>
      <c r="M572" s="357"/>
      <c r="N572" s="357"/>
      <c r="O572" s="357"/>
      <c r="P572" s="357"/>
      <c r="Q572" s="390"/>
      <c r="R572" s="390"/>
      <c r="S572" s="657">
        <f>SUM(F572:R572)</f>
        <v>0</v>
      </c>
      <c r="T572" s="357"/>
      <c r="U572" s="657">
        <f>SUM(S572:S572)</f>
        <v>0</v>
      </c>
      <c r="V572" s="657">
        <f>+U572-'ROR-Model'!G572</f>
        <v>0</v>
      </c>
    </row>
    <row r="573" spans="1:22">
      <c r="A573" s="668"/>
      <c r="B573" s="659"/>
      <c r="C573" s="659" t="s">
        <v>160</v>
      </c>
      <c r="D573" s="659"/>
      <c r="E573" s="656"/>
      <c r="F573" s="388">
        <f>SUM(F571:F572)</f>
        <v>0</v>
      </c>
      <c r="G573" s="388">
        <f>G1*SUM(G571:G572)</f>
        <v>0</v>
      </c>
      <c r="H573" s="388">
        <f>SUM(H571:H572)</f>
        <v>0</v>
      </c>
      <c r="I573" s="388">
        <f t="shared" ref="I573:P573" si="118">SUM(I571:I572)</f>
        <v>0</v>
      </c>
      <c r="J573" s="585">
        <f>J1*SUM(J571:J572)</f>
        <v>0</v>
      </c>
      <c r="K573" s="585">
        <f>K1*SUM(K571:K572)</f>
        <v>0</v>
      </c>
      <c r="L573" s="388">
        <f t="shared" si="118"/>
        <v>0</v>
      </c>
      <c r="M573" s="388">
        <f t="shared" si="118"/>
        <v>0</v>
      </c>
      <c r="N573" s="388">
        <f t="shared" si="118"/>
        <v>0</v>
      </c>
      <c r="O573" s="388">
        <f t="shared" si="118"/>
        <v>0</v>
      </c>
      <c r="P573" s="388">
        <f t="shared" si="118"/>
        <v>0</v>
      </c>
      <c r="Q573" s="585">
        <f>SUM(Q571:Q572)</f>
        <v>0</v>
      </c>
      <c r="R573" s="585">
        <f>R1*SUM(R571:R572)</f>
        <v>0</v>
      </c>
      <c r="S573" s="661">
        <f>SUM(S571:S572)</f>
        <v>0</v>
      </c>
      <c r="T573" s="388"/>
      <c r="U573" s="661">
        <f>SUM(U571:U572)</f>
        <v>0</v>
      </c>
      <c r="V573" s="661">
        <f>+U573-'ROR-Model'!G573</f>
        <v>0</v>
      </c>
    </row>
    <row r="574" spans="1:22">
      <c r="A574" s="668"/>
      <c r="B574" s="659"/>
      <c r="C574" s="659"/>
      <c r="D574" s="659"/>
      <c r="E574" s="656"/>
      <c r="F574" s="357"/>
      <c r="G574" s="357"/>
      <c r="H574" s="357"/>
      <c r="I574" s="357"/>
      <c r="J574" s="390"/>
      <c r="K574" s="390"/>
      <c r="L574" s="357"/>
      <c r="M574" s="357"/>
      <c r="N574" s="357"/>
      <c r="O574" s="357"/>
      <c r="P574" s="357"/>
      <c r="Q574" s="390"/>
      <c r="R574" s="390"/>
      <c r="S574" s="657"/>
      <c r="T574" s="357"/>
      <c r="U574" s="657"/>
      <c r="V574" s="657">
        <f>+U574-'ROR-Model'!G574</f>
        <v>0</v>
      </c>
    </row>
    <row r="575" spans="1:22">
      <c r="A575" s="668">
        <v>805.1</v>
      </c>
      <c r="B575" s="659" t="s">
        <v>344</v>
      </c>
      <c r="C575" s="659"/>
      <c r="D575" s="659"/>
      <c r="E575" s="656"/>
      <c r="F575" s="357"/>
      <c r="G575" s="357"/>
      <c r="H575" s="357"/>
      <c r="I575" s="357"/>
      <c r="J575" s="390"/>
      <c r="K575" s="390"/>
      <c r="L575" s="357"/>
      <c r="M575" s="357"/>
      <c r="N575" s="357"/>
      <c r="O575" s="357"/>
      <c r="P575" s="357"/>
      <c r="Q575" s="390"/>
      <c r="R575" s="390"/>
      <c r="S575" s="657"/>
      <c r="T575" s="357"/>
      <c r="U575" s="657"/>
      <c r="V575" s="657">
        <f>+U575-'ROR-Model'!G575</f>
        <v>0</v>
      </c>
    </row>
    <row r="576" spans="1:22">
      <c r="A576" s="668"/>
      <c r="B576" s="659"/>
      <c r="C576" s="659" t="s">
        <v>13</v>
      </c>
      <c r="D576" s="659"/>
      <c r="E576" s="656"/>
      <c r="F576" s="357"/>
      <c r="G576" s="357"/>
      <c r="H576" s="357"/>
      <c r="I576" s="357"/>
      <c r="J576" s="390"/>
      <c r="K576" s="390"/>
      <c r="L576" s="357"/>
      <c r="M576" s="357"/>
      <c r="N576" s="357"/>
      <c r="O576" s="357"/>
      <c r="P576" s="357"/>
      <c r="Q576" s="390"/>
      <c r="R576" s="390"/>
      <c r="S576" s="657">
        <f>SUM(F576:R576)</f>
        <v>0</v>
      </c>
      <c r="T576" s="357"/>
      <c r="U576" s="657">
        <f>SUM(S576:S576)</f>
        <v>0</v>
      </c>
      <c r="V576" s="657">
        <f>+U576-'ROR-Model'!G576</f>
        <v>0</v>
      </c>
    </row>
    <row r="577" spans="1:22">
      <c r="A577" s="668"/>
      <c r="B577" s="659"/>
      <c r="C577" s="659" t="s">
        <v>24</v>
      </c>
      <c r="D577" s="659"/>
      <c r="E577" s="656"/>
      <c r="F577" s="357"/>
      <c r="G577" s="357"/>
      <c r="H577" s="357"/>
      <c r="I577" s="357"/>
      <c r="J577" s="390"/>
      <c r="K577" s="390"/>
      <c r="L577" s="357"/>
      <c r="M577" s="357"/>
      <c r="N577" s="357"/>
      <c r="O577" s="357"/>
      <c r="P577" s="357"/>
      <c r="Q577" s="390"/>
      <c r="R577" s="390"/>
      <c r="S577" s="657">
        <f>SUM(F577:R577)</f>
        <v>0</v>
      </c>
      <c r="T577" s="357"/>
      <c r="U577" s="657">
        <f>SUM(S577:S577)</f>
        <v>0</v>
      </c>
      <c r="V577" s="657">
        <f>+U577-'ROR-Model'!G577</f>
        <v>0</v>
      </c>
    </row>
    <row r="578" spans="1:22">
      <c r="A578" s="668"/>
      <c r="B578" s="659"/>
      <c r="C578" s="659" t="s">
        <v>160</v>
      </c>
      <c r="D578" s="659"/>
      <c r="E578" s="656"/>
      <c r="F578" s="388">
        <f>SUM(F576:F577)</f>
        <v>0</v>
      </c>
      <c r="G578" s="388">
        <f>G1*SUM(G576:G577)</f>
        <v>0</v>
      </c>
      <c r="H578" s="388">
        <f>SUM(H576:H577)</f>
        <v>0</v>
      </c>
      <c r="I578" s="388">
        <f t="shared" ref="I578:P578" si="119">SUM(I576:I577)</f>
        <v>0</v>
      </c>
      <c r="J578" s="585">
        <f>J1*SUM(J576:J577)</f>
        <v>0</v>
      </c>
      <c r="K578" s="585">
        <f>K1*SUM(K576:K577)</f>
        <v>0</v>
      </c>
      <c r="L578" s="388">
        <f t="shared" si="119"/>
        <v>0</v>
      </c>
      <c r="M578" s="388">
        <f t="shared" si="119"/>
        <v>0</v>
      </c>
      <c r="N578" s="388">
        <f t="shared" si="119"/>
        <v>0</v>
      </c>
      <c r="O578" s="388">
        <f t="shared" si="119"/>
        <v>0</v>
      </c>
      <c r="P578" s="388">
        <f t="shared" si="119"/>
        <v>0</v>
      </c>
      <c r="Q578" s="585">
        <f>SUM(Q576:Q577)</f>
        <v>0</v>
      </c>
      <c r="R578" s="585">
        <f>R1*SUM(R576:R577)</f>
        <v>0</v>
      </c>
      <c r="S578" s="661">
        <f>SUM(S576:S577)</f>
        <v>0</v>
      </c>
      <c r="T578" s="388"/>
      <c r="U578" s="661">
        <f>SUM(U576:U577)</f>
        <v>0</v>
      </c>
      <c r="V578" s="661">
        <f>+U578-'ROR-Model'!G578</f>
        <v>0</v>
      </c>
    </row>
    <row r="579" spans="1:22">
      <c r="A579" s="668"/>
      <c r="B579" s="659"/>
      <c r="C579" s="659"/>
      <c r="D579" s="659"/>
      <c r="E579" s="656"/>
      <c r="F579" s="357"/>
      <c r="G579" s="357"/>
      <c r="H579" s="357"/>
      <c r="I579" s="357"/>
      <c r="J579" s="390"/>
      <c r="K579" s="390"/>
      <c r="L579" s="357"/>
      <c r="M579" s="357"/>
      <c r="N579" s="357"/>
      <c r="O579" s="357"/>
      <c r="P579" s="357"/>
      <c r="Q579" s="390"/>
      <c r="R579" s="390"/>
      <c r="S579" s="657"/>
      <c r="T579" s="357"/>
      <c r="U579" s="657"/>
      <c r="V579" s="657">
        <f>+U579-'ROR-Model'!G579</f>
        <v>0</v>
      </c>
    </row>
    <row r="580" spans="1:22">
      <c r="A580" s="668">
        <v>806</v>
      </c>
      <c r="B580" s="659" t="s">
        <v>345</v>
      </c>
      <c r="C580" s="659"/>
      <c r="D580" s="659"/>
      <c r="E580" s="656"/>
      <c r="F580" s="357"/>
      <c r="G580" s="357"/>
      <c r="H580" s="357"/>
      <c r="I580" s="357"/>
      <c r="J580" s="390"/>
      <c r="K580" s="390"/>
      <c r="L580" s="357"/>
      <c r="M580" s="357"/>
      <c r="N580" s="357"/>
      <c r="O580" s="357"/>
      <c r="P580" s="357"/>
      <c r="Q580" s="390"/>
      <c r="R580" s="390"/>
      <c r="S580" s="657"/>
      <c r="T580" s="357"/>
      <c r="U580" s="657"/>
      <c r="V580" s="657">
        <f>+U580-'ROR-Model'!G580</f>
        <v>0</v>
      </c>
    </row>
    <row r="581" spans="1:22">
      <c r="A581" s="668"/>
      <c r="B581" s="659"/>
      <c r="C581" s="659" t="s">
        <v>13</v>
      </c>
      <c r="D581" s="659"/>
      <c r="E581" s="656"/>
      <c r="F581" s="357"/>
      <c r="G581" s="357"/>
      <c r="H581" s="357"/>
      <c r="I581" s="357"/>
      <c r="J581" s="390"/>
      <c r="K581" s="390"/>
      <c r="L581" s="357"/>
      <c r="M581" s="357"/>
      <c r="N581" s="357"/>
      <c r="O581" s="357"/>
      <c r="P581" s="357"/>
      <c r="Q581" s="390"/>
      <c r="R581" s="390"/>
      <c r="S581" s="657">
        <f>SUM(F581:R581)</f>
        <v>0</v>
      </c>
      <c r="T581" s="357"/>
      <c r="U581" s="657">
        <f>SUM(S581:S581)</f>
        <v>0</v>
      </c>
      <c r="V581" s="657">
        <f>+U581-'ROR-Model'!G581</f>
        <v>0</v>
      </c>
    </row>
    <row r="582" spans="1:22">
      <c r="A582" s="668"/>
      <c r="B582" s="659"/>
      <c r="C582" s="659" t="s">
        <v>24</v>
      </c>
      <c r="D582" s="659"/>
      <c r="E582" s="656"/>
      <c r="F582" s="357"/>
      <c r="G582" s="357"/>
      <c r="H582" s="357"/>
      <c r="I582" s="357"/>
      <c r="J582" s="390"/>
      <c r="K582" s="390"/>
      <c r="L582" s="357"/>
      <c r="M582" s="357"/>
      <c r="N582" s="357"/>
      <c r="O582" s="357"/>
      <c r="P582" s="357"/>
      <c r="Q582" s="390"/>
      <c r="R582" s="390"/>
      <c r="S582" s="657">
        <f>SUM(F582:R582)</f>
        <v>0</v>
      </c>
      <c r="T582" s="357"/>
      <c r="U582" s="657">
        <f>SUM(S582:S582)</f>
        <v>0</v>
      </c>
      <c r="V582" s="657">
        <f>+U582-'ROR-Model'!G582</f>
        <v>0</v>
      </c>
    </row>
    <row r="583" spans="1:22">
      <c r="A583" s="668"/>
      <c r="B583" s="659"/>
      <c r="C583" s="659" t="s">
        <v>160</v>
      </c>
      <c r="D583" s="659"/>
      <c r="E583" s="656"/>
      <c r="F583" s="388">
        <f>SUM(F581:F582)</f>
        <v>0</v>
      </c>
      <c r="G583" s="388">
        <f>G1*SUM(G581:G582)</f>
        <v>0</v>
      </c>
      <c r="H583" s="388">
        <f>SUM(H581:H582)</f>
        <v>0</v>
      </c>
      <c r="I583" s="388">
        <f t="shared" ref="I583:P583" si="120">SUM(I581:I582)</f>
        <v>0</v>
      </c>
      <c r="J583" s="585">
        <f>J1*SUM(J581:J582)</f>
        <v>0</v>
      </c>
      <c r="K583" s="585">
        <f>K1*SUM(K581:K582)</f>
        <v>0</v>
      </c>
      <c r="L583" s="388">
        <f t="shared" si="120"/>
        <v>0</v>
      </c>
      <c r="M583" s="388">
        <f t="shared" si="120"/>
        <v>0</v>
      </c>
      <c r="N583" s="388">
        <f t="shared" si="120"/>
        <v>0</v>
      </c>
      <c r="O583" s="388">
        <f t="shared" si="120"/>
        <v>0</v>
      </c>
      <c r="P583" s="388">
        <f t="shared" si="120"/>
        <v>0</v>
      </c>
      <c r="Q583" s="585">
        <f>SUM(Q581:Q582)</f>
        <v>0</v>
      </c>
      <c r="R583" s="585">
        <f>R1*SUM(R581:R582)</f>
        <v>0</v>
      </c>
      <c r="S583" s="661">
        <f>SUM(S581:S582)</f>
        <v>0</v>
      </c>
      <c r="T583" s="388"/>
      <c r="U583" s="661">
        <f>SUM(U581:U582)</f>
        <v>0</v>
      </c>
      <c r="V583" s="661">
        <f>+U583-'ROR-Model'!G583</f>
        <v>0</v>
      </c>
    </row>
    <row r="584" spans="1:22">
      <c r="A584" s="668"/>
      <c r="B584" s="659"/>
      <c r="C584" s="659"/>
      <c r="D584" s="659"/>
      <c r="E584" s="656"/>
      <c r="F584" s="357"/>
      <c r="G584" s="357"/>
      <c r="H584" s="357"/>
      <c r="I584" s="357"/>
      <c r="J584" s="390"/>
      <c r="K584" s="390"/>
      <c r="L584" s="357"/>
      <c r="M584" s="357"/>
      <c r="N584" s="357"/>
      <c r="O584" s="357"/>
      <c r="P584" s="357"/>
      <c r="Q584" s="390"/>
      <c r="R584" s="390"/>
      <c r="S584" s="657"/>
      <c r="T584" s="357"/>
      <c r="U584" s="657"/>
      <c r="V584" s="657">
        <f>+U584-'ROR-Model'!G584</f>
        <v>0</v>
      </c>
    </row>
    <row r="585" spans="1:22">
      <c r="A585" s="668">
        <v>808.1</v>
      </c>
      <c r="B585" s="659" t="s">
        <v>346</v>
      </c>
      <c r="C585" s="659"/>
      <c r="D585" s="659"/>
      <c r="E585" s="656"/>
      <c r="F585" s="357"/>
      <c r="G585" s="357"/>
      <c r="H585" s="357"/>
      <c r="I585" s="357"/>
      <c r="J585" s="390"/>
      <c r="K585" s="390"/>
      <c r="L585" s="357"/>
      <c r="M585" s="357"/>
      <c r="N585" s="357"/>
      <c r="O585" s="357"/>
      <c r="P585" s="357"/>
      <c r="Q585" s="390"/>
      <c r="R585" s="390"/>
      <c r="S585" s="657"/>
      <c r="T585" s="357"/>
      <c r="U585" s="657"/>
      <c r="V585" s="657">
        <f>+U585-'ROR-Model'!G585</f>
        <v>0</v>
      </c>
    </row>
    <row r="586" spans="1:22">
      <c r="A586" s="668"/>
      <c r="B586" s="659"/>
      <c r="C586" s="659" t="s">
        <v>13</v>
      </c>
      <c r="D586" s="659"/>
      <c r="E586" s="656"/>
      <c r="F586" s="357"/>
      <c r="G586" s="357"/>
      <c r="H586" s="357"/>
      <c r="I586" s="357"/>
      <c r="J586" s="390"/>
      <c r="K586" s="390"/>
      <c r="L586" s="357"/>
      <c r="M586" s="357"/>
      <c r="N586" s="357"/>
      <c r="O586" s="357"/>
      <c r="P586" s="357"/>
      <c r="Q586" s="390"/>
      <c r="R586" s="390"/>
      <c r="S586" s="657">
        <f>SUM(F586:R586)</f>
        <v>0</v>
      </c>
      <c r="T586" s="357"/>
      <c r="U586" s="657">
        <f>SUM(S586:S586)</f>
        <v>0</v>
      </c>
      <c r="V586" s="657">
        <f>+U586-'ROR-Model'!G586</f>
        <v>0</v>
      </c>
    </row>
    <row r="587" spans="1:22">
      <c r="A587" s="668"/>
      <c r="B587" s="659"/>
      <c r="C587" s="659" t="s">
        <v>24</v>
      </c>
      <c r="D587" s="659"/>
      <c r="E587" s="656"/>
      <c r="F587" s="357"/>
      <c r="G587" s="357"/>
      <c r="H587" s="357"/>
      <c r="I587" s="357"/>
      <c r="J587" s="390"/>
      <c r="K587" s="390"/>
      <c r="L587" s="357"/>
      <c r="M587" s="357"/>
      <c r="N587" s="357"/>
      <c r="O587" s="357"/>
      <c r="P587" s="357"/>
      <c r="Q587" s="390"/>
      <c r="R587" s="390"/>
      <c r="S587" s="657">
        <f>SUM(F587:R587)</f>
        <v>0</v>
      </c>
      <c r="T587" s="357"/>
      <c r="U587" s="657">
        <f>SUM(S587:S587)</f>
        <v>0</v>
      </c>
      <c r="V587" s="657">
        <f>+U587-'ROR-Model'!G587</f>
        <v>0</v>
      </c>
    </row>
    <row r="588" spans="1:22">
      <c r="A588" s="668"/>
      <c r="B588" s="659"/>
      <c r="C588" s="659" t="s">
        <v>160</v>
      </c>
      <c r="D588" s="659"/>
      <c r="E588" s="656"/>
      <c r="F588" s="388">
        <f>SUM(F586:F587)</f>
        <v>0</v>
      </c>
      <c r="G588" s="388">
        <f>G1*SUM(G586:G587)</f>
        <v>0</v>
      </c>
      <c r="H588" s="388">
        <f>SUM(H586:H587)</f>
        <v>0</v>
      </c>
      <c r="I588" s="388">
        <f t="shared" ref="I588:P588" si="121">SUM(I586:I587)</f>
        <v>0</v>
      </c>
      <c r="J588" s="585">
        <f>J1*SUM(J586:J587)</f>
        <v>0</v>
      </c>
      <c r="K588" s="585">
        <f>K1*SUM(K586:K587)</f>
        <v>0</v>
      </c>
      <c r="L588" s="388">
        <f t="shared" si="121"/>
        <v>0</v>
      </c>
      <c r="M588" s="388">
        <f t="shared" si="121"/>
        <v>0</v>
      </c>
      <c r="N588" s="388">
        <f t="shared" si="121"/>
        <v>0</v>
      </c>
      <c r="O588" s="388">
        <f t="shared" si="121"/>
        <v>0</v>
      </c>
      <c r="P588" s="388">
        <f t="shared" si="121"/>
        <v>0</v>
      </c>
      <c r="Q588" s="585">
        <f>SUM(Q586:Q587)</f>
        <v>0</v>
      </c>
      <c r="R588" s="585">
        <f>R1*SUM(R586:R587)</f>
        <v>0</v>
      </c>
      <c r="S588" s="661">
        <f>SUM(S586:S587)</f>
        <v>0</v>
      </c>
      <c r="T588" s="388"/>
      <c r="U588" s="661">
        <f>SUM(U586:U587)</f>
        <v>0</v>
      </c>
      <c r="V588" s="661">
        <f>+U588-'ROR-Model'!G588</f>
        <v>0</v>
      </c>
    </row>
    <row r="589" spans="1:22">
      <c r="A589" s="668"/>
      <c r="B589" s="659"/>
      <c r="C589" s="659"/>
      <c r="D589" s="659"/>
      <c r="E589" s="656"/>
      <c r="F589" s="357"/>
      <c r="G589" s="357"/>
      <c r="H589" s="357"/>
      <c r="I589" s="357"/>
      <c r="J589" s="390"/>
      <c r="K589" s="390"/>
      <c r="L589" s="357"/>
      <c r="M589" s="357"/>
      <c r="N589" s="357"/>
      <c r="O589" s="357"/>
      <c r="P589" s="357"/>
      <c r="Q589" s="390"/>
      <c r="R589" s="390"/>
      <c r="S589" s="657"/>
      <c r="T589" s="357"/>
      <c r="U589" s="657"/>
      <c r="V589" s="657">
        <f>+U589-'ROR-Model'!G589</f>
        <v>0</v>
      </c>
    </row>
    <row r="590" spans="1:22">
      <c r="A590" s="668">
        <v>808.2</v>
      </c>
      <c r="B590" s="659" t="s">
        <v>347</v>
      </c>
      <c r="C590" s="659"/>
      <c r="D590" s="659"/>
      <c r="E590" s="656"/>
      <c r="F590" s="357"/>
      <c r="G590" s="357"/>
      <c r="H590" s="357"/>
      <c r="I590" s="357"/>
      <c r="J590" s="390"/>
      <c r="K590" s="390"/>
      <c r="L590" s="357"/>
      <c r="M590" s="357"/>
      <c r="N590" s="357"/>
      <c r="O590" s="357"/>
      <c r="P590" s="357"/>
      <c r="Q590" s="390"/>
      <c r="R590" s="390"/>
      <c r="S590" s="657"/>
      <c r="T590" s="357"/>
      <c r="U590" s="657"/>
      <c r="V590" s="657">
        <f>+U590-'ROR-Model'!G590</f>
        <v>0</v>
      </c>
    </row>
    <row r="591" spans="1:22">
      <c r="A591" s="668"/>
      <c r="B591" s="659"/>
      <c r="C591" s="659" t="s">
        <v>13</v>
      </c>
      <c r="D591" s="659"/>
      <c r="E591" s="656"/>
      <c r="F591" s="357"/>
      <c r="G591" s="357"/>
      <c r="H591" s="357"/>
      <c r="I591" s="357"/>
      <c r="J591" s="390"/>
      <c r="K591" s="390"/>
      <c r="L591" s="357"/>
      <c r="M591" s="357"/>
      <c r="N591" s="357"/>
      <c r="O591" s="357"/>
      <c r="P591" s="357"/>
      <c r="Q591" s="390"/>
      <c r="R591" s="390"/>
      <c r="S591" s="657">
        <f>SUM(F591:R591)</f>
        <v>0</v>
      </c>
      <c r="T591" s="357"/>
      <c r="U591" s="657">
        <f>SUM(S591:S591)</f>
        <v>0</v>
      </c>
      <c r="V591" s="657">
        <f>+U591-'ROR-Model'!G591</f>
        <v>0</v>
      </c>
    </row>
    <row r="592" spans="1:22">
      <c r="A592" s="668"/>
      <c r="B592" s="659"/>
      <c r="C592" s="659" t="s">
        <v>24</v>
      </c>
      <c r="D592" s="659"/>
      <c r="E592" s="656"/>
      <c r="F592" s="357"/>
      <c r="G592" s="357"/>
      <c r="H592" s="357"/>
      <c r="I592" s="357"/>
      <c r="J592" s="390"/>
      <c r="K592" s="390"/>
      <c r="L592" s="357"/>
      <c r="M592" s="357"/>
      <c r="N592" s="357"/>
      <c r="O592" s="357"/>
      <c r="P592" s="357"/>
      <c r="Q592" s="390"/>
      <c r="R592" s="390"/>
      <c r="S592" s="657">
        <f>SUM(F592:R592)</f>
        <v>0</v>
      </c>
      <c r="T592" s="357"/>
      <c r="U592" s="657">
        <f>SUM(S592:S592)</f>
        <v>0</v>
      </c>
      <c r="V592" s="657">
        <f>+U592-'ROR-Model'!G592</f>
        <v>0</v>
      </c>
    </row>
    <row r="593" spans="1:22">
      <c r="A593" s="668"/>
      <c r="B593" s="659"/>
      <c r="C593" s="659" t="s">
        <v>160</v>
      </c>
      <c r="D593" s="659"/>
      <c r="E593" s="656"/>
      <c r="F593" s="388">
        <f>SUM(F591:F592)</f>
        <v>0</v>
      </c>
      <c r="G593" s="388">
        <f>G1*SUM(G591:G592)</f>
        <v>0</v>
      </c>
      <c r="H593" s="388">
        <f>SUM(H591:H592)</f>
        <v>0</v>
      </c>
      <c r="I593" s="388">
        <f t="shared" ref="I593:P593" si="122">SUM(I591:I592)</f>
        <v>0</v>
      </c>
      <c r="J593" s="585">
        <f>J1*SUM(J591:J592)</f>
        <v>0</v>
      </c>
      <c r="K593" s="585">
        <f>K1*SUM(K591:K592)</f>
        <v>0</v>
      </c>
      <c r="L593" s="388">
        <f t="shared" si="122"/>
        <v>0</v>
      </c>
      <c r="M593" s="388">
        <f t="shared" si="122"/>
        <v>0</v>
      </c>
      <c r="N593" s="388">
        <f t="shared" si="122"/>
        <v>0</v>
      </c>
      <c r="O593" s="388">
        <f t="shared" si="122"/>
        <v>0</v>
      </c>
      <c r="P593" s="388">
        <f t="shared" si="122"/>
        <v>0</v>
      </c>
      <c r="Q593" s="585">
        <f>SUM(Q591:Q592)</f>
        <v>0</v>
      </c>
      <c r="R593" s="585">
        <f>R1*SUM(R591:R592)</f>
        <v>0</v>
      </c>
      <c r="S593" s="661">
        <f>SUM(S591:S592)</f>
        <v>0</v>
      </c>
      <c r="T593" s="388"/>
      <c r="U593" s="661">
        <f>SUM(U591:U592)</f>
        <v>0</v>
      </c>
      <c r="V593" s="661">
        <f>+U593-'ROR-Model'!G593</f>
        <v>0</v>
      </c>
    </row>
    <row r="594" spans="1:22">
      <c r="A594" s="668"/>
      <c r="B594" s="659"/>
      <c r="C594" s="659"/>
      <c r="D594" s="659"/>
      <c r="E594" s="656"/>
      <c r="F594" s="357"/>
      <c r="G594" s="357"/>
      <c r="H594" s="357"/>
      <c r="I594" s="357"/>
      <c r="J594" s="390"/>
      <c r="K594" s="390"/>
      <c r="L594" s="357"/>
      <c r="M594" s="357"/>
      <c r="N594" s="357"/>
      <c r="O594" s="357"/>
      <c r="P594" s="357"/>
      <c r="Q594" s="390"/>
      <c r="R594" s="390"/>
      <c r="S594" s="657"/>
      <c r="T594" s="357"/>
      <c r="U594" s="657"/>
      <c r="V594" s="657">
        <f>+U594-'ROR-Model'!G594</f>
        <v>0</v>
      </c>
    </row>
    <row r="595" spans="1:22">
      <c r="A595" s="668">
        <v>808.3</v>
      </c>
      <c r="B595" s="659" t="s">
        <v>345</v>
      </c>
      <c r="C595" s="659"/>
      <c r="D595" s="659"/>
      <c r="E595" s="656"/>
      <c r="F595" s="357"/>
      <c r="G595" s="357"/>
      <c r="H595" s="357"/>
      <c r="I595" s="357"/>
      <c r="J595" s="390"/>
      <c r="K595" s="390"/>
      <c r="L595" s="357"/>
      <c r="M595" s="357"/>
      <c r="N595" s="357"/>
      <c r="O595" s="357"/>
      <c r="P595" s="357"/>
      <c r="Q595" s="390"/>
      <c r="R595" s="390"/>
      <c r="S595" s="657"/>
      <c r="T595" s="357"/>
      <c r="U595" s="657"/>
      <c r="V595" s="657">
        <f>+U595-'ROR-Model'!G595</f>
        <v>0</v>
      </c>
    </row>
    <row r="596" spans="1:22">
      <c r="A596" s="668"/>
      <c r="B596" s="659"/>
      <c r="C596" s="659" t="s">
        <v>13</v>
      </c>
      <c r="D596" s="659"/>
      <c r="E596" s="656"/>
      <c r="F596" s="357"/>
      <c r="G596" s="357"/>
      <c r="H596" s="357"/>
      <c r="I596" s="357"/>
      <c r="J596" s="390"/>
      <c r="K596" s="390"/>
      <c r="L596" s="357"/>
      <c r="M596" s="357"/>
      <c r="N596" s="357"/>
      <c r="O596" s="357"/>
      <c r="P596" s="357"/>
      <c r="Q596" s="390"/>
      <c r="R596" s="390"/>
      <c r="S596" s="657">
        <f>SUM(F596:R596)</f>
        <v>0</v>
      </c>
      <c r="T596" s="357"/>
      <c r="U596" s="657">
        <f>SUM(S596:S596)</f>
        <v>0</v>
      </c>
      <c r="V596" s="657">
        <f>+U596-'ROR-Model'!G596</f>
        <v>0</v>
      </c>
    </row>
    <row r="597" spans="1:22">
      <c r="A597" s="668"/>
      <c r="B597" s="659"/>
      <c r="C597" s="659" t="s">
        <v>24</v>
      </c>
      <c r="D597" s="659"/>
      <c r="E597" s="656"/>
      <c r="F597" s="357"/>
      <c r="G597" s="357"/>
      <c r="H597" s="357"/>
      <c r="I597" s="357"/>
      <c r="J597" s="390"/>
      <c r="K597" s="390"/>
      <c r="L597" s="357"/>
      <c r="M597" s="357"/>
      <c r="N597" s="357"/>
      <c r="O597" s="357"/>
      <c r="P597" s="357"/>
      <c r="Q597" s="390"/>
      <c r="R597" s="390"/>
      <c r="S597" s="657">
        <f>SUM(F597:R597)</f>
        <v>0</v>
      </c>
      <c r="T597" s="357"/>
      <c r="U597" s="657">
        <f>SUM(S597:S597)</f>
        <v>0</v>
      </c>
      <c r="V597" s="657">
        <f>+U597-'ROR-Model'!G597</f>
        <v>0</v>
      </c>
    </row>
    <row r="598" spans="1:22">
      <c r="A598" s="668"/>
      <c r="B598" s="659"/>
      <c r="C598" s="659" t="s">
        <v>160</v>
      </c>
      <c r="D598" s="659"/>
      <c r="E598" s="656"/>
      <c r="F598" s="388">
        <f>SUM(F596:F597)</f>
        <v>0</v>
      </c>
      <c r="G598" s="388">
        <f>G1*SUM(G596:G597)</f>
        <v>0</v>
      </c>
      <c r="H598" s="388">
        <f>SUM(H596:H597)</f>
        <v>0</v>
      </c>
      <c r="I598" s="388">
        <f t="shared" ref="I598:P598" si="123">SUM(I596:I597)</f>
        <v>0</v>
      </c>
      <c r="J598" s="585">
        <f>J1*SUM(J596:J597)</f>
        <v>0</v>
      </c>
      <c r="K598" s="585">
        <f>K1*SUM(K596:K597)</f>
        <v>0</v>
      </c>
      <c r="L598" s="388">
        <f t="shared" si="123"/>
        <v>0</v>
      </c>
      <c r="M598" s="388">
        <f t="shared" si="123"/>
        <v>0</v>
      </c>
      <c r="N598" s="388">
        <f t="shared" si="123"/>
        <v>0</v>
      </c>
      <c r="O598" s="388">
        <f t="shared" si="123"/>
        <v>0</v>
      </c>
      <c r="P598" s="388">
        <f t="shared" si="123"/>
        <v>0</v>
      </c>
      <c r="Q598" s="585">
        <f>SUM(Q596:Q597)</f>
        <v>0</v>
      </c>
      <c r="R598" s="585">
        <f>R1*SUM(R596:R597)</f>
        <v>0</v>
      </c>
      <c r="S598" s="661">
        <f>SUM(S596:S597)</f>
        <v>0</v>
      </c>
      <c r="T598" s="388"/>
      <c r="U598" s="661">
        <f>SUM(U596:U597)</f>
        <v>0</v>
      </c>
      <c r="V598" s="661">
        <f>+U598-'ROR-Model'!G598</f>
        <v>0</v>
      </c>
    </row>
    <row r="599" spans="1:22">
      <c r="A599" s="668"/>
      <c r="B599" s="659"/>
      <c r="C599" s="659"/>
      <c r="D599" s="659"/>
      <c r="E599" s="656"/>
      <c r="F599" s="357"/>
      <c r="G599" s="357"/>
      <c r="H599" s="357"/>
      <c r="I599" s="357"/>
      <c r="J599" s="390"/>
      <c r="K599" s="390"/>
      <c r="L599" s="357"/>
      <c r="M599" s="357"/>
      <c r="N599" s="357"/>
      <c r="O599" s="357"/>
      <c r="P599" s="357"/>
      <c r="Q599" s="390"/>
      <c r="R599" s="390"/>
      <c r="S599" s="657"/>
      <c r="T599" s="357"/>
      <c r="U599" s="657"/>
      <c r="V599" s="657">
        <f>+U599-'ROR-Model'!G599</f>
        <v>0</v>
      </c>
    </row>
    <row r="600" spans="1:22">
      <c r="A600" s="668">
        <v>813</v>
      </c>
      <c r="B600" s="659" t="s">
        <v>348</v>
      </c>
      <c r="C600" s="659"/>
      <c r="D600" s="659"/>
      <c r="E600" s="656"/>
      <c r="F600" s="357"/>
      <c r="G600" s="357"/>
      <c r="H600" s="357"/>
      <c r="I600" s="357"/>
      <c r="J600" s="390"/>
      <c r="K600" s="390"/>
      <c r="L600" s="357"/>
      <c r="M600" s="357"/>
      <c r="N600" s="357"/>
      <c r="O600" s="357"/>
      <c r="P600" s="357"/>
      <c r="Q600" s="390"/>
      <c r="R600" s="390"/>
      <c r="S600" s="657"/>
      <c r="T600" s="357"/>
      <c r="U600" s="657"/>
      <c r="V600" s="657">
        <f>+U600-'ROR-Model'!G600</f>
        <v>0</v>
      </c>
    </row>
    <row r="601" spans="1:22">
      <c r="A601" s="668"/>
      <c r="B601" s="659"/>
      <c r="C601" s="659" t="s">
        <v>13</v>
      </c>
      <c r="D601" s="659"/>
      <c r="E601" s="656"/>
      <c r="F601" s="357"/>
      <c r="G601" s="357"/>
      <c r="H601" s="357"/>
      <c r="I601" s="357"/>
      <c r="J601" s="390"/>
      <c r="K601" s="390"/>
      <c r="L601" s="357"/>
      <c r="M601" s="357"/>
      <c r="N601" s="357"/>
      <c r="O601" s="357"/>
      <c r="P601" s="357"/>
      <c r="Q601" s="390"/>
      <c r="R601" s="390"/>
      <c r="S601" s="657">
        <f>SUM(F601:R601)</f>
        <v>0</v>
      </c>
      <c r="T601" s="357"/>
      <c r="U601" s="657">
        <f>SUM(S601:S601)</f>
        <v>0</v>
      </c>
      <c r="V601" s="657">
        <f>+U601-'ROR-Model'!G601</f>
        <v>0</v>
      </c>
    </row>
    <row r="602" spans="1:22">
      <c r="A602" s="668"/>
      <c r="B602" s="659"/>
      <c r="C602" s="659" t="s">
        <v>24</v>
      </c>
      <c r="D602" s="659"/>
      <c r="E602" s="656"/>
      <c r="F602" s="357"/>
      <c r="G602" s="357"/>
      <c r="H602" s="357"/>
      <c r="I602" s="357"/>
      <c r="J602" s="390"/>
      <c r="K602" s="390"/>
      <c r="L602" s="357"/>
      <c r="M602" s="357"/>
      <c r="N602" s="357"/>
      <c r="O602" s="357"/>
      <c r="P602" s="357"/>
      <c r="Q602" s="390"/>
      <c r="R602" s="390"/>
      <c r="S602" s="657">
        <f>SUM(F602:R602)</f>
        <v>0</v>
      </c>
      <c r="T602" s="357"/>
      <c r="U602" s="657">
        <f>SUM(S602:S602)</f>
        <v>0</v>
      </c>
      <c r="V602" s="657">
        <f>+U602-'ROR-Model'!G602</f>
        <v>0</v>
      </c>
    </row>
    <row r="603" spans="1:22">
      <c r="A603" s="668"/>
      <c r="B603" s="659"/>
      <c r="C603" s="659" t="s">
        <v>160</v>
      </c>
      <c r="D603" s="659"/>
      <c r="E603" s="656"/>
      <c r="F603" s="388">
        <f>SUM(F601:F602)</f>
        <v>0</v>
      </c>
      <c r="G603" s="388">
        <f>G1*SUM(G601:G602)</f>
        <v>0</v>
      </c>
      <c r="H603" s="388">
        <f>SUM(H601:H602)</f>
        <v>0</v>
      </c>
      <c r="I603" s="388">
        <f t="shared" ref="I603:P603" si="124">SUM(I601:I602)</f>
        <v>0</v>
      </c>
      <c r="J603" s="585">
        <f>J1*SUM(J601:J602)</f>
        <v>0</v>
      </c>
      <c r="K603" s="585">
        <f>K1*SUM(K601:K602)</f>
        <v>0</v>
      </c>
      <c r="L603" s="388">
        <f t="shared" si="124"/>
        <v>0</v>
      </c>
      <c r="M603" s="388">
        <f t="shared" si="124"/>
        <v>0</v>
      </c>
      <c r="N603" s="388">
        <f t="shared" si="124"/>
        <v>0</v>
      </c>
      <c r="O603" s="388">
        <f t="shared" si="124"/>
        <v>0</v>
      </c>
      <c r="P603" s="388">
        <f t="shared" si="124"/>
        <v>0</v>
      </c>
      <c r="Q603" s="585">
        <f>SUM(Q601:Q602)</f>
        <v>0</v>
      </c>
      <c r="R603" s="585">
        <f>R1*SUM(R601:R602)</f>
        <v>0</v>
      </c>
      <c r="S603" s="661">
        <f>SUM(S601:S602)</f>
        <v>0</v>
      </c>
      <c r="T603" s="388"/>
      <c r="U603" s="661">
        <f>SUM(U601:U602)</f>
        <v>0</v>
      </c>
      <c r="V603" s="661">
        <f>+U603-'ROR-Model'!G603</f>
        <v>0</v>
      </c>
    </row>
    <row r="604" spans="1:22">
      <c r="A604" s="668"/>
      <c r="B604" s="659"/>
      <c r="C604" s="659"/>
      <c r="D604" s="659"/>
      <c r="E604" s="656"/>
      <c r="F604" s="357"/>
      <c r="G604" s="357"/>
      <c r="H604" s="357"/>
      <c r="I604" s="357"/>
      <c r="J604" s="390"/>
      <c r="K604" s="390"/>
      <c r="L604" s="357"/>
      <c r="M604" s="357"/>
      <c r="N604" s="357"/>
      <c r="O604" s="357"/>
      <c r="P604" s="357"/>
      <c r="Q604" s="390"/>
      <c r="R604" s="390"/>
      <c r="S604" s="657"/>
      <c r="T604" s="357"/>
      <c r="U604" s="657"/>
      <c r="V604" s="657">
        <f>+U604-'ROR-Model'!G604</f>
        <v>0</v>
      </c>
    </row>
    <row r="605" spans="1:22">
      <c r="A605" s="668">
        <v>813</v>
      </c>
      <c r="B605" s="659" t="s">
        <v>349</v>
      </c>
      <c r="C605" s="659"/>
      <c r="D605" s="659"/>
      <c r="E605" s="656"/>
      <c r="F605" s="357"/>
      <c r="G605" s="357"/>
      <c r="H605" s="357"/>
      <c r="I605" s="357"/>
      <c r="J605" s="390"/>
      <c r="K605" s="390"/>
      <c r="L605" s="357"/>
      <c r="M605" s="357"/>
      <c r="N605" s="357"/>
      <c r="O605" s="357"/>
      <c r="P605" s="357"/>
      <c r="Q605" s="390"/>
      <c r="R605" s="390"/>
      <c r="S605" s="657"/>
      <c r="T605" s="357"/>
      <c r="U605" s="657"/>
      <c r="V605" s="657">
        <f>+U605-'ROR-Model'!G605</f>
        <v>0</v>
      </c>
    </row>
    <row r="606" spans="1:22">
      <c r="A606" s="668"/>
      <c r="B606" s="659"/>
      <c r="C606" s="659" t="s">
        <v>13</v>
      </c>
      <c r="D606" s="659"/>
      <c r="E606" s="656"/>
      <c r="F606" s="357"/>
      <c r="G606" s="357"/>
      <c r="H606" s="357"/>
      <c r="I606" s="357"/>
      <c r="J606" s="390"/>
      <c r="K606" s="390"/>
      <c r="L606" s="357"/>
      <c r="M606" s="357"/>
      <c r="N606" s="357"/>
      <c r="O606" s="357"/>
      <c r="P606" s="357"/>
      <c r="Q606" s="390"/>
      <c r="R606" s="390"/>
      <c r="S606" s="657">
        <f>SUM(F606:R606)</f>
        <v>0</v>
      </c>
      <c r="T606" s="357"/>
      <c r="U606" s="657">
        <f>SUM(S606:S606)</f>
        <v>0</v>
      </c>
      <c r="V606" s="657">
        <f>+U606-'ROR-Model'!G606</f>
        <v>0</v>
      </c>
    </row>
    <row r="607" spans="1:22">
      <c r="A607" s="668"/>
      <c r="B607" s="659"/>
      <c r="C607" s="659" t="s">
        <v>24</v>
      </c>
      <c r="D607" s="659"/>
      <c r="E607" s="656"/>
      <c r="F607" s="357"/>
      <c r="G607" s="357"/>
      <c r="H607" s="357"/>
      <c r="I607" s="357"/>
      <c r="J607" s="390"/>
      <c r="K607" s="390"/>
      <c r="L607" s="357"/>
      <c r="M607" s="357"/>
      <c r="N607" s="357"/>
      <c r="O607" s="357"/>
      <c r="P607" s="357"/>
      <c r="Q607" s="390"/>
      <c r="R607" s="390"/>
      <c r="S607" s="657">
        <f>SUM(F607:R607)</f>
        <v>0</v>
      </c>
      <c r="T607" s="357"/>
      <c r="U607" s="657">
        <f>SUM(S607:S607)</f>
        <v>0</v>
      </c>
      <c r="V607" s="657">
        <f>+U607-'ROR-Model'!G607</f>
        <v>0</v>
      </c>
    </row>
    <row r="608" spans="1:22">
      <c r="A608" s="668"/>
      <c r="B608" s="659"/>
      <c r="C608" s="659" t="s">
        <v>160</v>
      </c>
      <c r="D608" s="659"/>
      <c r="E608" s="656"/>
      <c r="F608" s="388">
        <f>SUM(F606:F607)</f>
        <v>0</v>
      </c>
      <c r="G608" s="388">
        <f>G1*SUM(G606:G607)</f>
        <v>0</v>
      </c>
      <c r="H608" s="388">
        <f>SUM(H606:H607)</f>
        <v>0</v>
      </c>
      <c r="I608" s="388">
        <f t="shared" ref="I608:P608" si="125">SUM(I606:I607)</f>
        <v>0</v>
      </c>
      <c r="J608" s="585">
        <f>J1*SUM(J606:J607)</f>
        <v>0</v>
      </c>
      <c r="K608" s="585">
        <f>K1*SUM(K606:K607)</f>
        <v>0</v>
      </c>
      <c r="L608" s="388">
        <f t="shared" si="125"/>
        <v>0</v>
      </c>
      <c r="M608" s="388">
        <f t="shared" si="125"/>
        <v>0</v>
      </c>
      <c r="N608" s="388">
        <f t="shared" si="125"/>
        <v>0</v>
      </c>
      <c r="O608" s="388">
        <f t="shared" si="125"/>
        <v>0</v>
      </c>
      <c r="P608" s="388">
        <f t="shared" si="125"/>
        <v>0</v>
      </c>
      <c r="Q608" s="585">
        <f>SUM(Q606:Q607)</f>
        <v>0</v>
      </c>
      <c r="R608" s="585">
        <f>R1*SUM(R606:R607)</f>
        <v>0</v>
      </c>
      <c r="S608" s="661">
        <f>SUM(S606:S607)</f>
        <v>0</v>
      </c>
      <c r="T608" s="388"/>
      <c r="U608" s="661">
        <f>SUM(U606:U607)</f>
        <v>0</v>
      </c>
      <c r="V608" s="661">
        <f>+U608-'ROR-Model'!G608</f>
        <v>0</v>
      </c>
    </row>
    <row r="609" spans="1:22">
      <c r="A609" s="668"/>
      <c r="B609" s="659"/>
      <c r="C609" s="659"/>
      <c r="D609" s="659"/>
      <c r="E609" s="656"/>
      <c r="F609" s="357"/>
      <c r="G609" s="357"/>
      <c r="H609" s="357"/>
      <c r="I609" s="357"/>
      <c r="J609" s="390"/>
      <c r="K609" s="390"/>
      <c r="L609" s="357"/>
      <c r="M609" s="357"/>
      <c r="N609" s="357"/>
      <c r="O609" s="357"/>
      <c r="P609" s="357"/>
      <c r="Q609" s="390"/>
      <c r="R609" s="390"/>
      <c r="S609" s="657"/>
      <c r="T609" s="357"/>
      <c r="U609" s="657"/>
      <c r="V609" s="657">
        <f>+U609-'ROR-Model'!G609</f>
        <v>0</v>
      </c>
    </row>
    <row r="610" spans="1:22">
      <c r="A610" s="668" t="s">
        <v>681</v>
      </c>
      <c r="B610" s="659" t="s">
        <v>350</v>
      </c>
      <c r="C610" s="659"/>
      <c r="D610" s="659"/>
      <c r="E610" s="656"/>
      <c r="F610" s="357"/>
      <c r="G610" s="357"/>
      <c r="H610" s="357"/>
      <c r="I610" s="357"/>
      <c r="J610" s="390"/>
      <c r="K610" s="390"/>
      <c r="L610" s="357"/>
      <c r="M610" s="357"/>
      <c r="N610" s="357"/>
      <c r="O610" s="357"/>
      <c r="P610" s="357"/>
      <c r="Q610" s="390"/>
      <c r="R610" s="390"/>
      <c r="S610" s="657"/>
      <c r="T610" s="357"/>
      <c r="U610" s="657"/>
      <c r="V610" s="657">
        <f>+U610-'ROR-Model'!G610</f>
        <v>0</v>
      </c>
    </row>
    <row r="611" spans="1:22">
      <c r="A611" s="668"/>
      <c r="B611" s="659"/>
      <c r="C611" s="659" t="s">
        <v>13</v>
      </c>
      <c r="D611" s="659"/>
      <c r="E611" s="656"/>
      <c r="F611" s="357"/>
      <c r="G611" s="357"/>
      <c r="H611" s="357"/>
      <c r="I611" s="357"/>
      <c r="J611" s="390"/>
      <c r="K611" s="390"/>
      <c r="L611" s="357"/>
      <c r="M611" s="357"/>
      <c r="N611" s="357"/>
      <c r="O611" s="583"/>
      <c r="P611" s="357"/>
      <c r="Q611" s="390"/>
      <c r="R611" s="390"/>
      <c r="S611" s="657">
        <f>SUM(F611:R611)</f>
        <v>0</v>
      </c>
      <c r="T611" s="357"/>
      <c r="U611" s="657">
        <f>SUM(S611:S611)</f>
        <v>0</v>
      </c>
      <c r="V611" s="657">
        <f>+U611-'ROR-Model'!G611</f>
        <v>0</v>
      </c>
    </row>
    <row r="612" spans="1:22">
      <c r="A612" s="668"/>
      <c r="B612" s="659"/>
      <c r="C612" s="659" t="s">
        <v>24</v>
      </c>
      <c r="D612" s="659"/>
      <c r="E612" s="656"/>
      <c r="F612" s="357"/>
      <c r="G612" s="357"/>
      <c r="H612" s="357"/>
      <c r="I612" s="357"/>
      <c r="J612" s="390"/>
      <c r="K612" s="390"/>
      <c r="L612" s="357"/>
      <c r="M612" s="357"/>
      <c r="N612" s="357"/>
      <c r="O612" s="357"/>
      <c r="P612" s="357"/>
      <c r="Q612" s="390"/>
      <c r="R612" s="390"/>
      <c r="S612" s="657">
        <f>SUM(F612:R612)</f>
        <v>0</v>
      </c>
      <c r="T612" s="357"/>
      <c r="U612" s="657">
        <f>SUM(S612:S612)</f>
        <v>0</v>
      </c>
      <c r="V612" s="657">
        <f>+U612-'ROR-Model'!G612</f>
        <v>0</v>
      </c>
    </row>
    <row r="613" spans="1:22">
      <c r="A613" s="668"/>
      <c r="B613" s="659"/>
      <c r="C613" s="659" t="s">
        <v>160</v>
      </c>
      <c r="D613" s="659"/>
      <c r="E613" s="656"/>
      <c r="F613" s="388">
        <f>SUM(F611:F612)</f>
        <v>0</v>
      </c>
      <c r="G613" s="388">
        <f>G1*SUM(G611:G612)</f>
        <v>0</v>
      </c>
      <c r="H613" s="388">
        <f>SUM(H611:H612)</f>
        <v>0</v>
      </c>
      <c r="I613" s="388">
        <f t="shared" ref="I613:P613" si="126">SUM(I611:I612)</f>
        <v>0</v>
      </c>
      <c r="J613" s="585">
        <f>J1*SUM(J611:J612)</f>
        <v>0</v>
      </c>
      <c r="K613" s="585">
        <f>K1*SUM(K611:K612)</f>
        <v>0</v>
      </c>
      <c r="L613" s="388">
        <f t="shared" si="126"/>
        <v>0</v>
      </c>
      <c r="M613" s="388">
        <f t="shared" si="126"/>
        <v>0</v>
      </c>
      <c r="N613" s="388">
        <f t="shared" si="126"/>
        <v>0</v>
      </c>
      <c r="O613" s="388">
        <f t="shared" si="126"/>
        <v>0</v>
      </c>
      <c r="P613" s="388">
        <f t="shared" si="126"/>
        <v>0</v>
      </c>
      <c r="Q613" s="585">
        <f>SUM(Q611:Q612)</f>
        <v>0</v>
      </c>
      <c r="R613" s="585">
        <f>R1*SUM(R611:R612)</f>
        <v>0</v>
      </c>
      <c r="S613" s="661">
        <f>SUM(S611:S612)</f>
        <v>0</v>
      </c>
      <c r="T613" s="388"/>
      <c r="U613" s="661">
        <f>SUM(U611:U612)</f>
        <v>0</v>
      </c>
      <c r="V613" s="661">
        <f>+U613-'ROR-Model'!G613</f>
        <v>0</v>
      </c>
    </row>
    <row r="614" spans="1:22">
      <c r="A614" s="668"/>
      <c r="B614" s="659"/>
      <c r="C614" s="659"/>
      <c r="D614" s="659"/>
      <c r="E614" s="656"/>
      <c r="F614" s="357"/>
      <c r="G614" s="357"/>
      <c r="H614" s="357"/>
      <c r="I614" s="357"/>
      <c r="J614" s="390"/>
      <c r="K614" s="390"/>
      <c r="L614" s="357"/>
      <c r="M614" s="357"/>
      <c r="N614" s="357"/>
      <c r="O614" s="357"/>
      <c r="P614" s="357"/>
      <c r="Q614" s="390"/>
      <c r="R614" s="390"/>
      <c r="S614" s="657"/>
      <c r="T614" s="357"/>
      <c r="U614" s="657"/>
      <c r="V614" s="657">
        <f>+U614-'ROR-Model'!G614</f>
        <v>0</v>
      </c>
    </row>
    <row r="615" spans="1:22">
      <c r="A615" s="668">
        <v>858</v>
      </c>
      <c r="B615" s="659" t="s">
        <v>351</v>
      </c>
      <c r="C615" s="659"/>
      <c r="D615" s="659"/>
      <c r="E615" s="656"/>
      <c r="F615" s="357"/>
      <c r="G615" s="357"/>
      <c r="H615" s="357"/>
      <c r="I615" s="357"/>
      <c r="J615" s="390"/>
      <c r="K615" s="390"/>
      <c r="L615" s="357"/>
      <c r="M615" s="357"/>
      <c r="N615" s="357"/>
      <c r="O615" s="357"/>
      <c r="P615" s="357"/>
      <c r="Q615" s="390"/>
      <c r="R615" s="390"/>
      <c r="S615" s="657"/>
      <c r="T615" s="357"/>
      <c r="U615" s="657"/>
      <c r="V615" s="657">
        <f>+U615-'ROR-Model'!G615</f>
        <v>0</v>
      </c>
    </row>
    <row r="616" spans="1:22">
      <c r="A616" s="668"/>
      <c r="B616" s="659"/>
      <c r="C616" s="659" t="s">
        <v>13</v>
      </c>
      <c r="D616" s="659"/>
      <c r="E616" s="656"/>
      <c r="F616" s="357"/>
      <c r="G616" s="357"/>
      <c r="H616" s="357"/>
      <c r="I616" s="357"/>
      <c r="J616" s="390"/>
      <c r="K616" s="390"/>
      <c r="L616" s="357"/>
      <c r="M616" s="357"/>
      <c r="N616" s="357"/>
      <c r="O616" s="357"/>
      <c r="P616" s="357"/>
      <c r="Q616" s="390"/>
      <c r="R616" s="390"/>
      <c r="S616" s="657">
        <f>SUM(F616:R616)</f>
        <v>0</v>
      </c>
      <c r="T616" s="357"/>
      <c r="U616" s="657">
        <f>SUM(S616:S616)</f>
        <v>0</v>
      </c>
      <c r="V616" s="657">
        <f>+U616-'ROR-Model'!G616</f>
        <v>0</v>
      </c>
    </row>
    <row r="617" spans="1:22">
      <c r="A617" s="668"/>
      <c r="B617" s="659"/>
      <c r="C617" s="659" t="s">
        <v>24</v>
      </c>
      <c r="D617" s="659"/>
      <c r="E617" s="656"/>
      <c r="F617" s="357"/>
      <c r="G617" s="357"/>
      <c r="H617" s="357"/>
      <c r="I617" s="357"/>
      <c r="J617" s="390"/>
      <c r="K617" s="390"/>
      <c r="L617" s="357"/>
      <c r="M617" s="357"/>
      <c r="N617" s="357"/>
      <c r="O617" s="357"/>
      <c r="P617" s="357"/>
      <c r="Q617" s="390"/>
      <c r="R617" s="390"/>
      <c r="S617" s="657">
        <f>SUM(F617:R617)</f>
        <v>0</v>
      </c>
      <c r="T617" s="357"/>
      <c r="U617" s="657">
        <f>SUM(S617:S617)</f>
        <v>0</v>
      </c>
      <c r="V617" s="657">
        <f>+U617-'ROR-Model'!G617</f>
        <v>0</v>
      </c>
    </row>
    <row r="618" spans="1:22">
      <c r="A618" s="668"/>
      <c r="B618" s="659"/>
      <c r="C618" s="659" t="s">
        <v>160</v>
      </c>
      <c r="D618" s="659"/>
      <c r="E618" s="656"/>
      <c r="F618" s="388">
        <f t="shared" ref="F618:P618" si="127">SUM(F616:F617)</f>
        <v>0</v>
      </c>
      <c r="G618" s="388">
        <f t="shared" si="127"/>
        <v>0</v>
      </c>
      <c r="H618" s="388">
        <f>SUM(H616:H617)</f>
        <v>0</v>
      </c>
      <c r="I618" s="388">
        <f t="shared" si="127"/>
        <v>0</v>
      </c>
      <c r="J618" s="585">
        <f>SUM(J616:J617)</f>
        <v>0</v>
      </c>
      <c r="K618" s="585">
        <f>SUM(K616:K617)</f>
        <v>0</v>
      </c>
      <c r="L618" s="388">
        <f t="shared" si="127"/>
        <v>0</v>
      </c>
      <c r="M618" s="388">
        <f t="shared" si="127"/>
        <v>0</v>
      </c>
      <c r="N618" s="388">
        <f t="shared" si="127"/>
        <v>0</v>
      </c>
      <c r="O618" s="388">
        <f t="shared" si="127"/>
        <v>0</v>
      </c>
      <c r="P618" s="388">
        <f t="shared" si="127"/>
        <v>0</v>
      </c>
      <c r="Q618" s="585">
        <f>SUM(Q616:Q617)</f>
        <v>0</v>
      </c>
      <c r="R618" s="585">
        <f>SUM(R616:R617)</f>
        <v>0</v>
      </c>
      <c r="S618" s="661">
        <f>SUM(S616:S617)</f>
        <v>0</v>
      </c>
      <c r="T618" s="388"/>
      <c r="U618" s="661">
        <f>SUM(U616:U617)</f>
        <v>0</v>
      </c>
      <c r="V618" s="661">
        <f>+U618-'ROR-Model'!G618</f>
        <v>0</v>
      </c>
    </row>
    <row r="619" spans="1:22">
      <c r="A619" s="668"/>
      <c r="B619" s="659"/>
      <c r="C619" s="659"/>
      <c r="D619" s="659"/>
      <c r="E619" s="656"/>
      <c r="F619" s="357"/>
      <c r="G619" s="357"/>
      <c r="H619" s="357"/>
      <c r="I619" s="357"/>
      <c r="J619" s="390"/>
      <c r="K619" s="390"/>
      <c r="L619" s="357"/>
      <c r="M619" s="357"/>
      <c r="N619" s="357"/>
      <c r="O619" s="357"/>
      <c r="P619" s="357"/>
      <c r="Q619" s="390"/>
      <c r="R619" s="390"/>
      <c r="S619" s="657"/>
      <c r="T619" s="357"/>
      <c r="U619" s="657"/>
      <c r="V619" s="657">
        <f>+U619-'ROR-Model'!G619</f>
        <v>0</v>
      </c>
    </row>
    <row r="620" spans="1:22">
      <c r="A620" s="668">
        <v>858</v>
      </c>
      <c r="B620" s="659" t="s">
        <v>352</v>
      </c>
      <c r="C620" s="659"/>
      <c r="D620" s="659"/>
      <c r="E620" s="656"/>
      <c r="F620" s="357"/>
      <c r="G620" s="357"/>
      <c r="H620" s="357"/>
      <c r="I620" s="357"/>
      <c r="J620" s="390"/>
      <c r="K620" s="390"/>
      <c r="L620" s="357"/>
      <c r="M620" s="357"/>
      <c r="N620" s="357"/>
      <c r="O620" s="357"/>
      <c r="P620" s="357"/>
      <c r="Q620" s="390"/>
      <c r="R620" s="390"/>
      <c r="S620" s="657"/>
      <c r="T620" s="357"/>
      <c r="U620" s="657"/>
      <c r="V620" s="657">
        <f>+U620-'ROR-Model'!G620</f>
        <v>0</v>
      </c>
    </row>
    <row r="621" spans="1:22">
      <c r="A621" s="660"/>
      <c r="B621" s="659"/>
      <c r="C621" s="659" t="s">
        <v>13</v>
      </c>
      <c r="D621" s="659"/>
      <c r="E621" s="656"/>
      <c r="F621" s="357"/>
      <c r="G621" s="357"/>
      <c r="H621" s="357"/>
      <c r="I621" s="357"/>
      <c r="J621" s="390"/>
      <c r="K621" s="390"/>
      <c r="L621" s="357"/>
      <c r="M621" s="357"/>
      <c r="N621" s="357"/>
      <c r="O621" s="357"/>
      <c r="P621" s="357"/>
      <c r="Q621" s="390"/>
      <c r="R621" s="390"/>
      <c r="S621" s="657">
        <f>SUM(F621:R621)</f>
        <v>0</v>
      </c>
      <c r="T621" s="357"/>
      <c r="U621" s="657">
        <f>SUM(S621:S621)</f>
        <v>0</v>
      </c>
      <c r="V621" s="657">
        <f>+U621-'ROR-Model'!G621</f>
        <v>0</v>
      </c>
    </row>
    <row r="622" spans="1:22">
      <c r="A622" s="660"/>
      <c r="B622" s="659"/>
      <c r="C622" s="659" t="s">
        <v>24</v>
      </c>
      <c r="D622" s="659"/>
      <c r="E622" s="656"/>
      <c r="F622" s="357"/>
      <c r="G622" s="357"/>
      <c r="H622" s="357"/>
      <c r="I622" s="357"/>
      <c r="J622" s="390"/>
      <c r="K622" s="390"/>
      <c r="L622" s="357"/>
      <c r="M622" s="357"/>
      <c r="N622" s="357"/>
      <c r="O622" s="357"/>
      <c r="P622" s="357"/>
      <c r="Q622" s="390"/>
      <c r="R622" s="390"/>
      <c r="S622" s="657">
        <f>SUM(F622:R622)</f>
        <v>0</v>
      </c>
      <c r="T622" s="357"/>
      <c r="U622" s="657">
        <f>SUM(S622:S622)</f>
        <v>0</v>
      </c>
      <c r="V622" s="657">
        <f>+U622-'ROR-Model'!G622</f>
        <v>0</v>
      </c>
    </row>
    <row r="623" spans="1:22">
      <c r="A623" s="660"/>
      <c r="B623" s="659"/>
      <c r="C623" s="659" t="s">
        <v>160</v>
      </c>
      <c r="D623" s="659"/>
      <c r="E623" s="656"/>
      <c r="F623" s="388">
        <f t="shared" ref="F623:P623" si="128">SUM(F621:F622)</f>
        <v>0</v>
      </c>
      <c r="G623" s="388">
        <f t="shared" si="128"/>
        <v>0</v>
      </c>
      <c r="H623" s="388">
        <f>SUM(H621:H622)</f>
        <v>0</v>
      </c>
      <c r="I623" s="388">
        <f t="shared" si="128"/>
        <v>0</v>
      </c>
      <c r="J623" s="585">
        <f>SUM(J621:J622)</f>
        <v>0</v>
      </c>
      <c r="K623" s="585">
        <f>SUM(K621:K622)</f>
        <v>0</v>
      </c>
      <c r="L623" s="388">
        <f t="shared" si="128"/>
        <v>0</v>
      </c>
      <c r="M623" s="388">
        <f t="shared" si="128"/>
        <v>0</v>
      </c>
      <c r="N623" s="388">
        <f t="shared" si="128"/>
        <v>0</v>
      </c>
      <c r="O623" s="388">
        <f t="shared" si="128"/>
        <v>0</v>
      </c>
      <c r="P623" s="388">
        <f t="shared" si="128"/>
        <v>0</v>
      </c>
      <c r="Q623" s="585">
        <f>SUM(Q621:Q622)</f>
        <v>0</v>
      </c>
      <c r="R623" s="585">
        <f>SUM(R621:R622)</f>
        <v>0</v>
      </c>
      <c r="S623" s="661">
        <f>SUM(S621:S622)</f>
        <v>0</v>
      </c>
      <c r="T623" s="388"/>
      <c r="U623" s="661">
        <f>SUM(U621:U622)</f>
        <v>0</v>
      </c>
      <c r="V623" s="661">
        <f>+U623-'ROR-Model'!G623</f>
        <v>0</v>
      </c>
    </row>
    <row r="624" spans="1:22">
      <c r="A624" s="660"/>
      <c r="B624" s="659"/>
      <c r="C624" s="659"/>
      <c r="D624" s="659"/>
      <c r="E624" s="656"/>
      <c r="F624" s="357"/>
      <c r="G624" s="357"/>
      <c r="H624" s="357"/>
      <c r="I624" s="357"/>
      <c r="J624" s="390"/>
      <c r="K624" s="390"/>
      <c r="L624" s="357"/>
      <c r="M624" s="357"/>
      <c r="N624" s="357"/>
      <c r="O624" s="357"/>
      <c r="P624" s="357"/>
      <c r="Q624" s="390"/>
      <c r="R624" s="390"/>
      <c r="S624" s="657"/>
      <c r="T624" s="357"/>
      <c r="U624" s="657"/>
      <c r="V624" s="657">
        <f>+U624-'ROR-Model'!G624</f>
        <v>0</v>
      </c>
    </row>
    <row r="625" spans="1:22">
      <c r="A625" s="660"/>
      <c r="B625" s="671" t="s">
        <v>274</v>
      </c>
      <c r="C625" s="662"/>
      <c r="D625" s="662"/>
      <c r="E625" s="662"/>
      <c r="F625" s="357"/>
      <c r="G625" s="357"/>
      <c r="H625" s="357"/>
      <c r="I625" s="357"/>
      <c r="J625" s="390"/>
      <c r="K625" s="390"/>
      <c r="L625" s="357"/>
      <c r="M625" s="357"/>
      <c r="N625" s="357"/>
      <c r="O625" s="357"/>
      <c r="P625" s="357"/>
      <c r="Q625" s="390"/>
      <c r="R625" s="390"/>
      <c r="S625" s="657"/>
      <c r="T625" s="357"/>
      <c r="U625" s="657"/>
      <c r="V625" s="657">
        <f>+U625-'ROR-Model'!G625</f>
        <v>0</v>
      </c>
    </row>
    <row r="626" spans="1:22">
      <c r="A626" s="660"/>
      <c r="B626" s="662"/>
      <c r="C626" s="662" t="s">
        <v>272</v>
      </c>
      <c r="D626" s="662"/>
      <c r="E626" s="672"/>
      <c r="F626" s="357"/>
      <c r="G626" s="357"/>
      <c r="H626" s="357"/>
      <c r="I626" s="357"/>
      <c r="J626" s="390"/>
      <c r="K626" s="390"/>
      <c r="L626" s="357"/>
      <c r="M626" s="357"/>
      <c r="N626" s="357"/>
      <c r="O626" s="357"/>
      <c r="P626" s="357"/>
      <c r="Q626" s="390"/>
      <c r="R626" s="390"/>
      <c r="S626" s="657">
        <f>SUM(F626:R626)</f>
        <v>0</v>
      </c>
      <c r="T626" s="357"/>
      <c r="U626" s="657">
        <f>SUM(S626:S626)</f>
        <v>0</v>
      </c>
      <c r="V626" s="657">
        <f>+U626-'ROR-Model'!G626</f>
        <v>0</v>
      </c>
    </row>
    <row r="627" spans="1:22">
      <c r="A627" s="660"/>
      <c r="B627" s="662"/>
      <c r="C627" s="662" t="s">
        <v>273</v>
      </c>
      <c r="D627" s="662"/>
      <c r="E627" s="672"/>
      <c r="F627" s="357"/>
      <c r="G627" s="357"/>
      <c r="H627" s="357"/>
      <c r="I627" s="357"/>
      <c r="J627" s="390"/>
      <c r="K627" s="390"/>
      <c r="L627" s="357"/>
      <c r="M627" s="357"/>
      <c r="N627" s="357"/>
      <c r="O627" s="357"/>
      <c r="P627" s="357"/>
      <c r="Q627" s="390"/>
      <c r="R627" s="390"/>
      <c r="S627" s="657">
        <f>SUM(F627:R627)</f>
        <v>0</v>
      </c>
      <c r="T627" s="357"/>
      <c r="U627" s="657">
        <f>SUM(S627:S627)</f>
        <v>0</v>
      </c>
      <c r="V627" s="657">
        <f>+U627-'ROR-Model'!G627</f>
        <v>0</v>
      </c>
    </row>
    <row r="628" spans="1:22">
      <c r="A628" s="660"/>
      <c r="B628" s="662"/>
      <c r="C628" s="662" t="s">
        <v>160</v>
      </c>
      <c r="D628" s="662"/>
      <c r="E628" s="662"/>
      <c r="F628" s="388">
        <f t="shared" ref="F628:P628" si="129">SUM(F626:F627)</f>
        <v>0</v>
      </c>
      <c r="G628" s="388">
        <f t="shared" si="129"/>
        <v>0</v>
      </c>
      <c r="H628" s="388">
        <f>SUM(H626:H627)</f>
        <v>0</v>
      </c>
      <c r="I628" s="388">
        <f t="shared" si="129"/>
        <v>0</v>
      </c>
      <c r="J628" s="585">
        <f>SUM(J626:J627)</f>
        <v>0</v>
      </c>
      <c r="K628" s="585">
        <f>SUM(K626:K627)</f>
        <v>0</v>
      </c>
      <c r="L628" s="388">
        <f t="shared" si="129"/>
        <v>0</v>
      </c>
      <c r="M628" s="388">
        <f t="shared" si="129"/>
        <v>0</v>
      </c>
      <c r="N628" s="388">
        <f t="shared" si="129"/>
        <v>0</v>
      </c>
      <c r="O628" s="388">
        <f t="shared" si="129"/>
        <v>0</v>
      </c>
      <c r="P628" s="388">
        <f t="shared" si="129"/>
        <v>0</v>
      </c>
      <c r="Q628" s="585">
        <f>SUM(Q626:Q627)</f>
        <v>0</v>
      </c>
      <c r="R628" s="585">
        <f>SUM(R626:R627)</f>
        <v>0</v>
      </c>
      <c r="S628" s="661">
        <f>SUM(S626:S627)</f>
        <v>0</v>
      </c>
      <c r="T628" s="388"/>
      <c r="U628" s="661">
        <f>SUM(U626:U627)</f>
        <v>0</v>
      </c>
      <c r="V628" s="661">
        <f>+U628-'ROR-Model'!G628</f>
        <v>0</v>
      </c>
    </row>
    <row r="629" spans="1:22" ht="13.5" thickBot="1">
      <c r="A629" s="660"/>
      <c r="B629" s="659"/>
      <c r="C629" s="659"/>
      <c r="D629" s="659"/>
      <c r="E629" s="656"/>
      <c r="F629" s="579"/>
      <c r="G629" s="579"/>
      <c r="H629" s="579"/>
      <c r="I629" s="579"/>
      <c r="J629" s="586"/>
      <c r="K629" s="586"/>
      <c r="L629" s="579"/>
      <c r="M629" s="579"/>
      <c r="N629" s="579"/>
      <c r="O629" s="579"/>
      <c r="P629" s="579"/>
      <c r="Q629" s="586"/>
      <c r="R629" s="586"/>
      <c r="S629" s="663"/>
      <c r="T629" s="579"/>
      <c r="U629" s="663"/>
      <c r="V629" s="663">
        <f>+U629-'ROR-Model'!G629</f>
        <v>0</v>
      </c>
    </row>
    <row r="630" spans="1:22" ht="13.5" thickTop="1">
      <c r="A630" s="189" t="s">
        <v>550</v>
      </c>
      <c r="B630" s="659"/>
      <c r="C630" s="659"/>
      <c r="D630" s="659"/>
      <c r="E630" s="656"/>
      <c r="F630" s="357"/>
      <c r="G630" s="357"/>
      <c r="H630" s="357"/>
      <c r="I630" s="357"/>
      <c r="J630" s="390"/>
      <c r="K630" s="390"/>
      <c r="L630" s="357"/>
      <c r="M630" s="357"/>
      <c r="N630" s="357"/>
      <c r="O630" s="357"/>
      <c r="P630" s="357"/>
      <c r="Q630" s="390"/>
      <c r="R630" s="390"/>
      <c r="S630" s="657"/>
      <c r="T630" s="357"/>
      <c r="U630" s="657"/>
      <c r="V630" s="657">
        <f>+U630-'ROR-Model'!G630</f>
        <v>0</v>
      </c>
    </row>
    <row r="631" spans="1:22">
      <c r="A631" s="660"/>
      <c r="B631" s="659" t="s">
        <v>682</v>
      </c>
      <c r="C631" s="659"/>
      <c r="D631" s="659"/>
      <c r="E631" s="656"/>
      <c r="F631" s="357">
        <f>F536+F611+F628</f>
        <v>0</v>
      </c>
      <c r="G631" s="357">
        <f t="shared" ref="G631:Q631" si="130">G536+G611+G628</f>
        <v>0</v>
      </c>
      <c r="H631" s="357">
        <f>H536+H611+H628</f>
        <v>0</v>
      </c>
      <c r="I631" s="357">
        <f t="shared" si="130"/>
        <v>0</v>
      </c>
      <c r="J631" s="390">
        <f>J536+J611+J628</f>
        <v>0</v>
      </c>
      <c r="K631" s="390">
        <f>K536+K611+K628</f>
        <v>0</v>
      </c>
      <c r="L631" s="357">
        <f t="shared" si="130"/>
        <v>0</v>
      </c>
      <c r="M631" s="357">
        <f t="shared" si="130"/>
        <v>0</v>
      </c>
      <c r="N631" s="357">
        <f t="shared" si="130"/>
        <v>0</v>
      </c>
      <c r="O631" s="357">
        <f t="shared" si="130"/>
        <v>0</v>
      </c>
      <c r="P631" s="357">
        <f t="shared" si="130"/>
        <v>0</v>
      </c>
      <c r="Q631" s="390">
        <f t="shared" si="130"/>
        <v>0</v>
      </c>
      <c r="R631" s="390">
        <f>R536+R611+R628</f>
        <v>0</v>
      </c>
      <c r="S631" s="657">
        <f>S536+S611+S628</f>
        <v>0</v>
      </c>
      <c r="T631" s="357"/>
      <c r="U631" s="657">
        <f>U536+U611+U628</f>
        <v>0</v>
      </c>
      <c r="V631" s="657">
        <f>+U631-'ROR-Model'!G631</f>
        <v>0</v>
      </c>
    </row>
    <row r="632" spans="1:22">
      <c r="A632" s="660"/>
      <c r="B632" s="659" t="s">
        <v>683</v>
      </c>
      <c r="C632" s="659"/>
      <c r="D632" s="659"/>
      <c r="E632" s="656"/>
      <c r="F632" s="357">
        <f t="shared" ref="F632:Q632" si="131">F521+F526+F531+F541+F546+F551+F556+F561+F566+F571+F576+F581+F586+F591+F596+F601+F606+F616+F621</f>
        <v>0</v>
      </c>
      <c r="G632" s="357">
        <f t="shared" si="131"/>
        <v>0</v>
      </c>
      <c r="H632" s="357">
        <f>H521+H526+H531+H541+H546+H551+H556+H561+H566+H571+H576+H581+H586+H591+H596+H601+H606+H616+H621</f>
        <v>0</v>
      </c>
      <c r="I632" s="357">
        <f t="shared" si="131"/>
        <v>0</v>
      </c>
      <c r="J632" s="390">
        <f>J521+J526+J531+J541+J546+J551+J556+J561+J566+J571+J576+J581+J586+J591+J596+J601+J606+J616+J621</f>
        <v>0</v>
      </c>
      <c r="K632" s="390">
        <f>K521+K526+K531+K541+K546+K551+K556+K561+K566+K571+K576+K581+K586+K591+K596+K601+K606+K616+K621</f>
        <v>0</v>
      </c>
      <c r="L632" s="357">
        <f t="shared" si="131"/>
        <v>0</v>
      </c>
      <c r="M632" s="357">
        <f t="shared" si="131"/>
        <v>0</v>
      </c>
      <c r="N632" s="357">
        <f t="shared" si="131"/>
        <v>0</v>
      </c>
      <c r="O632" s="357">
        <f t="shared" si="131"/>
        <v>0</v>
      </c>
      <c r="P632" s="357">
        <f t="shared" si="131"/>
        <v>0</v>
      </c>
      <c r="Q632" s="390">
        <f t="shared" si="131"/>
        <v>0</v>
      </c>
      <c r="R632" s="390">
        <f>R521+R526+R531+R541+R546+R551+R556+R561+R566+R571+R576+R581+R586+R591+R596+R601+R606+R616+R621</f>
        <v>0</v>
      </c>
      <c r="S632" s="657">
        <f>S521+S526+S531+S541+S546+S551+S556+S561+S566+S571+S576+S581+S586+S591+S596+S601+S606+S616+S621</f>
        <v>0</v>
      </c>
      <c r="T632" s="357"/>
      <c r="U632" s="657">
        <f>U521+U526+U531+U541+U546+U551+U556+U561+U566+U571+U576+U581+U586+U591+U596+U601+U606+U616+U621</f>
        <v>0</v>
      </c>
      <c r="V632" s="657">
        <f>+U632-'ROR-Model'!G632</f>
        <v>0</v>
      </c>
    </row>
    <row r="633" spans="1:22">
      <c r="A633" s="660"/>
      <c r="B633" s="659" t="s">
        <v>686</v>
      </c>
      <c r="C633" s="659"/>
      <c r="D633" s="659"/>
      <c r="E633" s="656"/>
      <c r="F633" s="357">
        <f t="shared" ref="F633:Q633" si="132">F537+F612</f>
        <v>0</v>
      </c>
      <c r="G633" s="357">
        <f t="shared" si="132"/>
        <v>0</v>
      </c>
      <c r="H633" s="357">
        <f>H537+H612</f>
        <v>0</v>
      </c>
      <c r="I633" s="357">
        <f t="shared" si="132"/>
        <v>0</v>
      </c>
      <c r="J633" s="390">
        <f>J537+J612</f>
        <v>0</v>
      </c>
      <c r="K633" s="390">
        <f>K537+K612</f>
        <v>0</v>
      </c>
      <c r="L633" s="357">
        <f t="shared" si="132"/>
        <v>0</v>
      </c>
      <c r="M633" s="357">
        <f t="shared" si="132"/>
        <v>0</v>
      </c>
      <c r="N633" s="357">
        <f t="shared" si="132"/>
        <v>0</v>
      </c>
      <c r="O633" s="357">
        <f t="shared" si="132"/>
        <v>0</v>
      </c>
      <c r="P633" s="357">
        <f t="shared" si="132"/>
        <v>0</v>
      </c>
      <c r="Q633" s="390">
        <f t="shared" si="132"/>
        <v>0</v>
      </c>
      <c r="R633" s="390">
        <f>R537+R612</f>
        <v>0</v>
      </c>
      <c r="S633" s="657">
        <f>S537+S612</f>
        <v>0</v>
      </c>
      <c r="T633" s="357"/>
      <c r="U633" s="657">
        <f>U537+U612</f>
        <v>0</v>
      </c>
      <c r="V633" s="657">
        <f>+U633-'ROR-Model'!G633</f>
        <v>0</v>
      </c>
    </row>
    <row r="634" spans="1:22">
      <c r="A634" s="660"/>
      <c r="B634" s="659" t="s">
        <v>687</v>
      </c>
      <c r="C634" s="659"/>
      <c r="D634" s="659"/>
      <c r="E634" s="656"/>
      <c r="F634" s="357">
        <f t="shared" ref="F634:Q634" si="133">F522+F527+F532+F542+F547+F552+F557+F562+F567+F572+F577+F582+F587+F592+F597+F602+F607+F617+F622</f>
        <v>0</v>
      </c>
      <c r="G634" s="357">
        <f t="shared" si="133"/>
        <v>0</v>
      </c>
      <c r="H634" s="357">
        <f>H522+H527+H532+H542+H547+H552+H557+H562+H567+H572+H577+H582+H587+H592+H597+H602+H607+H617+H622</f>
        <v>0</v>
      </c>
      <c r="I634" s="357">
        <f t="shared" si="133"/>
        <v>0</v>
      </c>
      <c r="J634" s="390">
        <f>J522+J527+J532+J542+J547+J552+J557+J562+J567+J572+J577+J582+J587+J592+J597+J602+J607+J617+J622</f>
        <v>0</v>
      </c>
      <c r="K634" s="390">
        <f>K522+K527+K532+K542+K547+K552+K557+K562+K567+K572+K577+K582+K587+K592+K597+K602+K607+K617+K622</f>
        <v>0</v>
      </c>
      <c r="L634" s="357">
        <f t="shared" si="133"/>
        <v>0</v>
      </c>
      <c r="M634" s="357">
        <f t="shared" si="133"/>
        <v>0</v>
      </c>
      <c r="N634" s="357">
        <f t="shared" si="133"/>
        <v>0</v>
      </c>
      <c r="O634" s="357">
        <f t="shared" si="133"/>
        <v>0</v>
      </c>
      <c r="P634" s="357">
        <f t="shared" si="133"/>
        <v>0</v>
      </c>
      <c r="Q634" s="390">
        <f t="shared" si="133"/>
        <v>0</v>
      </c>
      <c r="R634" s="390">
        <f>R522+R527+R532+R542+R547+R552+R557+R562+R567+R572+R577+R582+R587+R592+R597+R602+R607+R617+R622</f>
        <v>0</v>
      </c>
      <c r="S634" s="657">
        <f>S522+S527+S532+S542+S547+S552+S557+S562+S567+S572+S577+S582+S587+S592+S597+S602+S607+S617+S622</f>
        <v>0</v>
      </c>
      <c r="T634" s="357"/>
      <c r="U634" s="657">
        <f>U522+U527+U532+U542+U547+U552+U557+U562+U567+U572+U577+U582+U587+U592+U597+U602+U607+U617+U622</f>
        <v>0</v>
      </c>
      <c r="V634" s="657">
        <f>+U634-'ROR-Model'!G634</f>
        <v>0</v>
      </c>
    </row>
    <row r="635" spans="1:22">
      <c r="A635" s="660"/>
      <c r="B635" s="659" t="s">
        <v>684</v>
      </c>
      <c r="C635" s="659"/>
      <c r="D635" s="659"/>
      <c r="E635" s="656"/>
      <c r="F635" s="357">
        <f t="shared" ref="F635:Q635" si="134">+(F201+F202+F230+F231+F501)-F632</f>
        <v>0</v>
      </c>
      <c r="G635" s="357">
        <f t="shared" si="134"/>
        <v>0</v>
      </c>
      <c r="H635" s="357">
        <f t="shared" si="134"/>
        <v>0</v>
      </c>
      <c r="I635" s="357">
        <f t="shared" si="134"/>
        <v>0</v>
      </c>
      <c r="J635" s="357">
        <f>+(J201+J202+J230+J231+J501)-J632</f>
        <v>0</v>
      </c>
      <c r="K635" s="357">
        <f>+(K201+K202+K230+K231+K501)-K632</f>
        <v>0</v>
      </c>
      <c r="L635" s="357">
        <f t="shared" si="134"/>
        <v>0</v>
      </c>
      <c r="M635" s="357">
        <f t="shared" si="134"/>
        <v>0</v>
      </c>
      <c r="N635" s="357">
        <f t="shared" si="134"/>
        <v>0</v>
      </c>
      <c r="O635" s="357">
        <f t="shared" si="134"/>
        <v>0</v>
      </c>
      <c r="P635" s="357">
        <f t="shared" si="134"/>
        <v>0</v>
      </c>
      <c r="Q635" s="357">
        <f t="shared" si="134"/>
        <v>0</v>
      </c>
      <c r="R635" s="357">
        <f>+(R201+R202+R230+R231+R501)-R632</f>
        <v>0</v>
      </c>
      <c r="S635" s="357">
        <f>+(S201+S202+S230+S231+S501)-S632</f>
        <v>0</v>
      </c>
      <c r="T635" s="357"/>
      <c r="U635" s="357">
        <f>+(U201+U202+U230+U231+U501)-U632</f>
        <v>0</v>
      </c>
      <c r="V635" s="357">
        <f>+U635-'ROR-Model'!G636</f>
        <v>0</v>
      </c>
    </row>
    <row r="636" spans="1:22">
      <c r="A636" s="660"/>
      <c r="B636" s="659" t="s">
        <v>685</v>
      </c>
      <c r="C636" s="659"/>
      <c r="D636" s="659"/>
      <c r="E636" s="656"/>
      <c r="F636" s="357">
        <f t="shared" ref="F636:Q636" si="135">+(F324+F326+F354+F505)-F634</f>
        <v>0</v>
      </c>
      <c r="G636" s="357">
        <f>+(G324+G326+G354+G505)-G634</f>
        <v>0</v>
      </c>
      <c r="H636" s="357">
        <f>+(H324+H326+H354+H505)-H634</f>
        <v>0</v>
      </c>
      <c r="I636" s="357">
        <f t="shared" si="135"/>
        <v>0</v>
      </c>
      <c r="J636" s="390">
        <f>+(J324+J326+J354+J505)-J634</f>
        <v>0</v>
      </c>
      <c r="K636" s="390">
        <f>+(K324+K326+K354+K505)-K634</f>
        <v>0</v>
      </c>
      <c r="L636" s="357">
        <f t="shared" si="135"/>
        <v>0</v>
      </c>
      <c r="M636" s="357">
        <f t="shared" si="135"/>
        <v>0</v>
      </c>
      <c r="N636" s="357">
        <f t="shared" si="135"/>
        <v>0</v>
      </c>
      <c r="O636" s="357">
        <f t="shared" si="135"/>
        <v>0</v>
      </c>
      <c r="P636" s="357">
        <f t="shared" si="135"/>
        <v>0</v>
      </c>
      <c r="Q636" s="390">
        <f t="shared" si="135"/>
        <v>0</v>
      </c>
      <c r="R636" s="390">
        <f>+(R324+R326+R354+R505)-R634</f>
        <v>0</v>
      </c>
      <c r="S636" s="657">
        <f>+(S324+S326+S354+S505)-S634-S633</f>
        <v>0</v>
      </c>
      <c r="T636" s="357"/>
      <c r="U636" s="657">
        <f>+(U324+U326+U354+U505)-U634-U633</f>
        <v>0</v>
      </c>
      <c r="V636" s="657">
        <f>+U636-'ROR-Model'!G637</f>
        <v>0</v>
      </c>
    </row>
    <row r="637" spans="1:22" ht="13.5" thickBot="1">
      <c r="A637" s="660"/>
      <c r="B637" s="659"/>
      <c r="C637" s="659"/>
      <c r="D637" s="659"/>
      <c r="E637" s="656"/>
      <c r="F637" s="579"/>
      <c r="G637" s="579"/>
      <c r="H637" s="579"/>
      <c r="I637" s="579"/>
      <c r="J637" s="586"/>
      <c r="K637" s="586"/>
      <c r="L637" s="579"/>
      <c r="M637" s="579"/>
      <c r="N637" s="579"/>
      <c r="O637" s="579"/>
      <c r="P637" s="579"/>
      <c r="Q637" s="586"/>
      <c r="R637" s="586"/>
      <c r="S637" s="663"/>
      <c r="T637" s="579"/>
      <c r="U637" s="663"/>
      <c r="V637" s="663">
        <f>+U637-'ROR-Model'!G638</f>
        <v>0</v>
      </c>
    </row>
    <row r="638" spans="1:22" ht="13.5" thickTop="1">
      <c r="A638" s="660"/>
      <c r="B638" s="659"/>
      <c r="C638" s="659"/>
      <c r="D638" s="659"/>
      <c r="E638" s="656"/>
      <c r="F638" s="357"/>
      <c r="G638" s="357"/>
      <c r="H638" s="357"/>
      <c r="I638" s="357"/>
      <c r="J638" s="390"/>
      <c r="K638" s="390"/>
      <c r="L638" s="357"/>
      <c r="M638" s="357"/>
      <c r="N638" s="357"/>
      <c r="O638" s="357"/>
      <c r="P638" s="357"/>
      <c r="Q638" s="390"/>
      <c r="R638" s="390"/>
      <c r="S638" s="657"/>
      <c r="T638" s="357"/>
      <c r="U638" s="657"/>
      <c r="V638" s="657">
        <f>+U638-'ROR-Model'!G639</f>
        <v>0</v>
      </c>
    </row>
    <row r="639" spans="1:22">
      <c r="A639" s="660"/>
      <c r="B639" s="197" t="s">
        <v>550</v>
      </c>
      <c r="C639" s="659"/>
      <c r="D639" s="659"/>
      <c r="E639" s="656"/>
      <c r="F639" s="357">
        <f>F523+F528+F533+F538+F543+F548+F553+F558+F563+F568+F573+F578+F583+F588+F593+F598+F603+F608+F613+F618+F623+F635+F636</f>
        <v>0</v>
      </c>
      <c r="G639" s="357">
        <f>G1*G523+G528+G533+G538+G543+G548+G553+G558+G563+G568+G573+G578+G583+G588+G593+G598+G603+G608+G613+G618+G623+G635+G636</f>
        <v>0</v>
      </c>
      <c r="H639" s="357">
        <f>H523+H528+H533+H538+H543+H548+H553+H558+H563+H568+H573+H578+H583+H588+H593+H598+H603+H608+H613+H618+H623+H635+H636</f>
        <v>0</v>
      </c>
      <c r="I639" s="357">
        <f t="shared" ref="I639:Q639" si="136">I523+I528+I533+I538+I543+I548+I553+I558+I563+I568+I573+I578+I583+I588+I593+I598+I603+I608+I613+I618+I623+I635+I636</f>
        <v>0</v>
      </c>
      <c r="J639" s="390">
        <f>J1*J523+J528+J533+J538+J543+J548+J553+J558+J563+J568+J573+J578+J583+J588+J593+J598+J603+J608+J613+J618+J623+J635+J636</f>
        <v>0</v>
      </c>
      <c r="K639" s="390">
        <f>K1*K523+K528+K533+K538+K543+K548+K553+K558+K563+K568+K573+K578+K583+K588+K593+K598+K603+K608+K613+K618+K623+K635+K636</f>
        <v>0</v>
      </c>
      <c r="L639" s="357">
        <f t="shared" si="136"/>
        <v>0</v>
      </c>
      <c r="M639" s="357">
        <f t="shared" si="136"/>
        <v>0</v>
      </c>
      <c r="N639" s="357">
        <f t="shared" si="136"/>
        <v>0</v>
      </c>
      <c r="O639" s="357">
        <f t="shared" si="136"/>
        <v>0</v>
      </c>
      <c r="P639" s="357">
        <f t="shared" si="136"/>
        <v>0</v>
      </c>
      <c r="Q639" s="390">
        <f t="shared" si="136"/>
        <v>0</v>
      </c>
      <c r="R639" s="390">
        <f>R1*R523+R528+R533+R538+R543+R548+R553+R558+R563+R568+R573+R578+R583+R588+R593+R598+R603+R608+R613+R618+R623+R635+R636</f>
        <v>0</v>
      </c>
      <c r="S639" s="657">
        <f>S523+S528+S533+S538+S543+S548+S553+S558+S563+S568+S573+S578+S583+S588+S593+S598+S603+S608+S613+S618+S623+S635+S636</f>
        <v>0</v>
      </c>
      <c r="T639" s="357"/>
      <c r="U639" s="657">
        <f>U523+U528+U533+U538+U543+U548+U553+U558+U563+U568+U573+U578+U583+U588+U593+U598+U603+U608+U613+U618+U623+U635+U636</f>
        <v>0</v>
      </c>
      <c r="V639" s="657">
        <f>+U639-'ROR-Model'!G640</f>
        <v>0</v>
      </c>
    </row>
    <row r="640" spans="1:22">
      <c r="A640" s="660"/>
      <c r="B640" s="659"/>
      <c r="C640" s="659"/>
      <c r="D640" s="659"/>
      <c r="E640" s="656"/>
      <c r="F640" s="357"/>
      <c r="G640" s="357"/>
      <c r="H640" s="357"/>
      <c r="I640" s="357"/>
      <c r="J640" s="390"/>
      <c r="K640" s="390"/>
      <c r="L640" s="357"/>
      <c r="M640" s="357"/>
      <c r="N640" s="357"/>
      <c r="O640" s="357"/>
      <c r="P640" s="357"/>
      <c r="Q640" s="390"/>
      <c r="R640" s="390"/>
      <c r="S640" s="657"/>
      <c r="T640" s="357"/>
      <c r="U640" s="657"/>
      <c r="V640" s="657">
        <f>+U640-'ROR-Model'!G641</f>
        <v>0</v>
      </c>
    </row>
    <row r="641" spans="1:22">
      <c r="A641" s="660"/>
      <c r="B641" s="659"/>
      <c r="C641" s="659"/>
      <c r="D641" s="659"/>
      <c r="E641" s="656"/>
      <c r="F641" s="357"/>
      <c r="G641" s="357"/>
      <c r="H641" s="357"/>
      <c r="I641" s="357"/>
      <c r="J641" s="390"/>
      <c r="K641" s="390"/>
      <c r="L641" s="357"/>
      <c r="M641" s="357"/>
      <c r="N641" s="357"/>
      <c r="O641" s="357"/>
      <c r="P641" s="357"/>
      <c r="Q641" s="390"/>
      <c r="R641" s="390"/>
      <c r="S641" s="657"/>
      <c r="T641" s="357"/>
      <c r="U641" s="657"/>
      <c r="V641" s="657">
        <f>+U641-'ROR-Model'!G641</f>
        <v>0</v>
      </c>
    </row>
    <row r="642" spans="1:22">
      <c r="A642" s="189" t="s">
        <v>353</v>
      </c>
      <c r="B642" s="659"/>
      <c r="C642" s="659"/>
      <c r="D642" s="659"/>
      <c r="E642" s="656"/>
      <c r="F642" s="357"/>
      <c r="G642" s="357"/>
      <c r="H642" s="357"/>
      <c r="I642" s="357"/>
      <c r="J642" s="390"/>
      <c r="K642" s="390"/>
      <c r="L642" s="357"/>
      <c r="M642" s="357"/>
      <c r="N642" s="357"/>
      <c r="O642" s="357"/>
      <c r="P642" s="357"/>
      <c r="Q642" s="390"/>
      <c r="R642" s="390"/>
      <c r="S642" s="657"/>
      <c r="T642" s="357"/>
      <c r="U642" s="657"/>
      <c r="V642" s="657">
        <f>+U642-'ROR-Model'!G642</f>
        <v>0</v>
      </c>
    </row>
    <row r="643" spans="1:22">
      <c r="A643" s="660"/>
      <c r="B643" s="659"/>
      <c r="C643" s="659"/>
      <c r="D643" s="659"/>
      <c r="E643" s="656"/>
      <c r="F643" s="357"/>
      <c r="G643" s="357"/>
      <c r="H643" s="357"/>
      <c r="I643" s="357"/>
      <c r="J643" s="390"/>
      <c r="K643" s="390"/>
      <c r="L643" s="357"/>
      <c r="M643" s="357"/>
      <c r="N643" s="357"/>
      <c r="O643" s="357"/>
      <c r="P643" s="357"/>
      <c r="Q643" s="390"/>
      <c r="R643" s="390"/>
      <c r="S643" s="657"/>
      <c r="T643" s="357"/>
      <c r="U643" s="657"/>
      <c r="V643" s="657">
        <f>+U643-'ROR-Model'!G643</f>
        <v>0</v>
      </c>
    </row>
    <row r="644" spans="1:22">
      <c r="A644" s="189" t="s">
        <v>354</v>
      </c>
      <c r="B644" s="659"/>
      <c r="C644" s="659"/>
      <c r="D644" s="659"/>
      <c r="E644" s="656"/>
      <c r="F644" s="357"/>
      <c r="G644" s="357"/>
      <c r="H644" s="357"/>
      <c r="I644" s="357"/>
      <c r="J644" s="390"/>
      <c r="K644" s="390"/>
      <c r="L644" s="357"/>
      <c r="M644" s="357"/>
      <c r="N644" s="357"/>
      <c r="O644" s="357"/>
      <c r="P644" s="357"/>
      <c r="Q644" s="390"/>
      <c r="R644" s="390"/>
      <c r="S644" s="657"/>
      <c r="T644" s="357"/>
      <c r="U644" s="657"/>
      <c r="V644" s="657">
        <f>+U644-'ROR-Model'!G644</f>
        <v>0</v>
      </c>
    </row>
    <row r="645" spans="1:22">
      <c r="A645" s="660"/>
      <c r="B645" s="659"/>
      <c r="C645" s="659"/>
      <c r="D645" s="659"/>
      <c r="E645" s="656"/>
      <c r="F645" s="357"/>
      <c r="G645" s="357"/>
      <c r="H645" s="357"/>
      <c r="I645" s="357"/>
      <c r="J645" s="390"/>
      <c r="K645" s="390"/>
      <c r="L645" s="357"/>
      <c r="M645" s="357"/>
      <c r="N645" s="357"/>
      <c r="O645" s="357"/>
      <c r="P645" s="357"/>
      <c r="Q645" s="390"/>
      <c r="R645" s="390"/>
      <c r="S645" s="657"/>
      <c r="T645" s="357"/>
      <c r="U645" s="657"/>
      <c r="V645" s="657">
        <f>+U645-'ROR-Model'!G645</f>
        <v>0</v>
      </c>
    </row>
    <row r="646" spans="1:22">
      <c r="A646" s="668">
        <v>810</v>
      </c>
      <c r="B646" s="659" t="s">
        <v>355</v>
      </c>
      <c r="C646" s="659"/>
      <c r="D646" s="659"/>
      <c r="E646" s="656"/>
      <c r="F646" s="357"/>
      <c r="G646" s="357"/>
      <c r="H646" s="357"/>
      <c r="I646" s="357"/>
      <c r="J646" s="390"/>
      <c r="K646" s="390"/>
      <c r="L646" s="357"/>
      <c r="M646" s="357"/>
      <c r="N646" s="357"/>
      <c r="O646" s="357"/>
      <c r="P646" s="357"/>
      <c r="Q646" s="390"/>
      <c r="R646" s="390"/>
      <c r="S646" s="657">
        <f>SUM(F646:R646)</f>
        <v>0</v>
      </c>
      <c r="T646" s="357"/>
      <c r="U646" s="657">
        <f>SUM(S646:S646)</f>
        <v>0</v>
      </c>
      <c r="V646" s="657">
        <f>+U646-'ROR-Model'!G647</f>
        <v>0</v>
      </c>
    </row>
    <row r="647" spans="1:22">
      <c r="A647" s="668">
        <v>812</v>
      </c>
      <c r="B647" s="659" t="s">
        <v>357</v>
      </c>
      <c r="C647" s="659"/>
      <c r="D647" s="659"/>
      <c r="E647" s="656"/>
      <c r="F647" s="357"/>
      <c r="G647" s="357"/>
      <c r="H647" s="357"/>
      <c r="I647" s="357"/>
      <c r="J647" s="390"/>
      <c r="K647" s="390"/>
      <c r="L647" s="357"/>
      <c r="M647" s="357"/>
      <c r="N647" s="357"/>
      <c r="O647" s="357"/>
      <c r="P647" s="357"/>
      <c r="Q647" s="390"/>
      <c r="R647" s="390"/>
      <c r="S647" s="657">
        <f>SUM(F647:R647)</f>
        <v>0</v>
      </c>
      <c r="T647" s="357"/>
      <c r="U647" s="657">
        <f>SUM(S647:S647)</f>
        <v>0</v>
      </c>
      <c r="V647" s="657">
        <f>+U647-'ROR-Model'!G648</f>
        <v>0</v>
      </c>
    </row>
    <row r="648" spans="1:22" ht="13.5" thickBot="1">
      <c r="A648" s="660"/>
      <c r="B648" s="659"/>
      <c r="C648" s="659"/>
      <c r="D648" s="659"/>
      <c r="E648" s="656"/>
      <c r="F648" s="580"/>
      <c r="G648" s="580"/>
      <c r="H648" s="580"/>
      <c r="I648" s="580"/>
      <c r="J648" s="673"/>
      <c r="K648" s="673"/>
      <c r="L648" s="580"/>
      <c r="M648" s="580"/>
      <c r="N648" s="580"/>
      <c r="O648" s="580"/>
      <c r="P648" s="580"/>
      <c r="Q648" s="673"/>
      <c r="R648" s="673"/>
      <c r="S648" s="674"/>
      <c r="T648" s="580"/>
      <c r="U648" s="674"/>
      <c r="V648" s="674">
        <f>+U648-'ROR-Model'!G649</f>
        <v>0</v>
      </c>
    </row>
    <row r="649" spans="1:22">
      <c r="A649" s="660"/>
      <c r="B649" s="197" t="s">
        <v>358</v>
      </c>
      <c r="C649" s="659"/>
      <c r="D649" s="659"/>
      <c r="E649" s="656"/>
      <c r="F649" s="357">
        <f>SUM(F646:F647)</f>
        <v>0</v>
      </c>
      <c r="G649" s="357">
        <f>G1*SUM(G646:G647)</f>
        <v>0</v>
      </c>
      <c r="H649" s="357">
        <f>SUM(H646:H647)</f>
        <v>0</v>
      </c>
      <c r="I649" s="357">
        <f t="shared" ref="I649:Q649" si="137">SUM(I646:I647)</f>
        <v>0</v>
      </c>
      <c r="J649" s="390">
        <f>J1*SUM(J646:J647)</f>
        <v>0</v>
      </c>
      <c r="K649" s="390">
        <f>K1*SUM(K646:K647)</f>
        <v>0</v>
      </c>
      <c r="L649" s="357">
        <f t="shared" si="137"/>
        <v>0</v>
      </c>
      <c r="M649" s="357">
        <f t="shared" si="137"/>
        <v>0</v>
      </c>
      <c r="N649" s="357">
        <f t="shared" si="137"/>
        <v>0</v>
      </c>
      <c r="O649" s="357">
        <f t="shared" si="137"/>
        <v>0</v>
      </c>
      <c r="P649" s="357">
        <f t="shared" si="137"/>
        <v>0</v>
      </c>
      <c r="Q649" s="390">
        <f t="shared" si="137"/>
        <v>0</v>
      </c>
      <c r="R649" s="390">
        <f>R1*SUM(R646:R647)</f>
        <v>0</v>
      </c>
      <c r="S649" s="657">
        <f>SUM(S646:S647)</f>
        <v>0</v>
      </c>
      <c r="T649" s="357"/>
      <c r="U649" s="657">
        <f>SUM(U646:U647)</f>
        <v>0</v>
      </c>
      <c r="V649" s="657">
        <f>+U649-'ROR-Model'!G650</f>
        <v>0</v>
      </c>
    </row>
    <row r="650" spans="1:22">
      <c r="A650" s="660"/>
      <c r="B650" s="659"/>
      <c r="C650" s="659"/>
      <c r="D650" s="659"/>
      <c r="E650" s="656"/>
      <c r="F650" s="357"/>
      <c r="G650" s="357"/>
      <c r="H650" s="357"/>
      <c r="I650" s="357"/>
      <c r="J650" s="390"/>
      <c r="K650" s="390"/>
      <c r="L650" s="357"/>
      <c r="M650" s="357"/>
      <c r="N650" s="357"/>
      <c r="O650" s="357"/>
      <c r="P650" s="357"/>
      <c r="Q650" s="390"/>
      <c r="R650" s="390"/>
      <c r="S650" s="657"/>
      <c r="T650" s="357"/>
      <c r="U650" s="657"/>
      <c r="V650" s="657">
        <f>+U650-'ROR-Model'!G651</f>
        <v>0</v>
      </c>
    </row>
    <row r="651" spans="1:22">
      <c r="A651" s="189" t="s">
        <v>359</v>
      </c>
      <c r="B651" s="659"/>
      <c r="C651" s="659"/>
      <c r="D651" s="659"/>
      <c r="E651" s="656"/>
      <c r="F651" s="357"/>
      <c r="G651" s="357"/>
      <c r="H651" s="357"/>
      <c r="I651" s="357"/>
      <c r="J651" s="390"/>
      <c r="K651" s="390"/>
      <c r="L651" s="357"/>
      <c r="M651" s="357"/>
      <c r="N651" s="357"/>
      <c r="O651" s="357"/>
      <c r="P651" s="357"/>
      <c r="Q651" s="390"/>
      <c r="R651" s="390"/>
      <c r="S651" s="657"/>
      <c r="T651" s="357"/>
      <c r="U651" s="657"/>
      <c r="V651" s="657">
        <f>+U651-'ROR-Model'!G652</f>
        <v>0</v>
      </c>
    </row>
    <row r="652" spans="1:22">
      <c r="A652" s="660"/>
      <c r="B652" s="659" t="s">
        <v>825</v>
      </c>
      <c r="C652" s="659"/>
      <c r="D652" s="659"/>
      <c r="E652" s="656"/>
      <c r="F652" s="357"/>
      <c r="G652" s="357"/>
      <c r="H652" s="357"/>
      <c r="I652" s="357"/>
      <c r="J652" s="390"/>
      <c r="K652" s="390"/>
      <c r="L652" s="357"/>
      <c r="M652" s="357"/>
      <c r="N652" s="357"/>
      <c r="O652" s="357"/>
      <c r="P652" s="357"/>
      <c r="Q652" s="390"/>
      <c r="R652" s="390"/>
      <c r="S652" s="657"/>
      <c r="T652" s="357"/>
      <c r="U652" s="657"/>
      <c r="V652" s="657">
        <f>+U652-'ROR-Model'!G653</f>
        <v>0</v>
      </c>
    </row>
    <row r="653" spans="1:22">
      <c r="A653" s="668">
        <v>870</v>
      </c>
      <c r="B653" s="659" t="s">
        <v>360</v>
      </c>
      <c r="C653" s="659"/>
      <c r="D653" s="659"/>
      <c r="E653" s="656"/>
      <c r="F653" s="357"/>
      <c r="G653" s="357"/>
      <c r="H653" s="357"/>
      <c r="I653" s="357"/>
      <c r="J653" s="390"/>
      <c r="K653" s="390"/>
      <c r="L653" s="357"/>
      <c r="M653" s="357"/>
      <c r="N653" s="357"/>
      <c r="O653" s="357"/>
      <c r="P653" s="357"/>
      <c r="Q653" s="390"/>
      <c r="R653" s="390"/>
      <c r="S653" s="657"/>
      <c r="T653" s="357"/>
      <c r="U653" s="657"/>
      <c r="V653" s="657">
        <f>+U653-'ROR-Model'!G654</f>
        <v>0</v>
      </c>
    </row>
    <row r="654" spans="1:22">
      <c r="A654" s="668"/>
      <c r="B654" s="659"/>
      <c r="C654" s="659" t="s">
        <v>13</v>
      </c>
      <c r="D654" s="659"/>
      <c r="E654" s="656"/>
      <c r="F654" s="357"/>
      <c r="G654" s="357"/>
      <c r="H654" s="357"/>
      <c r="I654" s="357"/>
      <c r="J654" s="390"/>
      <c r="K654" s="390"/>
      <c r="L654" s="357"/>
      <c r="M654" s="357"/>
      <c r="N654" s="357"/>
      <c r="O654" s="357"/>
      <c r="P654" s="357"/>
      <c r="Q654" s="390"/>
      <c r="R654" s="390"/>
      <c r="S654" s="657">
        <f>SUM(F654:R654)</f>
        <v>0</v>
      </c>
      <c r="T654" s="357"/>
      <c r="U654" s="657">
        <f>SUM(S654:S654)</f>
        <v>0</v>
      </c>
      <c r="V654" s="657">
        <f>+U654-'ROR-Model'!G655</f>
        <v>0</v>
      </c>
    </row>
    <row r="655" spans="1:22">
      <c r="A655" s="668"/>
      <c r="B655" s="659"/>
      <c r="C655" s="659" t="s">
        <v>24</v>
      </c>
      <c r="D655" s="659"/>
      <c r="E655" s="656"/>
      <c r="F655" s="357"/>
      <c r="G655" s="357"/>
      <c r="H655" s="357"/>
      <c r="I655" s="357"/>
      <c r="J655" s="390"/>
      <c r="K655" s="390"/>
      <c r="L655" s="357"/>
      <c r="M655" s="357"/>
      <c r="N655" s="357"/>
      <c r="O655" s="357"/>
      <c r="P655" s="357"/>
      <c r="Q655" s="390"/>
      <c r="R655" s="390"/>
      <c r="S655" s="657">
        <f>SUM(F655:R655)</f>
        <v>0</v>
      </c>
      <c r="T655" s="357"/>
      <c r="U655" s="657">
        <f>SUM(S655:S655)</f>
        <v>0</v>
      </c>
      <c r="V655" s="657">
        <f>+U655-'ROR-Model'!G656</f>
        <v>0</v>
      </c>
    </row>
    <row r="656" spans="1:22">
      <c r="A656" s="668"/>
      <c r="B656" s="659"/>
      <c r="C656" s="659" t="s">
        <v>160</v>
      </c>
      <c r="D656" s="659"/>
      <c r="E656" s="656"/>
      <c r="F656" s="388">
        <f>SUM(F654:F655)</f>
        <v>0</v>
      </c>
      <c r="G656" s="388">
        <f>G1*SUM(G654:G655)</f>
        <v>0</v>
      </c>
      <c r="H656" s="388">
        <f>SUM(H654:H655)</f>
        <v>0</v>
      </c>
      <c r="I656" s="388">
        <f t="shared" ref="I656:P656" si="138">SUM(I654:I655)</f>
        <v>0</v>
      </c>
      <c r="J656" s="585">
        <f>J1*SUM(J654:J655)</f>
        <v>0</v>
      </c>
      <c r="K656" s="585">
        <f>K1*SUM(K654:K655)</f>
        <v>0</v>
      </c>
      <c r="L656" s="388">
        <f t="shared" si="138"/>
        <v>0</v>
      </c>
      <c r="M656" s="388">
        <f t="shared" si="138"/>
        <v>0</v>
      </c>
      <c r="N656" s="388">
        <f t="shared" si="138"/>
        <v>0</v>
      </c>
      <c r="O656" s="388">
        <f t="shared" si="138"/>
        <v>0</v>
      </c>
      <c r="P656" s="388">
        <f t="shared" si="138"/>
        <v>0</v>
      </c>
      <c r="Q656" s="585">
        <f>SUM(Q654:Q655)</f>
        <v>0</v>
      </c>
      <c r="R656" s="585">
        <f>R1*SUM(R654:R655)</f>
        <v>0</v>
      </c>
      <c r="S656" s="661">
        <f>SUM(S654:S655)</f>
        <v>0</v>
      </c>
      <c r="T656" s="388"/>
      <c r="U656" s="661">
        <f>SUM(U654:U655)</f>
        <v>0</v>
      </c>
      <c r="V656" s="661">
        <f>+U656-'ROR-Model'!G657</f>
        <v>0</v>
      </c>
    </row>
    <row r="657" spans="1:22">
      <c r="A657" s="668"/>
      <c r="B657" s="659"/>
      <c r="C657" s="659"/>
      <c r="D657" s="659"/>
      <c r="E657" s="656"/>
      <c r="F657" s="357"/>
      <c r="G657" s="357"/>
      <c r="H657" s="357"/>
      <c r="I657" s="357"/>
      <c r="J657" s="390"/>
      <c r="K657" s="390"/>
      <c r="L657" s="357"/>
      <c r="M657" s="357"/>
      <c r="N657" s="357"/>
      <c r="O657" s="357"/>
      <c r="P657" s="357"/>
      <c r="Q657" s="390"/>
      <c r="R657" s="390"/>
      <c r="S657" s="657"/>
      <c r="T657" s="357"/>
      <c r="U657" s="657"/>
      <c r="V657" s="657">
        <f>+U657-'ROR-Model'!G658</f>
        <v>0</v>
      </c>
    </row>
    <row r="658" spans="1:22">
      <c r="A658" s="668">
        <v>871</v>
      </c>
      <c r="B658" s="659" t="s">
        <v>361</v>
      </c>
      <c r="C658" s="659"/>
      <c r="D658" s="659"/>
      <c r="E658" s="656"/>
      <c r="F658" s="357"/>
      <c r="G658" s="357"/>
      <c r="H658" s="357"/>
      <c r="I658" s="357"/>
      <c r="J658" s="390"/>
      <c r="K658" s="390"/>
      <c r="L658" s="357"/>
      <c r="M658" s="357"/>
      <c r="N658" s="357"/>
      <c r="O658" s="357"/>
      <c r="P658" s="357"/>
      <c r="Q658" s="390"/>
      <c r="R658" s="390"/>
      <c r="S658" s="657"/>
      <c r="T658" s="357"/>
      <c r="U658" s="657"/>
      <c r="V658" s="657">
        <f>+U658-'ROR-Model'!G659</f>
        <v>0</v>
      </c>
    </row>
    <row r="659" spans="1:22">
      <c r="A659" s="668"/>
      <c r="B659" s="659"/>
      <c r="C659" s="659" t="s">
        <v>13</v>
      </c>
      <c r="D659" s="659"/>
      <c r="E659" s="656"/>
      <c r="F659" s="357"/>
      <c r="G659" s="357"/>
      <c r="H659" s="357"/>
      <c r="I659" s="357"/>
      <c r="J659" s="390"/>
      <c r="K659" s="390"/>
      <c r="L659" s="357"/>
      <c r="M659" s="357"/>
      <c r="N659" s="357"/>
      <c r="O659" s="357"/>
      <c r="P659" s="357"/>
      <c r="Q659" s="390"/>
      <c r="R659" s="390"/>
      <c r="S659" s="657">
        <f>SUM(F659:R659)</f>
        <v>0</v>
      </c>
      <c r="T659" s="357"/>
      <c r="U659" s="657">
        <f>SUM(S659:S659)</f>
        <v>0</v>
      </c>
      <c r="V659" s="657">
        <f>+U659-'ROR-Model'!G660</f>
        <v>0</v>
      </c>
    </row>
    <row r="660" spans="1:22">
      <c r="A660" s="668"/>
      <c r="B660" s="659"/>
      <c r="C660" s="659" t="s">
        <v>24</v>
      </c>
      <c r="D660" s="659"/>
      <c r="E660" s="656"/>
      <c r="F660" s="357"/>
      <c r="G660" s="357"/>
      <c r="H660" s="357"/>
      <c r="I660" s="357"/>
      <c r="J660" s="390"/>
      <c r="K660" s="390"/>
      <c r="L660" s="357"/>
      <c r="M660" s="357"/>
      <c r="N660" s="357"/>
      <c r="O660" s="357"/>
      <c r="P660" s="357"/>
      <c r="Q660" s="390"/>
      <c r="R660" s="390"/>
      <c r="S660" s="657">
        <f>SUM(F660:R660)</f>
        <v>0</v>
      </c>
      <c r="T660" s="357"/>
      <c r="U660" s="657">
        <f>SUM(S660:S660)</f>
        <v>0</v>
      </c>
      <c r="V660" s="657">
        <f>+U660-'ROR-Model'!G661</f>
        <v>0</v>
      </c>
    </row>
    <row r="661" spans="1:22">
      <c r="A661" s="668"/>
      <c r="B661" s="659"/>
      <c r="C661" s="659" t="s">
        <v>160</v>
      </c>
      <c r="D661" s="659"/>
      <c r="E661" s="656"/>
      <c r="F661" s="388">
        <f>SUM(F659:F660)</f>
        <v>0</v>
      </c>
      <c r="G661" s="388">
        <f>G1*SUM(G659:G660)</f>
        <v>0</v>
      </c>
      <c r="H661" s="388">
        <f>SUM(H659:H660)</f>
        <v>0</v>
      </c>
      <c r="I661" s="388">
        <f t="shared" ref="I661:P661" si="139">SUM(I659:I660)</f>
        <v>0</v>
      </c>
      <c r="J661" s="585">
        <f>J1*SUM(J659:J660)</f>
        <v>0</v>
      </c>
      <c r="K661" s="585">
        <f>K1*SUM(K659:K660)</f>
        <v>0</v>
      </c>
      <c r="L661" s="388">
        <f t="shared" si="139"/>
        <v>0</v>
      </c>
      <c r="M661" s="388">
        <f t="shared" si="139"/>
        <v>0</v>
      </c>
      <c r="N661" s="388">
        <f t="shared" si="139"/>
        <v>0</v>
      </c>
      <c r="O661" s="388">
        <f t="shared" si="139"/>
        <v>0</v>
      </c>
      <c r="P661" s="388">
        <f t="shared" si="139"/>
        <v>0</v>
      </c>
      <c r="Q661" s="585">
        <f>SUM(Q659:Q660)</f>
        <v>0</v>
      </c>
      <c r="R661" s="585">
        <f>R1*SUM(R659:R660)</f>
        <v>0</v>
      </c>
      <c r="S661" s="661">
        <f>SUM(S659:S660)</f>
        <v>0</v>
      </c>
      <c r="T661" s="388"/>
      <c r="U661" s="661">
        <f>SUM(U659:U660)</f>
        <v>0</v>
      </c>
      <c r="V661" s="661">
        <f>+U661-'ROR-Model'!G662</f>
        <v>0</v>
      </c>
    </row>
    <row r="662" spans="1:22">
      <c r="A662" s="668"/>
      <c r="B662" s="659"/>
      <c r="C662" s="659"/>
      <c r="D662" s="659"/>
      <c r="E662" s="656"/>
      <c r="F662" s="357"/>
      <c r="G662" s="357"/>
      <c r="H662" s="357"/>
      <c r="I662" s="357"/>
      <c r="J662" s="390"/>
      <c r="K662" s="390"/>
      <c r="L662" s="357"/>
      <c r="M662" s="357"/>
      <c r="N662" s="357"/>
      <c r="O662" s="357"/>
      <c r="P662" s="357"/>
      <c r="Q662" s="390"/>
      <c r="R662" s="390"/>
      <c r="S662" s="657"/>
      <c r="T662" s="357"/>
      <c r="U662" s="657"/>
      <c r="V662" s="657">
        <f>+U662-'ROR-Model'!G663</f>
        <v>0</v>
      </c>
    </row>
    <row r="663" spans="1:22">
      <c r="A663" s="668">
        <v>872</v>
      </c>
      <c r="B663" s="659" t="s">
        <v>363</v>
      </c>
      <c r="C663" s="659"/>
      <c r="D663" s="659"/>
      <c r="E663" s="656"/>
      <c r="F663" s="357"/>
      <c r="G663" s="357"/>
      <c r="H663" s="357"/>
      <c r="I663" s="357"/>
      <c r="J663" s="390"/>
      <c r="K663" s="390"/>
      <c r="L663" s="357"/>
      <c r="M663" s="357"/>
      <c r="N663" s="357"/>
      <c r="O663" s="357"/>
      <c r="P663" s="357"/>
      <c r="Q663" s="390"/>
      <c r="R663" s="390"/>
      <c r="S663" s="657"/>
      <c r="T663" s="357"/>
      <c r="U663" s="657"/>
      <c r="V663" s="657">
        <f>+U663-'ROR-Model'!G664</f>
        <v>0</v>
      </c>
    </row>
    <row r="664" spans="1:22">
      <c r="A664" s="668"/>
      <c r="B664" s="659"/>
      <c r="C664" s="659" t="s">
        <v>13</v>
      </c>
      <c r="D664" s="659"/>
      <c r="E664" s="656"/>
      <c r="F664" s="357"/>
      <c r="G664" s="357"/>
      <c r="H664" s="357"/>
      <c r="I664" s="357"/>
      <c r="J664" s="390"/>
      <c r="K664" s="390"/>
      <c r="L664" s="357"/>
      <c r="M664" s="357"/>
      <c r="N664" s="357"/>
      <c r="O664" s="357"/>
      <c r="P664" s="357"/>
      <c r="Q664" s="390"/>
      <c r="R664" s="390"/>
      <c r="S664" s="657">
        <f>SUM(F664:R664)</f>
        <v>0</v>
      </c>
      <c r="T664" s="357"/>
      <c r="U664" s="657">
        <f>SUM(S664:S664)</f>
        <v>0</v>
      </c>
      <c r="V664" s="657">
        <f>+U664-'ROR-Model'!G665</f>
        <v>0</v>
      </c>
    </row>
    <row r="665" spans="1:22">
      <c r="A665" s="668"/>
      <c r="B665" s="659"/>
      <c r="C665" s="659" t="s">
        <v>24</v>
      </c>
      <c r="D665" s="659"/>
      <c r="E665" s="656"/>
      <c r="F665" s="357"/>
      <c r="G665" s="357"/>
      <c r="H665" s="357"/>
      <c r="I665" s="357"/>
      <c r="J665" s="390"/>
      <c r="K665" s="390"/>
      <c r="L665" s="357"/>
      <c r="M665" s="357"/>
      <c r="N665" s="357"/>
      <c r="O665" s="357"/>
      <c r="P665" s="357"/>
      <c r="Q665" s="390"/>
      <c r="R665" s="390"/>
      <c r="S665" s="657">
        <f>SUM(F665:R665)</f>
        <v>0</v>
      </c>
      <c r="T665" s="357"/>
      <c r="U665" s="657">
        <f>SUM(S665:S665)</f>
        <v>0</v>
      </c>
      <c r="V665" s="657">
        <f>+U665-'ROR-Model'!G666</f>
        <v>0</v>
      </c>
    </row>
    <row r="666" spans="1:22">
      <c r="A666" s="668"/>
      <c r="B666" s="659"/>
      <c r="C666" s="659" t="s">
        <v>160</v>
      </c>
      <c r="D666" s="659"/>
      <c r="E666" s="656"/>
      <c r="F666" s="388">
        <f>SUM(F664:F665)</f>
        <v>0</v>
      </c>
      <c r="G666" s="388">
        <f>G1*SUM(G664:G665)</f>
        <v>0</v>
      </c>
      <c r="H666" s="388">
        <f>SUM(H664:H665)</f>
        <v>0</v>
      </c>
      <c r="I666" s="388">
        <f t="shared" ref="I666:P666" si="140">SUM(I664:I665)</f>
        <v>0</v>
      </c>
      <c r="J666" s="585">
        <f>J1*SUM(J664:J665)</f>
        <v>0</v>
      </c>
      <c r="K666" s="585">
        <f>K1*SUM(K664:K665)</f>
        <v>0</v>
      </c>
      <c r="L666" s="388">
        <f t="shared" si="140"/>
        <v>0</v>
      </c>
      <c r="M666" s="388">
        <f t="shared" si="140"/>
        <v>0</v>
      </c>
      <c r="N666" s="388">
        <f t="shared" si="140"/>
        <v>0</v>
      </c>
      <c r="O666" s="388">
        <f t="shared" si="140"/>
        <v>0</v>
      </c>
      <c r="P666" s="388">
        <f t="shared" si="140"/>
        <v>0</v>
      </c>
      <c r="Q666" s="585">
        <f>SUM(Q664:Q665)</f>
        <v>0</v>
      </c>
      <c r="R666" s="585">
        <f>R1*SUM(R664:R665)</f>
        <v>0</v>
      </c>
      <c r="S666" s="661">
        <f>SUM(S664:S665)</f>
        <v>0</v>
      </c>
      <c r="T666" s="388"/>
      <c r="U666" s="661">
        <f>SUM(U664:U665)</f>
        <v>0</v>
      </c>
      <c r="V666" s="661">
        <f>+U666-'ROR-Model'!G667</f>
        <v>0</v>
      </c>
    </row>
    <row r="667" spans="1:22">
      <c r="A667" s="668"/>
      <c r="B667" s="659"/>
      <c r="C667" s="659"/>
      <c r="D667" s="659"/>
      <c r="E667" s="656"/>
      <c r="F667" s="357"/>
      <c r="G667" s="357"/>
      <c r="H667" s="357"/>
      <c r="I667" s="357"/>
      <c r="J667" s="390"/>
      <c r="K667" s="390"/>
      <c r="L667" s="357"/>
      <c r="M667" s="357"/>
      <c r="N667" s="357"/>
      <c r="O667" s="357"/>
      <c r="P667" s="357"/>
      <c r="Q667" s="390"/>
      <c r="R667" s="390"/>
      <c r="S667" s="657"/>
      <c r="T667" s="357"/>
      <c r="U667" s="657"/>
      <c r="V667" s="657">
        <f>+U667-'ROR-Model'!G668</f>
        <v>0</v>
      </c>
    </row>
    <row r="668" spans="1:22">
      <c r="A668" s="668">
        <v>873</v>
      </c>
      <c r="B668" s="659" t="s">
        <v>364</v>
      </c>
      <c r="C668" s="659"/>
      <c r="D668" s="659"/>
      <c r="E668" s="656"/>
      <c r="F668" s="357"/>
      <c r="G668" s="357"/>
      <c r="H668" s="357"/>
      <c r="I668" s="357"/>
      <c r="J668" s="390"/>
      <c r="K668" s="390"/>
      <c r="L668" s="357"/>
      <c r="M668" s="357"/>
      <c r="N668" s="357"/>
      <c r="O668" s="357"/>
      <c r="P668" s="357"/>
      <c r="Q668" s="390"/>
      <c r="R668" s="390"/>
      <c r="S668" s="657"/>
      <c r="T668" s="357"/>
      <c r="U668" s="657"/>
      <c r="V668" s="657">
        <f>+U668-'ROR-Model'!G669</f>
        <v>0</v>
      </c>
    </row>
    <row r="669" spans="1:22">
      <c r="A669" s="668"/>
      <c r="B669" s="659"/>
      <c r="C669" s="659" t="s">
        <v>13</v>
      </c>
      <c r="D669" s="659"/>
      <c r="E669" s="656"/>
      <c r="F669" s="357"/>
      <c r="G669" s="357"/>
      <c r="H669" s="357"/>
      <c r="I669" s="357"/>
      <c r="J669" s="390"/>
      <c r="K669" s="390"/>
      <c r="L669" s="357"/>
      <c r="M669" s="357"/>
      <c r="N669" s="357"/>
      <c r="O669" s="357"/>
      <c r="P669" s="357"/>
      <c r="Q669" s="390"/>
      <c r="R669" s="390"/>
      <c r="S669" s="657">
        <f>SUM(F669:R669)</f>
        <v>0</v>
      </c>
      <c r="T669" s="357"/>
      <c r="U669" s="657">
        <f>SUM(S669:S669)</f>
        <v>0</v>
      </c>
      <c r="V669" s="657">
        <f>+U669-'ROR-Model'!G670</f>
        <v>0</v>
      </c>
    </row>
    <row r="670" spans="1:22">
      <c r="A670" s="668"/>
      <c r="B670" s="659"/>
      <c r="C670" s="659" t="s">
        <v>24</v>
      </c>
      <c r="D670" s="659"/>
      <c r="E670" s="656"/>
      <c r="F670" s="357"/>
      <c r="G670" s="357"/>
      <c r="H670" s="357"/>
      <c r="I670" s="357"/>
      <c r="J670" s="390"/>
      <c r="K670" s="390"/>
      <c r="L670" s="357"/>
      <c r="M670" s="357"/>
      <c r="N670" s="357"/>
      <c r="O670" s="357"/>
      <c r="P670" s="357"/>
      <c r="Q670" s="390"/>
      <c r="R670" s="390"/>
      <c r="S670" s="657">
        <f>SUM(F670:R670)</f>
        <v>0</v>
      </c>
      <c r="T670" s="357"/>
      <c r="U670" s="657">
        <f>SUM(S670:S670)</f>
        <v>0</v>
      </c>
      <c r="V670" s="657">
        <f>+U670-'ROR-Model'!G671</f>
        <v>0</v>
      </c>
    </row>
    <row r="671" spans="1:22">
      <c r="A671" s="668"/>
      <c r="B671" s="659"/>
      <c r="C671" s="659" t="s">
        <v>160</v>
      </c>
      <c r="D671" s="659"/>
      <c r="E671" s="656"/>
      <c r="F671" s="388">
        <f>SUM(F669:F670)</f>
        <v>0</v>
      </c>
      <c r="G671" s="388">
        <f>G1*SUM(G669:G670)</f>
        <v>0</v>
      </c>
      <c r="H671" s="388">
        <f>SUM(H669:H670)</f>
        <v>0</v>
      </c>
      <c r="I671" s="388">
        <f t="shared" ref="I671:P671" si="141">SUM(I669:I670)</f>
        <v>0</v>
      </c>
      <c r="J671" s="585">
        <f>J1*SUM(J669:J670)</f>
        <v>0</v>
      </c>
      <c r="K671" s="585">
        <f>K1*SUM(K669:K670)</f>
        <v>0</v>
      </c>
      <c r="L671" s="388">
        <f t="shared" si="141"/>
        <v>0</v>
      </c>
      <c r="M671" s="388">
        <f t="shared" si="141"/>
        <v>0</v>
      </c>
      <c r="N671" s="388">
        <f t="shared" si="141"/>
        <v>0</v>
      </c>
      <c r="O671" s="388">
        <f t="shared" si="141"/>
        <v>0</v>
      </c>
      <c r="P671" s="388">
        <f t="shared" si="141"/>
        <v>0</v>
      </c>
      <c r="Q671" s="585">
        <f>SUM(Q669:Q670)</f>
        <v>0</v>
      </c>
      <c r="R671" s="585">
        <f>R1*SUM(R669:R670)</f>
        <v>0</v>
      </c>
      <c r="S671" s="661">
        <f>SUM(S669:S670)</f>
        <v>0</v>
      </c>
      <c r="T671" s="388"/>
      <c r="U671" s="661">
        <f>SUM(U669:U670)</f>
        <v>0</v>
      </c>
      <c r="V671" s="661">
        <f>+U671-'ROR-Model'!G672</f>
        <v>0</v>
      </c>
    </row>
    <row r="672" spans="1:22">
      <c r="A672" s="668"/>
      <c r="B672" s="659"/>
      <c r="C672" s="659"/>
      <c r="D672" s="659"/>
      <c r="E672" s="656"/>
      <c r="F672" s="357"/>
      <c r="G672" s="357"/>
      <c r="H672" s="357"/>
      <c r="I672" s="357"/>
      <c r="J672" s="390"/>
      <c r="K672" s="390"/>
      <c r="L672" s="357"/>
      <c r="M672" s="357"/>
      <c r="N672" s="357"/>
      <c r="O672" s="357"/>
      <c r="P672" s="357"/>
      <c r="Q672" s="390"/>
      <c r="R672" s="390"/>
      <c r="S672" s="657"/>
      <c r="T672" s="357"/>
      <c r="U672" s="657"/>
      <c r="V672" s="657">
        <f>+U672-'ROR-Model'!G673</f>
        <v>0</v>
      </c>
    </row>
    <row r="673" spans="1:22">
      <c r="A673" s="668">
        <v>874</v>
      </c>
      <c r="B673" s="659" t="s">
        <v>365</v>
      </c>
      <c r="C673" s="659"/>
      <c r="D673" s="659"/>
      <c r="E673" s="656"/>
      <c r="F673" s="357"/>
      <c r="G673" s="357"/>
      <c r="H673" s="357"/>
      <c r="I673" s="357"/>
      <c r="J673" s="390"/>
      <c r="K673" s="390"/>
      <c r="L673" s="357"/>
      <c r="M673" s="357"/>
      <c r="N673" s="357"/>
      <c r="O673" s="357"/>
      <c r="P673" s="357"/>
      <c r="Q673" s="390"/>
      <c r="R673" s="390"/>
      <c r="S673" s="657"/>
      <c r="T673" s="357"/>
      <c r="U673" s="657"/>
      <c r="V673" s="657">
        <f>+U673-'ROR-Model'!G674</f>
        <v>0</v>
      </c>
    </row>
    <row r="674" spans="1:22">
      <c r="A674" s="668"/>
      <c r="B674" s="659"/>
      <c r="C674" s="659" t="s">
        <v>13</v>
      </c>
      <c r="D674" s="659"/>
      <c r="E674" s="656"/>
      <c r="F674" s="357"/>
      <c r="G674" s="357"/>
      <c r="H674" s="357"/>
      <c r="I674" s="357"/>
      <c r="J674" s="390"/>
      <c r="K674" s="390"/>
      <c r="L674" s="357"/>
      <c r="M674" s="357"/>
      <c r="N674" s="357"/>
      <c r="O674" s="357"/>
      <c r="P674" s="357"/>
      <c r="Q674" s="390"/>
      <c r="R674" s="390"/>
      <c r="S674" s="657">
        <f>SUM(F674:R674)</f>
        <v>0</v>
      </c>
      <c r="T674" s="357"/>
      <c r="U674" s="657">
        <f>SUM(S674:S674)</f>
        <v>0</v>
      </c>
      <c r="V674" s="657">
        <f>+U674-'ROR-Model'!G675</f>
        <v>0</v>
      </c>
    </row>
    <row r="675" spans="1:22">
      <c r="A675" s="668"/>
      <c r="B675" s="659"/>
      <c r="C675" s="659" t="s">
        <v>24</v>
      </c>
      <c r="D675" s="659"/>
      <c r="E675" s="656"/>
      <c r="F675" s="357"/>
      <c r="G675" s="357"/>
      <c r="H675" s="357"/>
      <c r="I675" s="357"/>
      <c r="J675" s="390"/>
      <c r="K675" s="390"/>
      <c r="L675" s="357"/>
      <c r="M675" s="357"/>
      <c r="N675" s="357"/>
      <c r="O675" s="357"/>
      <c r="P675" s="357"/>
      <c r="Q675" s="390"/>
      <c r="R675" s="390"/>
      <c r="S675" s="657">
        <f>SUM(F675:R675)</f>
        <v>0</v>
      </c>
      <c r="T675" s="357"/>
      <c r="U675" s="657">
        <f>SUM(S675:S675)</f>
        <v>0</v>
      </c>
      <c r="V675" s="657">
        <f>+U675-'ROR-Model'!G676</f>
        <v>0</v>
      </c>
    </row>
    <row r="676" spans="1:22">
      <c r="A676" s="668"/>
      <c r="B676" s="659"/>
      <c r="C676" s="659" t="s">
        <v>160</v>
      </c>
      <c r="D676" s="659"/>
      <c r="E676" s="656"/>
      <c r="F676" s="388">
        <f>SUM(F674:F675)</f>
        <v>0</v>
      </c>
      <c r="G676" s="388">
        <f>G1*SUM(G674:G675)</f>
        <v>0</v>
      </c>
      <c r="H676" s="388">
        <f>SUM(H674:H675)</f>
        <v>0</v>
      </c>
      <c r="I676" s="388">
        <f t="shared" ref="I676:P676" si="142">SUM(I674:I675)</f>
        <v>0</v>
      </c>
      <c r="J676" s="585">
        <f>J1*SUM(J674:J675)</f>
        <v>0</v>
      </c>
      <c r="K676" s="585">
        <f>K1*SUM(K674:K675)</f>
        <v>0</v>
      </c>
      <c r="L676" s="388">
        <f t="shared" si="142"/>
        <v>0</v>
      </c>
      <c r="M676" s="388">
        <f t="shared" si="142"/>
        <v>0</v>
      </c>
      <c r="N676" s="388">
        <f t="shared" si="142"/>
        <v>0</v>
      </c>
      <c r="O676" s="388">
        <f t="shared" si="142"/>
        <v>0</v>
      </c>
      <c r="P676" s="388">
        <f t="shared" si="142"/>
        <v>0</v>
      </c>
      <c r="Q676" s="585">
        <f>SUM(Q674:Q675)</f>
        <v>0</v>
      </c>
      <c r="R676" s="585">
        <f>R1*SUM(R674:R675)</f>
        <v>0</v>
      </c>
      <c r="S676" s="661">
        <f>SUM(S674:S675)</f>
        <v>0</v>
      </c>
      <c r="T676" s="388"/>
      <c r="U676" s="661">
        <f>SUM(U674:U675)</f>
        <v>0</v>
      </c>
      <c r="V676" s="661">
        <f>+U676-'ROR-Model'!G677</f>
        <v>0</v>
      </c>
    </row>
    <row r="677" spans="1:22">
      <c r="A677" s="668"/>
      <c r="B677" s="659"/>
      <c r="C677" s="659"/>
      <c r="D677" s="659"/>
      <c r="E677" s="656"/>
      <c r="F677" s="357"/>
      <c r="G677" s="357"/>
      <c r="H677" s="357"/>
      <c r="I677" s="357"/>
      <c r="J677" s="390"/>
      <c r="K677" s="390"/>
      <c r="L677" s="357"/>
      <c r="M677" s="357"/>
      <c r="N677" s="357"/>
      <c r="O677" s="357"/>
      <c r="P677" s="357"/>
      <c r="Q677" s="390"/>
      <c r="R677" s="390"/>
      <c r="S677" s="657"/>
      <c r="T677" s="357"/>
      <c r="U677" s="657"/>
      <c r="V677" s="657">
        <f>+U677-'ROR-Model'!G678</f>
        <v>0</v>
      </c>
    </row>
    <row r="678" spans="1:22">
      <c r="A678" s="668">
        <v>875</v>
      </c>
      <c r="B678" s="659" t="s">
        <v>366</v>
      </c>
      <c r="C678" s="659"/>
      <c r="D678" s="659"/>
      <c r="E678" s="656"/>
      <c r="F678" s="357"/>
      <c r="G678" s="357"/>
      <c r="H678" s="357"/>
      <c r="I678" s="357"/>
      <c r="J678" s="390"/>
      <c r="K678" s="390"/>
      <c r="L678" s="357"/>
      <c r="M678" s="357"/>
      <c r="N678" s="357"/>
      <c r="O678" s="357"/>
      <c r="P678" s="357"/>
      <c r="Q678" s="390"/>
      <c r="R678" s="390"/>
      <c r="S678" s="657"/>
      <c r="T678" s="357"/>
      <c r="U678" s="657"/>
      <c r="V678" s="657">
        <f>+U678-'ROR-Model'!G679</f>
        <v>0</v>
      </c>
    </row>
    <row r="679" spans="1:22">
      <c r="A679" s="668"/>
      <c r="B679" s="659"/>
      <c r="C679" s="659" t="s">
        <v>13</v>
      </c>
      <c r="D679" s="659"/>
      <c r="E679" s="656"/>
      <c r="F679" s="357"/>
      <c r="G679" s="357"/>
      <c r="H679" s="357"/>
      <c r="I679" s="357"/>
      <c r="J679" s="390"/>
      <c r="K679" s="390"/>
      <c r="L679" s="357"/>
      <c r="M679" s="357"/>
      <c r="N679" s="357"/>
      <c r="O679" s="357"/>
      <c r="P679" s="357"/>
      <c r="Q679" s="390"/>
      <c r="R679" s="390"/>
      <c r="S679" s="657">
        <f>SUM(F679:R679)</f>
        <v>0</v>
      </c>
      <c r="T679" s="357"/>
      <c r="U679" s="657">
        <f>SUM(S679:S679)</f>
        <v>0</v>
      </c>
      <c r="V679" s="657">
        <f>+U679-'ROR-Model'!G680</f>
        <v>0</v>
      </c>
    </row>
    <row r="680" spans="1:22">
      <c r="A680" s="668"/>
      <c r="B680" s="659"/>
      <c r="C680" s="659" t="s">
        <v>24</v>
      </c>
      <c r="D680" s="659"/>
      <c r="E680" s="656"/>
      <c r="F680" s="357"/>
      <c r="G680" s="357"/>
      <c r="H680" s="357"/>
      <c r="I680" s="357"/>
      <c r="J680" s="390"/>
      <c r="K680" s="390"/>
      <c r="L680" s="357"/>
      <c r="M680" s="357"/>
      <c r="N680" s="357"/>
      <c r="O680" s="357"/>
      <c r="P680" s="357"/>
      <c r="Q680" s="390"/>
      <c r="R680" s="390"/>
      <c r="S680" s="657">
        <f>SUM(F680:R680)</f>
        <v>0</v>
      </c>
      <c r="T680" s="357"/>
      <c r="U680" s="657">
        <f>SUM(S680:S680)</f>
        <v>0</v>
      </c>
      <c r="V680" s="657">
        <f>+U680-'ROR-Model'!G681</f>
        <v>0</v>
      </c>
    </row>
    <row r="681" spans="1:22">
      <c r="A681" s="668"/>
      <c r="B681" s="659"/>
      <c r="C681" s="659" t="s">
        <v>160</v>
      </c>
      <c r="D681" s="659"/>
      <c r="E681" s="656"/>
      <c r="F681" s="388">
        <f>SUM(F679:F680)</f>
        <v>0</v>
      </c>
      <c r="G681" s="388">
        <f>G1*SUM(G679:G680)</f>
        <v>0</v>
      </c>
      <c r="H681" s="388">
        <f>SUM(H679:H680)</f>
        <v>0</v>
      </c>
      <c r="I681" s="388">
        <f t="shared" ref="I681:P681" si="143">SUM(I679:I680)</f>
        <v>0</v>
      </c>
      <c r="J681" s="585">
        <f>J1*SUM(J679:J680)</f>
        <v>0</v>
      </c>
      <c r="K681" s="585">
        <f>K1*SUM(K679:K680)</f>
        <v>0</v>
      </c>
      <c r="L681" s="388">
        <f t="shared" si="143"/>
        <v>0</v>
      </c>
      <c r="M681" s="388">
        <f t="shared" si="143"/>
        <v>0</v>
      </c>
      <c r="N681" s="388">
        <f t="shared" si="143"/>
        <v>0</v>
      </c>
      <c r="O681" s="388">
        <f t="shared" si="143"/>
        <v>0</v>
      </c>
      <c r="P681" s="388">
        <f t="shared" si="143"/>
        <v>0</v>
      </c>
      <c r="Q681" s="585">
        <f>SUM(Q679:Q680)</f>
        <v>0</v>
      </c>
      <c r="R681" s="585">
        <f>R1*SUM(R679:R680)</f>
        <v>0</v>
      </c>
      <c r="S681" s="661">
        <f>SUM(S679:S680)</f>
        <v>0</v>
      </c>
      <c r="T681" s="388"/>
      <c r="U681" s="661">
        <f>SUM(U679:U680)</f>
        <v>0</v>
      </c>
      <c r="V681" s="661">
        <f>+U681-'ROR-Model'!G682</f>
        <v>0</v>
      </c>
    </row>
    <row r="682" spans="1:22">
      <c r="A682" s="668"/>
      <c r="B682" s="659"/>
      <c r="C682" s="659"/>
      <c r="D682" s="659"/>
      <c r="E682" s="656"/>
      <c r="F682" s="357"/>
      <c r="G682" s="357"/>
      <c r="H682" s="357"/>
      <c r="I682" s="357"/>
      <c r="J682" s="390"/>
      <c r="K682" s="390"/>
      <c r="L682" s="357"/>
      <c r="M682" s="357"/>
      <c r="N682" s="357"/>
      <c r="O682" s="357"/>
      <c r="P682" s="357"/>
      <c r="Q682" s="390"/>
      <c r="R682" s="390"/>
      <c r="S682" s="657"/>
      <c r="T682" s="357"/>
      <c r="U682" s="657"/>
      <c r="V682" s="657">
        <f>+U682-'ROR-Model'!G683</f>
        <v>0</v>
      </c>
    </row>
    <row r="683" spans="1:22">
      <c r="A683" s="668">
        <v>878</v>
      </c>
      <c r="B683" s="659" t="s">
        <v>367</v>
      </c>
      <c r="C683" s="659"/>
      <c r="D683" s="659"/>
      <c r="E683" s="656"/>
      <c r="F683" s="357"/>
      <c r="G683" s="357"/>
      <c r="H683" s="357"/>
      <c r="I683" s="357"/>
      <c r="J683" s="390"/>
      <c r="K683" s="390"/>
      <c r="L683" s="357"/>
      <c r="M683" s="357"/>
      <c r="N683" s="357"/>
      <c r="O683" s="357"/>
      <c r="P683" s="357"/>
      <c r="Q683" s="390"/>
      <c r="R683" s="390"/>
      <c r="S683" s="657"/>
      <c r="T683" s="357"/>
      <c r="U683" s="657"/>
      <c r="V683" s="657">
        <f>+U683-'ROR-Model'!G684</f>
        <v>0</v>
      </c>
    </row>
    <row r="684" spans="1:22">
      <c r="A684" s="668"/>
      <c r="B684" s="659"/>
      <c r="C684" s="659" t="s">
        <v>13</v>
      </c>
      <c r="D684" s="659"/>
      <c r="E684" s="656"/>
      <c r="F684" s="357"/>
      <c r="G684" s="357"/>
      <c r="H684" s="357"/>
      <c r="I684" s="357"/>
      <c r="J684" s="390"/>
      <c r="K684" s="390"/>
      <c r="L684" s="357"/>
      <c r="M684" s="357"/>
      <c r="N684" s="357"/>
      <c r="O684" s="357"/>
      <c r="P684" s="357"/>
      <c r="Q684" s="390"/>
      <c r="R684" s="390"/>
      <c r="S684" s="657">
        <f>SUM(F684:R684)</f>
        <v>0</v>
      </c>
      <c r="T684" s="357"/>
      <c r="U684" s="657">
        <f>SUM(S684:S684)</f>
        <v>0</v>
      </c>
      <c r="V684" s="657">
        <f>+U684-'ROR-Model'!G685</f>
        <v>0</v>
      </c>
    </row>
    <row r="685" spans="1:22">
      <c r="A685" s="668"/>
      <c r="B685" s="659"/>
      <c r="C685" s="659" t="s">
        <v>24</v>
      </c>
      <c r="D685" s="659"/>
      <c r="E685" s="656"/>
      <c r="F685" s="357"/>
      <c r="G685" s="357"/>
      <c r="H685" s="357"/>
      <c r="I685" s="357"/>
      <c r="J685" s="390"/>
      <c r="K685" s="390"/>
      <c r="L685" s="357"/>
      <c r="M685" s="357"/>
      <c r="N685" s="357"/>
      <c r="O685" s="357"/>
      <c r="P685" s="357"/>
      <c r="Q685" s="390"/>
      <c r="R685" s="390"/>
      <c r="S685" s="657">
        <f>SUM(F685:R685)</f>
        <v>0</v>
      </c>
      <c r="T685" s="357"/>
      <c r="U685" s="657">
        <f>SUM(S685:S685)</f>
        <v>0</v>
      </c>
      <c r="V685" s="657">
        <f>+U685-'ROR-Model'!G686</f>
        <v>0</v>
      </c>
    </row>
    <row r="686" spans="1:22">
      <c r="A686" s="668"/>
      <c r="B686" s="659"/>
      <c r="C686" s="659" t="s">
        <v>160</v>
      </c>
      <c r="D686" s="659"/>
      <c r="E686" s="656"/>
      <c r="F686" s="388">
        <f>SUM(F684:F685)</f>
        <v>0</v>
      </c>
      <c r="G686" s="388">
        <f>G1*SUM(G684:G685)</f>
        <v>0</v>
      </c>
      <c r="H686" s="388">
        <f>SUM(H684:H685)</f>
        <v>0</v>
      </c>
      <c r="I686" s="388">
        <f t="shared" ref="I686:P686" si="144">SUM(I684:I685)</f>
        <v>0</v>
      </c>
      <c r="J686" s="585">
        <f>J1*SUM(J684:J685)</f>
        <v>0</v>
      </c>
      <c r="K686" s="585">
        <f>K1*SUM(K684:K685)</f>
        <v>0</v>
      </c>
      <c r="L686" s="388">
        <f t="shared" si="144"/>
        <v>0</v>
      </c>
      <c r="M686" s="388">
        <f t="shared" si="144"/>
        <v>0</v>
      </c>
      <c r="N686" s="388">
        <f t="shared" si="144"/>
        <v>0</v>
      </c>
      <c r="O686" s="388">
        <f t="shared" si="144"/>
        <v>0</v>
      </c>
      <c r="P686" s="388">
        <f t="shared" si="144"/>
        <v>0</v>
      </c>
      <c r="Q686" s="585">
        <f>SUM(Q684:Q685)</f>
        <v>0</v>
      </c>
      <c r="R686" s="585">
        <f>R1*SUM(R684:R685)</f>
        <v>0</v>
      </c>
      <c r="S686" s="661">
        <f>SUM(S684:S685)</f>
        <v>0</v>
      </c>
      <c r="T686" s="388"/>
      <c r="U686" s="661">
        <f>SUM(U684:U685)</f>
        <v>0</v>
      </c>
      <c r="V686" s="661">
        <f>+U686-'ROR-Model'!G687</f>
        <v>0</v>
      </c>
    </row>
    <row r="687" spans="1:22">
      <c r="A687" s="668"/>
      <c r="B687" s="659"/>
      <c r="C687" s="659"/>
      <c r="D687" s="659"/>
      <c r="E687" s="656"/>
      <c r="F687" s="357"/>
      <c r="G687" s="357"/>
      <c r="H687" s="357"/>
      <c r="I687" s="357"/>
      <c r="J687" s="390"/>
      <c r="K687" s="390"/>
      <c r="L687" s="357"/>
      <c r="M687" s="357"/>
      <c r="N687" s="357"/>
      <c r="O687" s="357"/>
      <c r="P687" s="357"/>
      <c r="Q687" s="390"/>
      <c r="R687" s="390"/>
      <c r="S687" s="657"/>
      <c r="T687" s="357"/>
      <c r="U687" s="657"/>
      <c r="V687" s="657">
        <f>+U687-'ROR-Model'!G688</f>
        <v>0</v>
      </c>
    </row>
    <row r="688" spans="1:22">
      <c r="A688" s="668">
        <v>879</v>
      </c>
      <c r="B688" s="659" t="s">
        <v>368</v>
      </c>
      <c r="C688" s="659"/>
      <c r="D688" s="659"/>
      <c r="E688" s="656"/>
      <c r="F688" s="357"/>
      <c r="G688" s="357"/>
      <c r="H688" s="357"/>
      <c r="I688" s="357"/>
      <c r="J688" s="390"/>
      <c r="K688" s="390"/>
      <c r="L688" s="357"/>
      <c r="M688" s="357"/>
      <c r="N688" s="357"/>
      <c r="O688" s="357"/>
      <c r="P688" s="357"/>
      <c r="Q688" s="390"/>
      <c r="R688" s="390"/>
      <c r="S688" s="657"/>
      <c r="T688" s="357"/>
      <c r="U688" s="657"/>
      <c r="V688" s="657">
        <f>+U688-'ROR-Model'!G689</f>
        <v>0</v>
      </c>
    </row>
    <row r="689" spans="1:22">
      <c r="A689" s="668"/>
      <c r="B689" s="659"/>
      <c r="C689" s="659" t="s">
        <v>13</v>
      </c>
      <c r="D689" s="659"/>
      <c r="E689" s="656"/>
      <c r="F689" s="357"/>
      <c r="G689" s="357"/>
      <c r="H689" s="357"/>
      <c r="I689" s="357"/>
      <c r="J689" s="390"/>
      <c r="K689" s="390"/>
      <c r="L689" s="357"/>
      <c r="M689" s="357"/>
      <c r="N689" s="357"/>
      <c r="O689" s="357"/>
      <c r="P689" s="357"/>
      <c r="Q689" s="390"/>
      <c r="R689" s="390"/>
      <c r="S689" s="657">
        <f>SUM(F689:R689)</f>
        <v>0</v>
      </c>
      <c r="T689" s="357"/>
      <c r="U689" s="657">
        <f>SUM(S689:S689)</f>
        <v>0</v>
      </c>
      <c r="V689" s="657">
        <f>+U689-'ROR-Model'!G690</f>
        <v>0</v>
      </c>
    </row>
    <row r="690" spans="1:22">
      <c r="A690" s="668"/>
      <c r="B690" s="659"/>
      <c r="C690" s="659" t="s">
        <v>24</v>
      </c>
      <c r="D690" s="659"/>
      <c r="E690" s="656"/>
      <c r="F690" s="357"/>
      <c r="G690" s="357"/>
      <c r="H690" s="357"/>
      <c r="I690" s="357"/>
      <c r="J690" s="390"/>
      <c r="K690" s="390"/>
      <c r="L690" s="357"/>
      <c r="M690" s="357"/>
      <c r="N690" s="357"/>
      <c r="O690" s="357"/>
      <c r="P690" s="357"/>
      <c r="Q690" s="390"/>
      <c r="R690" s="390"/>
      <c r="S690" s="657">
        <f>SUM(F690:R690)</f>
        <v>0</v>
      </c>
      <c r="T690" s="357"/>
      <c r="U690" s="657">
        <f>SUM(S690:S690)</f>
        <v>0</v>
      </c>
      <c r="V690" s="657">
        <f>+U690-'ROR-Model'!G691</f>
        <v>0</v>
      </c>
    </row>
    <row r="691" spans="1:22">
      <c r="A691" s="668"/>
      <c r="B691" s="659"/>
      <c r="C691" s="659" t="s">
        <v>160</v>
      </c>
      <c r="D691" s="659"/>
      <c r="E691" s="656"/>
      <c r="F691" s="388">
        <f>SUM(F689:F690)</f>
        <v>0</v>
      </c>
      <c r="G691" s="388">
        <f>G1*SUM(G689:G690)</f>
        <v>0</v>
      </c>
      <c r="H691" s="388">
        <f>SUM(H689:H690)</f>
        <v>0</v>
      </c>
      <c r="I691" s="388">
        <f t="shared" ref="I691:P691" si="145">SUM(I689:I690)</f>
        <v>0</v>
      </c>
      <c r="J691" s="585">
        <f>J1*SUM(J689:J690)</f>
        <v>0</v>
      </c>
      <c r="K691" s="585">
        <f>K1*SUM(K689:K690)</f>
        <v>0</v>
      </c>
      <c r="L691" s="388">
        <f t="shared" si="145"/>
        <v>0</v>
      </c>
      <c r="M691" s="388">
        <f t="shared" si="145"/>
        <v>0</v>
      </c>
      <c r="N691" s="388">
        <f t="shared" si="145"/>
        <v>0</v>
      </c>
      <c r="O691" s="388">
        <f t="shared" si="145"/>
        <v>0</v>
      </c>
      <c r="P691" s="388">
        <f t="shared" si="145"/>
        <v>0</v>
      </c>
      <c r="Q691" s="585">
        <f>SUM(Q689:Q690)</f>
        <v>0</v>
      </c>
      <c r="R691" s="585">
        <f>R1*SUM(R689:R690)</f>
        <v>0</v>
      </c>
      <c r="S691" s="661">
        <f>SUM(S689:S690)</f>
        <v>0</v>
      </c>
      <c r="T691" s="388"/>
      <c r="U691" s="661">
        <f>SUM(U689:U690)</f>
        <v>0</v>
      </c>
      <c r="V691" s="661">
        <f>+U691-'ROR-Model'!G692</f>
        <v>0</v>
      </c>
    </row>
    <row r="692" spans="1:22">
      <c r="A692" s="668"/>
      <c r="B692" s="659"/>
      <c r="C692" s="659"/>
      <c r="D692" s="659"/>
      <c r="E692" s="656"/>
      <c r="F692" s="357"/>
      <c r="G692" s="357"/>
      <c r="H692" s="357"/>
      <c r="I692" s="357"/>
      <c r="J692" s="390"/>
      <c r="K692" s="390"/>
      <c r="L692" s="357"/>
      <c r="M692" s="357"/>
      <c r="N692" s="357"/>
      <c r="O692" s="357"/>
      <c r="P692" s="357"/>
      <c r="Q692" s="390"/>
      <c r="R692" s="390"/>
      <c r="S692" s="657"/>
      <c r="T692" s="357"/>
      <c r="U692" s="657"/>
      <c r="V692" s="657">
        <f>+U692-'ROR-Model'!G693</f>
        <v>0</v>
      </c>
    </row>
    <row r="693" spans="1:22">
      <c r="A693" s="668">
        <v>880</v>
      </c>
      <c r="B693" s="659" t="s">
        <v>369</v>
      </c>
      <c r="C693" s="659"/>
      <c r="D693" s="659"/>
      <c r="E693" s="656"/>
      <c r="F693" s="357"/>
      <c r="G693" s="357"/>
      <c r="H693" s="357"/>
      <c r="I693" s="357"/>
      <c r="J693" s="390"/>
      <c r="K693" s="390"/>
      <c r="L693" s="357"/>
      <c r="M693" s="357"/>
      <c r="N693" s="357"/>
      <c r="O693" s="357"/>
      <c r="P693" s="357"/>
      <c r="Q693" s="390"/>
      <c r="R693" s="390"/>
      <c r="S693" s="657"/>
      <c r="T693" s="357"/>
      <c r="U693" s="657"/>
      <c r="V693" s="657">
        <f>+U693-'ROR-Model'!G694</f>
        <v>0</v>
      </c>
    </row>
    <row r="694" spans="1:22">
      <c r="A694" s="668"/>
      <c r="B694" s="659"/>
      <c r="C694" s="659" t="s">
        <v>13</v>
      </c>
      <c r="D694" s="659"/>
      <c r="E694" s="656"/>
      <c r="F694" s="357"/>
      <c r="G694" s="357"/>
      <c r="H694" s="357"/>
      <c r="I694" s="357"/>
      <c r="J694" s="390"/>
      <c r="K694" s="390"/>
      <c r="L694" s="357"/>
      <c r="M694" s="357"/>
      <c r="N694" s="357"/>
      <c r="O694" s="357"/>
      <c r="P694" s="357"/>
      <c r="Q694" s="390"/>
      <c r="R694" s="390"/>
      <c r="S694" s="657">
        <f>SUM(F694:R694)</f>
        <v>0</v>
      </c>
      <c r="T694" s="357"/>
      <c r="U694" s="657">
        <f>SUM(S694:S694)</f>
        <v>0</v>
      </c>
      <c r="V694" s="657">
        <f>+U694-'ROR-Model'!G695</f>
        <v>0</v>
      </c>
    </row>
    <row r="695" spans="1:22">
      <c r="A695" s="668"/>
      <c r="B695" s="659"/>
      <c r="C695" s="659" t="s">
        <v>24</v>
      </c>
      <c r="D695" s="659"/>
      <c r="E695" s="656"/>
      <c r="F695" s="357"/>
      <c r="G695" s="357"/>
      <c r="H695" s="357"/>
      <c r="I695" s="357"/>
      <c r="J695" s="390"/>
      <c r="K695" s="390"/>
      <c r="L695" s="357"/>
      <c r="M695" s="357"/>
      <c r="N695" s="357"/>
      <c r="O695" s="357"/>
      <c r="P695" s="357"/>
      <c r="Q695" s="390"/>
      <c r="R695" s="390"/>
      <c r="S695" s="657">
        <f>SUM(F695:R695)</f>
        <v>0</v>
      </c>
      <c r="T695" s="357"/>
      <c r="U695" s="657">
        <f>SUM(S695:S695)</f>
        <v>0</v>
      </c>
      <c r="V695" s="657">
        <f>+U695-'ROR-Model'!G696</f>
        <v>0</v>
      </c>
    </row>
    <row r="696" spans="1:22">
      <c r="A696" s="668"/>
      <c r="B696" s="659"/>
      <c r="C696" s="659" t="s">
        <v>160</v>
      </c>
      <c r="D696" s="659"/>
      <c r="E696" s="656"/>
      <c r="F696" s="388">
        <f>SUM(F694:F695)</f>
        <v>0</v>
      </c>
      <c r="G696" s="388">
        <f>G1*SUM(G694:G695)</f>
        <v>0</v>
      </c>
      <c r="H696" s="388">
        <f>SUM(H694:H695)</f>
        <v>0</v>
      </c>
      <c r="I696" s="388">
        <f t="shared" ref="I696:P696" si="146">SUM(I694:I695)</f>
        <v>0</v>
      </c>
      <c r="J696" s="585">
        <f>J1*SUM(J694:J695)</f>
        <v>0</v>
      </c>
      <c r="K696" s="585">
        <f>K1*SUM(K694:K695)</f>
        <v>0</v>
      </c>
      <c r="L696" s="388">
        <f t="shared" si="146"/>
        <v>0</v>
      </c>
      <c r="M696" s="388">
        <f t="shared" si="146"/>
        <v>0</v>
      </c>
      <c r="N696" s="388">
        <f t="shared" si="146"/>
        <v>0</v>
      </c>
      <c r="O696" s="388">
        <f t="shared" si="146"/>
        <v>0</v>
      </c>
      <c r="P696" s="388">
        <f t="shared" si="146"/>
        <v>0</v>
      </c>
      <c r="Q696" s="585">
        <f>SUM(Q694:Q695)</f>
        <v>0</v>
      </c>
      <c r="R696" s="585">
        <f>R1*SUM(R694:R695)</f>
        <v>0</v>
      </c>
      <c r="S696" s="661">
        <f>SUM(S694:S695)</f>
        <v>0</v>
      </c>
      <c r="T696" s="388"/>
      <c r="U696" s="661">
        <f>SUM(U694:U695)</f>
        <v>0</v>
      </c>
      <c r="V696" s="661">
        <f>+U696-'ROR-Model'!G697</f>
        <v>0</v>
      </c>
    </row>
    <row r="697" spans="1:22">
      <c r="A697" s="668"/>
      <c r="B697" s="659"/>
      <c r="C697" s="659"/>
      <c r="D697" s="659"/>
      <c r="E697" s="656"/>
      <c r="F697" s="357"/>
      <c r="G697" s="357"/>
      <c r="H697" s="357"/>
      <c r="I697" s="357"/>
      <c r="J697" s="390"/>
      <c r="K697" s="390"/>
      <c r="L697" s="357"/>
      <c r="M697" s="357"/>
      <c r="N697" s="357"/>
      <c r="O697" s="357"/>
      <c r="P697" s="357"/>
      <c r="Q697" s="390"/>
      <c r="R697" s="390"/>
      <c r="S697" s="657"/>
      <c r="T697" s="357"/>
      <c r="U697" s="657"/>
      <c r="V697" s="657">
        <f>+U697-'ROR-Model'!G698</f>
        <v>0</v>
      </c>
    </row>
    <row r="698" spans="1:22">
      <c r="A698" s="668">
        <v>881</v>
      </c>
      <c r="B698" s="659" t="s">
        <v>370</v>
      </c>
      <c r="C698" s="659"/>
      <c r="D698" s="659"/>
      <c r="E698" s="656"/>
      <c r="F698" s="357"/>
      <c r="G698" s="357"/>
      <c r="H698" s="357"/>
      <c r="I698" s="357"/>
      <c r="J698" s="390"/>
      <c r="K698" s="390"/>
      <c r="L698" s="357"/>
      <c r="M698" s="357"/>
      <c r="N698" s="357"/>
      <c r="O698" s="357"/>
      <c r="P698" s="357"/>
      <c r="Q698" s="390"/>
      <c r="R698" s="390"/>
      <c r="S698" s="657"/>
      <c r="T698" s="357"/>
      <c r="U698" s="657"/>
      <c r="V698" s="657">
        <f>+U698-'ROR-Model'!G699</f>
        <v>0</v>
      </c>
    </row>
    <row r="699" spans="1:22">
      <c r="A699" s="668"/>
      <c r="B699" s="659"/>
      <c r="C699" s="659" t="s">
        <v>13</v>
      </c>
      <c r="D699" s="659"/>
      <c r="E699" s="656"/>
      <c r="F699" s="357"/>
      <c r="G699" s="357"/>
      <c r="H699" s="357"/>
      <c r="I699" s="357"/>
      <c r="J699" s="390"/>
      <c r="K699" s="390"/>
      <c r="L699" s="357"/>
      <c r="M699" s="357"/>
      <c r="N699" s="357"/>
      <c r="O699" s="357"/>
      <c r="P699" s="357"/>
      <c r="Q699" s="390"/>
      <c r="R699" s="390"/>
      <c r="S699" s="657">
        <f>SUM(F699:R699)</f>
        <v>0</v>
      </c>
      <c r="T699" s="357"/>
      <c r="U699" s="657">
        <f>SUM(S699:S699)</f>
        <v>0</v>
      </c>
      <c r="V699" s="657">
        <f>+U699-'ROR-Model'!G700</f>
        <v>0</v>
      </c>
    </row>
    <row r="700" spans="1:22">
      <c r="A700" s="668"/>
      <c r="B700" s="659"/>
      <c r="C700" s="659" t="s">
        <v>24</v>
      </c>
      <c r="D700" s="659"/>
      <c r="E700" s="656"/>
      <c r="F700" s="357"/>
      <c r="G700" s="357"/>
      <c r="H700" s="357"/>
      <c r="I700" s="357"/>
      <c r="J700" s="390"/>
      <c r="K700" s="390"/>
      <c r="L700" s="357"/>
      <c r="M700" s="357"/>
      <c r="N700" s="357"/>
      <c r="O700" s="357"/>
      <c r="P700" s="357"/>
      <c r="Q700" s="390"/>
      <c r="R700" s="390"/>
      <c r="S700" s="657">
        <f>SUM(F700:R700)</f>
        <v>0</v>
      </c>
      <c r="T700" s="357"/>
      <c r="U700" s="657">
        <f>SUM(S700:S700)</f>
        <v>0</v>
      </c>
      <c r="V700" s="657">
        <f>+U700-'ROR-Model'!G701</f>
        <v>0</v>
      </c>
    </row>
    <row r="701" spans="1:22">
      <c r="A701" s="668"/>
      <c r="B701" s="659"/>
      <c r="C701" s="659" t="s">
        <v>160</v>
      </c>
      <c r="D701" s="659"/>
      <c r="E701" s="656"/>
      <c r="F701" s="388">
        <f>SUM(F699:F700)</f>
        <v>0</v>
      </c>
      <c r="G701" s="388">
        <f>G1*SUM(G699:G700)</f>
        <v>0</v>
      </c>
      <c r="H701" s="388">
        <f>SUM(H699:H700)</f>
        <v>0</v>
      </c>
      <c r="I701" s="388">
        <f t="shared" ref="I701:P701" si="147">SUM(I699:I700)</f>
        <v>0</v>
      </c>
      <c r="J701" s="585">
        <f>J1*SUM(J699:J700)</f>
        <v>0</v>
      </c>
      <c r="K701" s="585">
        <f>K1*SUM(K699:K700)</f>
        <v>0</v>
      </c>
      <c r="L701" s="388">
        <f t="shared" si="147"/>
        <v>0</v>
      </c>
      <c r="M701" s="388">
        <f t="shared" si="147"/>
        <v>0</v>
      </c>
      <c r="N701" s="388">
        <f t="shared" si="147"/>
        <v>0</v>
      </c>
      <c r="O701" s="388">
        <f t="shared" si="147"/>
        <v>0</v>
      </c>
      <c r="P701" s="388">
        <f t="shared" si="147"/>
        <v>0</v>
      </c>
      <c r="Q701" s="585">
        <f>SUM(Q699:Q700)</f>
        <v>0</v>
      </c>
      <c r="R701" s="585">
        <f>R1*SUM(R699:R700)</f>
        <v>0</v>
      </c>
      <c r="S701" s="661">
        <f>SUM(S699:S700)</f>
        <v>0</v>
      </c>
      <c r="T701" s="388"/>
      <c r="U701" s="661">
        <f>SUM(U699:U700)</f>
        <v>0</v>
      </c>
      <c r="V701" s="661">
        <f>+U701-'ROR-Model'!G702</f>
        <v>0</v>
      </c>
    </row>
    <row r="702" spans="1:22">
      <c r="A702" s="668"/>
      <c r="B702" s="659"/>
      <c r="C702" s="659"/>
      <c r="D702" s="659"/>
      <c r="E702" s="656"/>
      <c r="F702" s="357"/>
      <c r="G702" s="357"/>
      <c r="H702" s="357"/>
      <c r="I702" s="357"/>
      <c r="J702" s="390"/>
      <c r="K702" s="390"/>
      <c r="L702" s="357"/>
      <c r="M702" s="357"/>
      <c r="N702" s="357"/>
      <c r="O702" s="357"/>
      <c r="P702" s="357"/>
      <c r="Q702" s="390"/>
      <c r="R702" s="390"/>
      <c r="S702" s="657"/>
      <c r="T702" s="357"/>
      <c r="U702" s="657"/>
      <c r="V702" s="657">
        <f>+U702-'ROR-Model'!G703</f>
        <v>0</v>
      </c>
    </row>
    <row r="703" spans="1:22">
      <c r="A703" s="668">
        <v>885</v>
      </c>
      <c r="B703" s="659" t="s">
        <v>371</v>
      </c>
      <c r="C703" s="659"/>
      <c r="D703" s="659"/>
      <c r="E703" s="656"/>
      <c r="F703" s="357"/>
      <c r="G703" s="357"/>
      <c r="H703" s="357"/>
      <c r="I703" s="357"/>
      <c r="J703" s="390"/>
      <c r="K703" s="390"/>
      <c r="L703" s="357"/>
      <c r="M703" s="357"/>
      <c r="N703" s="357"/>
      <c r="O703" s="357"/>
      <c r="P703" s="357"/>
      <c r="Q703" s="390"/>
      <c r="R703" s="390"/>
      <c r="S703" s="657"/>
      <c r="T703" s="357"/>
      <c r="U703" s="657"/>
      <c r="V703" s="657">
        <f>+U703-'ROR-Model'!G704</f>
        <v>0</v>
      </c>
    </row>
    <row r="704" spans="1:22">
      <c r="A704" s="668"/>
      <c r="B704" s="659"/>
      <c r="C704" s="659" t="s">
        <v>13</v>
      </c>
      <c r="D704" s="659"/>
      <c r="E704" s="656"/>
      <c r="F704" s="357"/>
      <c r="G704" s="357"/>
      <c r="H704" s="357"/>
      <c r="I704" s="357"/>
      <c r="J704" s="390"/>
      <c r="K704" s="390"/>
      <c r="L704" s="357"/>
      <c r="M704" s="357"/>
      <c r="N704" s="357"/>
      <c r="O704" s="357"/>
      <c r="P704" s="357"/>
      <c r="Q704" s="390"/>
      <c r="R704" s="390"/>
      <c r="S704" s="657">
        <f>SUM(F704:R704)</f>
        <v>0</v>
      </c>
      <c r="T704" s="357"/>
      <c r="U704" s="657">
        <f>SUM(S704:S704)</f>
        <v>0</v>
      </c>
      <c r="V704" s="657">
        <f>+U704-'ROR-Model'!G705</f>
        <v>0</v>
      </c>
    </row>
    <row r="705" spans="1:22">
      <c r="A705" s="668"/>
      <c r="B705" s="659"/>
      <c r="C705" s="659" t="s">
        <v>24</v>
      </c>
      <c r="D705" s="659"/>
      <c r="E705" s="656"/>
      <c r="F705" s="357"/>
      <c r="G705" s="357"/>
      <c r="H705" s="357"/>
      <c r="I705" s="357"/>
      <c r="J705" s="390"/>
      <c r="K705" s="390"/>
      <c r="L705" s="357"/>
      <c r="M705" s="357"/>
      <c r="N705" s="357"/>
      <c r="O705" s="357"/>
      <c r="P705" s="357"/>
      <c r="Q705" s="390"/>
      <c r="R705" s="390"/>
      <c r="S705" s="657">
        <f>SUM(F705:R705)</f>
        <v>0</v>
      </c>
      <c r="T705" s="357"/>
      <c r="U705" s="657">
        <f>SUM(S705:S705)</f>
        <v>0</v>
      </c>
      <c r="V705" s="657">
        <f>+U705-'ROR-Model'!G706</f>
        <v>0</v>
      </c>
    </row>
    <row r="706" spans="1:22">
      <c r="A706" s="668"/>
      <c r="B706" s="659"/>
      <c r="C706" s="659" t="s">
        <v>160</v>
      </c>
      <c r="D706" s="659"/>
      <c r="E706" s="656"/>
      <c r="F706" s="388">
        <f>SUM(F704:F705)</f>
        <v>0</v>
      </c>
      <c r="G706" s="388">
        <f>G1*SUM(G704:G705)</f>
        <v>0</v>
      </c>
      <c r="H706" s="388">
        <f>SUM(H704:H705)</f>
        <v>0</v>
      </c>
      <c r="I706" s="388">
        <f t="shared" ref="I706:P706" si="148">SUM(I704:I705)</f>
        <v>0</v>
      </c>
      <c r="J706" s="585">
        <f>J1*SUM(J704:J705)</f>
        <v>0</v>
      </c>
      <c r="K706" s="585">
        <f>K1*SUM(K704:K705)</f>
        <v>0</v>
      </c>
      <c r="L706" s="388">
        <f t="shared" si="148"/>
        <v>0</v>
      </c>
      <c r="M706" s="388">
        <f t="shared" si="148"/>
        <v>0</v>
      </c>
      <c r="N706" s="388">
        <f t="shared" si="148"/>
        <v>0</v>
      </c>
      <c r="O706" s="388">
        <f t="shared" si="148"/>
        <v>0</v>
      </c>
      <c r="P706" s="388">
        <f t="shared" si="148"/>
        <v>0</v>
      </c>
      <c r="Q706" s="585">
        <f>SUM(Q704:Q705)</f>
        <v>0</v>
      </c>
      <c r="R706" s="585">
        <f>R1*SUM(R704:R705)</f>
        <v>0</v>
      </c>
      <c r="S706" s="661">
        <f>SUM(S704:S705)</f>
        <v>0</v>
      </c>
      <c r="T706" s="388"/>
      <c r="U706" s="661">
        <f>SUM(U704:U705)</f>
        <v>0</v>
      </c>
      <c r="V706" s="661">
        <f>+U706-'ROR-Model'!G707</f>
        <v>0</v>
      </c>
    </row>
    <row r="707" spans="1:22">
      <c r="A707" s="668"/>
      <c r="B707" s="659"/>
      <c r="C707" s="659"/>
      <c r="D707" s="659"/>
      <c r="E707" s="656"/>
      <c r="F707" s="357"/>
      <c r="G707" s="357"/>
      <c r="H707" s="357"/>
      <c r="I707" s="357"/>
      <c r="J707" s="390"/>
      <c r="K707" s="390"/>
      <c r="L707" s="357"/>
      <c r="M707" s="357"/>
      <c r="N707" s="357"/>
      <c r="O707" s="357"/>
      <c r="P707" s="357"/>
      <c r="Q707" s="390"/>
      <c r="R707" s="390"/>
      <c r="S707" s="657"/>
      <c r="T707" s="357"/>
      <c r="U707" s="657"/>
      <c r="V707" s="657">
        <f>+U707-'ROR-Model'!G708</f>
        <v>0</v>
      </c>
    </row>
    <row r="708" spans="1:22">
      <c r="A708" s="668">
        <v>886</v>
      </c>
      <c r="B708" s="659" t="s">
        <v>372</v>
      </c>
      <c r="C708" s="659"/>
      <c r="D708" s="659"/>
      <c r="E708" s="656"/>
      <c r="F708" s="357"/>
      <c r="G708" s="357"/>
      <c r="H708" s="357"/>
      <c r="I708" s="357"/>
      <c r="J708" s="390"/>
      <c r="K708" s="390"/>
      <c r="L708" s="357"/>
      <c r="M708" s="357"/>
      <c r="N708" s="357"/>
      <c r="O708" s="357"/>
      <c r="P708" s="357"/>
      <c r="Q708" s="390"/>
      <c r="R708" s="390"/>
      <c r="S708" s="657"/>
      <c r="T708" s="357"/>
      <c r="U708" s="657"/>
      <c r="V708" s="657">
        <f>+U708-'ROR-Model'!G709</f>
        <v>0</v>
      </c>
    </row>
    <row r="709" spans="1:22">
      <c r="A709" s="668"/>
      <c r="B709" s="659"/>
      <c r="C709" s="659" t="s">
        <v>13</v>
      </c>
      <c r="D709" s="659"/>
      <c r="E709" s="656"/>
      <c r="F709" s="357"/>
      <c r="G709" s="357"/>
      <c r="H709" s="357"/>
      <c r="I709" s="357"/>
      <c r="J709" s="390"/>
      <c r="K709" s="390"/>
      <c r="L709" s="357"/>
      <c r="M709" s="357"/>
      <c r="N709" s="357"/>
      <c r="O709" s="357"/>
      <c r="P709" s="357"/>
      <c r="Q709" s="390"/>
      <c r="R709" s="390"/>
      <c r="S709" s="657">
        <f>SUM(F709:R709)</f>
        <v>0</v>
      </c>
      <c r="T709" s="357"/>
      <c r="U709" s="657">
        <f>SUM(S709:S709)</f>
        <v>0</v>
      </c>
      <c r="V709" s="657">
        <f>+U709-'ROR-Model'!G710</f>
        <v>0</v>
      </c>
    </row>
    <row r="710" spans="1:22">
      <c r="A710" s="668"/>
      <c r="B710" s="659"/>
      <c r="C710" s="659" t="s">
        <v>24</v>
      </c>
      <c r="D710" s="659"/>
      <c r="E710" s="656"/>
      <c r="F710" s="357"/>
      <c r="G710" s="357"/>
      <c r="H710" s="357"/>
      <c r="I710" s="357"/>
      <c r="J710" s="390"/>
      <c r="K710" s="390"/>
      <c r="L710" s="357"/>
      <c r="M710" s="357"/>
      <c r="N710" s="357"/>
      <c r="O710" s="357"/>
      <c r="P710" s="357"/>
      <c r="Q710" s="390"/>
      <c r="R710" s="390"/>
      <c r="S710" s="657">
        <f>SUM(F710:R710)</f>
        <v>0</v>
      </c>
      <c r="T710" s="357"/>
      <c r="U710" s="657">
        <f>SUM(S710:S710)</f>
        <v>0</v>
      </c>
      <c r="V710" s="657">
        <f>+U710-'ROR-Model'!G711</f>
        <v>0</v>
      </c>
    </row>
    <row r="711" spans="1:22">
      <c r="A711" s="668"/>
      <c r="B711" s="659"/>
      <c r="C711" s="659" t="s">
        <v>160</v>
      </c>
      <c r="D711" s="659"/>
      <c r="E711" s="656"/>
      <c r="F711" s="388">
        <f>SUM(F709:F710)</f>
        <v>0</v>
      </c>
      <c r="G711" s="388">
        <f>G1*SUM(G709:G710)</f>
        <v>0</v>
      </c>
      <c r="H711" s="388">
        <f>SUM(H709:H710)</f>
        <v>0</v>
      </c>
      <c r="I711" s="388">
        <f t="shared" ref="I711:P711" si="149">SUM(I709:I710)</f>
        <v>0</v>
      </c>
      <c r="J711" s="585">
        <f>J1*SUM(J709:J710)</f>
        <v>0</v>
      </c>
      <c r="K711" s="585">
        <f>K1*SUM(K709:K710)</f>
        <v>0</v>
      </c>
      <c r="L711" s="388">
        <f t="shared" si="149"/>
        <v>0</v>
      </c>
      <c r="M711" s="388">
        <f t="shared" si="149"/>
        <v>0</v>
      </c>
      <c r="N711" s="388">
        <f t="shared" si="149"/>
        <v>0</v>
      </c>
      <c r="O711" s="388">
        <f t="shared" si="149"/>
        <v>0</v>
      </c>
      <c r="P711" s="388">
        <f t="shared" si="149"/>
        <v>0</v>
      </c>
      <c r="Q711" s="585">
        <f>SUM(Q709:Q710)</f>
        <v>0</v>
      </c>
      <c r="R711" s="585">
        <f>R1*SUM(R709:R710)</f>
        <v>0</v>
      </c>
      <c r="S711" s="661">
        <f>SUM(S709:S710)</f>
        <v>0</v>
      </c>
      <c r="T711" s="388"/>
      <c r="U711" s="661">
        <f>SUM(U709:U710)</f>
        <v>0</v>
      </c>
      <c r="V711" s="661">
        <f>+U711-'ROR-Model'!G712</f>
        <v>0</v>
      </c>
    </row>
    <row r="712" spans="1:22">
      <c r="A712" s="668"/>
      <c r="B712" s="659"/>
      <c r="C712" s="659"/>
      <c r="D712" s="659"/>
      <c r="E712" s="656"/>
      <c r="F712" s="357"/>
      <c r="G712" s="357"/>
      <c r="H712" s="357"/>
      <c r="I712" s="357"/>
      <c r="J712" s="390"/>
      <c r="K712" s="390"/>
      <c r="L712" s="357"/>
      <c r="M712" s="357"/>
      <c r="N712" s="357"/>
      <c r="O712" s="357"/>
      <c r="P712" s="357"/>
      <c r="Q712" s="390"/>
      <c r="R712" s="390"/>
      <c r="S712" s="657"/>
      <c r="T712" s="357"/>
      <c r="U712" s="657"/>
      <c r="V712" s="657">
        <f>+U712-'ROR-Model'!G713</f>
        <v>0</v>
      </c>
    </row>
    <row r="713" spans="1:22">
      <c r="A713" s="668">
        <v>887</v>
      </c>
      <c r="B713" s="659" t="s">
        <v>373</v>
      </c>
      <c r="C713" s="659"/>
      <c r="D713" s="659"/>
      <c r="E713" s="656"/>
      <c r="F713" s="357"/>
      <c r="G713" s="357"/>
      <c r="H713" s="357"/>
      <c r="I713" s="357"/>
      <c r="J713" s="390"/>
      <c r="K713" s="390"/>
      <c r="L713" s="357"/>
      <c r="M713" s="357"/>
      <c r="N713" s="357"/>
      <c r="O713" s="357"/>
      <c r="P713" s="357"/>
      <c r="Q713" s="390"/>
      <c r="R713" s="390"/>
      <c r="S713" s="657"/>
      <c r="T713" s="357"/>
      <c r="U713" s="657"/>
      <c r="V713" s="657">
        <f>+U713-'ROR-Model'!G714</f>
        <v>0</v>
      </c>
    </row>
    <row r="714" spans="1:22">
      <c r="A714" s="668"/>
      <c r="B714" s="659"/>
      <c r="C714" s="659" t="s">
        <v>13</v>
      </c>
      <c r="D714" s="659"/>
      <c r="E714" s="656"/>
      <c r="F714" s="357"/>
      <c r="G714" s="357"/>
      <c r="H714" s="357"/>
      <c r="I714" s="357"/>
      <c r="J714" s="390"/>
      <c r="K714" s="390"/>
      <c r="L714" s="357"/>
      <c r="M714" s="357"/>
      <c r="N714" s="357"/>
      <c r="O714" s="357"/>
      <c r="P714" s="357"/>
      <c r="Q714" s="390"/>
      <c r="R714" s="390"/>
      <c r="S714" s="657">
        <f>SUM(F714:R714)</f>
        <v>0</v>
      </c>
      <c r="T714" s="357"/>
      <c r="U714" s="657">
        <f>SUM(S714:S714)</f>
        <v>0</v>
      </c>
      <c r="V714" s="657">
        <f>+U714-'ROR-Model'!G715</f>
        <v>0</v>
      </c>
    </row>
    <row r="715" spans="1:22">
      <c r="A715" s="668"/>
      <c r="B715" s="659"/>
      <c r="C715" s="659" t="s">
        <v>24</v>
      </c>
      <c r="D715" s="659"/>
      <c r="E715" s="656"/>
      <c r="F715" s="357"/>
      <c r="G715" s="357"/>
      <c r="H715" s="357"/>
      <c r="I715" s="357"/>
      <c r="J715" s="390"/>
      <c r="K715" s="390"/>
      <c r="L715" s="357"/>
      <c r="M715" s="357"/>
      <c r="N715" s="357"/>
      <c r="O715" s="357"/>
      <c r="P715" s="357"/>
      <c r="Q715" s="390"/>
      <c r="R715" s="390"/>
      <c r="S715" s="657">
        <f>SUM(F715:R715)</f>
        <v>0</v>
      </c>
      <c r="T715" s="357"/>
      <c r="U715" s="657">
        <f>SUM(S715:S715)</f>
        <v>0</v>
      </c>
      <c r="V715" s="657">
        <f>+U715-'ROR-Model'!G716</f>
        <v>0</v>
      </c>
    </row>
    <row r="716" spans="1:22">
      <c r="A716" s="668"/>
      <c r="B716" s="659"/>
      <c r="C716" s="659" t="s">
        <v>160</v>
      </c>
      <c r="D716" s="659"/>
      <c r="E716" s="656"/>
      <c r="F716" s="388">
        <f>SUM(F714:F715)</f>
        <v>0</v>
      </c>
      <c r="G716" s="388">
        <f>G1*SUM(G714:G715)</f>
        <v>0</v>
      </c>
      <c r="H716" s="388">
        <f>SUM(H714:H715)</f>
        <v>0</v>
      </c>
      <c r="I716" s="388">
        <f t="shared" ref="I716:P716" si="150">SUM(I714:I715)</f>
        <v>0</v>
      </c>
      <c r="J716" s="585">
        <f>J1*SUM(J714:J715)</f>
        <v>0</v>
      </c>
      <c r="K716" s="585">
        <f>K1*SUM(K714:K715)</f>
        <v>0</v>
      </c>
      <c r="L716" s="388">
        <f t="shared" si="150"/>
        <v>0</v>
      </c>
      <c r="M716" s="388">
        <f t="shared" si="150"/>
        <v>0</v>
      </c>
      <c r="N716" s="388">
        <f t="shared" si="150"/>
        <v>0</v>
      </c>
      <c r="O716" s="388">
        <f t="shared" si="150"/>
        <v>0</v>
      </c>
      <c r="P716" s="388">
        <f t="shared" si="150"/>
        <v>0</v>
      </c>
      <c r="Q716" s="585">
        <f>SUM(Q714:Q715)</f>
        <v>0</v>
      </c>
      <c r="R716" s="585">
        <f>R1*SUM(R714:R715)</f>
        <v>0</v>
      </c>
      <c r="S716" s="661">
        <f>SUM(S714:S715)</f>
        <v>0</v>
      </c>
      <c r="T716" s="388"/>
      <c r="U716" s="661">
        <f>SUM(U714:U715)</f>
        <v>0</v>
      </c>
      <c r="V716" s="661">
        <f>+U716-'ROR-Model'!G717</f>
        <v>0</v>
      </c>
    </row>
    <row r="717" spans="1:22">
      <c r="A717" s="668"/>
      <c r="B717" s="659"/>
      <c r="C717" s="659"/>
      <c r="D717" s="659"/>
      <c r="E717" s="656"/>
      <c r="F717" s="357"/>
      <c r="G717" s="357"/>
      <c r="H717" s="357"/>
      <c r="I717" s="357"/>
      <c r="J717" s="390"/>
      <c r="K717" s="390"/>
      <c r="L717" s="357"/>
      <c r="M717" s="357"/>
      <c r="N717" s="357"/>
      <c r="O717" s="357"/>
      <c r="P717" s="357"/>
      <c r="Q717" s="390"/>
      <c r="R717" s="390"/>
      <c r="S717" s="657"/>
      <c r="T717" s="357"/>
      <c r="U717" s="657"/>
      <c r="V717" s="657">
        <f>+U717-'ROR-Model'!G718</f>
        <v>0</v>
      </c>
    </row>
    <row r="718" spans="1:22">
      <c r="A718" s="668">
        <v>888</v>
      </c>
      <c r="B718" s="659" t="s">
        <v>374</v>
      </c>
      <c r="C718" s="659"/>
      <c r="D718" s="659"/>
      <c r="E718" s="656"/>
      <c r="F718" s="357"/>
      <c r="G718" s="357"/>
      <c r="H718" s="357"/>
      <c r="I718" s="357"/>
      <c r="J718" s="390"/>
      <c r="K718" s="390"/>
      <c r="L718" s="357"/>
      <c r="M718" s="357"/>
      <c r="N718" s="357"/>
      <c r="O718" s="357"/>
      <c r="P718" s="357"/>
      <c r="Q718" s="390"/>
      <c r="R718" s="390"/>
      <c r="S718" s="657"/>
      <c r="T718" s="357"/>
      <c r="U718" s="657"/>
      <c r="V718" s="657">
        <f>+U718-'ROR-Model'!G719</f>
        <v>0</v>
      </c>
    </row>
    <row r="719" spans="1:22">
      <c r="A719" s="668"/>
      <c r="B719" s="659"/>
      <c r="C719" s="659" t="s">
        <v>13</v>
      </c>
      <c r="D719" s="659"/>
      <c r="E719" s="656"/>
      <c r="F719" s="357"/>
      <c r="G719" s="357"/>
      <c r="H719" s="357"/>
      <c r="I719" s="357"/>
      <c r="J719" s="390"/>
      <c r="K719" s="390"/>
      <c r="L719" s="357"/>
      <c r="M719" s="357"/>
      <c r="N719" s="357"/>
      <c r="O719" s="357"/>
      <c r="P719" s="357"/>
      <c r="Q719" s="390"/>
      <c r="R719" s="390"/>
      <c r="S719" s="657">
        <f>SUM(F719:R719)</f>
        <v>0</v>
      </c>
      <c r="T719" s="357"/>
      <c r="U719" s="657">
        <f>SUM(S719:S719)</f>
        <v>0</v>
      </c>
      <c r="V719" s="657">
        <f>+U719-'ROR-Model'!G720</f>
        <v>0</v>
      </c>
    </row>
    <row r="720" spans="1:22">
      <c r="A720" s="668"/>
      <c r="B720" s="659"/>
      <c r="C720" s="659" t="s">
        <v>24</v>
      </c>
      <c r="D720" s="659"/>
      <c r="E720" s="656"/>
      <c r="F720" s="357"/>
      <c r="G720" s="357"/>
      <c r="H720" s="357"/>
      <c r="I720" s="357"/>
      <c r="J720" s="390"/>
      <c r="K720" s="390"/>
      <c r="L720" s="357"/>
      <c r="M720" s="357"/>
      <c r="N720" s="357"/>
      <c r="O720" s="357"/>
      <c r="P720" s="357"/>
      <c r="Q720" s="390"/>
      <c r="R720" s="390"/>
      <c r="S720" s="657">
        <f>SUM(F720:R720)</f>
        <v>0</v>
      </c>
      <c r="T720" s="357"/>
      <c r="U720" s="657">
        <f>SUM(S720:S720)</f>
        <v>0</v>
      </c>
      <c r="V720" s="657">
        <f>+U720-'ROR-Model'!G721</f>
        <v>0</v>
      </c>
    </row>
    <row r="721" spans="1:22">
      <c r="A721" s="668"/>
      <c r="B721" s="659"/>
      <c r="C721" s="659" t="s">
        <v>160</v>
      </c>
      <c r="D721" s="659"/>
      <c r="E721" s="656"/>
      <c r="F721" s="388">
        <f>SUM(F719:F720)</f>
        <v>0</v>
      </c>
      <c r="G721" s="388">
        <f>G1*SUM(G719:G720)</f>
        <v>0</v>
      </c>
      <c r="H721" s="388">
        <f>SUM(H719:H720)</f>
        <v>0</v>
      </c>
      <c r="I721" s="388">
        <f t="shared" ref="I721:P721" si="151">SUM(I719:I720)</f>
        <v>0</v>
      </c>
      <c r="J721" s="585">
        <f>J1*SUM(J719:J720)</f>
        <v>0</v>
      </c>
      <c r="K721" s="585">
        <f>K1*SUM(K719:K720)</f>
        <v>0</v>
      </c>
      <c r="L721" s="388">
        <f t="shared" si="151"/>
        <v>0</v>
      </c>
      <c r="M721" s="388">
        <f t="shared" si="151"/>
        <v>0</v>
      </c>
      <c r="N721" s="388">
        <f t="shared" si="151"/>
        <v>0</v>
      </c>
      <c r="O721" s="388">
        <f t="shared" si="151"/>
        <v>0</v>
      </c>
      <c r="P721" s="388">
        <f t="shared" si="151"/>
        <v>0</v>
      </c>
      <c r="Q721" s="585">
        <f>SUM(Q719:Q720)</f>
        <v>0</v>
      </c>
      <c r="R721" s="585">
        <f>R1*SUM(R719:R720)</f>
        <v>0</v>
      </c>
      <c r="S721" s="661">
        <f>SUM(S719:S720)</f>
        <v>0</v>
      </c>
      <c r="T721" s="388"/>
      <c r="U721" s="661">
        <f>SUM(U719:U720)</f>
        <v>0</v>
      </c>
      <c r="V721" s="661">
        <f>+U721-'ROR-Model'!G722</f>
        <v>0</v>
      </c>
    </row>
    <row r="722" spans="1:22">
      <c r="A722" s="668"/>
      <c r="B722" s="659"/>
      <c r="C722" s="659"/>
      <c r="D722" s="659"/>
      <c r="E722" s="656"/>
      <c r="F722" s="357"/>
      <c r="G722" s="357"/>
      <c r="H722" s="357"/>
      <c r="I722" s="357"/>
      <c r="J722" s="390"/>
      <c r="K722" s="390"/>
      <c r="L722" s="357"/>
      <c r="M722" s="357"/>
      <c r="N722" s="357"/>
      <c r="O722" s="357"/>
      <c r="P722" s="357"/>
      <c r="Q722" s="390"/>
      <c r="R722" s="390"/>
      <c r="S722" s="657"/>
      <c r="T722" s="357"/>
      <c r="U722" s="657"/>
      <c r="V722" s="657">
        <f>+U722-'ROR-Model'!G723</f>
        <v>0</v>
      </c>
    </row>
    <row r="723" spans="1:22">
      <c r="A723" s="668">
        <v>889</v>
      </c>
      <c r="B723" s="659" t="s">
        <v>375</v>
      </c>
      <c r="C723" s="659"/>
      <c r="D723" s="659"/>
      <c r="E723" s="656"/>
      <c r="F723" s="357"/>
      <c r="G723" s="357"/>
      <c r="H723" s="357"/>
      <c r="I723" s="357"/>
      <c r="J723" s="390"/>
      <c r="K723" s="390"/>
      <c r="L723" s="357"/>
      <c r="M723" s="357"/>
      <c r="N723" s="357"/>
      <c r="O723" s="357"/>
      <c r="P723" s="357"/>
      <c r="Q723" s="390"/>
      <c r="R723" s="390"/>
      <c r="S723" s="657"/>
      <c r="T723" s="357"/>
      <c r="U723" s="657"/>
      <c r="V723" s="657">
        <f>+U723-'ROR-Model'!G724</f>
        <v>0</v>
      </c>
    </row>
    <row r="724" spans="1:22">
      <c r="A724" s="668"/>
      <c r="B724" s="659"/>
      <c r="C724" s="659" t="s">
        <v>13</v>
      </c>
      <c r="D724" s="659"/>
      <c r="E724" s="656"/>
      <c r="F724" s="357"/>
      <c r="G724" s="357"/>
      <c r="H724" s="357"/>
      <c r="I724" s="357"/>
      <c r="J724" s="390"/>
      <c r="K724" s="390"/>
      <c r="L724" s="357"/>
      <c r="M724" s="357"/>
      <c r="N724" s="357"/>
      <c r="O724" s="357"/>
      <c r="P724" s="357"/>
      <c r="Q724" s="390"/>
      <c r="R724" s="390"/>
      <c r="S724" s="657">
        <f>SUM(F724:R724)</f>
        <v>0</v>
      </c>
      <c r="T724" s="357"/>
      <c r="U724" s="657">
        <f>SUM(S724:S724)</f>
        <v>0</v>
      </c>
      <c r="V724" s="657">
        <f>+U724-'ROR-Model'!G725</f>
        <v>0</v>
      </c>
    </row>
    <row r="725" spans="1:22">
      <c r="A725" s="668"/>
      <c r="B725" s="659"/>
      <c r="C725" s="659" t="s">
        <v>24</v>
      </c>
      <c r="D725" s="659"/>
      <c r="E725" s="656"/>
      <c r="F725" s="357"/>
      <c r="G725" s="357"/>
      <c r="H725" s="357"/>
      <c r="I725" s="357"/>
      <c r="J725" s="390"/>
      <c r="K725" s="390"/>
      <c r="L725" s="357"/>
      <c r="M725" s="357"/>
      <c r="N725" s="357"/>
      <c r="O725" s="357"/>
      <c r="P725" s="357"/>
      <c r="Q725" s="390"/>
      <c r="R725" s="390"/>
      <c r="S725" s="657">
        <f>SUM(F725:R725)</f>
        <v>0</v>
      </c>
      <c r="T725" s="357"/>
      <c r="U725" s="657">
        <f>SUM(S725:S725)</f>
        <v>0</v>
      </c>
      <c r="V725" s="657">
        <f>+U725-'ROR-Model'!G726</f>
        <v>0</v>
      </c>
    </row>
    <row r="726" spans="1:22">
      <c r="A726" s="668"/>
      <c r="B726" s="659"/>
      <c r="C726" s="659" t="s">
        <v>160</v>
      </c>
      <c r="D726" s="659"/>
      <c r="E726" s="656"/>
      <c r="F726" s="388">
        <f>SUM(F724:F725)</f>
        <v>0</v>
      </c>
      <c r="G726" s="388">
        <f>G1*SUM(G724:G725)</f>
        <v>0</v>
      </c>
      <c r="H726" s="388">
        <f>SUM(H724:H725)</f>
        <v>0</v>
      </c>
      <c r="I726" s="388">
        <f t="shared" ref="I726:P726" si="152">SUM(I724:I725)</f>
        <v>0</v>
      </c>
      <c r="J726" s="585">
        <f>J1*SUM(J724:J725)</f>
        <v>0</v>
      </c>
      <c r="K726" s="585">
        <f>K1*SUM(K724:K725)</f>
        <v>0</v>
      </c>
      <c r="L726" s="388">
        <f t="shared" si="152"/>
        <v>0</v>
      </c>
      <c r="M726" s="388">
        <f t="shared" si="152"/>
        <v>0</v>
      </c>
      <c r="N726" s="388">
        <f t="shared" si="152"/>
        <v>0</v>
      </c>
      <c r="O726" s="388">
        <f t="shared" si="152"/>
        <v>0</v>
      </c>
      <c r="P726" s="388">
        <f t="shared" si="152"/>
        <v>0</v>
      </c>
      <c r="Q726" s="585">
        <f>SUM(Q724:Q725)</f>
        <v>0</v>
      </c>
      <c r="R726" s="585">
        <f>R1*SUM(R724:R725)</f>
        <v>0</v>
      </c>
      <c r="S726" s="661">
        <f>SUM(S724:S725)</f>
        <v>0</v>
      </c>
      <c r="T726" s="388"/>
      <c r="U726" s="661">
        <f>SUM(U724:U725)</f>
        <v>0</v>
      </c>
      <c r="V726" s="661">
        <f>+U726-'ROR-Model'!G727</f>
        <v>0</v>
      </c>
    </row>
    <row r="727" spans="1:22">
      <c r="A727" s="668"/>
      <c r="B727" s="659"/>
      <c r="C727" s="659"/>
      <c r="D727" s="659"/>
      <c r="E727" s="656"/>
      <c r="F727" s="357"/>
      <c r="G727" s="357"/>
      <c r="H727" s="357"/>
      <c r="I727" s="357"/>
      <c r="J727" s="390"/>
      <c r="K727" s="390"/>
      <c r="L727" s="357"/>
      <c r="M727" s="357"/>
      <c r="N727" s="357"/>
      <c r="O727" s="357"/>
      <c r="P727" s="357"/>
      <c r="Q727" s="390"/>
      <c r="R727" s="390"/>
      <c r="S727" s="657"/>
      <c r="T727" s="357"/>
      <c r="U727" s="657"/>
      <c r="V727" s="657">
        <f>+U727-'ROR-Model'!G728</f>
        <v>0</v>
      </c>
    </row>
    <row r="728" spans="1:22">
      <c r="A728" s="668">
        <v>892</v>
      </c>
      <c r="B728" s="659" t="s">
        <v>376</v>
      </c>
      <c r="C728" s="659"/>
      <c r="D728" s="659"/>
      <c r="E728" s="656"/>
      <c r="F728" s="357"/>
      <c r="G728" s="357"/>
      <c r="H728" s="357"/>
      <c r="I728" s="357"/>
      <c r="J728" s="390"/>
      <c r="K728" s="390"/>
      <c r="L728" s="357"/>
      <c r="M728" s="357"/>
      <c r="N728" s="357"/>
      <c r="O728" s="357"/>
      <c r="P728" s="357"/>
      <c r="Q728" s="390"/>
      <c r="R728" s="390"/>
      <c r="S728" s="657"/>
      <c r="T728" s="357"/>
      <c r="U728" s="657"/>
      <c r="V728" s="657">
        <f>+U728-'ROR-Model'!G729</f>
        <v>0</v>
      </c>
    </row>
    <row r="729" spans="1:22">
      <c r="A729" s="668"/>
      <c r="B729" s="659"/>
      <c r="C729" s="659" t="s">
        <v>13</v>
      </c>
      <c r="D729" s="659"/>
      <c r="E729" s="656"/>
      <c r="F729" s="357"/>
      <c r="G729" s="357"/>
      <c r="H729" s="357"/>
      <c r="I729" s="357"/>
      <c r="J729" s="390"/>
      <c r="K729" s="390"/>
      <c r="L729" s="357"/>
      <c r="M729" s="357"/>
      <c r="N729" s="357"/>
      <c r="O729" s="357"/>
      <c r="P729" s="357"/>
      <c r="Q729" s="390"/>
      <c r="R729" s="390"/>
      <c r="S729" s="657">
        <f>SUM(F729:R729)</f>
        <v>0</v>
      </c>
      <c r="T729" s="357"/>
      <c r="U729" s="657">
        <f>SUM(S729:S729)</f>
        <v>0</v>
      </c>
      <c r="V729" s="657">
        <f>+U729-'ROR-Model'!G730</f>
        <v>0</v>
      </c>
    </row>
    <row r="730" spans="1:22">
      <c r="A730" s="668"/>
      <c r="B730" s="659"/>
      <c r="C730" s="659" t="s">
        <v>24</v>
      </c>
      <c r="D730" s="659"/>
      <c r="E730" s="656"/>
      <c r="F730" s="357"/>
      <c r="G730" s="357"/>
      <c r="H730" s="357"/>
      <c r="I730" s="357"/>
      <c r="J730" s="390"/>
      <c r="K730" s="390"/>
      <c r="L730" s="357"/>
      <c r="M730" s="357"/>
      <c r="N730" s="357"/>
      <c r="O730" s="357"/>
      <c r="P730" s="357"/>
      <c r="Q730" s="390"/>
      <c r="R730" s="390"/>
      <c r="S730" s="657">
        <f>SUM(F730:R730)</f>
        <v>0</v>
      </c>
      <c r="T730" s="357"/>
      <c r="U730" s="657">
        <f>SUM(S730:S730)</f>
        <v>0</v>
      </c>
      <c r="V730" s="657">
        <f>+U730-'ROR-Model'!G731</f>
        <v>0</v>
      </c>
    </row>
    <row r="731" spans="1:22">
      <c r="A731" s="668"/>
      <c r="B731" s="659"/>
      <c r="C731" s="659" t="s">
        <v>160</v>
      </c>
      <c r="D731" s="659"/>
      <c r="E731" s="656"/>
      <c r="F731" s="388">
        <f>SUM(F729:F730)</f>
        <v>0</v>
      </c>
      <c r="G731" s="388">
        <f>G1*SUM(G729:G730)</f>
        <v>0</v>
      </c>
      <c r="H731" s="388">
        <f>SUM(H729:H730)</f>
        <v>0</v>
      </c>
      <c r="I731" s="388">
        <f t="shared" ref="I731:P731" si="153">SUM(I729:I730)</f>
        <v>0</v>
      </c>
      <c r="J731" s="585">
        <f>J1*SUM(J729:J730)</f>
        <v>0</v>
      </c>
      <c r="K731" s="585">
        <f>K1*SUM(K729:K730)</f>
        <v>0</v>
      </c>
      <c r="L731" s="388">
        <f t="shared" si="153"/>
        <v>0</v>
      </c>
      <c r="M731" s="388">
        <f t="shared" si="153"/>
        <v>0</v>
      </c>
      <c r="N731" s="388">
        <f t="shared" si="153"/>
        <v>0</v>
      </c>
      <c r="O731" s="388">
        <f t="shared" si="153"/>
        <v>0</v>
      </c>
      <c r="P731" s="388">
        <f t="shared" si="153"/>
        <v>0</v>
      </c>
      <c r="Q731" s="585">
        <f>SUM(Q729:Q730)</f>
        <v>0</v>
      </c>
      <c r="R731" s="585">
        <f>R1*SUM(R729:R730)</f>
        <v>0</v>
      </c>
      <c r="S731" s="661">
        <f>SUM(S729:S730)</f>
        <v>0</v>
      </c>
      <c r="T731" s="388"/>
      <c r="U731" s="661">
        <f>SUM(U729:U730)</f>
        <v>0</v>
      </c>
      <c r="V731" s="661">
        <f>+U731-'ROR-Model'!G732</f>
        <v>0</v>
      </c>
    </row>
    <row r="732" spans="1:22">
      <c r="A732" s="668"/>
      <c r="B732" s="659"/>
      <c r="C732" s="659"/>
      <c r="D732" s="659"/>
      <c r="E732" s="656"/>
      <c r="F732" s="357"/>
      <c r="G732" s="357"/>
      <c r="H732" s="357"/>
      <c r="I732" s="357"/>
      <c r="J732" s="390"/>
      <c r="K732" s="390"/>
      <c r="L732" s="357"/>
      <c r="M732" s="357"/>
      <c r="N732" s="357"/>
      <c r="O732" s="357"/>
      <c r="P732" s="357"/>
      <c r="Q732" s="390"/>
      <c r="R732" s="390"/>
      <c r="S732" s="657"/>
      <c r="T732" s="357"/>
      <c r="U732" s="657"/>
      <c r="V732" s="657">
        <f>+U732-'ROR-Model'!G733</f>
        <v>0</v>
      </c>
    </row>
    <row r="733" spans="1:22">
      <c r="A733" s="668">
        <v>893</v>
      </c>
      <c r="B733" s="659" t="s">
        <v>378</v>
      </c>
      <c r="C733" s="659"/>
      <c r="D733" s="659"/>
      <c r="E733" s="656"/>
      <c r="F733" s="357"/>
      <c r="G733" s="357"/>
      <c r="H733" s="357"/>
      <c r="I733" s="357"/>
      <c r="J733" s="390"/>
      <c r="K733" s="390"/>
      <c r="L733" s="357"/>
      <c r="M733" s="357"/>
      <c r="N733" s="357"/>
      <c r="O733" s="357"/>
      <c r="P733" s="357"/>
      <c r="Q733" s="390"/>
      <c r="R733" s="390"/>
      <c r="S733" s="657"/>
      <c r="T733" s="357"/>
      <c r="U733" s="657"/>
      <c r="V733" s="657">
        <f>+U733-'ROR-Model'!G734</f>
        <v>0</v>
      </c>
    </row>
    <row r="734" spans="1:22">
      <c r="A734" s="668"/>
      <c r="B734" s="659"/>
      <c r="C734" s="659" t="s">
        <v>13</v>
      </c>
      <c r="D734" s="659"/>
      <c r="E734" s="656"/>
      <c r="F734" s="357"/>
      <c r="G734" s="357"/>
      <c r="H734" s="357"/>
      <c r="I734" s="357"/>
      <c r="J734" s="390"/>
      <c r="K734" s="390"/>
      <c r="L734" s="357"/>
      <c r="M734" s="357"/>
      <c r="N734" s="357"/>
      <c r="O734" s="357"/>
      <c r="P734" s="357"/>
      <c r="Q734" s="390"/>
      <c r="R734" s="390"/>
      <c r="S734" s="657">
        <f>SUM(F734:R734)</f>
        <v>0</v>
      </c>
      <c r="T734" s="357"/>
      <c r="U734" s="657">
        <f>SUM(S734:S734)</f>
        <v>0</v>
      </c>
      <c r="V734" s="657">
        <f>+U734-'ROR-Model'!G735</f>
        <v>0</v>
      </c>
    </row>
    <row r="735" spans="1:22">
      <c r="A735" s="668"/>
      <c r="B735" s="659"/>
      <c r="C735" s="659" t="s">
        <v>24</v>
      </c>
      <c r="D735" s="659"/>
      <c r="E735" s="656"/>
      <c r="F735" s="357"/>
      <c r="G735" s="357"/>
      <c r="H735" s="357"/>
      <c r="I735" s="357"/>
      <c r="J735" s="390"/>
      <c r="K735" s="390"/>
      <c r="L735" s="357"/>
      <c r="M735" s="357"/>
      <c r="N735" s="357"/>
      <c r="O735" s="357"/>
      <c r="P735" s="357"/>
      <c r="Q735" s="390"/>
      <c r="R735" s="390"/>
      <c r="S735" s="657">
        <f>SUM(F735:R735)</f>
        <v>0</v>
      </c>
      <c r="T735" s="357"/>
      <c r="U735" s="657">
        <f>SUM(S735:S735)</f>
        <v>0</v>
      </c>
      <c r="V735" s="657">
        <f>+U735-'ROR-Model'!G736</f>
        <v>0</v>
      </c>
    </row>
    <row r="736" spans="1:22">
      <c r="A736" s="668"/>
      <c r="B736" s="659"/>
      <c r="C736" s="659" t="s">
        <v>160</v>
      </c>
      <c r="D736" s="659"/>
      <c r="E736" s="656"/>
      <c r="F736" s="388">
        <f>SUM(F734:F735)</f>
        <v>0</v>
      </c>
      <c r="G736" s="388">
        <f>G1*SUM(G734:G735)</f>
        <v>0</v>
      </c>
      <c r="H736" s="388">
        <f>SUM(H734:H735)</f>
        <v>0</v>
      </c>
      <c r="I736" s="388">
        <f t="shared" ref="I736:P736" si="154">SUM(I734:I735)</f>
        <v>0</v>
      </c>
      <c r="J736" s="585">
        <f>J1*SUM(J734:J735)</f>
        <v>0</v>
      </c>
      <c r="K736" s="585">
        <f>K1*SUM(K734:K735)</f>
        <v>0</v>
      </c>
      <c r="L736" s="388">
        <f t="shared" si="154"/>
        <v>0</v>
      </c>
      <c r="M736" s="388">
        <f t="shared" si="154"/>
        <v>0</v>
      </c>
      <c r="N736" s="388">
        <f t="shared" si="154"/>
        <v>0</v>
      </c>
      <c r="O736" s="388">
        <f t="shared" si="154"/>
        <v>0</v>
      </c>
      <c r="P736" s="388">
        <f t="shared" si="154"/>
        <v>0</v>
      </c>
      <c r="Q736" s="585">
        <f>SUM(Q734:Q735)</f>
        <v>0</v>
      </c>
      <c r="R736" s="585">
        <f>R1*SUM(R734:R735)</f>
        <v>0</v>
      </c>
      <c r="S736" s="661">
        <f>SUM(S734:S735)</f>
        <v>0</v>
      </c>
      <c r="T736" s="388"/>
      <c r="U736" s="661">
        <f>SUM(U734:U735)</f>
        <v>0</v>
      </c>
      <c r="V736" s="661">
        <f>+U736-'ROR-Model'!G737</f>
        <v>0</v>
      </c>
    </row>
    <row r="737" spans="1:22">
      <c r="A737" s="668"/>
      <c r="B737" s="659"/>
      <c r="C737" s="659"/>
      <c r="D737" s="659"/>
      <c r="E737" s="656"/>
      <c r="F737" s="357"/>
      <c r="G737" s="357"/>
      <c r="H737" s="357"/>
      <c r="I737" s="357"/>
      <c r="J737" s="390"/>
      <c r="K737" s="390"/>
      <c r="L737" s="357"/>
      <c r="M737" s="357"/>
      <c r="N737" s="357"/>
      <c r="O737" s="357"/>
      <c r="P737" s="357"/>
      <c r="Q737" s="390"/>
      <c r="R737" s="390"/>
      <c r="S737" s="657"/>
      <c r="T737" s="357"/>
      <c r="U737" s="657"/>
      <c r="V737" s="657">
        <f>+U737-'ROR-Model'!G738</f>
        <v>0</v>
      </c>
    </row>
    <row r="738" spans="1:22">
      <c r="A738" s="668">
        <v>8941</v>
      </c>
      <c r="B738" s="659" t="s">
        <v>380</v>
      </c>
      <c r="C738" s="659"/>
      <c r="D738" s="659"/>
      <c r="E738" s="656"/>
      <c r="F738" s="357"/>
      <c r="G738" s="357"/>
      <c r="H738" s="357"/>
      <c r="I738" s="357"/>
      <c r="J738" s="390"/>
      <c r="K738" s="390"/>
      <c r="L738" s="357"/>
      <c r="M738" s="357"/>
      <c r="N738" s="357"/>
      <c r="O738" s="357"/>
      <c r="P738" s="357"/>
      <c r="Q738" s="390"/>
      <c r="R738" s="390"/>
      <c r="S738" s="657"/>
      <c r="T738" s="357"/>
      <c r="U738" s="657"/>
      <c r="V738" s="657">
        <f>+U738-'ROR-Model'!G739</f>
        <v>0</v>
      </c>
    </row>
    <row r="739" spans="1:22">
      <c r="A739" s="668"/>
      <c r="B739" s="659"/>
      <c r="C739" s="659" t="s">
        <v>13</v>
      </c>
      <c r="D739" s="659"/>
      <c r="E739" s="656"/>
      <c r="F739" s="357"/>
      <c r="G739" s="357"/>
      <c r="H739" s="357"/>
      <c r="I739" s="357"/>
      <c r="J739" s="390"/>
      <c r="K739" s="390"/>
      <c r="L739" s="357"/>
      <c r="M739" s="357"/>
      <c r="N739" s="357"/>
      <c r="O739" s="357"/>
      <c r="P739" s="357"/>
      <c r="Q739" s="390"/>
      <c r="R739" s="390"/>
      <c r="S739" s="657">
        <f>SUM(F739:R739)</f>
        <v>0</v>
      </c>
      <c r="T739" s="357"/>
      <c r="U739" s="657">
        <f>SUM(S739:S739)</f>
        <v>0</v>
      </c>
      <c r="V739" s="657">
        <f>+U739-'ROR-Model'!G740</f>
        <v>0</v>
      </c>
    </row>
    <row r="740" spans="1:22">
      <c r="A740" s="668"/>
      <c r="B740" s="659"/>
      <c r="C740" s="659" t="s">
        <v>24</v>
      </c>
      <c r="D740" s="659"/>
      <c r="E740" s="656"/>
      <c r="F740" s="357"/>
      <c r="G740" s="357"/>
      <c r="H740" s="357"/>
      <c r="I740" s="357"/>
      <c r="J740" s="390"/>
      <c r="K740" s="390"/>
      <c r="L740" s="357"/>
      <c r="M740" s="357"/>
      <c r="N740" s="357"/>
      <c r="O740" s="357"/>
      <c r="P740" s="357"/>
      <c r="Q740" s="390"/>
      <c r="R740" s="390"/>
      <c r="S740" s="657">
        <f>SUM(F740:R740)</f>
        <v>0</v>
      </c>
      <c r="T740" s="357"/>
      <c r="U740" s="657">
        <f>SUM(S740:S740)</f>
        <v>0</v>
      </c>
      <c r="V740" s="657">
        <f>+U740-'ROR-Model'!G741</f>
        <v>0</v>
      </c>
    </row>
    <row r="741" spans="1:22">
      <c r="A741" s="668"/>
      <c r="B741" s="659"/>
      <c r="C741" s="659" t="s">
        <v>160</v>
      </c>
      <c r="D741" s="659"/>
      <c r="E741" s="656"/>
      <c r="F741" s="388">
        <f>SUM(F739:F740)</f>
        <v>0</v>
      </c>
      <c r="G741" s="388">
        <f>G1*SUM(G739:G740)</f>
        <v>0</v>
      </c>
      <c r="H741" s="388">
        <f>SUM(H739:H740)</f>
        <v>0</v>
      </c>
      <c r="I741" s="388">
        <f t="shared" ref="I741:P741" si="155">SUM(I739:I740)</f>
        <v>0</v>
      </c>
      <c r="J741" s="585">
        <f>J1*SUM(J739:J740)</f>
        <v>0</v>
      </c>
      <c r="K741" s="585">
        <f>K1*SUM(K739:K740)</f>
        <v>0</v>
      </c>
      <c r="L741" s="388">
        <f t="shared" si="155"/>
        <v>0</v>
      </c>
      <c r="M741" s="388">
        <f t="shared" si="155"/>
        <v>0</v>
      </c>
      <c r="N741" s="388">
        <f t="shared" si="155"/>
        <v>0</v>
      </c>
      <c r="O741" s="388">
        <f t="shared" si="155"/>
        <v>0</v>
      </c>
      <c r="P741" s="388">
        <f t="shared" si="155"/>
        <v>0</v>
      </c>
      <c r="Q741" s="585">
        <f>SUM(Q739:Q740)</f>
        <v>0</v>
      </c>
      <c r="R741" s="585">
        <f>R1*SUM(R739:R740)</f>
        <v>0</v>
      </c>
      <c r="S741" s="661">
        <f>SUM(S739:S740)</f>
        <v>0</v>
      </c>
      <c r="T741" s="388"/>
      <c r="U741" s="661">
        <f>SUM(U739:U740)</f>
        <v>0</v>
      </c>
      <c r="V741" s="661">
        <f>+U741-'ROR-Model'!G742</f>
        <v>0</v>
      </c>
    </row>
    <row r="742" spans="1:22">
      <c r="A742" s="668"/>
      <c r="B742" s="659"/>
      <c r="C742" s="659"/>
      <c r="D742" s="659"/>
      <c r="E742" s="656"/>
      <c r="F742" s="357"/>
      <c r="G742" s="357"/>
      <c r="H742" s="357"/>
      <c r="I742" s="357"/>
      <c r="J742" s="390"/>
      <c r="K742" s="390"/>
      <c r="L742" s="357"/>
      <c r="M742" s="357"/>
      <c r="N742" s="357"/>
      <c r="O742" s="357"/>
      <c r="P742" s="357"/>
      <c r="Q742" s="390"/>
      <c r="R742" s="390"/>
      <c r="S742" s="657"/>
      <c r="T742" s="357"/>
      <c r="U742" s="657"/>
      <c r="V742" s="657">
        <f>+U742-'ROR-Model'!G743</f>
        <v>0</v>
      </c>
    </row>
    <row r="743" spans="1:22">
      <c r="A743" s="668">
        <v>8942</v>
      </c>
      <c r="B743" s="659" t="s">
        <v>382</v>
      </c>
      <c r="C743" s="659"/>
      <c r="D743" s="659"/>
      <c r="E743" s="656"/>
      <c r="F743" s="357"/>
      <c r="G743" s="357"/>
      <c r="H743" s="357"/>
      <c r="I743" s="357"/>
      <c r="J743" s="390"/>
      <c r="K743" s="390"/>
      <c r="L743" s="357"/>
      <c r="M743" s="357"/>
      <c r="N743" s="357"/>
      <c r="O743" s="357"/>
      <c r="P743" s="357"/>
      <c r="Q743" s="390"/>
      <c r="R743" s="390"/>
      <c r="S743" s="657"/>
      <c r="T743" s="357"/>
      <c r="U743" s="657"/>
      <c r="V743" s="657">
        <f>+U743-'ROR-Model'!G744</f>
        <v>0</v>
      </c>
    </row>
    <row r="744" spans="1:22">
      <c r="A744" s="660"/>
      <c r="B744" s="659"/>
      <c r="C744" s="659" t="s">
        <v>13</v>
      </c>
      <c r="D744" s="659"/>
      <c r="E744" s="656"/>
      <c r="F744" s="357"/>
      <c r="G744" s="357"/>
      <c r="H744" s="357"/>
      <c r="I744" s="357"/>
      <c r="J744" s="390"/>
      <c r="K744" s="390"/>
      <c r="L744" s="357"/>
      <c r="M744" s="357"/>
      <c r="N744" s="357"/>
      <c r="O744" s="357"/>
      <c r="P744" s="357"/>
      <c r="Q744" s="390"/>
      <c r="R744" s="390"/>
      <c r="S744" s="657">
        <f>SUM(F744:R744)</f>
        <v>0</v>
      </c>
      <c r="T744" s="357"/>
      <c r="U744" s="657">
        <f>SUM(S744:S744)</f>
        <v>0</v>
      </c>
      <c r="V744" s="657">
        <f>+U744-'ROR-Model'!G745</f>
        <v>0</v>
      </c>
    </row>
    <row r="745" spans="1:22">
      <c r="A745" s="660"/>
      <c r="B745" s="659"/>
      <c r="C745" s="659" t="s">
        <v>24</v>
      </c>
      <c r="D745" s="659"/>
      <c r="E745" s="656"/>
      <c r="F745" s="357"/>
      <c r="G745" s="357"/>
      <c r="H745" s="357"/>
      <c r="I745" s="357"/>
      <c r="J745" s="390"/>
      <c r="K745" s="390"/>
      <c r="L745" s="357"/>
      <c r="M745" s="357"/>
      <c r="N745" s="357"/>
      <c r="O745" s="357"/>
      <c r="P745" s="357"/>
      <c r="Q745" s="390"/>
      <c r="R745" s="390"/>
      <c r="S745" s="657">
        <f>SUM(F745:R745)</f>
        <v>0</v>
      </c>
      <c r="T745" s="357"/>
      <c r="U745" s="657">
        <f>SUM(S745:S745)</f>
        <v>0</v>
      </c>
      <c r="V745" s="657">
        <f>+U745-'ROR-Model'!G746</f>
        <v>0</v>
      </c>
    </row>
    <row r="746" spans="1:22">
      <c r="A746" s="660"/>
      <c r="B746" s="659"/>
      <c r="C746" s="659" t="s">
        <v>160</v>
      </c>
      <c r="D746" s="659"/>
      <c r="E746" s="656"/>
      <c r="F746" s="388">
        <f>SUM(F744:F745)</f>
        <v>0</v>
      </c>
      <c r="G746" s="388">
        <f>G1*SUM(G744:G745)</f>
        <v>0</v>
      </c>
      <c r="H746" s="388">
        <f>SUM(H744:H745)</f>
        <v>0</v>
      </c>
      <c r="I746" s="388">
        <f t="shared" ref="I746:P746" si="156">SUM(I744:I745)</f>
        <v>0</v>
      </c>
      <c r="J746" s="585">
        <f>J1*SUM(J744:J745)</f>
        <v>0</v>
      </c>
      <c r="K746" s="585">
        <f>K1*SUM(K744:K745)</f>
        <v>0</v>
      </c>
      <c r="L746" s="388">
        <f t="shared" si="156"/>
        <v>0</v>
      </c>
      <c r="M746" s="388">
        <f t="shared" si="156"/>
        <v>0</v>
      </c>
      <c r="N746" s="388">
        <f t="shared" si="156"/>
        <v>0</v>
      </c>
      <c r="O746" s="388">
        <f t="shared" si="156"/>
        <v>0</v>
      </c>
      <c r="P746" s="388">
        <f t="shared" si="156"/>
        <v>0</v>
      </c>
      <c r="Q746" s="585">
        <f>SUM(Q744:Q745)</f>
        <v>0</v>
      </c>
      <c r="R746" s="585">
        <f>R1*SUM(R744:R745)</f>
        <v>0</v>
      </c>
      <c r="S746" s="661">
        <f>SUM(S744:S745)</f>
        <v>0</v>
      </c>
      <c r="T746" s="388"/>
      <c r="U746" s="661">
        <f>SUM(U744:U745)</f>
        <v>0</v>
      </c>
      <c r="V746" s="661">
        <f>+U746-'ROR-Model'!G747</f>
        <v>0</v>
      </c>
    </row>
    <row r="747" spans="1:22" ht="13.5" thickBot="1">
      <c r="A747" s="660"/>
      <c r="B747" s="659"/>
      <c r="C747" s="659"/>
      <c r="D747" s="659"/>
      <c r="E747" s="656"/>
      <c r="F747" s="579"/>
      <c r="G747" s="579"/>
      <c r="H747" s="579"/>
      <c r="I747" s="579"/>
      <c r="J747" s="586"/>
      <c r="K747" s="586"/>
      <c r="L747" s="579"/>
      <c r="M747" s="579"/>
      <c r="N747" s="579"/>
      <c r="O747" s="579"/>
      <c r="P747" s="579"/>
      <c r="Q747" s="586"/>
      <c r="R747" s="586"/>
      <c r="S747" s="663"/>
      <c r="T747" s="579"/>
      <c r="U747" s="663"/>
      <c r="V747" s="663">
        <f>+U747-'ROR-Model'!G748</f>
        <v>0</v>
      </c>
    </row>
    <row r="748" spans="1:22" ht="13.5" thickTop="1">
      <c r="A748" s="189" t="s">
        <v>553</v>
      </c>
      <c r="B748" s="659"/>
      <c r="C748" s="659"/>
      <c r="D748" s="659"/>
      <c r="E748" s="656"/>
      <c r="F748" s="357"/>
      <c r="G748" s="357"/>
      <c r="H748" s="357"/>
      <c r="I748" s="357"/>
      <c r="J748" s="390"/>
      <c r="K748" s="390"/>
      <c r="L748" s="357"/>
      <c r="M748" s="357"/>
      <c r="N748" s="357"/>
      <c r="O748" s="357"/>
      <c r="P748" s="357"/>
      <c r="Q748" s="390"/>
      <c r="R748" s="390"/>
      <c r="S748" s="657"/>
      <c r="T748" s="357"/>
      <c r="U748" s="657"/>
      <c r="V748" s="657">
        <f>+U748-'ROR-Model'!G749</f>
        <v>0</v>
      </c>
    </row>
    <row r="749" spans="1:22">
      <c r="A749" s="660"/>
      <c r="B749" s="659" t="s">
        <v>551</v>
      </c>
      <c r="C749" s="659"/>
      <c r="D749" s="659"/>
      <c r="E749" s="656"/>
      <c r="F749" s="357">
        <f>F654+F659+F664+F669+F674+F679+F684+F689+F694+F699+F704+F709+F714+F719+F724+F729+F734+F739+F744</f>
        <v>0</v>
      </c>
      <c r="G749" s="357">
        <f>G1*G654+G659+G664+G669+G674+G679+G684+G689+G694+G699+G704+G709+G714+G719+G724+G729+G734+G739+G744</f>
        <v>0</v>
      </c>
      <c r="H749" s="357">
        <f>H654+H659+H664+H669+H674+H679+H684+H689+H694+H699+H704+H709+H714+H719+H724+H729+H734+H739+H744</f>
        <v>0</v>
      </c>
      <c r="I749" s="357">
        <f t="shared" ref="I749:P750" si="157">I654+I659+I664+I669+I674+I679+I684+I689+I694+I699+I704+I709+I714+I719+I724+I729+I734+I739+I744</f>
        <v>0</v>
      </c>
      <c r="J749" s="390">
        <f>J1*J654+J659+J664+J669+J674+J679+J684+J689+J694+J699+J704+J709+J714+J719+J724+J729+J734+J739+J744</f>
        <v>0</v>
      </c>
      <c r="K749" s="390">
        <f>K1*K654+K659+K664+K669+K674+K679+K684+K689+K694+K699+K704+K709+K714+K719+K724+K729+K734+K739+K744</f>
        <v>0</v>
      </c>
      <c r="L749" s="357">
        <f t="shared" si="157"/>
        <v>0</v>
      </c>
      <c r="M749" s="357">
        <f t="shared" si="157"/>
        <v>0</v>
      </c>
      <c r="N749" s="357">
        <f t="shared" si="157"/>
        <v>0</v>
      </c>
      <c r="O749" s="357">
        <f t="shared" si="157"/>
        <v>0</v>
      </c>
      <c r="P749" s="357">
        <f t="shared" si="157"/>
        <v>0</v>
      </c>
      <c r="Q749" s="390">
        <f>Q654+Q659+Q664+Q669+Q674+Q679+Q684+Q689+Q694+Q699+Q704+Q709+Q714+Q719+Q724+Q729+Q734+Q739+Q744</f>
        <v>0</v>
      </c>
      <c r="R749" s="390">
        <f>R1*R654+R659+R664+R669+R674+R679+R684+R689+R694+R699+R704+R709+R714+R719+R724+R729+R734+R739+R744</f>
        <v>0</v>
      </c>
      <c r="S749" s="657">
        <f>S654+S659+S664+S669+S674+S679+S684+S689+S694+S699+S704+S709+S714+S719+S724+S729+S734+S739+S744</f>
        <v>0</v>
      </c>
      <c r="T749" s="357"/>
      <c r="U749" s="657">
        <f>U654+U659+U664+U669+U674+U679+U684+U689+U694+U699+U704+U709+U714+U719+U724+U729+U734+U739+U744</f>
        <v>0</v>
      </c>
      <c r="V749" s="657">
        <f>+U749-'ROR-Model'!G750</f>
        <v>0</v>
      </c>
    </row>
    <row r="750" spans="1:22">
      <c r="A750" s="660"/>
      <c r="B750" s="659" t="s">
        <v>552</v>
      </c>
      <c r="C750" s="659"/>
      <c r="D750" s="659"/>
      <c r="E750" s="656"/>
      <c r="F750" s="357">
        <f>F655+F660+F665+F670+F675+F680+F685+F690+F695+F700+F705+F710+F715+F720+F725+F730+F735+F740+F745</f>
        <v>0</v>
      </c>
      <c r="G750" s="357">
        <f>G1*G655+G660+G665+G670+G675+G680+G685+G690+G695+G700+G705+G710+G715+G720+G725+G730+G735+G740+G745</f>
        <v>0</v>
      </c>
      <c r="H750" s="357">
        <f>H655+H660+H665+H670+H675+H680+H685+H690+H695+H700+H705+H710+H715+H720+H725+H730+H735+H740+H745</f>
        <v>0</v>
      </c>
      <c r="I750" s="357">
        <f t="shared" si="157"/>
        <v>0</v>
      </c>
      <c r="J750" s="390">
        <f>J1*J655+J660+J665+J670+J675+J680+J685+J690+J695+J700+J705+J710+J715+J720+J725+J730+J735+J740+J745</f>
        <v>0</v>
      </c>
      <c r="K750" s="390">
        <f>K1*K655+K660+K665+K670+K675+K680+K685+K690+K695+K700+K705+K710+K715+K720+K725+K730+K735+K740+K745</f>
        <v>0</v>
      </c>
      <c r="L750" s="357">
        <f t="shared" si="157"/>
        <v>0</v>
      </c>
      <c r="M750" s="357">
        <f t="shared" si="157"/>
        <v>0</v>
      </c>
      <c r="N750" s="357">
        <f t="shared" si="157"/>
        <v>0</v>
      </c>
      <c r="O750" s="357">
        <f t="shared" si="157"/>
        <v>0</v>
      </c>
      <c r="P750" s="357">
        <f>P655+P660+P665+P670+P675+P680+P685+P690+P695+P700+P705+P710+P715+P720+P725+P730+P735+P740+P745</f>
        <v>0</v>
      </c>
      <c r="Q750" s="390">
        <f>Q655+Q660+Q665+Q670+Q675+Q680+Q685+Q690+Q695+Q700+Q705+Q710+Q715+Q720+Q725+Q730+Q735+Q740+Q745</f>
        <v>0</v>
      </c>
      <c r="R750" s="390">
        <f>R1*R655+R660+R665+R670+R675+R680+R685+R690+R695+R700+R705+R710+R715+R720+R725+R730+R735+R740+R745</f>
        <v>0</v>
      </c>
      <c r="S750" s="657">
        <f>S655+S660+S665+S670+S675+S680+S685+S690+S695+S700+S705+S710+S715+S720+S725+S730+S735+S740+S745</f>
        <v>0</v>
      </c>
      <c r="T750" s="357"/>
      <c r="U750" s="657">
        <f>U655+U660+U665+U670+U675+U680+U685+U690+U695+U700+U705+U710+U715+U720+U725+U730+U735+U740+U745</f>
        <v>0</v>
      </c>
      <c r="V750" s="657">
        <f>+U750-'ROR-Model'!G751</f>
        <v>0</v>
      </c>
    </row>
    <row r="751" spans="1:22" ht="13.5" thickBot="1">
      <c r="A751" s="660"/>
      <c r="B751" s="659"/>
      <c r="C751" s="659"/>
      <c r="D751" s="659"/>
      <c r="E751" s="656"/>
      <c r="F751" s="580"/>
      <c r="G751" s="580"/>
      <c r="H751" s="580"/>
      <c r="I751" s="580"/>
      <c r="J751" s="673"/>
      <c r="K751" s="673"/>
      <c r="L751" s="580"/>
      <c r="M751" s="580"/>
      <c r="N751" s="580"/>
      <c r="O751" s="580"/>
      <c r="P751" s="580"/>
      <c r="Q751" s="673"/>
      <c r="R751" s="673"/>
      <c r="S751" s="674"/>
      <c r="T751" s="580"/>
      <c r="U751" s="674"/>
      <c r="V751" s="674">
        <f>+U751-'ROR-Model'!G752</f>
        <v>0</v>
      </c>
    </row>
    <row r="752" spans="1:22">
      <c r="A752" s="660"/>
      <c r="B752" s="197" t="s">
        <v>553</v>
      </c>
      <c r="C752" s="659"/>
      <c r="D752" s="659"/>
      <c r="E752" s="656"/>
      <c r="F752" s="357">
        <f>F656+F661+F666+F671+F676+F681+F686+F691+F696+F701+F706+F711+F716+F721+F726+F731+F736+F741+F746</f>
        <v>0</v>
      </c>
      <c r="G752" s="357">
        <f>G1*G656+G661+G666+G671+G676+G681+G686+G691+G696+G701+G706+G711+G716+G721+G726+G731+G736+G741+G746</f>
        <v>0</v>
      </c>
      <c r="H752" s="357">
        <f>H656+H661+H666+H671+H676+H681+H686+H691+H696+H701+H706+H711+H716+H721+H726+H731+H736+H741+H746</f>
        <v>0</v>
      </c>
      <c r="I752" s="357">
        <f t="shared" ref="I752:Q752" si="158">I656+I661+I666+I671+I676+I681+I686+I691+I696+I701+I706+I711+I716+I721+I726+I731+I736+I741+I746</f>
        <v>0</v>
      </c>
      <c r="J752" s="390">
        <f>J1*J656+J661+J666+J671+J676+J681+J686+J691+J696+J701+J706+J711+J716+J721+J726+J731+J736+J741+J746</f>
        <v>0</v>
      </c>
      <c r="K752" s="390">
        <f>K1*K656+K661+K666+K671+K676+K681+K686+K691+K696+K701+K706+K711+K716+K721+K726+K731+K736+K741+K746</f>
        <v>0</v>
      </c>
      <c r="L752" s="357">
        <f t="shared" si="158"/>
        <v>0</v>
      </c>
      <c r="M752" s="357">
        <f t="shared" si="158"/>
        <v>0</v>
      </c>
      <c r="N752" s="357">
        <f t="shared" si="158"/>
        <v>0</v>
      </c>
      <c r="O752" s="357">
        <f t="shared" si="158"/>
        <v>0</v>
      </c>
      <c r="P752" s="357">
        <f t="shared" si="158"/>
        <v>0</v>
      </c>
      <c r="Q752" s="390">
        <f t="shared" si="158"/>
        <v>0</v>
      </c>
      <c r="R752" s="390">
        <f>R1*R656+R661+R666+R671+R676+R681+R686+R691+R696+R701+R706+R711+R716+R721+R726+R731+R736+R741+R746</f>
        <v>0</v>
      </c>
      <c r="S752" s="657">
        <f>S656+S661+S666+S671+S676+S681+S686+S691+S696+S701+S706+S711+S716+S721+S726+S731+S736+S741+S746</f>
        <v>0</v>
      </c>
      <c r="T752" s="357"/>
      <c r="U752" s="657">
        <f>U656+U661+U666+U671+U676+U681+U686+U691+U696+U701+U706+U711+U716+U721+U726+U731+U736+U741+U746</f>
        <v>0</v>
      </c>
      <c r="V752" s="657">
        <f>+U752-'ROR-Model'!G753</f>
        <v>0</v>
      </c>
    </row>
    <row r="753" spans="1:22">
      <c r="A753" s="660"/>
      <c r="B753" s="659"/>
      <c r="C753" s="659"/>
      <c r="D753" s="659"/>
      <c r="E753" s="656"/>
      <c r="F753" s="357"/>
      <c r="G753" s="357"/>
      <c r="H753" s="357"/>
      <c r="I753" s="357"/>
      <c r="J753" s="390"/>
      <c r="K753" s="390"/>
      <c r="L753" s="357"/>
      <c r="M753" s="357"/>
      <c r="N753" s="357"/>
      <c r="O753" s="357"/>
      <c r="P753" s="357"/>
      <c r="Q753" s="390"/>
      <c r="R753" s="390"/>
      <c r="S753" s="657"/>
      <c r="T753" s="357"/>
      <c r="U753" s="657"/>
      <c r="V753" s="657">
        <f>+U753-'ROR-Model'!G754</f>
        <v>0</v>
      </c>
    </row>
    <row r="754" spans="1:22">
      <c r="A754" s="189" t="s">
        <v>383</v>
      </c>
      <c r="B754" s="659"/>
      <c r="C754" s="659"/>
      <c r="D754" s="659"/>
      <c r="E754" s="656"/>
      <c r="F754" s="357"/>
      <c r="G754" s="357"/>
      <c r="H754" s="357"/>
      <c r="I754" s="357"/>
      <c r="J754" s="390"/>
      <c r="K754" s="390"/>
      <c r="L754" s="357"/>
      <c r="M754" s="357"/>
      <c r="N754" s="357"/>
      <c r="O754" s="357"/>
      <c r="P754" s="357"/>
      <c r="Q754" s="390"/>
      <c r="R754" s="390"/>
      <c r="S754" s="657"/>
      <c r="T754" s="357"/>
      <c r="U754" s="657"/>
      <c r="V754" s="657">
        <f>+U754-'ROR-Model'!G755</f>
        <v>0</v>
      </c>
    </row>
    <row r="755" spans="1:22">
      <c r="A755" s="660"/>
      <c r="B755" s="659"/>
      <c r="C755" s="659"/>
      <c r="D755" s="659"/>
      <c r="E755" s="656"/>
      <c r="F755" s="357"/>
      <c r="G755" s="357"/>
      <c r="H755" s="357"/>
      <c r="I755" s="357"/>
      <c r="J755" s="390"/>
      <c r="K755" s="390"/>
      <c r="L755" s="357"/>
      <c r="M755" s="357"/>
      <c r="N755" s="357"/>
      <c r="O755" s="357"/>
      <c r="P755" s="357"/>
      <c r="Q755" s="390"/>
      <c r="R755" s="390"/>
      <c r="S755" s="657"/>
      <c r="T755" s="357"/>
      <c r="U755" s="657"/>
      <c r="V755" s="657">
        <f>+U755-'ROR-Model'!G756</f>
        <v>0</v>
      </c>
    </row>
    <row r="756" spans="1:22">
      <c r="A756" s="668">
        <v>901</v>
      </c>
      <c r="B756" s="659" t="s">
        <v>385</v>
      </c>
      <c r="C756" s="659"/>
      <c r="D756" s="659"/>
      <c r="E756" s="656"/>
      <c r="F756" s="357"/>
      <c r="G756" s="357"/>
      <c r="H756" s="357"/>
      <c r="I756" s="357"/>
      <c r="J756" s="390"/>
      <c r="K756" s="390"/>
      <c r="L756" s="357"/>
      <c r="M756" s="357"/>
      <c r="N756" s="357"/>
      <c r="O756" s="357"/>
      <c r="P756" s="357"/>
      <c r="Q756" s="390"/>
      <c r="R756" s="390"/>
      <c r="S756" s="657"/>
      <c r="T756" s="357"/>
      <c r="U756" s="657"/>
      <c r="V756" s="657">
        <f>+U756-'ROR-Model'!G757</f>
        <v>0</v>
      </c>
    </row>
    <row r="757" spans="1:22">
      <c r="A757" s="668"/>
      <c r="B757" s="659"/>
      <c r="C757" s="659" t="s">
        <v>13</v>
      </c>
      <c r="D757" s="659"/>
      <c r="E757" s="656"/>
      <c r="F757" s="357"/>
      <c r="G757" s="357"/>
      <c r="H757" s="357"/>
      <c r="I757" s="357"/>
      <c r="J757" s="390"/>
      <c r="K757" s="390"/>
      <c r="L757" s="357"/>
      <c r="M757" s="357"/>
      <c r="N757" s="357"/>
      <c r="O757" s="357"/>
      <c r="P757" s="357"/>
      <c r="Q757" s="390"/>
      <c r="R757" s="390"/>
      <c r="S757" s="657">
        <f>SUM(F757:R757)</f>
        <v>0</v>
      </c>
      <c r="T757" s="357"/>
      <c r="U757" s="657">
        <f>SUM(S757:S757)</f>
        <v>0</v>
      </c>
      <c r="V757" s="657">
        <f>+U757-'ROR-Model'!G758</f>
        <v>0</v>
      </c>
    </row>
    <row r="758" spans="1:22">
      <c r="A758" s="668"/>
      <c r="B758" s="659"/>
      <c r="C758" s="659" t="s">
        <v>24</v>
      </c>
      <c r="D758" s="659"/>
      <c r="E758" s="656"/>
      <c r="F758" s="357"/>
      <c r="G758" s="357"/>
      <c r="H758" s="357"/>
      <c r="I758" s="357"/>
      <c r="J758" s="390"/>
      <c r="K758" s="390"/>
      <c r="L758" s="357"/>
      <c r="M758" s="357"/>
      <c r="N758" s="357"/>
      <c r="O758" s="357"/>
      <c r="P758" s="357"/>
      <c r="Q758" s="390"/>
      <c r="R758" s="390"/>
      <c r="S758" s="657">
        <f>SUM(F758:R758)</f>
        <v>0</v>
      </c>
      <c r="T758" s="357"/>
      <c r="U758" s="657">
        <f>SUM(S758:S758)</f>
        <v>0</v>
      </c>
      <c r="V758" s="657">
        <f>+U758-'ROR-Model'!G759</f>
        <v>0</v>
      </c>
    </row>
    <row r="759" spans="1:22">
      <c r="A759" s="668"/>
      <c r="B759" s="659"/>
      <c r="C759" s="659" t="s">
        <v>160</v>
      </c>
      <c r="D759" s="659"/>
      <c r="E759" s="656"/>
      <c r="F759" s="388">
        <f>SUM(F757:F758)</f>
        <v>0</v>
      </c>
      <c r="G759" s="388">
        <f>G1*SUM(G757:G758)</f>
        <v>0</v>
      </c>
      <c r="H759" s="388">
        <f>SUM(H757:H758)</f>
        <v>0</v>
      </c>
      <c r="I759" s="388">
        <f t="shared" ref="I759:P759" si="159">SUM(I757:I758)</f>
        <v>0</v>
      </c>
      <c r="J759" s="585">
        <f>J1*SUM(J757:J758)</f>
        <v>0</v>
      </c>
      <c r="K759" s="585">
        <f>K1*SUM(K757:K758)</f>
        <v>0</v>
      </c>
      <c r="L759" s="388">
        <f t="shared" si="159"/>
        <v>0</v>
      </c>
      <c r="M759" s="388">
        <f t="shared" si="159"/>
        <v>0</v>
      </c>
      <c r="N759" s="388">
        <f t="shared" si="159"/>
        <v>0</v>
      </c>
      <c r="O759" s="388">
        <f t="shared" si="159"/>
        <v>0</v>
      </c>
      <c r="P759" s="388">
        <f t="shared" si="159"/>
        <v>0</v>
      </c>
      <c r="Q759" s="585">
        <f>SUM(Q757:Q758)</f>
        <v>0</v>
      </c>
      <c r="R759" s="585">
        <f>R1*SUM(R757:R758)</f>
        <v>0</v>
      </c>
      <c r="S759" s="661">
        <f>SUM(S757:S758)</f>
        <v>0</v>
      </c>
      <c r="T759" s="388"/>
      <c r="U759" s="661">
        <f>SUM(U757:U758)</f>
        <v>0</v>
      </c>
      <c r="V759" s="661">
        <f>+U759-'ROR-Model'!G760</f>
        <v>0</v>
      </c>
    </row>
    <row r="760" spans="1:22">
      <c r="A760" s="668"/>
      <c r="B760" s="659"/>
      <c r="C760" s="659"/>
      <c r="D760" s="659"/>
      <c r="E760" s="656"/>
      <c r="F760" s="357"/>
      <c r="G760" s="357"/>
      <c r="H760" s="357"/>
      <c r="I760" s="357"/>
      <c r="J760" s="390"/>
      <c r="K760" s="390"/>
      <c r="L760" s="357"/>
      <c r="M760" s="357"/>
      <c r="N760" s="357"/>
      <c r="O760" s="357"/>
      <c r="P760" s="357"/>
      <c r="Q760" s="390"/>
      <c r="R760" s="390"/>
      <c r="S760" s="657"/>
      <c r="T760" s="357"/>
      <c r="U760" s="657"/>
      <c r="V760" s="657">
        <f>+U760-'ROR-Model'!G761</f>
        <v>0</v>
      </c>
    </row>
    <row r="761" spans="1:22">
      <c r="A761" s="668">
        <v>902</v>
      </c>
      <c r="B761" s="659" t="s">
        <v>386</v>
      </c>
      <c r="C761" s="659"/>
      <c r="D761" s="659"/>
      <c r="E761" s="656"/>
      <c r="F761" s="357"/>
      <c r="G761" s="357"/>
      <c r="H761" s="357"/>
      <c r="I761" s="357"/>
      <c r="J761" s="390"/>
      <c r="K761" s="390"/>
      <c r="L761" s="357"/>
      <c r="M761" s="357"/>
      <c r="N761" s="357"/>
      <c r="O761" s="357"/>
      <c r="P761" s="357"/>
      <c r="Q761" s="390"/>
      <c r="R761" s="390"/>
      <c r="S761" s="657"/>
      <c r="T761" s="357"/>
      <c r="U761" s="657"/>
      <c r="V761" s="657">
        <f>+U761-'ROR-Model'!G762</f>
        <v>0</v>
      </c>
    </row>
    <row r="762" spans="1:22">
      <c r="A762" s="668"/>
      <c r="B762" s="659"/>
      <c r="C762" s="659" t="s">
        <v>13</v>
      </c>
      <c r="D762" s="659"/>
      <c r="E762" s="656"/>
      <c r="F762" s="357"/>
      <c r="G762" s="357"/>
      <c r="H762" s="357"/>
      <c r="I762" s="357"/>
      <c r="J762" s="390"/>
      <c r="K762" s="390"/>
      <c r="L762" s="357"/>
      <c r="M762" s="357"/>
      <c r="N762" s="357"/>
      <c r="O762" s="357"/>
      <c r="P762" s="357"/>
      <c r="Q762" s="390"/>
      <c r="R762" s="390"/>
      <c r="S762" s="657">
        <f>SUM(F762:R762)</f>
        <v>0</v>
      </c>
      <c r="T762" s="357"/>
      <c r="U762" s="657">
        <f>SUM(S762:S762)</f>
        <v>0</v>
      </c>
      <c r="V762" s="657">
        <f>+U762-'ROR-Model'!G763</f>
        <v>0</v>
      </c>
    </row>
    <row r="763" spans="1:22">
      <c r="A763" s="668"/>
      <c r="B763" s="659"/>
      <c r="C763" s="659" t="s">
        <v>24</v>
      </c>
      <c r="D763" s="659"/>
      <c r="E763" s="656"/>
      <c r="F763" s="357"/>
      <c r="G763" s="357"/>
      <c r="H763" s="357"/>
      <c r="I763" s="357"/>
      <c r="J763" s="390"/>
      <c r="K763" s="390"/>
      <c r="L763" s="357"/>
      <c r="M763" s="357"/>
      <c r="N763" s="357"/>
      <c r="O763" s="357"/>
      <c r="P763" s="357"/>
      <c r="Q763" s="390"/>
      <c r="R763" s="390"/>
      <c r="S763" s="657">
        <f>SUM(F763:R763)</f>
        <v>0</v>
      </c>
      <c r="T763" s="357"/>
      <c r="U763" s="657">
        <f>SUM(S763:S763)</f>
        <v>0</v>
      </c>
      <c r="V763" s="657">
        <f>+U763-'ROR-Model'!G764</f>
        <v>0</v>
      </c>
    </row>
    <row r="764" spans="1:22">
      <c r="A764" s="668"/>
      <c r="B764" s="659"/>
      <c r="C764" s="659" t="s">
        <v>160</v>
      </c>
      <c r="D764" s="659"/>
      <c r="E764" s="656"/>
      <c r="F764" s="388">
        <f>SUM(F762:F763)</f>
        <v>0</v>
      </c>
      <c r="G764" s="388">
        <f>G1*SUM(G762:G763)</f>
        <v>0</v>
      </c>
      <c r="H764" s="388">
        <f>SUM(H762:H763)</f>
        <v>0</v>
      </c>
      <c r="I764" s="388">
        <f t="shared" ref="I764:P764" si="160">SUM(I762:I763)</f>
        <v>0</v>
      </c>
      <c r="J764" s="585">
        <f>J1*SUM(J762:J763)</f>
        <v>0</v>
      </c>
      <c r="K764" s="585">
        <f>K1*SUM(K762:K763)</f>
        <v>0</v>
      </c>
      <c r="L764" s="388">
        <f t="shared" si="160"/>
        <v>0</v>
      </c>
      <c r="M764" s="388">
        <f t="shared" si="160"/>
        <v>0</v>
      </c>
      <c r="N764" s="388">
        <f t="shared" si="160"/>
        <v>0</v>
      </c>
      <c r="O764" s="388">
        <f t="shared" si="160"/>
        <v>0</v>
      </c>
      <c r="P764" s="388">
        <f t="shared" si="160"/>
        <v>0</v>
      </c>
      <c r="Q764" s="585">
        <f>SUM(Q762:Q763)</f>
        <v>0</v>
      </c>
      <c r="R764" s="585">
        <f>R1*SUM(R762:R763)</f>
        <v>0</v>
      </c>
      <c r="S764" s="661">
        <f>SUM(S762:S763)</f>
        <v>0</v>
      </c>
      <c r="T764" s="388"/>
      <c r="U764" s="661">
        <f>SUM(U762:U763)</f>
        <v>0</v>
      </c>
      <c r="V764" s="661">
        <f>+U764-'ROR-Model'!G765</f>
        <v>0</v>
      </c>
    </row>
    <row r="765" spans="1:22">
      <c r="A765" s="668"/>
      <c r="B765" s="659"/>
      <c r="C765" s="659"/>
      <c r="D765" s="659"/>
      <c r="E765" s="656"/>
      <c r="F765" s="357"/>
      <c r="G765" s="357"/>
      <c r="H765" s="357"/>
      <c r="I765" s="357"/>
      <c r="J765" s="390"/>
      <c r="K765" s="390"/>
      <c r="L765" s="357"/>
      <c r="M765" s="357"/>
      <c r="N765" s="357"/>
      <c r="O765" s="357"/>
      <c r="P765" s="357"/>
      <c r="Q765" s="390"/>
      <c r="R765" s="390"/>
      <c r="S765" s="657"/>
      <c r="T765" s="357"/>
      <c r="U765" s="657"/>
      <c r="V765" s="657">
        <f>+U765-'ROR-Model'!G766</f>
        <v>0</v>
      </c>
    </row>
    <row r="766" spans="1:22">
      <c r="A766" s="668">
        <v>9031</v>
      </c>
      <c r="B766" s="659" t="s">
        <v>387</v>
      </c>
      <c r="C766" s="659"/>
      <c r="D766" s="659"/>
      <c r="E766" s="656"/>
      <c r="F766" s="357"/>
      <c r="G766" s="357"/>
      <c r="H766" s="357"/>
      <c r="I766" s="357"/>
      <c r="J766" s="390"/>
      <c r="K766" s="390"/>
      <c r="L766" s="357"/>
      <c r="M766" s="357"/>
      <c r="N766" s="357"/>
      <c r="O766" s="357"/>
      <c r="P766" s="357"/>
      <c r="Q766" s="390"/>
      <c r="R766" s="390"/>
      <c r="S766" s="657"/>
      <c r="T766" s="357"/>
      <c r="U766" s="657"/>
      <c r="V766" s="657">
        <f>+U766-'ROR-Model'!G767</f>
        <v>0</v>
      </c>
    </row>
    <row r="767" spans="1:22">
      <c r="A767" s="668"/>
      <c r="B767" s="659"/>
      <c r="C767" s="659" t="s">
        <v>13</v>
      </c>
      <c r="D767" s="659"/>
      <c r="E767" s="656"/>
      <c r="F767" s="357"/>
      <c r="G767" s="357"/>
      <c r="H767" s="357"/>
      <c r="I767" s="357"/>
      <c r="J767" s="390"/>
      <c r="K767" s="390"/>
      <c r="L767" s="357"/>
      <c r="M767" s="357"/>
      <c r="N767" s="357"/>
      <c r="O767" s="357"/>
      <c r="P767" s="357"/>
      <c r="Q767" s="390"/>
      <c r="R767" s="390"/>
      <c r="S767" s="657">
        <f>SUM(F767:R767)</f>
        <v>0</v>
      </c>
      <c r="T767" s="357"/>
      <c r="U767" s="657">
        <f>SUM(S767:S767)</f>
        <v>0</v>
      </c>
      <c r="V767" s="657">
        <f>+U767-'ROR-Model'!G768</f>
        <v>0</v>
      </c>
    </row>
    <row r="768" spans="1:22">
      <c r="A768" s="668"/>
      <c r="B768" s="659"/>
      <c r="C768" s="659" t="s">
        <v>24</v>
      </c>
      <c r="D768" s="659"/>
      <c r="E768" s="656"/>
      <c r="F768" s="357"/>
      <c r="G768" s="357"/>
      <c r="H768" s="357"/>
      <c r="I768" s="357"/>
      <c r="J768" s="390"/>
      <c r="K768" s="390"/>
      <c r="L768" s="357"/>
      <c r="M768" s="357"/>
      <c r="N768" s="357"/>
      <c r="O768" s="357"/>
      <c r="P768" s="357"/>
      <c r="Q768" s="390"/>
      <c r="R768" s="390"/>
      <c r="S768" s="657">
        <f>SUM(F768:R768)</f>
        <v>0</v>
      </c>
      <c r="T768" s="357"/>
      <c r="U768" s="657">
        <f>SUM(S768:S768)</f>
        <v>0</v>
      </c>
      <c r="V768" s="657">
        <f>+U768-'ROR-Model'!G769</f>
        <v>0</v>
      </c>
    </row>
    <row r="769" spans="1:22">
      <c r="A769" s="668"/>
      <c r="B769" s="659"/>
      <c r="C769" s="659" t="s">
        <v>160</v>
      </c>
      <c r="D769" s="659"/>
      <c r="E769" s="656"/>
      <c r="F769" s="388">
        <f>SUM(F767:F768)</f>
        <v>0</v>
      </c>
      <c r="G769" s="388">
        <f>G1*SUM(G767:G768)</f>
        <v>0</v>
      </c>
      <c r="H769" s="388">
        <f>SUM(H767:H768)</f>
        <v>0</v>
      </c>
      <c r="I769" s="388">
        <f t="shared" ref="I769:P769" si="161">SUM(I767:I768)</f>
        <v>0</v>
      </c>
      <c r="J769" s="585">
        <f>J1*SUM(J767:J768)</f>
        <v>0</v>
      </c>
      <c r="K769" s="585">
        <f>K1*SUM(K767:K768)</f>
        <v>0</v>
      </c>
      <c r="L769" s="388">
        <f t="shared" si="161"/>
        <v>0</v>
      </c>
      <c r="M769" s="388">
        <f t="shared" si="161"/>
        <v>0</v>
      </c>
      <c r="N769" s="388">
        <f t="shared" si="161"/>
        <v>0</v>
      </c>
      <c r="O769" s="388">
        <f t="shared" si="161"/>
        <v>0</v>
      </c>
      <c r="P769" s="388">
        <f t="shared" si="161"/>
        <v>0</v>
      </c>
      <c r="Q769" s="585">
        <f>SUM(Q767:Q768)</f>
        <v>0</v>
      </c>
      <c r="R769" s="585">
        <f>R1*SUM(R767:R768)</f>
        <v>0</v>
      </c>
      <c r="S769" s="661">
        <f>SUM(S767:S768)</f>
        <v>0</v>
      </c>
      <c r="T769" s="388"/>
      <c r="U769" s="661">
        <f>SUM(U767:U768)</f>
        <v>0</v>
      </c>
      <c r="V769" s="661">
        <f>+U769-'ROR-Model'!G770</f>
        <v>0</v>
      </c>
    </row>
    <row r="770" spans="1:22">
      <c r="A770" s="668"/>
      <c r="B770" s="659"/>
      <c r="C770" s="659"/>
      <c r="D770" s="659"/>
      <c r="E770" s="656"/>
      <c r="F770" s="357"/>
      <c r="G770" s="357"/>
      <c r="H770" s="357"/>
      <c r="I770" s="357"/>
      <c r="J770" s="390"/>
      <c r="K770" s="390"/>
      <c r="L770" s="357"/>
      <c r="M770" s="357"/>
      <c r="N770" s="357"/>
      <c r="O770" s="357"/>
      <c r="P770" s="357"/>
      <c r="Q770" s="390"/>
      <c r="R770" s="390"/>
      <c r="S770" s="657"/>
      <c r="T770" s="357"/>
      <c r="U770" s="657"/>
      <c r="V770" s="657">
        <f>+U770-'ROR-Model'!G771</f>
        <v>0</v>
      </c>
    </row>
    <row r="771" spans="1:22">
      <c r="A771" s="668">
        <v>9032</v>
      </c>
      <c r="B771" s="659" t="s">
        <v>388</v>
      </c>
      <c r="C771" s="659"/>
      <c r="D771" s="659"/>
      <c r="E771" s="656"/>
      <c r="F771" s="357"/>
      <c r="G771" s="357"/>
      <c r="H771" s="357"/>
      <c r="I771" s="357"/>
      <c r="J771" s="390"/>
      <c r="K771" s="390"/>
      <c r="L771" s="357"/>
      <c r="M771" s="357"/>
      <c r="N771" s="357"/>
      <c r="O771" s="357"/>
      <c r="P771" s="357"/>
      <c r="Q771" s="390"/>
      <c r="R771" s="390"/>
      <c r="S771" s="657"/>
      <c r="T771" s="357"/>
      <c r="U771" s="657"/>
      <c r="V771" s="657">
        <f>+U771-'ROR-Model'!G772</f>
        <v>0</v>
      </c>
    </row>
    <row r="772" spans="1:22">
      <c r="A772" s="668"/>
      <c r="B772" s="659"/>
      <c r="C772" s="659" t="s">
        <v>13</v>
      </c>
      <c r="D772" s="659"/>
      <c r="E772" s="656"/>
      <c r="F772" s="357"/>
      <c r="G772" s="357"/>
      <c r="H772" s="357"/>
      <c r="I772" s="357"/>
      <c r="J772" s="390"/>
      <c r="K772" s="390"/>
      <c r="L772" s="357"/>
      <c r="M772" s="357"/>
      <c r="N772" s="357"/>
      <c r="O772" s="357"/>
      <c r="P772" s="357"/>
      <c r="Q772" s="390"/>
      <c r="R772" s="390"/>
      <c r="S772" s="657">
        <f>SUM(F772:R772)</f>
        <v>0</v>
      </c>
      <c r="T772" s="357"/>
      <c r="U772" s="657">
        <f>SUM(S772:S772)</f>
        <v>0</v>
      </c>
      <c r="V772" s="657">
        <f>+U772-'ROR-Model'!G773</f>
        <v>0</v>
      </c>
    </row>
    <row r="773" spans="1:22">
      <c r="A773" s="668"/>
      <c r="B773" s="659"/>
      <c r="C773" s="659" t="s">
        <v>24</v>
      </c>
      <c r="D773" s="659"/>
      <c r="E773" s="656"/>
      <c r="F773" s="357"/>
      <c r="G773" s="357"/>
      <c r="H773" s="357"/>
      <c r="I773" s="357"/>
      <c r="J773" s="390"/>
      <c r="K773" s="390"/>
      <c r="L773" s="357"/>
      <c r="M773" s="357"/>
      <c r="N773" s="357"/>
      <c r="O773" s="357"/>
      <c r="P773" s="357"/>
      <c r="Q773" s="390"/>
      <c r="R773" s="390"/>
      <c r="S773" s="657">
        <f>SUM(F773:R773)</f>
        <v>0</v>
      </c>
      <c r="T773" s="357"/>
      <c r="U773" s="657">
        <f>SUM(S773:S773)</f>
        <v>0</v>
      </c>
      <c r="V773" s="657">
        <f>+U773-'ROR-Model'!G774</f>
        <v>0</v>
      </c>
    </row>
    <row r="774" spans="1:22">
      <c r="A774" s="668"/>
      <c r="B774" s="659"/>
      <c r="C774" s="659" t="s">
        <v>160</v>
      </c>
      <c r="D774" s="659"/>
      <c r="E774" s="656"/>
      <c r="F774" s="388">
        <f>SUM(F772:F773)</f>
        <v>0</v>
      </c>
      <c r="G774" s="388">
        <f>G1*SUM(G772:G773)</f>
        <v>0</v>
      </c>
      <c r="H774" s="388">
        <f>SUM(H772:H773)</f>
        <v>0</v>
      </c>
      <c r="I774" s="388">
        <f t="shared" ref="I774:P774" si="162">SUM(I772:I773)</f>
        <v>0</v>
      </c>
      <c r="J774" s="585">
        <f>J1*SUM(J772:J773)</f>
        <v>0</v>
      </c>
      <c r="K774" s="585">
        <f>K1*SUM(K772:K773)</f>
        <v>0</v>
      </c>
      <c r="L774" s="388">
        <f t="shared" si="162"/>
        <v>0</v>
      </c>
      <c r="M774" s="388">
        <f t="shared" si="162"/>
        <v>0</v>
      </c>
      <c r="N774" s="388">
        <f t="shared" si="162"/>
        <v>0</v>
      </c>
      <c r="O774" s="388">
        <f t="shared" si="162"/>
        <v>0</v>
      </c>
      <c r="P774" s="388">
        <f t="shared" si="162"/>
        <v>0</v>
      </c>
      <c r="Q774" s="585">
        <f>SUM(Q772:Q773)</f>
        <v>0</v>
      </c>
      <c r="R774" s="585">
        <f>R1*SUM(R772:R773)</f>
        <v>0</v>
      </c>
      <c r="S774" s="661">
        <f>SUM(S772:S773)</f>
        <v>0</v>
      </c>
      <c r="T774" s="388"/>
      <c r="U774" s="661">
        <f>SUM(U772:U773)</f>
        <v>0</v>
      </c>
      <c r="V774" s="661">
        <f>+U774-'ROR-Model'!G775</f>
        <v>0</v>
      </c>
    </row>
    <row r="775" spans="1:22">
      <c r="A775" s="668"/>
      <c r="B775" s="659"/>
      <c r="C775" s="659"/>
      <c r="D775" s="659"/>
      <c r="E775" s="656"/>
      <c r="F775" s="357"/>
      <c r="G775" s="357"/>
      <c r="H775" s="357"/>
      <c r="I775" s="357"/>
      <c r="J775" s="390"/>
      <c r="K775" s="390"/>
      <c r="L775" s="357"/>
      <c r="M775" s="357"/>
      <c r="N775" s="357"/>
      <c r="O775" s="357"/>
      <c r="P775" s="357"/>
      <c r="Q775" s="390"/>
      <c r="R775" s="390"/>
      <c r="S775" s="657"/>
      <c r="T775" s="357"/>
      <c r="U775" s="657"/>
      <c r="V775" s="657">
        <f>+U775-'ROR-Model'!G776</f>
        <v>0</v>
      </c>
    </row>
    <row r="776" spans="1:22">
      <c r="A776" s="668">
        <v>9033</v>
      </c>
      <c r="B776" s="659" t="s">
        <v>389</v>
      </c>
      <c r="C776" s="659"/>
      <c r="D776" s="659"/>
      <c r="E776" s="656"/>
      <c r="F776" s="357"/>
      <c r="G776" s="357"/>
      <c r="H776" s="357"/>
      <c r="I776" s="357"/>
      <c r="J776" s="390"/>
      <c r="K776" s="390"/>
      <c r="L776" s="357"/>
      <c r="M776" s="357"/>
      <c r="N776" s="357"/>
      <c r="O776" s="357"/>
      <c r="P776" s="357"/>
      <c r="Q776" s="390"/>
      <c r="R776" s="390"/>
      <c r="S776" s="657"/>
      <c r="T776" s="357"/>
      <c r="U776" s="657"/>
      <c r="V776" s="657">
        <f>+U776-'ROR-Model'!G777</f>
        <v>0</v>
      </c>
    </row>
    <row r="777" spans="1:22">
      <c r="A777" s="668"/>
      <c r="B777" s="659"/>
      <c r="C777" s="659" t="s">
        <v>13</v>
      </c>
      <c r="D777" s="659"/>
      <c r="E777" s="656"/>
      <c r="F777" s="357"/>
      <c r="G777" s="357"/>
      <c r="H777" s="357"/>
      <c r="I777" s="357"/>
      <c r="J777" s="390"/>
      <c r="K777" s="390"/>
      <c r="L777" s="357"/>
      <c r="M777" s="357"/>
      <c r="N777" s="357"/>
      <c r="O777" s="357"/>
      <c r="P777" s="357"/>
      <c r="Q777" s="390"/>
      <c r="R777" s="390"/>
      <c r="S777" s="657">
        <f>SUM(F777:R777)</f>
        <v>0</v>
      </c>
      <c r="T777" s="357"/>
      <c r="U777" s="657">
        <f>SUM(S777:S777)</f>
        <v>0</v>
      </c>
      <c r="V777" s="657">
        <f>+U777-'ROR-Model'!G778</f>
        <v>0</v>
      </c>
    </row>
    <row r="778" spans="1:22">
      <c r="A778" s="668"/>
      <c r="B778" s="659"/>
      <c r="C778" s="659" t="s">
        <v>24</v>
      </c>
      <c r="D778" s="659"/>
      <c r="E778" s="656"/>
      <c r="F778" s="357"/>
      <c r="G778" s="357"/>
      <c r="H778" s="357"/>
      <c r="I778" s="357"/>
      <c r="J778" s="390"/>
      <c r="K778" s="390"/>
      <c r="L778" s="357"/>
      <c r="M778" s="357"/>
      <c r="N778" s="357"/>
      <c r="O778" s="357"/>
      <c r="P778" s="357"/>
      <c r="Q778" s="390"/>
      <c r="R778" s="390"/>
      <c r="S778" s="657">
        <f>SUM(F778:R778)</f>
        <v>0</v>
      </c>
      <c r="T778" s="357"/>
      <c r="U778" s="657">
        <f>SUM(S778:S778)</f>
        <v>0</v>
      </c>
      <c r="V778" s="657">
        <f>+U778-'ROR-Model'!G779</f>
        <v>0</v>
      </c>
    </row>
    <row r="779" spans="1:22">
      <c r="A779" s="668"/>
      <c r="B779" s="659"/>
      <c r="C779" s="659" t="s">
        <v>160</v>
      </c>
      <c r="D779" s="659"/>
      <c r="E779" s="656"/>
      <c r="F779" s="388">
        <f>SUM(F777:F778)</f>
        <v>0</v>
      </c>
      <c r="G779" s="388">
        <f>G1*SUM(G777:G778)</f>
        <v>0</v>
      </c>
      <c r="H779" s="388">
        <f>SUM(H777:H778)</f>
        <v>0</v>
      </c>
      <c r="I779" s="388">
        <f t="shared" ref="I779:P779" si="163">SUM(I777:I778)</f>
        <v>0</v>
      </c>
      <c r="J779" s="585">
        <f>J1*SUM(J777:J778)</f>
        <v>0</v>
      </c>
      <c r="K779" s="585">
        <f>K1*SUM(K777:K778)</f>
        <v>0</v>
      </c>
      <c r="L779" s="388">
        <f t="shared" si="163"/>
        <v>0</v>
      </c>
      <c r="M779" s="388">
        <f t="shared" si="163"/>
        <v>0</v>
      </c>
      <c r="N779" s="388">
        <f t="shared" si="163"/>
        <v>0</v>
      </c>
      <c r="O779" s="388">
        <f t="shared" si="163"/>
        <v>0</v>
      </c>
      <c r="P779" s="388">
        <f t="shared" si="163"/>
        <v>0</v>
      </c>
      <c r="Q779" s="585">
        <f>SUM(Q777:Q778)</f>
        <v>0</v>
      </c>
      <c r="R779" s="585">
        <f>R1*SUM(R777:R778)</f>
        <v>0</v>
      </c>
      <c r="S779" s="661">
        <f>SUM(S777:S778)</f>
        <v>0</v>
      </c>
      <c r="T779" s="388"/>
      <c r="U779" s="661">
        <f>SUM(U777:U778)</f>
        <v>0</v>
      </c>
      <c r="V779" s="661">
        <f>+U779-'ROR-Model'!G780</f>
        <v>0</v>
      </c>
    </row>
    <row r="780" spans="1:22">
      <c r="A780" s="668"/>
      <c r="B780" s="659"/>
      <c r="C780" s="659"/>
      <c r="D780" s="659"/>
      <c r="E780" s="656"/>
      <c r="F780" s="357"/>
      <c r="G780" s="357"/>
      <c r="H780" s="357"/>
      <c r="I780" s="357"/>
      <c r="J780" s="390"/>
      <c r="K780" s="390"/>
      <c r="L780" s="357"/>
      <c r="M780" s="357"/>
      <c r="N780" s="357"/>
      <c r="O780" s="357"/>
      <c r="P780" s="357"/>
      <c r="Q780" s="390"/>
      <c r="R780" s="390"/>
      <c r="S780" s="657"/>
      <c r="T780" s="357"/>
      <c r="U780" s="657"/>
      <c r="V780" s="657">
        <f>+U780-'ROR-Model'!G781</f>
        <v>0</v>
      </c>
    </row>
    <row r="781" spans="1:22">
      <c r="A781" s="668" t="s">
        <v>0</v>
      </c>
      <c r="B781" s="659" t="s">
        <v>21</v>
      </c>
      <c r="C781" s="659"/>
      <c r="D781" s="659"/>
      <c r="E781" s="656"/>
      <c r="F781" s="357"/>
      <c r="G781" s="357"/>
      <c r="H781" s="357"/>
      <c r="I781" s="357"/>
      <c r="J781" s="390"/>
      <c r="K781" s="390"/>
      <c r="L781" s="357"/>
      <c r="M781" s="357"/>
      <c r="N781" s="357"/>
      <c r="O781" s="357"/>
      <c r="P781" s="357"/>
      <c r="Q781" s="390"/>
      <c r="R781" s="390"/>
      <c r="S781" s="657"/>
      <c r="T781" s="357"/>
      <c r="U781" s="657"/>
      <c r="V781" s="657">
        <f>+U781-'ROR-Model'!G782</f>
        <v>0</v>
      </c>
    </row>
    <row r="782" spans="1:22">
      <c r="A782" s="668"/>
      <c r="B782" s="659"/>
      <c r="C782" s="659" t="s">
        <v>13</v>
      </c>
      <c r="D782" s="659"/>
      <c r="E782" s="653">
        <f>E1*((E200+E229)+(E$353*'ROR-Model'!$M$4))*'Control Panel'!$F$22*E$1</f>
        <v>0</v>
      </c>
      <c r="F782" s="357">
        <f>((F200+F229)+(F$353*'ROR-Model'!$M$4))*'Control Panel'!$F$22*F$1</f>
        <v>0</v>
      </c>
      <c r="G782" s="357"/>
      <c r="H782" s="357">
        <f>((H200+H229)+(H$353*'ROR-Model'!$M$4))*'Control Panel'!$F$22*H$1</f>
        <v>0</v>
      </c>
      <c r="I782" s="357">
        <f>((I200+I229)+(I$353*'ROR-Model'!$M$4))*'Control Panel'!$F$22*I$1</f>
        <v>0</v>
      </c>
      <c r="J782" s="390"/>
      <c r="K782" s="390"/>
      <c r="L782" s="357">
        <f>'Bad Debt'!F12*$L$1</f>
        <v>91049.368103791145</v>
      </c>
      <c r="M782" s="357">
        <f>((M200+M229)+(M$353*'ROR-Model'!$M$4))*'Control Panel'!$F$22*M$1</f>
        <v>0</v>
      </c>
      <c r="N782" s="357">
        <f>((N200+N229)+(N$353*'ROR-Model'!$M$4))*'Control Panel'!$F$22*N$1</f>
        <v>0</v>
      </c>
      <c r="O782" s="357">
        <f>((O200+O229)+(O$353*'ROR-Model'!$M$4))*'Control Panel'!$F$22*O$1</f>
        <v>0</v>
      </c>
      <c r="P782" s="357">
        <f>((P200+P229)+(P$353*'ROR-Model'!$M$4))*'Control Panel'!$F$22*P$1</f>
        <v>0</v>
      </c>
      <c r="Q782" s="390">
        <f>((Q200+Q229)+(Q$353*'ROR-Model'!$M$4))*'Control Panel'!$F$22*Q$1</f>
        <v>0</v>
      </c>
      <c r="R782" s="390"/>
      <c r="S782" s="657">
        <f>SUM(F782:R782)</f>
        <v>91049.368103791145</v>
      </c>
      <c r="T782" s="357"/>
      <c r="U782" s="657">
        <f>SUM(S782:S782)</f>
        <v>91049.368103791145</v>
      </c>
      <c r="V782" s="657">
        <f>+U782-'ROR-Model'!G783</f>
        <v>0</v>
      </c>
    </row>
    <row r="783" spans="1:22">
      <c r="A783" s="668"/>
      <c r="B783" s="659"/>
      <c r="C783" s="659" t="s">
        <v>24</v>
      </c>
      <c r="D783" s="659"/>
      <c r="E783" s="653">
        <f>E1*((E323)+(E$353*'ROR-Model'!$N$4))*'Control Panel'!$F$22*E$1</f>
        <v>0</v>
      </c>
      <c r="F783" s="357">
        <f>((F323)+(F$353*'ROR-Model'!$N$4))*'Control Panel'!$F$22*F$1</f>
        <v>0</v>
      </c>
      <c r="G783" s="357"/>
      <c r="H783" s="357">
        <f>((H323)+(H$353*'ROR-Model'!$N$4))*'Control Panel'!$F$22*H$1</f>
        <v>0</v>
      </c>
      <c r="I783" s="357">
        <f>((I323)+(I$353*'ROR-Model'!$N$4))*'Control Panel'!$F$22*I$1</f>
        <v>0</v>
      </c>
      <c r="J783" s="390"/>
      <c r="K783" s="390"/>
      <c r="L783" s="357">
        <f>'Bad Debt'!F13*L1</f>
        <v>-37425.575731088218</v>
      </c>
      <c r="M783" s="357">
        <f>((M323)+(M$353*'ROR-Model'!$N$4))*'Control Panel'!$F$22*M$1</f>
        <v>0</v>
      </c>
      <c r="N783" s="357">
        <f>((N323)+(N$353*'ROR-Model'!$N$4))*'Control Panel'!$F$22*N$1</f>
        <v>0</v>
      </c>
      <c r="O783" s="357">
        <f>((O323)+(O$353*'ROR-Model'!$N$4))*'Control Panel'!$F$22*O$1</f>
        <v>0</v>
      </c>
      <c r="P783" s="357">
        <f>((P323)+(P$353*'ROR-Model'!$N$4))*'Control Panel'!$F$22*P$1</f>
        <v>0</v>
      </c>
      <c r="Q783" s="390">
        <f>((Q323)+(Q$353*'ROR-Model'!$N$4))*'Control Panel'!$F$22*Q$1</f>
        <v>0</v>
      </c>
      <c r="R783" s="390"/>
      <c r="S783" s="657">
        <f>SUM(F783:R783)</f>
        <v>-37425.575731088218</v>
      </c>
      <c r="T783" s="357"/>
      <c r="U783" s="657">
        <f>SUM(S783:S783)</f>
        <v>-37425.575731088218</v>
      </c>
      <c r="V783" s="657">
        <f>+U783-'ROR-Model'!G784</f>
        <v>0</v>
      </c>
    </row>
    <row r="784" spans="1:22">
      <c r="A784" s="668"/>
      <c r="B784" s="659"/>
      <c r="C784" s="659" t="s">
        <v>160</v>
      </c>
      <c r="D784" s="659"/>
      <c r="E784" s="675">
        <f>E1*SUM(E782:E783)</f>
        <v>0</v>
      </c>
      <c r="F784" s="388">
        <f>SUM(F782:F783)</f>
        <v>0</v>
      </c>
      <c r="G784" s="388">
        <f>G1*SUM(G782:G783)</f>
        <v>0</v>
      </c>
      <c r="H784" s="388">
        <f>SUM(H782:H783)</f>
        <v>0</v>
      </c>
      <c r="I784" s="388">
        <f t="shared" ref="I784:P784" si="164">SUM(I782:I783)</f>
        <v>0</v>
      </c>
      <c r="J784" s="585">
        <f>J1*SUM(J782:J783)</f>
        <v>0</v>
      </c>
      <c r="K784" s="585">
        <f>K1*SUM(K782:K783)</f>
        <v>0</v>
      </c>
      <c r="L784" s="388">
        <f t="shared" si="164"/>
        <v>53623.792372702927</v>
      </c>
      <c r="M784" s="388">
        <f t="shared" si="164"/>
        <v>0</v>
      </c>
      <c r="N784" s="388">
        <f t="shared" si="164"/>
        <v>0</v>
      </c>
      <c r="O784" s="388">
        <f t="shared" si="164"/>
        <v>0</v>
      </c>
      <c r="P784" s="388">
        <f t="shared" si="164"/>
        <v>0</v>
      </c>
      <c r="Q784" s="585">
        <f>SUM(Q782:Q783)</f>
        <v>0</v>
      </c>
      <c r="R784" s="585">
        <f>R1*SUM(R782:R783)</f>
        <v>0</v>
      </c>
      <c r="S784" s="661">
        <f>SUM(S782:S783)</f>
        <v>53623.792372702927</v>
      </c>
      <c r="T784" s="388"/>
      <c r="U784" s="661">
        <f>SUM(U782:U783)</f>
        <v>53623.792372702927</v>
      </c>
      <c r="V784" s="661">
        <f>+U784-'ROR-Model'!G785</f>
        <v>0</v>
      </c>
    </row>
    <row r="785" spans="1:22">
      <c r="A785" s="668"/>
      <c r="B785" s="659"/>
      <c r="C785" s="659"/>
      <c r="D785" s="659"/>
      <c r="E785" s="653"/>
      <c r="F785" s="357"/>
      <c r="G785" s="357"/>
      <c r="H785" s="357"/>
      <c r="I785" s="357"/>
      <c r="J785" s="390"/>
      <c r="K785" s="390"/>
      <c r="L785" s="357"/>
      <c r="M785" s="357"/>
      <c r="N785" s="357"/>
      <c r="O785" s="357"/>
      <c r="P785" s="357"/>
      <c r="Q785" s="390"/>
      <c r="R785" s="390"/>
      <c r="S785" s="657"/>
      <c r="T785" s="357"/>
      <c r="U785" s="657"/>
      <c r="V785" s="657">
        <f>+U785-'ROR-Model'!G786</f>
        <v>0</v>
      </c>
    </row>
    <row r="786" spans="1:22">
      <c r="A786" s="668" t="s">
        <v>1</v>
      </c>
      <c r="B786" s="659" t="s">
        <v>22</v>
      </c>
      <c r="C786" s="659"/>
      <c r="D786" s="659"/>
      <c r="E786" s="656"/>
      <c r="F786" s="357"/>
      <c r="G786" s="357"/>
      <c r="H786" s="357"/>
      <c r="I786" s="357"/>
      <c r="J786" s="390"/>
      <c r="K786" s="390"/>
      <c r="L786" s="357"/>
      <c r="M786" s="357"/>
      <c r="N786" s="357"/>
      <c r="O786" s="357"/>
      <c r="P786" s="357"/>
      <c r="Q786" s="390"/>
      <c r="R786" s="390"/>
      <c r="S786" s="657"/>
      <c r="T786" s="357"/>
      <c r="U786" s="657"/>
      <c r="V786" s="657">
        <f>+U786-'ROR-Model'!G787</f>
        <v>0</v>
      </c>
    </row>
    <row r="787" spans="1:22">
      <c r="A787" s="668"/>
      <c r="B787" s="659"/>
      <c r="C787" s="659" t="s">
        <v>13</v>
      </c>
      <c r="D787" s="659"/>
      <c r="E787" s="653">
        <f>E6*((E205+E234)+(E$353*'ROR-Model'!$M$4))*'Control Panel'!$F$22*E$1</f>
        <v>0</v>
      </c>
      <c r="F787" s="357">
        <f>((F205+F234)+(F$353*'ROR-Model'!$M$4))*'Control Panel'!$F$22*F$1</f>
        <v>0</v>
      </c>
      <c r="G787" s="357"/>
      <c r="H787" s="357">
        <f>((H205+H234)+(H$353*'ROR-Model'!$M$4))*'Control Panel'!$F$22*H$1</f>
        <v>0</v>
      </c>
      <c r="I787" s="357">
        <f>((I205+I234)+(I$353*'ROR-Model'!$M$4))*'Control Panel'!$F$22*I$1</f>
        <v>0</v>
      </c>
      <c r="J787" s="390">
        <v>0</v>
      </c>
      <c r="K787" s="390">
        <v>0</v>
      </c>
      <c r="L787" s="357">
        <f>'Bad Debt'!F24*$L$1</f>
        <v>-212317.07000000004</v>
      </c>
      <c r="M787" s="357">
        <f>((M205+M234)+(M$353*'ROR-Model'!$M$4))*'Control Panel'!$F$22*M$1</f>
        <v>0</v>
      </c>
      <c r="N787" s="357">
        <f>((N205+N234)+(N$353*'ROR-Model'!$M$4))*'Control Panel'!$F$22*N$1</f>
        <v>0</v>
      </c>
      <c r="O787" s="357">
        <f>((O205+O234)+(O$353*'ROR-Model'!$M$4))*'Control Panel'!$F$22*O$1</f>
        <v>0</v>
      </c>
      <c r="P787" s="357">
        <f>((P205+P234)+(P$353*'ROR-Model'!$M$4))*'Control Panel'!$F$22*P$1</f>
        <v>0</v>
      </c>
      <c r="Q787" s="390">
        <f>((Q205+Q234)+(Q$353*'ROR-Model'!$M$4))*'Control Panel'!$F$22*Q$1</f>
        <v>0</v>
      </c>
      <c r="R787" s="390">
        <v>0</v>
      </c>
      <c r="S787" s="657">
        <f>SUM(F787:R787)</f>
        <v>-212317.07000000004</v>
      </c>
      <c r="T787" s="357"/>
      <c r="U787" s="657">
        <f>SUM(S787:S787)</f>
        <v>-212317.07000000004</v>
      </c>
      <c r="V787" s="657">
        <f>+U787-'ROR-Model'!G788</f>
        <v>0</v>
      </c>
    </row>
    <row r="788" spans="1:22">
      <c r="A788" s="668"/>
      <c r="B788" s="659"/>
      <c r="C788" s="659" t="s">
        <v>24</v>
      </c>
      <c r="D788" s="659"/>
      <c r="E788" s="653">
        <f>E6*((E328)+(E$353*'ROR-Model'!$N$4))*'Control Panel'!$F$22*E$1</f>
        <v>0</v>
      </c>
      <c r="F788" s="357">
        <f>((F328)+(F$353*'ROR-Model'!$N$4))*'Control Panel'!$F$22*F$1</f>
        <v>0</v>
      </c>
      <c r="G788" s="357"/>
      <c r="H788" s="357">
        <f>((H328)+(H$353*'ROR-Model'!$N$4))*'Control Panel'!$F$22*H$1</f>
        <v>0</v>
      </c>
      <c r="I788" s="357">
        <f>((I328)+(I$353*'ROR-Model'!$N$4))*'Control Panel'!$F$22*I$1</f>
        <v>0</v>
      </c>
      <c r="J788" s="390">
        <v>0</v>
      </c>
      <c r="K788" s="390">
        <v>0</v>
      </c>
      <c r="L788" s="357">
        <f>'Bad Debt'!F25*$L$1</f>
        <v>0</v>
      </c>
      <c r="M788" s="357">
        <f>((M328)+(M$353*'ROR-Model'!$N$4))*'Control Panel'!$F$22*M$1</f>
        <v>0</v>
      </c>
      <c r="N788" s="357">
        <f>((N328)+(N$353*'ROR-Model'!$N$4))*'Control Panel'!$F$22*N$1</f>
        <v>0</v>
      </c>
      <c r="O788" s="357">
        <f>((O328)+(O$353*'ROR-Model'!$N$4))*'Control Panel'!$F$22*O$1</f>
        <v>0</v>
      </c>
      <c r="P788" s="357">
        <f>((P328)+(P$353*'ROR-Model'!$N$4))*'Control Panel'!$F$22*P$1</f>
        <v>0</v>
      </c>
      <c r="Q788" s="390">
        <f>((Q328)+(Q$353*'ROR-Model'!$N$4))*'Control Panel'!$F$22*Q$1</f>
        <v>0</v>
      </c>
      <c r="R788" s="390">
        <v>0</v>
      </c>
      <c r="S788" s="657">
        <f>SUM(F788:R788)</f>
        <v>0</v>
      </c>
      <c r="T788" s="357"/>
      <c r="U788" s="657">
        <f>SUM(S788:S788)</f>
        <v>0</v>
      </c>
      <c r="V788" s="657">
        <f>+U788-'ROR-Model'!G789</f>
        <v>0</v>
      </c>
    </row>
    <row r="789" spans="1:22">
      <c r="A789" s="668"/>
      <c r="B789" s="659"/>
      <c r="C789" s="659" t="s">
        <v>160</v>
      </c>
      <c r="D789" s="659"/>
      <c r="E789" s="675">
        <f>E6*SUM(E787:E788)</f>
        <v>0</v>
      </c>
      <c r="F789" s="388">
        <f>SUM(F787:F788)</f>
        <v>0</v>
      </c>
      <c r="G789" s="388">
        <f>SUM(G787:G788)</f>
        <v>0</v>
      </c>
      <c r="H789" s="388">
        <f>SUM(H787:H788)</f>
        <v>0</v>
      </c>
      <c r="I789" s="388">
        <f t="shared" ref="I789:Q789" si="165">SUM(I787:I788)</f>
        <v>0</v>
      </c>
      <c r="J789" s="388">
        <f>SUM(J787:J788)</f>
        <v>0</v>
      </c>
      <c r="K789" s="388">
        <f>SUM(K787:K788)</f>
        <v>0</v>
      </c>
      <c r="L789" s="388">
        <f t="shared" si="165"/>
        <v>-212317.07000000004</v>
      </c>
      <c r="M789" s="388">
        <f t="shared" si="165"/>
        <v>0</v>
      </c>
      <c r="N789" s="388">
        <f t="shared" si="165"/>
        <v>0</v>
      </c>
      <c r="O789" s="388">
        <f t="shared" si="165"/>
        <v>0</v>
      </c>
      <c r="P789" s="388">
        <f t="shared" si="165"/>
        <v>0</v>
      </c>
      <c r="Q789" s="585">
        <f t="shared" si="165"/>
        <v>0</v>
      </c>
      <c r="R789" s="388">
        <f>SUM(R787:R788)</f>
        <v>0</v>
      </c>
      <c r="S789" s="661">
        <f>SUM(S787:S788)</f>
        <v>-212317.07000000004</v>
      </c>
      <c r="T789" s="388"/>
      <c r="U789" s="661">
        <f>SUM(U787:U788)</f>
        <v>-212317.07000000004</v>
      </c>
      <c r="V789" s="661">
        <f>+U789-'ROR-Model'!G790</f>
        <v>0</v>
      </c>
    </row>
    <row r="790" spans="1:22">
      <c r="A790" s="668"/>
      <c r="B790" s="659"/>
      <c r="C790" s="659"/>
      <c r="D790" s="659"/>
      <c r="E790" s="653"/>
      <c r="F790" s="357"/>
      <c r="G790" s="357"/>
      <c r="H790" s="357"/>
      <c r="I790" s="357"/>
      <c r="J790" s="390"/>
      <c r="K790" s="390"/>
      <c r="L790" s="357"/>
      <c r="M790" s="357"/>
      <c r="N790" s="357"/>
      <c r="O790" s="357"/>
      <c r="P790" s="357"/>
      <c r="Q790" s="390"/>
      <c r="R790" s="390"/>
      <c r="S790" s="657"/>
      <c r="T790" s="357"/>
      <c r="U790" s="657"/>
      <c r="V790" s="657">
        <f>+U790-'ROR-Model'!G791</f>
        <v>0</v>
      </c>
    </row>
    <row r="791" spans="1:22">
      <c r="A791" s="668" t="s">
        <v>2</v>
      </c>
      <c r="B791" s="659" t="s">
        <v>23</v>
      </c>
      <c r="C791" s="659"/>
      <c r="D791" s="659"/>
      <c r="E791" s="656"/>
      <c r="F791" s="357"/>
      <c r="G791" s="357"/>
      <c r="H791" s="357"/>
      <c r="I791" s="357"/>
      <c r="J791" s="390"/>
      <c r="K791" s="390"/>
      <c r="L791" s="357"/>
      <c r="M791" s="357"/>
      <c r="N791" s="357"/>
      <c r="O791" s="357"/>
      <c r="P791" s="357"/>
      <c r="Q791" s="390"/>
      <c r="R791" s="390"/>
      <c r="S791" s="657"/>
      <c r="T791" s="357"/>
      <c r="U791" s="657"/>
      <c r="V791" s="657">
        <f>+U791-'ROR-Model'!G792</f>
        <v>0</v>
      </c>
    </row>
    <row r="792" spans="1:22">
      <c r="A792" s="668"/>
      <c r="B792" s="659"/>
      <c r="C792" s="659" t="s">
        <v>13</v>
      </c>
      <c r="D792" s="659"/>
      <c r="E792" s="653">
        <f>E11*((E210+E239)+(E$353*'ROR-Model'!$M$4))*'Control Panel'!$F$22*E$1</f>
        <v>0</v>
      </c>
      <c r="F792" s="357">
        <f>((F210+F239)+(F$353*'ROR-Model'!$M$4))*'Control Panel'!$F$22*F$1</f>
        <v>0</v>
      </c>
      <c r="G792" s="357"/>
      <c r="H792" s="357">
        <f>((H210+H239)+(H$353*'ROR-Model'!$M$4))*'Control Panel'!$F$22*H$1</f>
        <v>0</v>
      </c>
      <c r="I792" s="357">
        <f>((I210+I239)+(I$353*'ROR-Model'!$M$4))*'Control Panel'!$F$22*I$1</f>
        <v>0</v>
      </c>
      <c r="J792" s="390">
        <v>0</v>
      </c>
      <c r="K792" s="390">
        <v>0</v>
      </c>
      <c r="L792" s="357">
        <f>'Bad Debt'!F29*$L$1</f>
        <v>-841817.97</v>
      </c>
      <c r="M792" s="357">
        <f>((M210+M239)+(M$353*'ROR-Model'!$M$4))*'Control Panel'!$F$22*M$1</f>
        <v>0</v>
      </c>
      <c r="N792" s="357">
        <f>((N210+N239)+(N$353*'ROR-Model'!$M$4))*'Control Panel'!$F$22*N$1</f>
        <v>0</v>
      </c>
      <c r="O792" s="357">
        <f>((O210+O239)+(O$353*'ROR-Model'!$M$4))*'Control Panel'!$F$22*O$1</f>
        <v>0</v>
      </c>
      <c r="P792" s="357">
        <f>((P210+P239)+(P$353*'ROR-Model'!$M$4))*'Control Panel'!$F$22*P$1</f>
        <v>0</v>
      </c>
      <c r="Q792" s="390">
        <f>((Q210+Q239)+(Q$353*'ROR-Model'!$M$4))*'Control Panel'!$F$22*Q$1</f>
        <v>0</v>
      </c>
      <c r="R792" s="390">
        <v>0</v>
      </c>
      <c r="S792" s="657">
        <f>SUM(F792:R792)</f>
        <v>-841817.97</v>
      </c>
      <c r="T792" s="357"/>
      <c r="U792" s="657">
        <f>SUM(S792:S792)</f>
        <v>-841817.97</v>
      </c>
      <c r="V792" s="657">
        <f>+U792-'ROR-Model'!G793</f>
        <v>0</v>
      </c>
    </row>
    <row r="793" spans="1:22">
      <c r="A793" s="668"/>
      <c r="B793" s="659"/>
      <c r="C793" s="659" t="s">
        <v>24</v>
      </c>
      <c r="D793" s="659"/>
      <c r="E793" s="653">
        <f>E11*((E333)+(E$353*'ROR-Model'!$N$4))*'Control Panel'!$F$22*E$1</f>
        <v>0</v>
      </c>
      <c r="F793" s="357">
        <f>((F333)+(F$353*'ROR-Model'!$N$4))*'Control Panel'!$F$22*F$1</f>
        <v>0</v>
      </c>
      <c r="G793" s="357"/>
      <c r="H793" s="357">
        <f>((H333)+(H$353*'ROR-Model'!$N$4))*'Control Panel'!$F$22*H$1</f>
        <v>0</v>
      </c>
      <c r="I793" s="357">
        <f>((I333)+(I$353*'ROR-Model'!$N$4))*'Control Panel'!$F$22*I$1</f>
        <v>0</v>
      </c>
      <c r="J793" s="390">
        <v>0</v>
      </c>
      <c r="K793" s="390">
        <v>0</v>
      </c>
      <c r="L793" s="357">
        <f>'Bad Debt'!F30*$L$1</f>
        <v>0</v>
      </c>
      <c r="M793" s="357">
        <f>((M333)+(M$353*'ROR-Model'!$N$4))*'Control Panel'!$F$22*M$1</f>
        <v>0</v>
      </c>
      <c r="N793" s="357">
        <f>((N333)+(N$353*'ROR-Model'!$N$4))*'Control Panel'!$F$22*N$1</f>
        <v>0</v>
      </c>
      <c r="O793" s="357">
        <f>((O333)+(O$353*'ROR-Model'!$N$4))*'Control Panel'!$F$22*O$1</f>
        <v>0</v>
      </c>
      <c r="P793" s="357">
        <f>((P333)+(P$353*'ROR-Model'!$N$4))*'Control Panel'!$F$22*P$1</f>
        <v>0</v>
      </c>
      <c r="Q793" s="390">
        <f>((Q333)+(Q$353*'ROR-Model'!$N$4))*'Control Panel'!$F$22*Q$1</f>
        <v>0</v>
      </c>
      <c r="R793" s="390">
        <v>0</v>
      </c>
      <c r="S793" s="657">
        <f>SUM(F793:R793)</f>
        <v>0</v>
      </c>
      <c r="T793" s="357"/>
      <c r="U793" s="657">
        <f>SUM(S793:S793)</f>
        <v>0</v>
      </c>
      <c r="V793" s="657">
        <f>+U793-'ROR-Model'!G794</f>
        <v>0</v>
      </c>
    </row>
    <row r="794" spans="1:22">
      <c r="A794" s="668"/>
      <c r="B794" s="659"/>
      <c r="C794" s="659" t="s">
        <v>160</v>
      </c>
      <c r="D794" s="659"/>
      <c r="E794" s="675">
        <f>E11*SUM(E792:E793)</f>
        <v>0</v>
      </c>
      <c r="F794" s="388">
        <f>SUM(F792:F793)</f>
        <v>0</v>
      </c>
      <c r="G794" s="388">
        <f>G11*SUM(G792:G793)</f>
        <v>0</v>
      </c>
      <c r="H794" s="388">
        <f>SUM(H792:H793)</f>
        <v>0</v>
      </c>
      <c r="I794" s="388">
        <f t="shared" ref="I794:Q794" si="166">SUM(I792:I793)</f>
        <v>0</v>
      </c>
      <c r="J794" s="585">
        <f>J11*SUM(J792:J793)</f>
        <v>0</v>
      </c>
      <c r="K794" s="585">
        <f>K11*SUM(K792:K793)</f>
        <v>0</v>
      </c>
      <c r="L794" s="388">
        <f t="shared" si="166"/>
        <v>-841817.97</v>
      </c>
      <c r="M794" s="388">
        <f t="shared" si="166"/>
        <v>0</v>
      </c>
      <c r="N794" s="388">
        <f t="shared" si="166"/>
        <v>0</v>
      </c>
      <c r="O794" s="388">
        <f t="shared" si="166"/>
        <v>0</v>
      </c>
      <c r="P794" s="388">
        <f t="shared" si="166"/>
        <v>0</v>
      </c>
      <c r="Q794" s="585">
        <f t="shared" si="166"/>
        <v>0</v>
      </c>
      <c r="R794" s="585">
        <f>R11*SUM(R792:R793)</f>
        <v>0</v>
      </c>
      <c r="S794" s="661">
        <f>SUM(S792:S793)</f>
        <v>-841817.97</v>
      </c>
      <c r="T794" s="388"/>
      <c r="U794" s="661">
        <f>SUM(U792:U793)</f>
        <v>-841817.97</v>
      </c>
      <c r="V794" s="661">
        <f>+U794-'ROR-Model'!G795</f>
        <v>0</v>
      </c>
    </row>
    <row r="795" spans="1:22">
      <c r="A795" s="668"/>
      <c r="B795" s="659"/>
      <c r="C795" s="659"/>
      <c r="D795" s="659"/>
      <c r="E795" s="653"/>
      <c r="F795" s="357"/>
      <c r="G795" s="357"/>
      <c r="H795" s="357"/>
      <c r="I795" s="357"/>
      <c r="J795" s="390"/>
      <c r="K795" s="390"/>
      <c r="L795" s="357"/>
      <c r="M795" s="357"/>
      <c r="N795" s="357"/>
      <c r="O795" s="357"/>
      <c r="P795" s="357"/>
      <c r="Q795" s="390"/>
      <c r="R795" s="390"/>
      <c r="S795" s="657"/>
      <c r="T795" s="357"/>
      <c r="U795" s="657"/>
      <c r="V795" s="657">
        <f>+U795-'ROR-Model'!G796</f>
        <v>0</v>
      </c>
    </row>
    <row r="796" spans="1:22">
      <c r="A796" s="668">
        <v>905</v>
      </c>
      <c r="B796" s="659" t="s">
        <v>392</v>
      </c>
      <c r="C796" s="659"/>
      <c r="D796" s="659"/>
      <c r="E796" s="656"/>
      <c r="F796" s="357"/>
      <c r="G796" s="357"/>
      <c r="H796" s="357"/>
      <c r="I796" s="357"/>
      <c r="J796" s="390"/>
      <c r="K796" s="390"/>
      <c r="L796" s="357"/>
      <c r="M796" s="357"/>
      <c r="N796" s="357"/>
      <c r="O796" s="357"/>
      <c r="P796" s="357"/>
      <c r="Q796" s="390"/>
      <c r="R796" s="390"/>
      <c r="S796" s="657"/>
      <c r="T796" s="357"/>
      <c r="U796" s="657"/>
      <c r="V796" s="657">
        <f>+U796-'ROR-Model'!G797</f>
        <v>0</v>
      </c>
    </row>
    <row r="797" spans="1:22">
      <c r="A797" s="660"/>
      <c r="B797" s="659"/>
      <c r="C797" s="659" t="s">
        <v>13</v>
      </c>
      <c r="D797" s="659"/>
      <c r="E797" s="656"/>
      <c r="F797" s="357"/>
      <c r="G797" s="357"/>
      <c r="H797" s="357"/>
      <c r="I797" s="357"/>
      <c r="J797" s="390"/>
      <c r="K797" s="390"/>
      <c r="L797" s="357"/>
      <c r="M797" s="357"/>
      <c r="N797" s="357"/>
      <c r="O797" s="357"/>
      <c r="P797" s="357"/>
      <c r="Q797" s="390"/>
      <c r="R797" s="390"/>
      <c r="S797" s="657">
        <f>SUM(F797:R797)</f>
        <v>0</v>
      </c>
      <c r="T797" s="357"/>
      <c r="U797" s="657">
        <f>SUM(S797:S797)</f>
        <v>0</v>
      </c>
      <c r="V797" s="657">
        <f>+U797-'ROR-Model'!G798</f>
        <v>0</v>
      </c>
    </row>
    <row r="798" spans="1:22">
      <c r="A798" s="660"/>
      <c r="B798" s="659"/>
      <c r="C798" s="659" t="s">
        <v>24</v>
      </c>
      <c r="D798" s="659"/>
      <c r="E798" s="656"/>
      <c r="F798" s="357"/>
      <c r="G798" s="357"/>
      <c r="H798" s="357"/>
      <c r="I798" s="357"/>
      <c r="J798" s="390"/>
      <c r="K798" s="390"/>
      <c r="L798" s="357"/>
      <c r="M798" s="357"/>
      <c r="N798" s="357"/>
      <c r="O798" s="357"/>
      <c r="P798" s="357"/>
      <c r="Q798" s="390"/>
      <c r="R798" s="390"/>
      <c r="S798" s="657">
        <f>SUM(F798:R798)</f>
        <v>0</v>
      </c>
      <c r="T798" s="357"/>
      <c r="U798" s="657">
        <f>SUM(S798:S798)</f>
        <v>0</v>
      </c>
      <c r="V798" s="657">
        <f>+U798-'ROR-Model'!G799</f>
        <v>0</v>
      </c>
    </row>
    <row r="799" spans="1:22">
      <c r="A799" s="660"/>
      <c r="B799" s="659"/>
      <c r="C799" s="659" t="s">
        <v>160</v>
      </c>
      <c r="D799" s="659"/>
      <c r="E799" s="656"/>
      <c r="F799" s="388">
        <f>SUM(F797:F798)</f>
        <v>0</v>
      </c>
      <c r="G799" s="388">
        <f>G1*SUM(G797:G798)</f>
        <v>0</v>
      </c>
      <c r="H799" s="388">
        <f>SUM(H797:H798)</f>
        <v>0</v>
      </c>
      <c r="I799" s="388">
        <f t="shared" ref="I799:P799" si="167">SUM(I797:I798)</f>
        <v>0</v>
      </c>
      <c r="J799" s="585">
        <f>J1*SUM(J797:J798)</f>
        <v>0</v>
      </c>
      <c r="K799" s="585">
        <f>K1*SUM(K797:K798)</f>
        <v>0</v>
      </c>
      <c r="L799" s="388">
        <f t="shared" si="167"/>
        <v>0</v>
      </c>
      <c r="M799" s="388">
        <f t="shared" si="167"/>
        <v>0</v>
      </c>
      <c r="N799" s="388">
        <f t="shared" si="167"/>
        <v>0</v>
      </c>
      <c r="O799" s="388">
        <f t="shared" si="167"/>
        <v>0</v>
      </c>
      <c r="P799" s="388">
        <f t="shared" si="167"/>
        <v>0</v>
      </c>
      <c r="Q799" s="585">
        <f>SUM(Q797:Q798)</f>
        <v>0</v>
      </c>
      <c r="R799" s="585">
        <f>R1*SUM(R797:R798)</f>
        <v>0</v>
      </c>
      <c r="S799" s="661">
        <f>SUM(S797:S798)</f>
        <v>0</v>
      </c>
      <c r="T799" s="388"/>
      <c r="U799" s="661">
        <f>SUM(U797:U798)</f>
        <v>0</v>
      </c>
      <c r="V799" s="661">
        <f>+U799-'ROR-Model'!G800</f>
        <v>0</v>
      </c>
    </row>
    <row r="800" spans="1:22" ht="13.5" thickBot="1">
      <c r="A800" s="660"/>
      <c r="B800" s="659"/>
      <c r="C800" s="659"/>
      <c r="D800" s="659"/>
      <c r="E800" s="656"/>
      <c r="F800" s="579"/>
      <c r="G800" s="579"/>
      <c r="H800" s="579"/>
      <c r="I800" s="579"/>
      <c r="J800" s="586"/>
      <c r="K800" s="586"/>
      <c r="L800" s="579"/>
      <c r="M800" s="579"/>
      <c r="N800" s="579"/>
      <c r="O800" s="579"/>
      <c r="P800" s="579"/>
      <c r="Q800" s="586"/>
      <c r="R800" s="586"/>
      <c r="S800" s="663"/>
      <c r="T800" s="579"/>
      <c r="U800" s="663"/>
      <c r="V800" s="663">
        <f>+U800-'ROR-Model'!G801</f>
        <v>0</v>
      </c>
    </row>
    <row r="801" spans="1:22" ht="13.5" thickTop="1">
      <c r="A801" s="189" t="s">
        <v>634</v>
      </c>
      <c r="B801" s="659"/>
      <c r="C801" s="659"/>
      <c r="D801" s="659"/>
      <c r="E801" s="656"/>
      <c r="F801" s="357"/>
      <c r="G801" s="357"/>
      <c r="H801" s="357"/>
      <c r="I801" s="357"/>
      <c r="J801" s="390"/>
      <c r="K801" s="390"/>
      <c r="L801" s="357"/>
      <c r="M801" s="357"/>
      <c r="N801" s="357"/>
      <c r="O801" s="357"/>
      <c r="P801" s="357"/>
      <c r="Q801" s="390"/>
      <c r="R801" s="390"/>
      <c r="S801" s="657"/>
      <c r="T801" s="357"/>
      <c r="U801" s="657"/>
      <c r="V801" s="657">
        <f>+U801-'ROR-Model'!G802</f>
        <v>0</v>
      </c>
    </row>
    <row r="802" spans="1:22">
      <c r="A802" s="660"/>
      <c r="B802" s="659" t="s">
        <v>635</v>
      </c>
      <c r="C802" s="659"/>
      <c r="D802" s="659"/>
      <c r="E802" s="656"/>
      <c r="F802" s="357">
        <f t="shared" ref="F802:L802" si="168">F757+F762+F767+F772+F777+F782+F797+F792+F787</f>
        <v>0</v>
      </c>
      <c r="G802" s="357">
        <f t="shared" si="168"/>
        <v>0</v>
      </c>
      <c r="H802" s="357">
        <f t="shared" si="168"/>
        <v>0</v>
      </c>
      <c r="I802" s="357">
        <f t="shared" si="168"/>
        <v>0</v>
      </c>
      <c r="J802" s="357">
        <f>J757+J762+J767+J772+J777+J782+J797+J792+J787</f>
        <v>0</v>
      </c>
      <c r="K802" s="357">
        <f>K757+K762+K767+K772+K777+K782+K797+K792+K787</f>
        <v>0</v>
      </c>
      <c r="L802" s="357">
        <f t="shared" si="168"/>
        <v>-963085.67189620889</v>
      </c>
      <c r="M802" s="357">
        <f t="shared" ref="M802:Q802" si="169">M757+M762+M767+M772+M777+M782+M797+M792+M787</f>
        <v>0</v>
      </c>
      <c r="N802" s="357">
        <f t="shared" si="169"/>
        <v>0</v>
      </c>
      <c r="O802" s="357">
        <f t="shared" si="169"/>
        <v>0</v>
      </c>
      <c r="P802" s="357">
        <f t="shared" si="169"/>
        <v>0</v>
      </c>
      <c r="Q802" s="357">
        <f t="shared" si="169"/>
        <v>0</v>
      </c>
      <c r="R802" s="357">
        <f>R757+R762+R767+R772+R777+R782+R797+R792+R787</f>
        <v>0</v>
      </c>
      <c r="S802" s="657">
        <f>S757+S762+S767+S772+S777+S782+S797+S787+S792</f>
        <v>-963085.67189620889</v>
      </c>
      <c r="T802" s="357"/>
      <c r="U802" s="657">
        <f>U757+U762+U767+U772+U777+U782+U797+U787+U792</f>
        <v>-963085.67189620889</v>
      </c>
      <c r="V802" s="657">
        <f>+U802-'ROR-Model'!G803</f>
        <v>0</v>
      </c>
    </row>
    <row r="803" spans="1:22">
      <c r="A803" s="660"/>
      <c r="B803" s="659" t="s">
        <v>637</v>
      </c>
      <c r="C803" s="659"/>
      <c r="D803" s="659"/>
      <c r="E803" s="656"/>
      <c r="F803" s="357">
        <f>F758+F763+F768+F773+F778+F783+F798</f>
        <v>0</v>
      </c>
      <c r="G803" s="357">
        <f>G1*G758+G763+G768+G773+G778+G783+G798</f>
        <v>0</v>
      </c>
      <c r="H803" s="357">
        <f>H758+H763+H768+H773+H778+H783+H798</f>
        <v>0</v>
      </c>
      <c r="I803" s="357">
        <f t="shared" ref="I803:O803" si="170">I758+I763+I768+I773+I778+I783+I798</f>
        <v>0</v>
      </c>
      <c r="J803" s="390">
        <f>J1*J758+J763+J768+J773+J778+J783+J798</f>
        <v>0</v>
      </c>
      <c r="K803" s="390">
        <f>K1*K758+K763+K768+K773+K778+K783+K798</f>
        <v>0</v>
      </c>
      <c r="L803" s="357">
        <f t="shared" si="170"/>
        <v>-37425.575731088218</v>
      </c>
      <c r="M803" s="357">
        <f t="shared" si="170"/>
        <v>0</v>
      </c>
      <c r="N803" s="357">
        <f t="shared" si="170"/>
        <v>0</v>
      </c>
      <c r="O803" s="357">
        <f t="shared" si="170"/>
        <v>0</v>
      </c>
      <c r="P803" s="357">
        <f>P758+P763+P768+P773+P778+P783+P798</f>
        <v>0</v>
      </c>
      <c r="Q803" s="390">
        <f>Q758+Q763+Q768+Q773+Q778+Q783+Q798</f>
        <v>0</v>
      </c>
      <c r="R803" s="390">
        <f>R1*R758+R763+R768+R773+R778+R783+R798</f>
        <v>0</v>
      </c>
      <c r="S803" s="657">
        <f>S758+S763+S768+S773+S778+S783+S798</f>
        <v>-37425.575731088218</v>
      </c>
      <c r="T803" s="357"/>
      <c r="U803" s="657">
        <f>U758+U763+U768+U773+U778+U783+U798</f>
        <v>-37425.575731088218</v>
      </c>
      <c r="V803" s="657">
        <f>+U803-'ROR-Model'!G804</f>
        <v>0</v>
      </c>
    </row>
    <row r="804" spans="1:22" ht="13.5" thickBot="1">
      <c r="A804" s="660"/>
      <c r="B804" s="659"/>
      <c r="C804" s="659"/>
      <c r="D804" s="659"/>
      <c r="E804" s="656"/>
      <c r="F804" s="580"/>
      <c r="G804" s="580"/>
      <c r="H804" s="580"/>
      <c r="I804" s="580"/>
      <c r="J804" s="673"/>
      <c r="K804" s="673"/>
      <c r="L804" s="580"/>
      <c r="M804" s="580"/>
      <c r="N804" s="580"/>
      <c r="O804" s="580"/>
      <c r="P804" s="580"/>
      <c r="Q804" s="673"/>
      <c r="R804" s="673"/>
      <c r="S804" s="674"/>
      <c r="T804" s="580"/>
      <c r="U804" s="674"/>
      <c r="V804" s="674">
        <f>+U804-'ROR-Model'!G805</f>
        <v>0</v>
      </c>
    </row>
    <row r="805" spans="1:22">
      <c r="A805" s="660"/>
      <c r="B805" s="197" t="s">
        <v>634</v>
      </c>
      <c r="C805" s="659"/>
      <c r="D805" s="659"/>
      <c r="E805" s="656"/>
      <c r="F805" s="357">
        <f t="shared" ref="F805:L805" si="171">F759+F764+F769+F774+F794+F789+F784+F799+F779</f>
        <v>0</v>
      </c>
      <c r="G805" s="357">
        <f t="shared" si="171"/>
        <v>0</v>
      </c>
      <c r="H805" s="357">
        <f t="shared" si="171"/>
        <v>0</v>
      </c>
      <c r="I805" s="357">
        <f t="shared" si="171"/>
        <v>0</v>
      </c>
      <c r="J805" s="357">
        <f>J759+J764+J769+J774+J794+J789+J784+J799+J779</f>
        <v>0</v>
      </c>
      <c r="K805" s="357">
        <f>K759+K764+K769+K774+K794+K789+K784+K799+K779</f>
        <v>0</v>
      </c>
      <c r="L805" s="357">
        <f t="shared" si="171"/>
        <v>-1000511.2476272971</v>
      </c>
      <c r="M805" s="357">
        <f t="shared" ref="M805:Q805" si="172">M759+M764+M769+M774+M794+M789+M784+M799+M779</f>
        <v>0</v>
      </c>
      <c r="N805" s="357">
        <f t="shared" si="172"/>
        <v>0</v>
      </c>
      <c r="O805" s="357">
        <f t="shared" si="172"/>
        <v>0</v>
      </c>
      <c r="P805" s="357">
        <f t="shared" si="172"/>
        <v>0</v>
      </c>
      <c r="Q805" s="357">
        <f t="shared" si="172"/>
        <v>0</v>
      </c>
      <c r="R805" s="357">
        <f>R759+R764+R769+R774+R794+R789+R784+R799+R779</f>
        <v>0</v>
      </c>
      <c r="S805" s="748">
        <f>S759+S764+S769+S774+S779+S784+S799+S789+S794</f>
        <v>-1000511.2476272971</v>
      </c>
      <c r="T805" s="357"/>
      <c r="U805" s="657">
        <f>U759+U764+U769+U774+U779+U784+U799+U789+U794</f>
        <v>-1000511.2476272971</v>
      </c>
      <c r="V805" s="657">
        <f>+U805-'ROR-Model'!G806</f>
        <v>0</v>
      </c>
    </row>
    <row r="806" spans="1:22">
      <c r="A806" s="660"/>
      <c r="B806" s="659"/>
      <c r="C806" s="659"/>
      <c r="D806" s="659"/>
      <c r="E806" s="656"/>
      <c r="F806" s="357"/>
      <c r="G806" s="357"/>
      <c r="H806" s="357"/>
      <c r="I806" s="357"/>
      <c r="J806" s="390"/>
      <c r="K806" s="390"/>
      <c r="L806" s="357"/>
      <c r="M806" s="357"/>
      <c r="N806" s="357"/>
      <c r="O806" s="357"/>
      <c r="P806" s="357"/>
      <c r="Q806" s="390"/>
      <c r="R806" s="390"/>
      <c r="S806" s="657"/>
      <c r="T806" s="357"/>
      <c r="U806" s="657"/>
      <c r="V806" s="657">
        <f>+U806-'ROR-Model'!G807</f>
        <v>0</v>
      </c>
    </row>
    <row r="807" spans="1:22">
      <c r="A807" s="189" t="s">
        <v>393</v>
      </c>
      <c r="B807" s="659"/>
      <c r="C807" s="659"/>
      <c r="D807" s="659"/>
      <c r="E807" s="656"/>
      <c r="F807" s="357"/>
      <c r="G807" s="357"/>
      <c r="H807" s="357"/>
      <c r="I807" s="357"/>
      <c r="J807" s="390"/>
      <c r="K807" s="390"/>
      <c r="L807" s="357"/>
      <c r="M807" s="357"/>
      <c r="N807" s="357"/>
      <c r="O807" s="357"/>
      <c r="P807" s="357"/>
      <c r="Q807" s="390"/>
      <c r="R807" s="390"/>
      <c r="S807" s="657"/>
      <c r="T807" s="357"/>
      <c r="U807" s="657"/>
      <c r="V807" s="657">
        <f>+U807-'ROR-Model'!G808</f>
        <v>0</v>
      </c>
    </row>
    <row r="808" spans="1:22">
      <c r="A808" s="660"/>
      <c r="B808" s="659"/>
      <c r="C808" s="659"/>
      <c r="D808" s="659"/>
      <c r="E808" s="656"/>
      <c r="F808" s="357"/>
      <c r="G808" s="357"/>
      <c r="H808" s="357"/>
      <c r="I808" s="357"/>
      <c r="J808" s="390"/>
      <c r="K808" s="390"/>
      <c r="L808" s="357"/>
      <c r="M808" s="357"/>
      <c r="N808" s="357"/>
      <c r="O808" s="357"/>
      <c r="P808" s="357"/>
      <c r="Q808" s="390"/>
      <c r="R808" s="390"/>
      <c r="S808" s="657"/>
      <c r="T808" s="357"/>
      <c r="U808" s="657"/>
      <c r="V808" s="657">
        <f>+U808-'ROR-Model'!G809</f>
        <v>0</v>
      </c>
    </row>
    <row r="809" spans="1:22">
      <c r="A809" s="668">
        <v>907</v>
      </c>
      <c r="B809" s="659" t="s">
        <v>385</v>
      </c>
      <c r="C809" s="659"/>
      <c r="D809" s="659"/>
      <c r="E809" s="656"/>
      <c r="F809" s="357"/>
      <c r="G809" s="357"/>
      <c r="H809" s="357"/>
      <c r="I809" s="357"/>
      <c r="J809" s="390"/>
      <c r="K809" s="390"/>
      <c r="L809" s="357"/>
      <c r="M809" s="357"/>
      <c r="N809" s="357"/>
      <c r="O809" s="357"/>
      <c r="P809" s="357"/>
      <c r="Q809" s="390"/>
      <c r="R809" s="390"/>
      <c r="S809" s="657"/>
      <c r="T809" s="357"/>
      <c r="U809" s="657"/>
      <c r="V809" s="657">
        <f>+U809-'ROR-Model'!G810</f>
        <v>0</v>
      </c>
    </row>
    <row r="810" spans="1:22">
      <c r="A810" s="668"/>
      <c r="B810" s="659"/>
      <c r="C810" s="659" t="s">
        <v>13</v>
      </c>
      <c r="D810" s="659"/>
      <c r="E810" s="656"/>
      <c r="F810" s="357"/>
      <c r="G810" s="357"/>
      <c r="H810" s="357"/>
      <c r="I810" s="357"/>
      <c r="J810" s="390"/>
      <c r="K810" s="390"/>
      <c r="L810" s="357"/>
      <c r="M810" s="357"/>
      <c r="N810" s="357"/>
      <c r="O810" s="357"/>
      <c r="P810" s="357"/>
      <c r="Q810" s="390"/>
      <c r="R810" s="390"/>
      <c r="S810" s="657">
        <f>SUM(F810:R810)</f>
        <v>0</v>
      </c>
      <c r="T810" s="357"/>
      <c r="U810" s="657">
        <f>SUM(S810:S810)</f>
        <v>0</v>
      </c>
      <c r="V810" s="657">
        <f>+U810-'ROR-Model'!G811</f>
        <v>0</v>
      </c>
    </row>
    <row r="811" spans="1:22">
      <c r="A811" s="668"/>
      <c r="B811" s="659"/>
      <c r="C811" s="659" t="s">
        <v>24</v>
      </c>
      <c r="D811" s="659"/>
      <c r="E811" s="656"/>
      <c r="F811" s="357"/>
      <c r="G811" s="357"/>
      <c r="H811" s="357"/>
      <c r="I811" s="357"/>
      <c r="J811" s="390"/>
      <c r="K811" s="390"/>
      <c r="L811" s="357"/>
      <c r="M811" s="357"/>
      <c r="N811" s="357"/>
      <c r="O811" s="357"/>
      <c r="P811" s="357"/>
      <c r="Q811" s="390"/>
      <c r="R811" s="390"/>
      <c r="S811" s="657">
        <f>SUM(F811:R811)</f>
        <v>0</v>
      </c>
      <c r="T811" s="357"/>
      <c r="U811" s="657">
        <f>SUM(S811:S811)</f>
        <v>0</v>
      </c>
      <c r="V811" s="657">
        <f>+U811-'ROR-Model'!G812</f>
        <v>0</v>
      </c>
    </row>
    <row r="812" spans="1:22">
      <c r="A812" s="668"/>
      <c r="B812" s="659"/>
      <c r="C812" s="659" t="s">
        <v>160</v>
      </c>
      <c r="D812" s="659"/>
      <c r="E812" s="656"/>
      <c r="F812" s="388">
        <f>SUM(F810:F811)</f>
        <v>0</v>
      </c>
      <c r="G812" s="388">
        <f>G1*SUM(G810:G811)</f>
        <v>0</v>
      </c>
      <c r="H812" s="388">
        <f>SUM(H810:H811)</f>
        <v>0</v>
      </c>
      <c r="I812" s="388">
        <f t="shared" ref="I812:P812" si="173">SUM(I810:I811)</f>
        <v>0</v>
      </c>
      <c r="J812" s="585">
        <f>J1*SUM(J810:J811)</f>
        <v>0</v>
      </c>
      <c r="K812" s="585">
        <f>K1*SUM(K810:K811)</f>
        <v>0</v>
      </c>
      <c r="L812" s="388">
        <f t="shared" si="173"/>
        <v>0</v>
      </c>
      <c r="M812" s="388">
        <f t="shared" si="173"/>
        <v>0</v>
      </c>
      <c r="N812" s="388">
        <f t="shared" si="173"/>
        <v>0</v>
      </c>
      <c r="O812" s="388">
        <f t="shared" si="173"/>
        <v>0</v>
      </c>
      <c r="P812" s="388">
        <f t="shared" si="173"/>
        <v>0</v>
      </c>
      <c r="Q812" s="585">
        <f>SUM(Q810:Q811)</f>
        <v>0</v>
      </c>
      <c r="R812" s="585">
        <f>R1*SUM(R810:R811)</f>
        <v>0</v>
      </c>
      <c r="S812" s="661">
        <f>SUM(S810:S811)</f>
        <v>0</v>
      </c>
      <c r="T812" s="388"/>
      <c r="U812" s="661">
        <f>SUM(U810:U811)</f>
        <v>0</v>
      </c>
      <c r="V812" s="661">
        <f>+U812-'ROR-Model'!G813</f>
        <v>0</v>
      </c>
    </row>
    <row r="813" spans="1:22">
      <c r="A813" s="668"/>
      <c r="B813" s="659"/>
      <c r="C813" s="659"/>
      <c r="D813" s="659"/>
      <c r="E813" s="656"/>
      <c r="F813" s="357"/>
      <c r="G813" s="357"/>
      <c r="H813" s="357"/>
      <c r="I813" s="357"/>
      <c r="J813" s="390"/>
      <c r="K813" s="390"/>
      <c r="L813" s="357"/>
      <c r="M813" s="357"/>
      <c r="N813" s="357"/>
      <c r="O813" s="357"/>
      <c r="P813" s="357"/>
      <c r="Q813" s="390"/>
      <c r="R813" s="390"/>
      <c r="S813" s="657"/>
      <c r="T813" s="357"/>
      <c r="U813" s="657"/>
      <c r="V813" s="657">
        <f>+U813-'ROR-Model'!G814</f>
        <v>0</v>
      </c>
    </row>
    <row r="814" spans="1:22">
      <c r="A814" s="668">
        <v>908</v>
      </c>
      <c r="B814" s="659" t="s">
        <v>394</v>
      </c>
      <c r="C814" s="659"/>
      <c r="D814" s="659"/>
      <c r="E814" s="656"/>
      <c r="F814" s="357"/>
      <c r="G814" s="357"/>
      <c r="H814" s="357"/>
      <c r="I814" s="357"/>
      <c r="J814" s="390"/>
      <c r="K814" s="390"/>
      <c r="L814" s="357"/>
      <c r="M814" s="357"/>
      <c r="N814" s="357"/>
      <c r="O814" s="357"/>
      <c r="P814" s="357"/>
      <c r="Q814" s="390"/>
      <c r="R814" s="390"/>
      <c r="S814" s="657"/>
      <c r="T814" s="357"/>
      <c r="U814" s="657"/>
      <c r="V814" s="657">
        <f>+U814-'ROR-Model'!G815</f>
        <v>0</v>
      </c>
    </row>
    <row r="815" spans="1:22">
      <c r="A815" s="668"/>
      <c r="B815" s="659"/>
      <c r="C815" s="659" t="s">
        <v>13</v>
      </c>
      <c r="D815" s="659"/>
      <c r="E815" s="656"/>
      <c r="F815" s="357"/>
      <c r="G815" s="357">
        <f>'ENERGY EFFICIENCY SERVICES ADJ'!E18*G1</f>
        <v>-20806992</v>
      </c>
      <c r="H815" s="357"/>
      <c r="I815" s="357"/>
      <c r="J815" s="390"/>
      <c r="K815" s="390"/>
      <c r="L815" s="357"/>
      <c r="M815" s="357"/>
      <c r="N815" s="357"/>
      <c r="O815" s="357"/>
      <c r="P815" s="357"/>
      <c r="Q815" s="390"/>
      <c r="R815" s="390"/>
      <c r="S815" s="657">
        <f>SUM(F815:R815)</f>
        <v>-20806992</v>
      </c>
      <c r="T815" s="357"/>
      <c r="U815" s="657">
        <f>SUM(S815:S815)</f>
        <v>-20806992</v>
      </c>
      <c r="V815" s="657">
        <f>+U815-'ROR-Model'!G816</f>
        <v>0</v>
      </c>
    </row>
    <row r="816" spans="1:22">
      <c r="A816" s="668"/>
      <c r="B816" s="659"/>
      <c r="C816" s="659" t="s">
        <v>24</v>
      </c>
      <c r="D816" s="659"/>
      <c r="E816" s="656"/>
      <c r="F816" s="357"/>
      <c r="G816" s="357">
        <f>'ENERGY EFFICIENCY SERVICES ADJ'!E19*G1</f>
        <v>-165057.12000000002</v>
      </c>
      <c r="H816" s="357"/>
      <c r="I816" s="357"/>
      <c r="J816" s="390"/>
      <c r="K816" s="390"/>
      <c r="L816" s="357"/>
      <c r="M816" s="357"/>
      <c r="N816" s="357"/>
      <c r="O816" s="357"/>
      <c r="P816" s="357"/>
      <c r="Q816" s="390"/>
      <c r="R816" s="390"/>
      <c r="S816" s="657">
        <f>SUM(F816:R816)</f>
        <v>-165057.12000000002</v>
      </c>
      <c r="T816" s="357"/>
      <c r="U816" s="657">
        <f>SUM(S816:S816)</f>
        <v>-165057.12000000002</v>
      </c>
      <c r="V816" s="657">
        <f>+U816-'ROR-Model'!G817</f>
        <v>0</v>
      </c>
    </row>
    <row r="817" spans="1:22">
      <c r="A817" s="668"/>
      <c r="B817" s="659"/>
      <c r="C817" s="659" t="s">
        <v>160</v>
      </c>
      <c r="D817" s="659"/>
      <c r="E817" s="656"/>
      <c r="F817" s="388">
        <f>SUM(F815:F816)</f>
        <v>0</v>
      </c>
      <c r="G817" s="388">
        <f>G1*SUM(G815:G816)</f>
        <v>-20972049.120000001</v>
      </c>
      <c r="H817" s="388">
        <f>SUM(H815:H816)</f>
        <v>0</v>
      </c>
      <c r="I817" s="388">
        <f t="shared" ref="I817:P817" si="174">SUM(I815:I816)</f>
        <v>0</v>
      </c>
      <c r="J817" s="585">
        <f>J1*SUM(J815:J816)</f>
        <v>0</v>
      </c>
      <c r="K817" s="585">
        <f>K1*SUM(K815:K816)</f>
        <v>0</v>
      </c>
      <c r="L817" s="388">
        <f t="shared" si="174"/>
        <v>0</v>
      </c>
      <c r="M817" s="388">
        <f t="shared" si="174"/>
        <v>0</v>
      </c>
      <c r="N817" s="388">
        <f t="shared" si="174"/>
        <v>0</v>
      </c>
      <c r="O817" s="388">
        <f t="shared" si="174"/>
        <v>0</v>
      </c>
      <c r="P817" s="388">
        <f t="shared" si="174"/>
        <v>0</v>
      </c>
      <c r="Q817" s="585">
        <f>SUM(Q815:Q816)</f>
        <v>0</v>
      </c>
      <c r="R817" s="585">
        <f>R1*SUM(R815:R816)</f>
        <v>0</v>
      </c>
      <c r="S817" s="924">
        <f>SUM(S815:S816)</f>
        <v>-20972049.120000001</v>
      </c>
      <c r="T817" s="388"/>
      <c r="U817" s="661">
        <f>SUM(U815:U816)</f>
        <v>-20972049.120000001</v>
      </c>
      <c r="V817" s="661">
        <f>+U817-'ROR-Model'!G818</f>
        <v>0</v>
      </c>
    </row>
    <row r="818" spans="1:22">
      <c r="A818" s="668"/>
      <c r="B818" s="659"/>
      <c r="C818" s="659"/>
      <c r="D818" s="659"/>
      <c r="E818" s="656"/>
      <c r="F818" s="357"/>
      <c r="G818" s="357"/>
      <c r="H818" s="357"/>
      <c r="I818" s="357"/>
      <c r="J818" s="390"/>
      <c r="K818" s="390"/>
      <c r="L818" s="357"/>
      <c r="M818" s="357"/>
      <c r="N818" s="357"/>
      <c r="O818" s="357"/>
      <c r="P818" s="357"/>
      <c r="Q818" s="390"/>
      <c r="R818" s="390"/>
      <c r="S818" s="657"/>
      <c r="T818" s="357"/>
      <c r="U818" s="657"/>
      <c r="V818" s="657">
        <f>+U818-'ROR-Model'!G819</f>
        <v>0</v>
      </c>
    </row>
    <row r="819" spans="1:22">
      <c r="A819" s="668">
        <v>909</v>
      </c>
      <c r="B819" s="659" t="s">
        <v>407</v>
      </c>
      <c r="C819" s="659"/>
      <c r="D819" s="659"/>
      <c r="E819" s="656"/>
      <c r="F819" s="357"/>
      <c r="G819" s="357"/>
      <c r="H819" s="357"/>
      <c r="I819" s="357"/>
      <c r="J819" s="390"/>
      <c r="K819" s="390"/>
      <c r="L819" s="357"/>
      <c r="M819" s="357"/>
      <c r="N819" s="357"/>
      <c r="O819" s="357"/>
      <c r="P819" s="357"/>
      <c r="Q819" s="390"/>
      <c r="R819" s="390"/>
      <c r="S819" s="657"/>
      <c r="T819" s="357"/>
      <c r="U819" s="657"/>
      <c r="V819" s="657">
        <f>+U819-'ROR-Model'!G820</f>
        <v>0</v>
      </c>
    </row>
    <row r="820" spans="1:22">
      <c r="A820" s="668"/>
      <c r="B820" s="659"/>
      <c r="C820" s="659" t="s">
        <v>13</v>
      </c>
      <c r="D820" s="659"/>
      <c r="E820" s="656"/>
      <c r="F820" s="357"/>
      <c r="G820" s="357"/>
      <c r="H820" s="357"/>
      <c r="I820" s="357"/>
      <c r="J820" s="390"/>
      <c r="K820" s="390"/>
      <c r="L820" s="357"/>
      <c r="M820" s="357"/>
      <c r="N820" s="357"/>
      <c r="O820" s="390">
        <f>Advertising!F26*O1</f>
        <v>-5704.0649908124824</v>
      </c>
      <c r="P820" s="357"/>
      <c r="Q820" s="390"/>
      <c r="R820" s="390"/>
      <c r="S820" s="657">
        <f>SUM(F820:R820)</f>
        <v>-5704.0649908124824</v>
      </c>
      <c r="T820" s="357"/>
      <c r="U820" s="657">
        <f>SUM(S820:S820)</f>
        <v>-5704.0649908124824</v>
      </c>
      <c r="V820" s="657">
        <f>+U820-'ROR-Model'!G821</f>
        <v>0</v>
      </c>
    </row>
    <row r="821" spans="1:22">
      <c r="A821" s="668"/>
      <c r="B821" s="659"/>
      <c r="C821" s="659" t="s">
        <v>24</v>
      </c>
      <c r="D821" s="659"/>
      <c r="E821" s="656"/>
      <c r="F821" s="357"/>
      <c r="G821" s="357"/>
      <c r="H821" s="357"/>
      <c r="I821" s="357"/>
      <c r="J821" s="390"/>
      <c r="K821" s="390"/>
      <c r="L821" s="357"/>
      <c r="M821" s="357"/>
      <c r="N821" s="357"/>
      <c r="O821" s="357">
        <f>Advertising!F27*O1</f>
        <v>-192.33250918751688</v>
      </c>
      <c r="P821" s="357"/>
      <c r="Q821" s="390"/>
      <c r="R821" s="390"/>
      <c r="S821" s="657">
        <f>SUM(F821:R821)</f>
        <v>-192.33250918751688</v>
      </c>
      <c r="T821" s="357"/>
      <c r="U821" s="657">
        <f>SUM(S821:S821)</f>
        <v>-192.33250918751688</v>
      </c>
      <c r="V821" s="657">
        <f>+U821-'ROR-Model'!G822</f>
        <v>0</v>
      </c>
    </row>
    <row r="822" spans="1:22">
      <c r="A822" s="668"/>
      <c r="B822" s="659"/>
      <c r="C822" s="659" t="s">
        <v>160</v>
      </c>
      <c r="D822" s="659"/>
      <c r="E822" s="656"/>
      <c r="F822" s="388">
        <f>SUM(F820:F821)</f>
        <v>0</v>
      </c>
      <c r="G822" s="388">
        <f>G1*SUM(G820:G821)</f>
        <v>0</v>
      </c>
      <c r="H822" s="388">
        <f>SUM(H820:H821)</f>
        <v>0</v>
      </c>
      <c r="I822" s="388">
        <f t="shared" ref="I822:P822" si="175">SUM(I820:I821)</f>
        <v>0</v>
      </c>
      <c r="J822" s="585">
        <f>J1*SUM(J820:J821)</f>
        <v>0</v>
      </c>
      <c r="K822" s="585">
        <f>K1*SUM(K820:K821)</f>
        <v>0</v>
      </c>
      <c r="L822" s="388">
        <f t="shared" si="175"/>
        <v>0</v>
      </c>
      <c r="M822" s="388">
        <f t="shared" si="175"/>
        <v>0</v>
      </c>
      <c r="N822" s="388">
        <f t="shared" si="175"/>
        <v>0</v>
      </c>
      <c r="O822" s="388">
        <f>SUM(O820:O821)</f>
        <v>-5896.3974999999991</v>
      </c>
      <c r="P822" s="388">
        <f t="shared" si="175"/>
        <v>0</v>
      </c>
      <c r="Q822" s="585">
        <f>SUM(Q820:Q821)</f>
        <v>0</v>
      </c>
      <c r="R822" s="585">
        <f>R1*SUM(R820:R821)</f>
        <v>0</v>
      </c>
      <c r="S822" s="924">
        <f>SUM(S820:S821)</f>
        <v>-5896.3974999999991</v>
      </c>
      <c r="T822" s="388"/>
      <c r="U822" s="661">
        <f>SUM(U820:U821)</f>
        <v>-5896.3974999999991</v>
      </c>
      <c r="V822" s="661">
        <f>+U822-'ROR-Model'!G823</f>
        <v>0</v>
      </c>
    </row>
    <row r="823" spans="1:22">
      <c r="A823" s="668"/>
      <c r="B823" s="659"/>
      <c r="C823" s="659"/>
      <c r="D823" s="659"/>
      <c r="E823" s="656"/>
      <c r="F823" s="357"/>
      <c r="G823" s="357"/>
      <c r="H823" s="357"/>
      <c r="I823" s="357"/>
      <c r="J823" s="390"/>
      <c r="K823" s="390"/>
      <c r="L823" s="357"/>
      <c r="M823" s="357"/>
      <c r="N823" s="357"/>
      <c r="O823" s="357"/>
      <c r="P823" s="357"/>
      <c r="Q823" s="390"/>
      <c r="R823" s="390"/>
      <c r="S823" s="657"/>
      <c r="T823" s="357"/>
      <c r="U823" s="657"/>
      <c r="V823" s="657">
        <f>+U823-'ROR-Model'!G824</f>
        <v>0</v>
      </c>
    </row>
    <row r="824" spans="1:22">
      <c r="A824" s="668">
        <v>910</v>
      </c>
      <c r="B824" s="659" t="s">
        <v>408</v>
      </c>
      <c r="C824" s="659"/>
      <c r="D824" s="659"/>
      <c r="E824" s="656"/>
      <c r="F824" s="357"/>
      <c r="G824" s="357"/>
      <c r="H824" s="357"/>
      <c r="I824" s="357"/>
      <c r="J824" s="390"/>
      <c r="K824" s="390"/>
      <c r="L824" s="357"/>
      <c r="M824" s="357"/>
      <c r="N824" s="357"/>
      <c r="O824" s="357"/>
      <c r="P824" s="357"/>
      <c r="Q824" s="390"/>
      <c r="R824" s="390"/>
      <c r="S824" s="657"/>
      <c r="T824" s="357"/>
      <c r="U824" s="657"/>
      <c r="V824" s="657">
        <f>+U824-'ROR-Model'!G825</f>
        <v>0</v>
      </c>
    </row>
    <row r="825" spans="1:22">
      <c r="A825" s="660"/>
      <c r="B825" s="659"/>
      <c r="C825" s="659" t="s">
        <v>13</v>
      </c>
      <c r="D825" s="659"/>
      <c r="E825" s="656"/>
      <c r="F825" s="357"/>
      <c r="G825" s="357"/>
      <c r="H825" s="357"/>
      <c r="I825" s="357"/>
      <c r="J825" s="390"/>
      <c r="K825" s="390"/>
      <c r="L825" s="357"/>
      <c r="M825" s="357"/>
      <c r="N825" s="357"/>
      <c r="O825" s="357"/>
      <c r="P825" s="357"/>
      <c r="Q825" s="390"/>
      <c r="R825" s="390"/>
      <c r="S825" s="657">
        <f>SUM(F825:R825)</f>
        <v>0</v>
      </c>
      <c r="T825" s="357"/>
      <c r="U825" s="657">
        <f>SUM(S825:S825)</f>
        <v>0</v>
      </c>
      <c r="V825" s="657">
        <f>+U825-'ROR-Model'!G826</f>
        <v>0</v>
      </c>
    </row>
    <row r="826" spans="1:22">
      <c r="A826" s="660"/>
      <c r="B826" s="659"/>
      <c r="C826" s="659" t="s">
        <v>24</v>
      </c>
      <c r="D826" s="659"/>
      <c r="E826" s="656"/>
      <c r="F826" s="357"/>
      <c r="G826" s="357"/>
      <c r="H826" s="357"/>
      <c r="I826" s="357"/>
      <c r="J826" s="390"/>
      <c r="K826" s="390"/>
      <c r="L826" s="357"/>
      <c r="M826" s="357"/>
      <c r="N826" s="357"/>
      <c r="O826" s="357"/>
      <c r="P826" s="357"/>
      <c r="Q826" s="390"/>
      <c r="R826" s="390"/>
      <c r="S826" s="657">
        <f>SUM(F826:R826)</f>
        <v>0</v>
      </c>
      <c r="T826" s="357"/>
      <c r="U826" s="657">
        <f>SUM(S826:S826)</f>
        <v>0</v>
      </c>
      <c r="V826" s="657">
        <f>+U826-'ROR-Model'!G827</f>
        <v>0</v>
      </c>
    </row>
    <row r="827" spans="1:22">
      <c r="A827" s="660"/>
      <c r="B827" s="659"/>
      <c r="C827" s="659" t="s">
        <v>160</v>
      </c>
      <c r="D827" s="659"/>
      <c r="E827" s="656"/>
      <c r="F827" s="388">
        <f>SUM(F825:F826)</f>
        <v>0</v>
      </c>
      <c r="G827" s="388">
        <f>G1*SUM(G825:G826)</f>
        <v>0</v>
      </c>
      <c r="H827" s="388">
        <f>SUM(H825:H826)</f>
        <v>0</v>
      </c>
      <c r="I827" s="388">
        <f t="shared" ref="I827:P827" si="176">SUM(I825:I826)</f>
        <v>0</v>
      </c>
      <c r="J827" s="585">
        <f>J1*SUM(J825:J826)</f>
        <v>0</v>
      </c>
      <c r="K827" s="585">
        <f>K1*SUM(K825:K826)</f>
        <v>0</v>
      </c>
      <c r="L827" s="388">
        <f t="shared" si="176"/>
        <v>0</v>
      </c>
      <c r="M827" s="388">
        <f t="shared" si="176"/>
        <v>0</v>
      </c>
      <c r="N827" s="388">
        <f t="shared" si="176"/>
        <v>0</v>
      </c>
      <c r="O827" s="388">
        <f t="shared" si="176"/>
        <v>0</v>
      </c>
      <c r="P827" s="388">
        <f t="shared" si="176"/>
        <v>0</v>
      </c>
      <c r="Q827" s="585">
        <f>SUM(Q825:Q826)</f>
        <v>0</v>
      </c>
      <c r="R827" s="585">
        <f>R1*SUM(R825:R826)</f>
        <v>0</v>
      </c>
      <c r="S827" s="661">
        <f>SUM(S825:S826)</f>
        <v>0</v>
      </c>
      <c r="T827" s="388"/>
      <c r="U827" s="661">
        <f>SUM(U825:U826)</f>
        <v>0</v>
      </c>
      <c r="V827" s="661">
        <f>+U827-'ROR-Model'!G828</f>
        <v>0</v>
      </c>
    </row>
    <row r="828" spans="1:22" ht="13.5" thickBot="1">
      <c r="A828" s="660"/>
      <c r="B828" s="659"/>
      <c r="C828" s="659"/>
      <c r="D828" s="659"/>
      <c r="E828" s="656"/>
      <c r="F828" s="579"/>
      <c r="G828" s="579"/>
      <c r="H828" s="579"/>
      <c r="I828" s="579"/>
      <c r="J828" s="586"/>
      <c r="K828" s="586"/>
      <c r="L828" s="579"/>
      <c r="M828" s="579"/>
      <c r="N828" s="579"/>
      <c r="O828" s="579"/>
      <c r="P828" s="579"/>
      <c r="Q828" s="586"/>
      <c r="R828" s="586"/>
      <c r="S828" s="663"/>
      <c r="T828" s="579"/>
      <c r="U828" s="663"/>
      <c r="V828" s="663">
        <f>+U828-'ROR-Model'!G829</f>
        <v>0</v>
      </c>
    </row>
    <row r="829" spans="1:22" ht="13.5" thickTop="1">
      <c r="A829" s="189" t="s">
        <v>638</v>
      </c>
      <c r="B829" s="659"/>
      <c r="C829" s="659"/>
      <c r="D829" s="659"/>
      <c r="E829" s="656"/>
      <c r="F829" s="357"/>
      <c r="G829" s="357"/>
      <c r="H829" s="357"/>
      <c r="I829" s="357"/>
      <c r="J829" s="390"/>
      <c r="K829" s="390"/>
      <c r="L829" s="357"/>
      <c r="M829" s="357"/>
      <c r="N829" s="357"/>
      <c r="O829" s="357"/>
      <c r="P829" s="357"/>
      <c r="Q829" s="390"/>
      <c r="R829" s="390"/>
      <c r="S829" s="657"/>
      <c r="T829" s="357"/>
      <c r="U829" s="657"/>
      <c r="V829" s="657">
        <f>+U829-'ROR-Model'!G830</f>
        <v>0</v>
      </c>
    </row>
    <row r="830" spans="1:22">
      <c r="A830" s="660"/>
      <c r="B830" s="575" t="s">
        <v>639</v>
      </c>
      <c r="C830" s="659"/>
      <c r="D830" s="659"/>
      <c r="E830" s="656"/>
      <c r="F830" s="357">
        <f>F810+F815+F820+F825</f>
        <v>0</v>
      </c>
      <c r="G830" s="357">
        <f>G1*G810+G815+G820+G825</f>
        <v>-20806992</v>
      </c>
      <c r="H830" s="357">
        <f>H810+H815+H820+H825</f>
        <v>0</v>
      </c>
      <c r="I830" s="357">
        <f t="shared" ref="I830:Q831" si="177">I810+I815+I820+I825</f>
        <v>0</v>
      </c>
      <c r="J830" s="390">
        <f>J1*J810+J815+J820+J825</f>
        <v>0</v>
      </c>
      <c r="K830" s="390">
        <f>K1*K810+K815+K820+K825</f>
        <v>0</v>
      </c>
      <c r="L830" s="357">
        <f t="shared" si="177"/>
        <v>0</v>
      </c>
      <c r="M830" s="357">
        <f t="shared" si="177"/>
        <v>0</v>
      </c>
      <c r="N830" s="357">
        <f t="shared" si="177"/>
        <v>0</v>
      </c>
      <c r="O830" s="357">
        <f t="shared" si="177"/>
        <v>-5704.0649908124824</v>
      </c>
      <c r="P830" s="357">
        <f t="shared" si="177"/>
        <v>0</v>
      </c>
      <c r="Q830" s="390">
        <f t="shared" si="177"/>
        <v>0</v>
      </c>
      <c r="R830" s="390">
        <f>R1*R810+R815+R820+R825</f>
        <v>0</v>
      </c>
      <c r="S830" s="748">
        <f>S810+S815+S820+S825</f>
        <v>-20812696.064990811</v>
      </c>
      <c r="T830" s="357"/>
      <c r="U830" s="657">
        <f>U810+U815+U820+U825</f>
        <v>-20812696.064990811</v>
      </c>
      <c r="V830" s="657">
        <f>+U830-'ROR-Model'!G831</f>
        <v>0</v>
      </c>
    </row>
    <row r="831" spans="1:22">
      <c r="A831" s="660"/>
      <c r="B831" s="575" t="s">
        <v>640</v>
      </c>
      <c r="C831" s="659"/>
      <c r="D831" s="659"/>
      <c r="E831" s="656"/>
      <c r="F831" s="357">
        <f>F811+F816+F821+F826</f>
        <v>0</v>
      </c>
      <c r="G831" s="357">
        <f>G1*G811+G816+G821+G826</f>
        <v>-165057.12000000002</v>
      </c>
      <c r="H831" s="357">
        <f>H811+H816+H821+H826</f>
        <v>0</v>
      </c>
      <c r="I831" s="357">
        <f t="shared" si="177"/>
        <v>0</v>
      </c>
      <c r="J831" s="390">
        <f>J1*J811+J816+J821+J826</f>
        <v>0</v>
      </c>
      <c r="K831" s="390">
        <f>K1*K811+K816+K821+K826</f>
        <v>0</v>
      </c>
      <c r="L831" s="357">
        <f t="shared" si="177"/>
        <v>0</v>
      </c>
      <c r="M831" s="357">
        <f t="shared" si="177"/>
        <v>0</v>
      </c>
      <c r="N831" s="357">
        <f>N811+N816+N821+N826</f>
        <v>0</v>
      </c>
      <c r="O831" s="357">
        <f>O811+O816+O821+O826</f>
        <v>-192.33250918751688</v>
      </c>
      <c r="P831" s="357">
        <f t="shared" si="177"/>
        <v>0</v>
      </c>
      <c r="Q831" s="390">
        <f t="shared" si="177"/>
        <v>0</v>
      </c>
      <c r="R831" s="390">
        <f>R1*R811+R816+R821+R826</f>
        <v>0</v>
      </c>
      <c r="S831" s="748">
        <f>S811+S816+S821+S826</f>
        <v>-165249.45250918754</v>
      </c>
      <c r="T831" s="357"/>
      <c r="U831" s="657">
        <f>U811+U816+U821+U826</f>
        <v>-165249.45250918754</v>
      </c>
      <c r="V831" s="657">
        <f>+U831-'ROR-Model'!G832</f>
        <v>0</v>
      </c>
    </row>
    <row r="832" spans="1:22" ht="13.5" thickBot="1">
      <c r="A832" s="660"/>
      <c r="B832" s="659"/>
      <c r="C832" s="659"/>
      <c r="D832" s="659"/>
      <c r="E832" s="656"/>
      <c r="F832" s="580"/>
      <c r="G832" s="580"/>
      <c r="H832" s="580"/>
      <c r="I832" s="580"/>
      <c r="J832" s="673"/>
      <c r="K832" s="673"/>
      <c r="L832" s="580"/>
      <c r="M832" s="580"/>
      <c r="N832" s="580"/>
      <c r="O832" s="580"/>
      <c r="P832" s="580"/>
      <c r="Q832" s="673"/>
      <c r="R832" s="673"/>
      <c r="S832" s="674"/>
      <c r="T832" s="580"/>
      <c r="U832" s="674"/>
      <c r="V832" s="674">
        <f>+U832-'ROR-Model'!G833</f>
        <v>0</v>
      </c>
    </row>
    <row r="833" spans="1:22">
      <c r="A833" s="660"/>
      <c r="B833" s="197" t="s">
        <v>638</v>
      </c>
      <c r="C833" s="659"/>
      <c r="D833" s="659"/>
      <c r="E833" s="656"/>
      <c r="F833" s="357">
        <f>F812+F817+F822+F827</f>
        <v>0</v>
      </c>
      <c r="G833" s="357">
        <f>G1*G812+G817+G822+G827</f>
        <v>-20972049.120000001</v>
      </c>
      <c r="H833" s="357">
        <f>H812+H817+H822+H827</f>
        <v>0</v>
      </c>
      <c r="I833" s="357">
        <f t="shared" ref="I833:Q833" si="178">I812+I817+I822+I827</f>
        <v>0</v>
      </c>
      <c r="J833" s="390">
        <f>J1*J812+J817+J822+J827</f>
        <v>0</v>
      </c>
      <c r="K833" s="390">
        <f>K1*K812+K817+K822+K827</f>
        <v>0</v>
      </c>
      <c r="L833" s="357">
        <f t="shared" si="178"/>
        <v>0</v>
      </c>
      <c r="M833" s="357">
        <f t="shared" si="178"/>
        <v>0</v>
      </c>
      <c r="N833" s="357">
        <f t="shared" si="178"/>
        <v>0</v>
      </c>
      <c r="O833" s="357">
        <f t="shared" si="178"/>
        <v>-5896.3974999999991</v>
      </c>
      <c r="P833" s="357">
        <f t="shared" si="178"/>
        <v>0</v>
      </c>
      <c r="Q833" s="390">
        <f t="shared" si="178"/>
        <v>0</v>
      </c>
      <c r="R833" s="390">
        <f>R1*R812+R817+R822+R827</f>
        <v>0</v>
      </c>
      <c r="S833" s="657">
        <f>SUM(F833:R833)</f>
        <v>-20977945.517500002</v>
      </c>
      <c r="T833" s="357"/>
      <c r="U833" s="657">
        <f>SUM(S833:S833)</f>
        <v>-20977945.517500002</v>
      </c>
      <c r="V833" s="657">
        <f>+U833-'ROR-Model'!G834</f>
        <v>0</v>
      </c>
    </row>
    <row r="834" spans="1:22">
      <c r="A834" s="660"/>
      <c r="B834" s="659"/>
      <c r="C834" s="659"/>
      <c r="D834" s="659"/>
      <c r="E834" s="656"/>
      <c r="F834" s="357"/>
      <c r="G834" s="357"/>
      <c r="H834" s="357"/>
      <c r="I834" s="357"/>
      <c r="J834" s="390"/>
      <c r="K834" s="390"/>
      <c r="L834" s="357"/>
      <c r="M834" s="357"/>
      <c r="N834" s="357"/>
      <c r="O834" s="357"/>
      <c r="P834" s="357"/>
      <c r="Q834" s="390"/>
      <c r="R834" s="390"/>
      <c r="S834" s="657"/>
      <c r="T834" s="357"/>
      <c r="U834" s="657"/>
      <c r="V834" s="657">
        <f>+U834-'ROR-Model'!G835</f>
        <v>0</v>
      </c>
    </row>
    <row r="835" spans="1:22">
      <c r="A835" s="189" t="s">
        <v>409</v>
      </c>
      <c r="B835" s="659"/>
      <c r="C835" s="659"/>
      <c r="D835" s="659"/>
      <c r="E835" s="656"/>
      <c r="F835" s="357"/>
      <c r="G835" s="357"/>
      <c r="H835" s="357"/>
      <c r="I835" s="357"/>
      <c r="J835" s="390"/>
      <c r="K835" s="390"/>
      <c r="L835" s="357"/>
      <c r="M835" s="357"/>
      <c r="N835" s="357"/>
      <c r="O835" s="357"/>
      <c r="P835" s="357"/>
      <c r="Q835" s="390"/>
      <c r="R835" s="390"/>
      <c r="S835" s="657"/>
      <c r="T835" s="357"/>
      <c r="U835" s="657"/>
      <c r="V835" s="657">
        <f>+U835-'ROR-Model'!G836</f>
        <v>0</v>
      </c>
    </row>
    <row r="836" spans="1:22">
      <c r="A836" s="660"/>
      <c r="B836" s="659"/>
      <c r="C836" s="659"/>
      <c r="D836" s="659"/>
      <c r="E836" s="656"/>
      <c r="F836" s="357"/>
      <c r="G836" s="357"/>
      <c r="H836" s="357"/>
      <c r="I836" s="357"/>
      <c r="J836" s="390"/>
      <c r="K836" s="390"/>
      <c r="L836" s="357"/>
      <c r="M836" s="357"/>
      <c r="N836" s="357"/>
      <c r="O836" s="357"/>
      <c r="P836" s="357"/>
      <c r="Q836" s="390"/>
      <c r="R836" s="390"/>
      <c r="S836" s="657"/>
      <c r="T836" s="357"/>
      <c r="U836" s="657"/>
      <c r="V836" s="657">
        <f>+U836-'ROR-Model'!G837</f>
        <v>0</v>
      </c>
    </row>
    <row r="837" spans="1:22">
      <c r="A837" s="668">
        <v>920</v>
      </c>
      <c r="B837" s="659" t="s">
        <v>410</v>
      </c>
      <c r="C837" s="659"/>
      <c r="D837" s="659"/>
      <c r="E837" s="656"/>
      <c r="F837" s="357"/>
      <c r="G837" s="357"/>
      <c r="H837" s="357"/>
      <c r="I837" s="357"/>
      <c r="J837" s="390"/>
      <c r="K837" s="390"/>
      <c r="L837" s="357"/>
      <c r="M837" s="357"/>
      <c r="N837" s="357"/>
      <c r="O837" s="357"/>
      <c r="P837" s="357"/>
      <c r="Q837" s="390"/>
      <c r="R837" s="390"/>
      <c r="S837" s="657"/>
      <c r="T837" s="357"/>
      <c r="U837" s="657"/>
      <c r="V837" s="657">
        <f>+U837-'ROR-Model'!G838</f>
        <v>0</v>
      </c>
    </row>
    <row r="838" spans="1:22">
      <c r="A838" s="660"/>
      <c r="B838" s="659"/>
      <c r="C838" s="659" t="s">
        <v>13</v>
      </c>
      <c r="D838" s="659"/>
      <c r="E838" s="656"/>
      <c r="F838" s="357"/>
      <c r="G838" s="357"/>
      <c r="H838" s="357"/>
      <c r="I838" s="357"/>
      <c r="J838" s="390">
        <v>0</v>
      </c>
      <c r="K838" s="390"/>
      <c r="L838" s="357"/>
      <c r="M838" s="357">
        <f>Incentive!F20*M1</f>
        <v>-1050314.8604837537</v>
      </c>
      <c r="N838" s="357"/>
      <c r="O838" s="357"/>
      <c r="P838" s="357"/>
      <c r="Q838" s="390"/>
      <c r="R838" s="390">
        <f>'Lab Adj'!E16*R1</f>
        <v>2583753.6325391629</v>
      </c>
      <c r="S838" s="657">
        <f>SUM(F838:R838)</f>
        <v>1533438.7720554092</v>
      </c>
      <c r="T838" s="357"/>
      <c r="U838" s="657">
        <f>SUM(S838:S838)</f>
        <v>1533438.7720554092</v>
      </c>
      <c r="V838" s="657">
        <f>+U838-'ROR-Model'!G839</f>
        <v>0</v>
      </c>
    </row>
    <row r="839" spans="1:22">
      <c r="A839" s="660"/>
      <c r="B839" s="659"/>
      <c r="C839" s="659" t="s">
        <v>24</v>
      </c>
      <c r="D839" s="659"/>
      <c r="E839" s="656"/>
      <c r="F839" s="357"/>
      <c r="G839" s="357"/>
      <c r="H839" s="357"/>
      <c r="I839" s="357"/>
      <c r="J839" s="390">
        <v>0</v>
      </c>
      <c r="K839" s="390"/>
      <c r="L839" s="357"/>
      <c r="M839" s="357">
        <f>Incentive!F21*M1</f>
        <v>-35415.040480631513</v>
      </c>
      <c r="N839" s="357"/>
      <c r="O839" s="357"/>
      <c r="P839" s="357"/>
      <c r="Q839" s="390"/>
      <c r="R839" s="390">
        <f>'Lab Adj'!E17*R1</f>
        <v>85769.781536129623</v>
      </c>
      <c r="S839" s="657">
        <f>SUM(F839:R839)</f>
        <v>50354.741055498111</v>
      </c>
      <c r="T839" s="357"/>
      <c r="U839" s="657">
        <f>SUM(S839:S839)</f>
        <v>50354.741055498111</v>
      </c>
      <c r="V839" s="657">
        <f>+U839-'ROR-Model'!G840</f>
        <v>0</v>
      </c>
    </row>
    <row r="840" spans="1:22">
      <c r="A840" s="668"/>
      <c r="B840" s="659"/>
      <c r="C840" s="659" t="s">
        <v>160</v>
      </c>
      <c r="D840" s="659"/>
      <c r="E840" s="656"/>
      <c r="F840" s="388">
        <f>SUM(F838:F839)</f>
        <v>0</v>
      </c>
      <c r="G840" s="388">
        <f>G1*SUM(G838:G839)</f>
        <v>0</v>
      </c>
      <c r="H840" s="388">
        <f>SUM(H838:H839)</f>
        <v>0</v>
      </c>
      <c r="I840" s="388">
        <f t="shared" ref="I840:P840" si="179">SUM(I838:I839)</f>
        <v>0</v>
      </c>
      <c r="J840" s="585">
        <f>J1*SUM(J838:J839)</f>
        <v>0</v>
      </c>
      <c r="K840" s="585">
        <f>K1*SUM(K838:K839)</f>
        <v>0</v>
      </c>
      <c r="L840" s="388">
        <f t="shared" si="179"/>
        <v>0</v>
      </c>
      <c r="M840" s="388">
        <f t="shared" si="179"/>
        <v>-1085729.9009643851</v>
      </c>
      <c r="N840" s="388">
        <f t="shared" si="179"/>
        <v>0</v>
      </c>
      <c r="O840" s="388">
        <f t="shared" si="179"/>
        <v>0</v>
      </c>
      <c r="P840" s="388">
        <f t="shared" si="179"/>
        <v>0</v>
      </c>
      <c r="Q840" s="585">
        <f>SUM(Q838:Q839)</f>
        <v>0</v>
      </c>
      <c r="R840" s="585">
        <f>R1*SUM(R838:R839)</f>
        <v>2669523.4140752926</v>
      </c>
      <c r="S840" s="661">
        <f>SUM(F840:R840)</f>
        <v>1583793.5131109075</v>
      </c>
      <c r="T840" s="388"/>
      <c r="U840" s="661">
        <f>SUM(S840:S840)</f>
        <v>1583793.5131109075</v>
      </c>
      <c r="V840" s="661">
        <f>+U840-'ROR-Model'!G841</f>
        <v>0</v>
      </c>
    </row>
    <row r="841" spans="1:22">
      <c r="A841" s="668">
        <v>921</v>
      </c>
      <c r="B841" s="659" t="s">
        <v>411</v>
      </c>
      <c r="C841" s="659"/>
      <c r="D841" s="659"/>
      <c r="E841" s="656"/>
      <c r="F841" s="357"/>
      <c r="G841" s="357"/>
      <c r="H841" s="357"/>
      <c r="I841" s="357"/>
      <c r="J841" s="390"/>
      <c r="K841" s="390"/>
      <c r="L841" s="357"/>
      <c r="M841" s="357"/>
      <c r="N841" s="357"/>
      <c r="O841" s="357"/>
      <c r="P841" s="357"/>
      <c r="Q841" s="390"/>
      <c r="R841" s="390"/>
      <c r="S841" s="657"/>
      <c r="T841" s="357"/>
      <c r="U841" s="657"/>
      <c r="V841" s="657">
        <f>+U841-'ROR-Model'!G842</f>
        <v>0</v>
      </c>
    </row>
    <row r="842" spans="1:22">
      <c r="A842" s="668"/>
      <c r="B842" s="659"/>
      <c r="C842" s="659" t="s">
        <v>13</v>
      </c>
      <c r="D842" s="659"/>
      <c r="E842" s="656"/>
      <c r="F842" s="357"/>
      <c r="G842" s="357"/>
      <c r="H842" s="357"/>
      <c r="I842" s="357"/>
      <c r="J842" s="358"/>
      <c r="K842" s="1390">
        <f>'Corp Overhead Adj'!F23*K1</f>
        <v>19073817.824499369</v>
      </c>
      <c r="L842" s="357"/>
      <c r="M842" s="357"/>
      <c r="N842" s="357">
        <f>+'Sporting Events'!$F$14*$N$1</f>
        <v>0</v>
      </c>
      <c r="O842" s="357"/>
      <c r="P842" s="358">
        <f ca="1">+Donations!L14*P1</f>
        <v>-180335.02223107964</v>
      </c>
      <c r="Q842" s="908">
        <f>+'RESERVE ACCRUAL'!$F$25*Q1</f>
        <v>-4514.7687740051206</v>
      </c>
      <c r="R842" s="358"/>
      <c r="S842" s="654">
        <f ca="1">SUM(F842:R842)</f>
        <v>18888968.033494283</v>
      </c>
      <c r="T842" s="357"/>
      <c r="U842" s="654">
        <f ca="1">SUM(S842:S842)</f>
        <v>18888968.033494283</v>
      </c>
      <c r="V842" s="654">
        <f ca="1">+U842-'ROR-Model'!G844</f>
        <v>0</v>
      </c>
    </row>
    <row r="843" spans="1:22">
      <c r="A843" s="668"/>
      <c r="B843" s="659"/>
      <c r="C843" s="659" t="s">
        <v>24</v>
      </c>
      <c r="D843" s="659"/>
      <c r="E843" s="656"/>
      <c r="F843" s="357"/>
      <c r="G843" s="357"/>
      <c r="H843" s="357"/>
      <c r="I843" s="357"/>
      <c r="J843" s="358"/>
      <c r="K843" s="1390">
        <f>'Corp Overhead Adj'!F24*K1</f>
        <v>633170.73550062987</v>
      </c>
      <c r="L843" s="357"/>
      <c r="M843" s="357"/>
      <c r="N843" s="357">
        <f>+'Sporting Events'!$F$15*$N$1</f>
        <v>0</v>
      </c>
      <c r="O843" s="357"/>
      <c r="P843" s="358">
        <f ca="1">+Donations!L15*P1</f>
        <v>-6080.6262509203598</v>
      </c>
      <c r="Q843" s="908">
        <f>+'RESERVE ACCRUAL'!$F$26*Q1</f>
        <v>-152.23122599487928</v>
      </c>
      <c r="R843" s="358"/>
      <c r="S843" s="654">
        <f ca="1">SUM(F843:R843)</f>
        <v>626937.87802371464</v>
      </c>
      <c r="T843" s="357"/>
      <c r="U843" s="654">
        <f ca="1">SUM(S843:S843)</f>
        <v>626937.87802371464</v>
      </c>
      <c r="V843" s="654">
        <f ca="1">+U843-'ROR-Model'!G845</f>
        <v>0</v>
      </c>
    </row>
    <row r="844" spans="1:22">
      <c r="A844" s="668"/>
      <c r="B844" s="659"/>
      <c r="C844" s="659" t="s">
        <v>160</v>
      </c>
      <c r="D844" s="659"/>
      <c r="E844" s="656"/>
      <c r="F844" s="388">
        <f>SUM(F842:F843)</f>
        <v>0</v>
      </c>
      <c r="G844" s="388">
        <f>G1*SUM(G842:G843)</f>
        <v>0</v>
      </c>
      <c r="H844" s="388">
        <f>SUM(H842:H843)</f>
        <v>0</v>
      </c>
      <c r="I844" s="388">
        <f t="shared" ref="I844:P844" si="180">SUM(I842:I843)</f>
        <v>0</v>
      </c>
      <c r="J844" s="585">
        <f>J1*SUM(J842:J843)</f>
        <v>0</v>
      </c>
      <c r="K844" s="585">
        <f>K1*SUM(K842:K843)</f>
        <v>19706988.559999999</v>
      </c>
      <c r="L844" s="388">
        <f t="shared" si="180"/>
        <v>0</v>
      </c>
      <c r="M844" s="388">
        <f t="shared" si="180"/>
        <v>0</v>
      </c>
      <c r="N844" s="388">
        <f t="shared" si="180"/>
        <v>0</v>
      </c>
      <c r="O844" s="388">
        <f t="shared" si="180"/>
        <v>0</v>
      </c>
      <c r="P844" s="585">
        <f t="shared" ca="1" si="180"/>
        <v>-186415.64848199999</v>
      </c>
      <c r="Q844" s="909">
        <f>SUM(Q842:Q843)</f>
        <v>-4667</v>
      </c>
      <c r="R844" s="585">
        <f>R1*SUM(R842:R843)</f>
        <v>0</v>
      </c>
      <c r="S844" s="661">
        <f ca="1">SUM(F844:R844)</f>
        <v>19515905.911518</v>
      </c>
      <c r="T844" s="388"/>
      <c r="U844" s="661">
        <f ca="1">SUM(S844:S844)</f>
        <v>19515905.911518</v>
      </c>
      <c r="V844" s="661">
        <f ca="1">+U844-'ROR-Model'!G846</f>
        <v>0</v>
      </c>
    </row>
    <row r="845" spans="1:22">
      <c r="A845" s="668">
        <v>922</v>
      </c>
      <c r="B845" s="659" t="s">
        <v>412</v>
      </c>
      <c r="C845" s="659"/>
      <c r="D845" s="659"/>
      <c r="E845" s="656"/>
      <c r="F845" s="357"/>
      <c r="G845" s="357"/>
      <c r="H845" s="357"/>
      <c r="I845" s="357"/>
      <c r="J845" s="390"/>
      <c r="K845" s="390"/>
      <c r="L845" s="357"/>
      <c r="M845" s="357"/>
      <c r="N845" s="357"/>
      <c r="O845" s="357"/>
      <c r="P845" s="390"/>
      <c r="Q845" s="390"/>
      <c r="R845" s="390"/>
      <c r="S845" s="657"/>
      <c r="T845" s="357"/>
      <c r="U845" s="657"/>
      <c r="V845" s="657">
        <f>+U845-'ROR-Model'!G847</f>
        <v>0</v>
      </c>
    </row>
    <row r="846" spans="1:22">
      <c r="A846" s="668"/>
      <c r="B846" s="659"/>
      <c r="C846" s="659" t="s">
        <v>13</v>
      </c>
      <c r="D846" s="659"/>
      <c r="E846" s="656"/>
      <c r="F846" s="357"/>
      <c r="G846" s="357"/>
      <c r="H846" s="357"/>
      <c r="I846" s="357"/>
      <c r="J846" s="390"/>
      <c r="K846" s="390"/>
      <c r="L846" s="357"/>
      <c r="M846" s="357"/>
      <c r="N846" s="357"/>
      <c r="O846" s="357"/>
      <c r="P846" s="357"/>
      <c r="Q846" s="390"/>
      <c r="R846" s="390"/>
      <c r="S846" s="657">
        <f>SUM(F846:R846)</f>
        <v>0</v>
      </c>
      <c r="T846" s="357"/>
      <c r="U846" s="657">
        <f>SUM(S846:S846)</f>
        <v>0</v>
      </c>
      <c r="V846" s="657">
        <f>+U846-'ROR-Model'!G849</f>
        <v>0</v>
      </c>
    </row>
    <row r="847" spans="1:22">
      <c r="A847" s="668"/>
      <c r="B847" s="659"/>
      <c r="C847" s="659" t="s">
        <v>24</v>
      </c>
      <c r="D847" s="659"/>
      <c r="E847" s="656"/>
      <c r="F847" s="357"/>
      <c r="G847" s="357"/>
      <c r="H847" s="357"/>
      <c r="I847" s="357"/>
      <c r="J847" s="390"/>
      <c r="K847" s="390"/>
      <c r="L847" s="357"/>
      <c r="M847" s="357"/>
      <c r="N847" s="357"/>
      <c r="O847" s="357"/>
      <c r="P847" s="357"/>
      <c r="Q847" s="390"/>
      <c r="R847" s="390"/>
      <c r="S847" s="657">
        <f>SUM(F847:R847)</f>
        <v>0</v>
      </c>
      <c r="T847" s="357"/>
      <c r="U847" s="657">
        <f>SUM(S847:S847)</f>
        <v>0</v>
      </c>
      <c r="V847" s="657">
        <f>+U847-'ROR-Model'!G850</f>
        <v>0</v>
      </c>
    </row>
    <row r="848" spans="1:22">
      <c r="A848" s="668"/>
      <c r="B848" s="659"/>
      <c r="C848" s="659" t="s">
        <v>160</v>
      </c>
      <c r="D848" s="659"/>
      <c r="E848" s="656"/>
      <c r="F848" s="388">
        <f>SUM(F846:F847)</f>
        <v>0</v>
      </c>
      <c r="G848" s="388">
        <f>G1*SUM(G846:G847)</f>
        <v>0</v>
      </c>
      <c r="H848" s="388">
        <f>SUM(H846:H847)</f>
        <v>0</v>
      </c>
      <c r="I848" s="388">
        <f t="shared" ref="I848:P848" si="181">SUM(I846:I847)</f>
        <v>0</v>
      </c>
      <c r="J848" s="585">
        <f>J1*SUM(J846:J847)</f>
        <v>0</v>
      </c>
      <c r="K848" s="585">
        <f>K1*SUM(K846:K847)</f>
        <v>0</v>
      </c>
      <c r="L848" s="388">
        <f t="shared" si="181"/>
        <v>0</v>
      </c>
      <c r="M848" s="388">
        <f t="shared" si="181"/>
        <v>0</v>
      </c>
      <c r="N848" s="388">
        <f t="shared" si="181"/>
        <v>0</v>
      </c>
      <c r="O848" s="388">
        <f t="shared" si="181"/>
        <v>0</v>
      </c>
      <c r="P848" s="388">
        <f t="shared" si="181"/>
        <v>0</v>
      </c>
      <c r="Q848" s="585">
        <f>SUM(Q846:Q847)</f>
        <v>0</v>
      </c>
      <c r="R848" s="585">
        <f>R1*SUM(R846:R847)</f>
        <v>0</v>
      </c>
      <c r="S848" s="661">
        <f>SUM(F848:R848)</f>
        <v>0</v>
      </c>
      <c r="T848" s="388"/>
      <c r="U848" s="661">
        <f>SUM(S848:S848)</f>
        <v>0</v>
      </c>
      <c r="V848" s="661">
        <f>+U848-'ROR-Model'!G851</f>
        <v>0</v>
      </c>
    </row>
    <row r="849" spans="1:22">
      <c r="A849" s="668">
        <v>923</v>
      </c>
      <c r="B849" s="659" t="s">
        <v>413</v>
      </c>
      <c r="C849" s="659"/>
      <c r="D849" s="659"/>
      <c r="E849" s="656"/>
      <c r="F849" s="357"/>
      <c r="G849" s="357"/>
      <c r="H849" s="357"/>
      <c r="I849" s="357"/>
      <c r="J849" s="583"/>
      <c r="K849" s="583"/>
      <c r="L849" s="357"/>
      <c r="M849" s="357"/>
      <c r="N849" s="357"/>
      <c r="O849" s="357"/>
      <c r="P849" s="357"/>
      <c r="Q849" s="390"/>
      <c r="R849" s="583"/>
      <c r="S849" s="657"/>
      <c r="T849" s="357"/>
      <c r="U849" s="657"/>
      <c r="V849" s="657">
        <f>+U849-'ROR-Model'!G852</f>
        <v>0</v>
      </c>
    </row>
    <row r="850" spans="1:22">
      <c r="A850" s="668"/>
      <c r="B850" s="659"/>
      <c r="C850" s="659" t="s">
        <v>13</v>
      </c>
      <c r="D850" s="659"/>
      <c r="E850" s="656"/>
      <c r="F850" s="357"/>
      <c r="G850" s="357"/>
      <c r="H850" s="357"/>
      <c r="I850" s="357"/>
      <c r="J850" s="390"/>
      <c r="K850" s="390"/>
      <c r="L850" s="357"/>
      <c r="M850" s="357"/>
      <c r="N850" s="357"/>
      <c r="O850" s="357"/>
      <c r="P850" s="357"/>
      <c r="Q850" s="2"/>
      <c r="R850" s="390"/>
      <c r="S850" s="657">
        <f>SUM(F850:R850)</f>
        <v>0</v>
      </c>
      <c r="T850" s="357"/>
      <c r="U850" s="657">
        <f>SUM(S850:S850)</f>
        <v>0</v>
      </c>
      <c r="V850" s="657">
        <f>+U850-'ROR-Model'!G854</f>
        <v>0</v>
      </c>
    </row>
    <row r="851" spans="1:22">
      <c r="A851" s="668"/>
      <c r="B851" s="659"/>
      <c r="C851" s="659" t="s">
        <v>24</v>
      </c>
      <c r="D851" s="659"/>
      <c r="E851" s="656"/>
      <c r="F851" s="357"/>
      <c r="G851" s="357"/>
      <c r="H851" s="357"/>
      <c r="I851" s="357"/>
      <c r="J851" s="390"/>
      <c r="K851" s="390"/>
      <c r="L851" s="357"/>
      <c r="M851" s="357"/>
      <c r="N851" s="357"/>
      <c r="O851" s="357"/>
      <c r="P851" s="357"/>
      <c r="Q851" s="2"/>
      <c r="R851" s="390"/>
      <c r="S851" s="657">
        <f>SUM(F851:R851)</f>
        <v>0</v>
      </c>
      <c r="T851" s="357"/>
      <c r="U851" s="657">
        <f>SUM(S851:S851)</f>
        <v>0</v>
      </c>
      <c r="V851" s="657">
        <f>+U851-'ROR-Model'!G855</f>
        <v>0</v>
      </c>
    </row>
    <row r="852" spans="1:22">
      <c r="A852" s="668"/>
      <c r="B852" s="659"/>
      <c r="C852" s="659" t="s">
        <v>160</v>
      </c>
      <c r="D852" s="659"/>
      <c r="E852" s="656"/>
      <c r="F852" s="388">
        <f>SUM(F850:F851)</f>
        <v>0</v>
      </c>
      <c r="G852" s="388">
        <f>G1*SUM(G850:G851)</f>
        <v>0</v>
      </c>
      <c r="H852" s="388">
        <f>SUM(H850:H851)</f>
        <v>0</v>
      </c>
      <c r="I852" s="388">
        <f t="shared" ref="I852:P852" si="182">SUM(I850:I851)</f>
        <v>0</v>
      </c>
      <c r="J852" s="585">
        <f>J1*SUM(J850:J851)</f>
        <v>0</v>
      </c>
      <c r="K852" s="585">
        <f>K1*SUM(K850:K851)</f>
        <v>0</v>
      </c>
      <c r="L852" s="388">
        <f t="shared" si="182"/>
        <v>0</v>
      </c>
      <c r="M852" s="388">
        <f t="shared" si="182"/>
        <v>0</v>
      </c>
      <c r="N852" s="388">
        <f t="shared" si="182"/>
        <v>0</v>
      </c>
      <c r="O852" s="388">
        <f t="shared" si="182"/>
        <v>0</v>
      </c>
      <c r="P852" s="388">
        <f t="shared" si="182"/>
        <v>0</v>
      </c>
      <c r="Q852" s="585">
        <f>SUM(Q850:Q851)</f>
        <v>0</v>
      </c>
      <c r="R852" s="585">
        <f>R1*SUM(R850:R851)</f>
        <v>0</v>
      </c>
      <c r="S852" s="661">
        <f>SUM(F852:R852)</f>
        <v>0</v>
      </c>
      <c r="T852" s="388"/>
      <c r="U852" s="661">
        <f>SUM(S852:S852)</f>
        <v>0</v>
      </c>
      <c r="V852" s="661">
        <f>+U852-'ROR-Model'!G856</f>
        <v>0</v>
      </c>
    </row>
    <row r="853" spans="1:22">
      <c r="A853" s="668">
        <v>924</v>
      </c>
      <c r="B853" s="659" t="s">
        <v>414</v>
      </c>
      <c r="C853" s="659"/>
      <c r="D853" s="659"/>
      <c r="E853" s="656"/>
      <c r="F853" s="357"/>
      <c r="G853" s="357"/>
      <c r="H853" s="357"/>
      <c r="I853" s="357"/>
      <c r="J853" s="390"/>
      <c r="K853" s="390"/>
      <c r="L853" s="357"/>
      <c r="M853" s="357"/>
      <c r="N853" s="357"/>
      <c r="O853" s="357"/>
      <c r="P853" s="357"/>
      <c r="Q853" s="390"/>
      <c r="R853" s="390"/>
      <c r="S853" s="657"/>
      <c r="T853" s="357"/>
      <c r="U853" s="657"/>
      <c r="V853" s="657">
        <f>+U853-'ROR-Model'!G857</f>
        <v>0</v>
      </c>
    </row>
    <row r="854" spans="1:22">
      <c r="A854" s="668"/>
      <c r="B854" s="659"/>
      <c r="C854" s="659" t="s">
        <v>13</v>
      </c>
      <c r="D854" s="659"/>
      <c r="E854" s="656"/>
      <c r="F854" s="357"/>
      <c r="G854" s="357"/>
      <c r="H854" s="357"/>
      <c r="I854" s="357"/>
      <c r="J854" s="390"/>
      <c r="K854" s="390"/>
      <c r="L854" s="357"/>
      <c r="M854" s="357"/>
      <c r="N854" s="357"/>
      <c r="O854" s="357"/>
      <c r="P854" s="357"/>
      <c r="Q854" s="390"/>
      <c r="R854" s="390"/>
      <c r="S854" s="657">
        <f>SUM(F854:R854)</f>
        <v>0</v>
      </c>
      <c r="T854" s="357"/>
      <c r="U854" s="657">
        <f>SUM(S854:S854)</f>
        <v>0</v>
      </c>
      <c r="V854" s="657">
        <f>+U854-'ROR-Model'!G859</f>
        <v>0</v>
      </c>
    </row>
    <row r="855" spans="1:22">
      <c r="A855" s="668"/>
      <c r="B855" s="659"/>
      <c r="C855" s="659" t="s">
        <v>24</v>
      </c>
      <c r="D855" s="659"/>
      <c r="E855" s="656"/>
      <c r="F855" s="357"/>
      <c r="G855" s="357"/>
      <c r="H855" s="357"/>
      <c r="I855" s="357"/>
      <c r="J855" s="390"/>
      <c r="K855" s="390"/>
      <c r="L855" s="357"/>
      <c r="M855" s="357"/>
      <c r="N855" s="357"/>
      <c r="O855" s="357"/>
      <c r="P855" s="357"/>
      <c r="Q855" s="390"/>
      <c r="R855" s="390"/>
      <c r="S855" s="657">
        <f>SUM(F855:R855)</f>
        <v>0</v>
      </c>
      <c r="T855" s="357"/>
      <c r="U855" s="657">
        <f>SUM(S855:S855)</f>
        <v>0</v>
      </c>
      <c r="V855" s="657">
        <f>+U855-'ROR-Model'!G860</f>
        <v>0</v>
      </c>
    </row>
    <row r="856" spans="1:22">
      <c r="A856" s="668"/>
      <c r="B856" s="659"/>
      <c r="C856" s="659" t="s">
        <v>160</v>
      </c>
      <c r="D856" s="659"/>
      <c r="E856" s="656"/>
      <c r="F856" s="388">
        <f>SUM(F854:F855)</f>
        <v>0</v>
      </c>
      <c r="G856" s="388">
        <f>G1*SUM(G854:G855)</f>
        <v>0</v>
      </c>
      <c r="H856" s="388">
        <f>SUM(H854:H855)</f>
        <v>0</v>
      </c>
      <c r="I856" s="388">
        <f t="shared" ref="I856:P856" si="183">SUM(I854:I855)</f>
        <v>0</v>
      </c>
      <c r="J856" s="585">
        <f>J1*SUM(J854:J855)</f>
        <v>0</v>
      </c>
      <c r="K856" s="585">
        <f>K1*SUM(K854:K855)</f>
        <v>0</v>
      </c>
      <c r="L856" s="388">
        <f t="shared" si="183"/>
        <v>0</v>
      </c>
      <c r="M856" s="388">
        <f t="shared" si="183"/>
        <v>0</v>
      </c>
      <c r="N856" s="388">
        <f t="shared" si="183"/>
        <v>0</v>
      </c>
      <c r="O856" s="388">
        <f t="shared" si="183"/>
        <v>0</v>
      </c>
      <c r="P856" s="388">
        <f t="shared" si="183"/>
        <v>0</v>
      </c>
      <c r="Q856" s="585">
        <f>SUM(Q854:Q855)</f>
        <v>0</v>
      </c>
      <c r="R856" s="585">
        <f>R1*SUM(R854:R855)</f>
        <v>0</v>
      </c>
      <c r="S856" s="661">
        <f>SUM(F856:R856)</f>
        <v>0</v>
      </c>
      <c r="T856" s="388"/>
      <c r="U856" s="661">
        <f>SUM(S856:S856)</f>
        <v>0</v>
      </c>
      <c r="V856" s="661">
        <f>+U856-'ROR-Model'!G861</f>
        <v>0</v>
      </c>
    </row>
    <row r="857" spans="1:22">
      <c r="A857" s="668">
        <v>925</v>
      </c>
      <c r="B857" s="659" t="s">
        <v>415</v>
      </c>
      <c r="C857" s="659"/>
      <c r="D857" s="659"/>
      <c r="E857" s="656"/>
      <c r="F857" s="357"/>
      <c r="G857" s="357"/>
      <c r="H857" s="357"/>
      <c r="I857" s="357"/>
      <c r="J857" s="390"/>
      <c r="K857" s="390"/>
      <c r="L857" s="357"/>
      <c r="M857" s="357"/>
      <c r="N857" s="357"/>
      <c r="O857" s="357"/>
      <c r="P857" s="357"/>
      <c r="Q857" s="390"/>
      <c r="R857" s="390"/>
      <c r="S857" s="657"/>
      <c r="T857" s="357"/>
      <c r="U857" s="657"/>
      <c r="V857" s="657">
        <f>+U857-'ROR-Model'!G862</f>
        <v>0</v>
      </c>
    </row>
    <row r="858" spans="1:22">
      <c r="A858" s="668"/>
      <c r="B858" s="659"/>
      <c r="C858" s="659" t="s">
        <v>13</v>
      </c>
      <c r="D858" s="659"/>
      <c r="E858" s="656"/>
      <c r="F858" s="357"/>
      <c r="G858" s="357"/>
      <c r="H858" s="357"/>
      <c r="I858" s="357"/>
      <c r="J858" s="390"/>
      <c r="K858" s="390"/>
      <c r="L858" s="357"/>
      <c r="M858" s="357"/>
      <c r="N858" s="357"/>
      <c r="O858" s="357"/>
      <c r="P858" s="357"/>
      <c r="Q858" s="390"/>
      <c r="R858" s="390"/>
      <c r="S858" s="657">
        <f>SUM(F858:R858)</f>
        <v>0</v>
      </c>
      <c r="T858" s="357"/>
      <c r="U858" s="657">
        <f>SUM(S858:S858)</f>
        <v>0</v>
      </c>
      <c r="V858" s="657">
        <f>+U858-'ROR-Model'!G864</f>
        <v>0</v>
      </c>
    </row>
    <row r="859" spans="1:22">
      <c r="A859" s="668"/>
      <c r="B859" s="659"/>
      <c r="C859" s="659" t="s">
        <v>24</v>
      </c>
      <c r="D859" s="659"/>
      <c r="E859" s="656"/>
      <c r="F859" s="357"/>
      <c r="G859" s="357"/>
      <c r="H859" s="357"/>
      <c r="I859" s="357"/>
      <c r="J859" s="390"/>
      <c r="K859" s="390"/>
      <c r="L859" s="357"/>
      <c r="M859" s="357"/>
      <c r="N859" s="357"/>
      <c r="O859" s="357"/>
      <c r="P859" s="357"/>
      <c r="Q859" s="390"/>
      <c r="R859" s="390"/>
      <c r="S859" s="657">
        <f>SUM(F859:R859)</f>
        <v>0</v>
      </c>
      <c r="T859" s="357"/>
      <c r="U859" s="657">
        <f>SUM(S859:S859)</f>
        <v>0</v>
      </c>
      <c r="V859" s="657">
        <f>+U859-'ROR-Model'!G865</f>
        <v>0</v>
      </c>
    </row>
    <row r="860" spans="1:22">
      <c r="A860" s="668"/>
      <c r="B860" s="659"/>
      <c r="C860" s="659" t="s">
        <v>160</v>
      </c>
      <c r="D860" s="659"/>
      <c r="E860" s="656"/>
      <c r="F860" s="388">
        <f>SUM(F858:F859)</f>
        <v>0</v>
      </c>
      <c r="G860" s="388">
        <f>G1*SUM(G858:G859)</f>
        <v>0</v>
      </c>
      <c r="H860" s="388">
        <f>SUM(H858:H859)</f>
        <v>0</v>
      </c>
      <c r="I860" s="388">
        <f t="shared" ref="I860:P860" si="184">SUM(I858:I859)</f>
        <v>0</v>
      </c>
      <c r="J860" s="585">
        <f>J1*SUM(J858:J859)</f>
        <v>0</v>
      </c>
      <c r="K860" s="585">
        <f>K1*SUM(K858:K859)</f>
        <v>0</v>
      </c>
      <c r="L860" s="388">
        <f t="shared" si="184"/>
        <v>0</v>
      </c>
      <c r="M860" s="388">
        <f t="shared" si="184"/>
        <v>0</v>
      </c>
      <c r="N860" s="388">
        <f t="shared" si="184"/>
        <v>0</v>
      </c>
      <c r="O860" s="388">
        <f t="shared" si="184"/>
        <v>0</v>
      </c>
      <c r="P860" s="388">
        <f t="shared" si="184"/>
        <v>0</v>
      </c>
      <c r="Q860" s="585">
        <f>SUM(Q858:Q859)</f>
        <v>0</v>
      </c>
      <c r="R860" s="585">
        <f>R1*SUM(R858:R859)</f>
        <v>0</v>
      </c>
      <c r="S860" s="661">
        <f>SUM(F860:R860)</f>
        <v>0</v>
      </c>
      <c r="T860" s="388"/>
      <c r="U860" s="661">
        <f>SUM(S860:S860)</f>
        <v>0</v>
      </c>
      <c r="V860" s="661">
        <f>+U860-'ROR-Model'!G866</f>
        <v>0</v>
      </c>
    </row>
    <row r="861" spans="1:22">
      <c r="A861" s="668">
        <v>926</v>
      </c>
      <c r="B861" s="659" t="s">
        <v>416</v>
      </c>
      <c r="C861" s="659"/>
      <c r="D861" s="659"/>
      <c r="E861" s="656"/>
      <c r="F861" s="357"/>
      <c r="G861" s="357"/>
      <c r="H861" s="357"/>
      <c r="I861" s="357"/>
      <c r="J861" s="390"/>
      <c r="K861" s="390"/>
      <c r="L861" s="357"/>
      <c r="M861" s="357"/>
      <c r="N861" s="357"/>
      <c r="O861" s="357"/>
      <c r="P861" s="357"/>
      <c r="Q861" s="390"/>
      <c r="R861" s="390"/>
      <c r="S861" s="657"/>
      <c r="T861" s="357"/>
      <c r="U861" s="657"/>
      <c r="V861" s="657">
        <f>+U861-'ROR-Model'!G867</f>
        <v>0</v>
      </c>
    </row>
    <row r="862" spans="1:22">
      <c r="A862" s="668"/>
      <c r="B862" s="659"/>
      <c r="C862" s="659" t="s">
        <v>13</v>
      </c>
      <c r="D862" s="659"/>
      <c r="E862" s="656"/>
      <c r="F862" s="357"/>
      <c r="G862" s="357"/>
      <c r="H862" s="357"/>
      <c r="I862" s="357"/>
      <c r="J862" s="390"/>
      <c r="K862" s="390"/>
      <c r="L862" s="357"/>
      <c r="M862" s="357"/>
      <c r="N862" s="357"/>
      <c r="O862" s="357"/>
      <c r="P862" s="357"/>
      <c r="Q862" s="390"/>
      <c r="R862" s="390"/>
      <c r="S862" s="657">
        <f>SUM(F862:R862)</f>
        <v>0</v>
      </c>
      <c r="T862" s="357"/>
      <c r="U862" s="657">
        <f>SUM(S862:S862)</f>
        <v>0</v>
      </c>
      <c r="V862" s="657">
        <f>+U862-'ROR-Model'!G869</f>
        <v>0</v>
      </c>
    </row>
    <row r="863" spans="1:22">
      <c r="A863" s="668"/>
      <c r="B863" s="659"/>
      <c r="C863" s="659" t="s">
        <v>24</v>
      </c>
      <c r="D863" s="659"/>
      <c r="E863" s="656"/>
      <c r="F863" s="357"/>
      <c r="G863" s="357"/>
      <c r="H863" s="357"/>
      <c r="I863" s="357"/>
      <c r="J863" s="390"/>
      <c r="K863" s="390"/>
      <c r="L863" s="357"/>
      <c r="M863" s="357"/>
      <c r="N863" s="357"/>
      <c r="O863" s="357"/>
      <c r="P863" s="357"/>
      <c r="Q863" s="390"/>
      <c r="R863" s="390"/>
      <c r="S863" s="657">
        <f>SUM(F863:R863)</f>
        <v>0</v>
      </c>
      <c r="T863" s="357"/>
      <c r="U863" s="657">
        <f>SUM(S863:S863)</f>
        <v>0</v>
      </c>
      <c r="V863" s="657">
        <f>+U863-'ROR-Model'!G870</f>
        <v>0</v>
      </c>
    </row>
    <row r="864" spans="1:22">
      <c r="A864" s="668"/>
      <c r="B864" s="659"/>
      <c r="C864" s="659" t="s">
        <v>160</v>
      </c>
      <c r="D864" s="659"/>
      <c r="E864" s="656"/>
      <c r="F864" s="388">
        <f>SUM(F862:F863)</f>
        <v>0</v>
      </c>
      <c r="G864" s="388">
        <f>G1*SUM(G862:G863)</f>
        <v>0</v>
      </c>
      <c r="H864" s="388">
        <f>SUM(H862:H863)</f>
        <v>0</v>
      </c>
      <c r="I864" s="388">
        <f t="shared" ref="I864:P864" si="185">SUM(I862:I863)</f>
        <v>0</v>
      </c>
      <c r="J864" s="585">
        <f>J1*SUM(J862:J863)</f>
        <v>0</v>
      </c>
      <c r="K864" s="585">
        <f>K1*SUM(K862:K863)</f>
        <v>0</v>
      </c>
      <c r="L864" s="388">
        <f t="shared" si="185"/>
        <v>0</v>
      </c>
      <c r="M864" s="388">
        <f t="shared" si="185"/>
        <v>0</v>
      </c>
      <c r="N864" s="388">
        <f t="shared" si="185"/>
        <v>0</v>
      </c>
      <c r="O864" s="388">
        <f t="shared" si="185"/>
        <v>0</v>
      </c>
      <c r="P864" s="388">
        <f t="shared" si="185"/>
        <v>0</v>
      </c>
      <c r="Q864" s="585">
        <f>SUM(Q862:Q863)</f>
        <v>0</v>
      </c>
      <c r="R864" s="585">
        <f>R1*SUM(R862:R863)</f>
        <v>0</v>
      </c>
      <c r="S864" s="661">
        <f>SUM(F864:R864)</f>
        <v>0</v>
      </c>
      <c r="T864" s="388"/>
      <c r="U864" s="661">
        <f>SUM(S864:S864)</f>
        <v>0</v>
      </c>
      <c r="V864" s="661">
        <f>+U864-'ROR-Model'!G871</f>
        <v>0</v>
      </c>
    </row>
    <row r="865" spans="1:22">
      <c r="A865" s="668" t="s">
        <v>814</v>
      </c>
      <c r="B865" s="676" t="s">
        <v>815</v>
      </c>
      <c r="C865" s="659"/>
      <c r="D865" s="659"/>
      <c r="E865" s="656"/>
      <c r="F865" s="357"/>
      <c r="G865" s="357"/>
      <c r="H865" s="357"/>
      <c r="I865" s="357"/>
      <c r="J865" s="390"/>
      <c r="K865" s="390"/>
      <c r="L865" s="357"/>
      <c r="M865" s="357"/>
      <c r="N865" s="357"/>
      <c r="O865" s="357"/>
      <c r="P865" s="357"/>
      <c r="Q865" s="390"/>
      <c r="R865" s="390"/>
      <c r="S865" s="657"/>
      <c r="T865" s="357"/>
      <c r="U865" s="657"/>
      <c r="V865" s="657">
        <f>+U865-'ROR-Model'!G872</f>
        <v>0</v>
      </c>
    </row>
    <row r="866" spans="1:22">
      <c r="A866" s="668"/>
      <c r="B866" s="659"/>
      <c r="C866" s="659" t="s">
        <v>13</v>
      </c>
      <c r="D866" s="659"/>
      <c r="E866" s="656"/>
      <c r="F866" s="357"/>
      <c r="G866" s="357"/>
      <c r="H866" s="357"/>
      <c r="I866" s="357"/>
      <c r="J866" s="390"/>
      <c r="K866" s="390"/>
      <c r="L866" s="357"/>
      <c r="M866" s="357"/>
      <c r="N866" s="357"/>
      <c r="O866" s="357"/>
      <c r="P866" s="357"/>
      <c r="Q866" s="390"/>
      <c r="R866" s="390"/>
      <c r="S866" s="657">
        <f>SUM(F866:R866)</f>
        <v>0</v>
      </c>
      <c r="T866" s="357"/>
      <c r="U866" s="657">
        <f>SUM(S866:S866)</f>
        <v>0</v>
      </c>
      <c r="V866" s="657">
        <f>+U866-'ROR-Model'!G873</f>
        <v>0</v>
      </c>
    </row>
    <row r="867" spans="1:22">
      <c r="A867" s="668"/>
      <c r="B867" s="659"/>
      <c r="C867" s="659" t="s">
        <v>24</v>
      </c>
      <c r="D867" s="659"/>
      <c r="E867" s="656"/>
      <c r="F867" s="357"/>
      <c r="G867" s="357"/>
      <c r="H867" s="357"/>
      <c r="I867" s="357"/>
      <c r="J867" s="390"/>
      <c r="K867" s="390"/>
      <c r="L867" s="357"/>
      <c r="M867" s="357"/>
      <c r="N867" s="357"/>
      <c r="O867" s="357"/>
      <c r="P867" s="357"/>
      <c r="Q867" s="390"/>
      <c r="R867" s="390"/>
      <c r="S867" s="657">
        <f>SUM(F867:R867)</f>
        <v>0</v>
      </c>
      <c r="T867" s="357"/>
      <c r="U867" s="657">
        <f>SUM(S867:S867)</f>
        <v>0</v>
      </c>
      <c r="V867" s="657">
        <f>+U867-'ROR-Model'!G874</f>
        <v>0</v>
      </c>
    </row>
    <row r="868" spans="1:22">
      <c r="A868" s="668"/>
      <c r="B868" s="676"/>
      <c r="C868" s="659" t="s">
        <v>160</v>
      </c>
      <c r="D868" s="659"/>
      <c r="E868" s="656"/>
      <c r="F868" s="388">
        <f>SUM(F866:F867)</f>
        <v>0</v>
      </c>
      <c r="G868" s="388">
        <f>G1*SUM(G866:G867)</f>
        <v>0</v>
      </c>
      <c r="H868" s="388">
        <f>SUM(H866:H867)</f>
        <v>0</v>
      </c>
      <c r="I868" s="388">
        <f t="shared" ref="I868:P868" si="186">SUM(I866:I867)</f>
        <v>0</v>
      </c>
      <c r="J868" s="585">
        <f>J1*SUM(J866:J867)</f>
        <v>0</v>
      </c>
      <c r="K868" s="585">
        <f>K1*SUM(K866:K867)</f>
        <v>0</v>
      </c>
      <c r="L868" s="388">
        <f t="shared" si="186"/>
        <v>0</v>
      </c>
      <c r="M868" s="388">
        <f t="shared" si="186"/>
        <v>0</v>
      </c>
      <c r="N868" s="388">
        <f t="shared" si="186"/>
        <v>0</v>
      </c>
      <c r="O868" s="388">
        <f t="shared" si="186"/>
        <v>0</v>
      </c>
      <c r="P868" s="388">
        <f t="shared" si="186"/>
        <v>0</v>
      </c>
      <c r="Q868" s="585">
        <f>SUM(Q866:Q867)</f>
        <v>0</v>
      </c>
      <c r="R868" s="585">
        <f>R1*SUM(R866:R867)</f>
        <v>0</v>
      </c>
      <c r="S868" s="661">
        <f>SUM(F868:R868)</f>
        <v>0</v>
      </c>
      <c r="T868" s="388"/>
      <c r="U868" s="661">
        <f>SUM(S868:S868)</f>
        <v>0</v>
      </c>
      <c r="V868" s="661">
        <f>+U868-'ROR-Model'!G875</f>
        <v>0</v>
      </c>
    </row>
    <row r="869" spans="1:22">
      <c r="A869" s="668">
        <v>9301</v>
      </c>
      <c r="B869" s="659" t="s">
        <v>417</v>
      </c>
      <c r="C869" s="659"/>
      <c r="D869" s="659"/>
      <c r="E869" s="656"/>
      <c r="F869" s="357"/>
      <c r="G869" s="357"/>
      <c r="H869" s="357"/>
      <c r="I869" s="357"/>
      <c r="J869" s="390"/>
      <c r="K869" s="390"/>
      <c r="L869" s="357"/>
      <c r="M869" s="357"/>
      <c r="N869" s="357"/>
      <c r="O869" s="357"/>
      <c r="P869" s="357"/>
      <c r="Q869" s="390"/>
      <c r="R869" s="390"/>
      <c r="S869" s="657"/>
      <c r="T869" s="357"/>
      <c r="U869" s="657"/>
      <c r="V869" s="657">
        <f>+U869-'ROR-Model'!G876</f>
        <v>0</v>
      </c>
    </row>
    <row r="870" spans="1:22">
      <c r="A870" s="668"/>
      <c r="B870" s="676"/>
      <c r="C870" s="659" t="s">
        <v>13</v>
      </c>
      <c r="D870" s="659"/>
      <c r="E870" s="656"/>
      <c r="F870" s="357"/>
      <c r="G870" s="357"/>
      <c r="H870" s="357"/>
      <c r="I870" s="357"/>
      <c r="J870" s="390"/>
      <c r="K870" s="390"/>
      <c r="L870" s="357"/>
      <c r="M870" s="357"/>
      <c r="N870" s="357"/>
      <c r="O870" s="357"/>
      <c r="P870" s="357"/>
      <c r="Q870" s="390"/>
      <c r="R870" s="390"/>
      <c r="S870" s="657">
        <f>SUM(F870:R870)</f>
        <v>0</v>
      </c>
      <c r="T870" s="357"/>
      <c r="U870" s="657">
        <f>SUM(S870:S870)</f>
        <v>0</v>
      </c>
      <c r="V870" s="657">
        <f>+U870-'ROR-Model'!G877</f>
        <v>0</v>
      </c>
    </row>
    <row r="871" spans="1:22">
      <c r="A871" s="668"/>
      <c r="B871" s="676"/>
      <c r="C871" s="659" t="s">
        <v>24</v>
      </c>
      <c r="D871" s="659"/>
      <c r="E871" s="656"/>
      <c r="F871" s="357"/>
      <c r="G871" s="357"/>
      <c r="H871" s="357"/>
      <c r="I871" s="357"/>
      <c r="J871" s="390"/>
      <c r="K871" s="390"/>
      <c r="L871" s="357"/>
      <c r="M871" s="357"/>
      <c r="N871" s="357"/>
      <c r="O871" s="357"/>
      <c r="P871" s="357"/>
      <c r="Q871" s="390"/>
      <c r="R871" s="390"/>
      <c r="S871" s="657">
        <f>SUM(F871:R871)</f>
        <v>0</v>
      </c>
      <c r="T871" s="357"/>
      <c r="U871" s="657">
        <f>SUM(S871:S871)</f>
        <v>0</v>
      </c>
      <c r="V871" s="657">
        <f>+U871-'ROR-Model'!G878</f>
        <v>0</v>
      </c>
    </row>
    <row r="872" spans="1:22">
      <c r="A872" s="668"/>
      <c r="B872" s="659"/>
      <c r="C872" s="659" t="s">
        <v>160</v>
      </c>
      <c r="D872" s="659"/>
      <c r="E872" s="656"/>
      <c r="F872" s="388">
        <f>SUM(F870:F871)</f>
        <v>0</v>
      </c>
      <c r="G872" s="388">
        <f>G1*SUM(G870:G871)</f>
        <v>0</v>
      </c>
      <c r="H872" s="388">
        <f>SUM(H870:H871)</f>
        <v>0</v>
      </c>
      <c r="I872" s="388">
        <f t="shared" ref="I872:P872" si="187">SUM(I870:I871)</f>
        <v>0</v>
      </c>
      <c r="J872" s="585">
        <f>J1*SUM(J870:J871)</f>
        <v>0</v>
      </c>
      <c r="K872" s="585">
        <f>K1*SUM(K870:K871)</f>
        <v>0</v>
      </c>
      <c r="L872" s="388">
        <f t="shared" si="187"/>
        <v>0</v>
      </c>
      <c r="M872" s="388">
        <f t="shared" si="187"/>
        <v>0</v>
      </c>
      <c r="N872" s="388">
        <f t="shared" si="187"/>
        <v>0</v>
      </c>
      <c r="O872" s="388">
        <f t="shared" si="187"/>
        <v>0</v>
      </c>
      <c r="P872" s="388">
        <f t="shared" si="187"/>
        <v>0</v>
      </c>
      <c r="Q872" s="585">
        <f>SUM(Q870:Q871)</f>
        <v>0</v>
      </c>
      <c r="R872" s="585">
        <f>R1*SUM(R870:R871)</f>
        <v>0</v>
      </c>
      <c r="S872" s="661">
        <f>SUM(F872:R872)</f>
        <v>0</v>
      </c>
      <c r="T872" s="388"/>
      <c r="U872" s="661">
        <f>SUM(S872:S872)</f>
        <v>0</v>
      </c>
      <c r="V872" s="661">
        <f>+U872-'ROR-Model'!G879</f>
        <v>0</v>
      </c>
    </row>
    <row r="873" spans="1:22">
      <c r="A873" s="668">
        <v>9302</v>
      </c>
      <c r="B873" s="659" t="s">
        <v>419</v>
      </c>
      <c r="C873" s="659"/>
      <c r="D873" s="659"/>
      <c r="E873" s="656"/>
      <c r="F873" s="357"/>
      <c r="G873" s="357"/>
      <c r="H873" s="357"/>
      <c r="I873" s="357"/>
      <c r="J873" s="390"/>
      <c r="K873" s="390"/>
      <c r="L873" s="357"/>
      <c r="M873" s="357"/>
      <c r="N873" s="357"/>
      <c r="O873" s="357"/>
      <c r="P873" s="357"/>
      <c r="Q873" s="390"/>
      <c r="R873" s="390"/>
      <c r="S873" s="657"/>
      <c r="T873" s="357"/>
      <c r="U873" s="657"/>
      <c r="V873" s="657">
        <f>+U873-'ROR-Model'!G880</f>
        <v>0</v>
      </c>
    </row>
    <row r="874" spans="1:22">
      <c r="A874" s="668"/>
      <c r="B874" s="659"/>
      <c r="C874" s="659" t="s">
        <v>13</v>
      </c>
      <c r="D874" s="659"/>
      <c r="E874" s="656"/>
      <c r="F874" s="357"/>
      <c r="G874" s="357"/>
      <c r="H874" s="357"/>
      <c r="I874" s="357"/>
      <c r="J874" s="390">
        <f>'Transition Costs'!H23*Adjustments!J1</f>
        <v>7353381.9971292093</v>
      </c>
      <c r="K874" s="390"/>
      <c r="L874" s="357"/>
      <c r="M874" s="357"/>
      <c r="N874" s="357"/>
      <c r="O874" s="357"/>
      <c r="P874" s="357"/>
      <c r="Q874" s="390"/>
      <c r="R874" s="390"/>
      <c r="S874" s="657">
        <f>SUM(F874:R874)</f>
        <v>7353381.9971292093</v>
      </c>
      <c r="T874" s="357"/>
      <c r="U874" s="657">
        <f>SUM(S874:S874)</f>
        <v>7353381.9971292093</v>
      </c>
      <c r="V874" s="657">
        <f>+U874-'ROR-Model'!G884</f>
        <v>0</v>
      </c>
    </row>
    <row r="875" spans="1:22">
      <c r="A875" s="668"/>
      <c r="B875" s="659"/>
      <c r="C875" s="659" t="s">
        <v>24</v>
      </c>
      <c r="D875" s="659"/>
      <c r="E875" s="656"/>
      <c r="F875" s="357"/>
      <c r="G875" s="357"/>
      <c r="H875" s="357"/>
      <c r="I875" s="357"/>
      <c r="J875" s="390">
        <f>'Transition Costs'!H24*Adjustments!J1</f>
        <v>247945.00287079066</v>
      </c>
      <c r="K875" s="390"/>
      <c r="L875" s="357"/>
      <c r="M875" s="357"/>
      <c r="N875" s="357"/>
      <c r="O875" s="357"/>
      <c r="P875" s="357"/>
      <c r="Q875" s="390"/>
      <c r="R875" s="390"/>
      <c r="S875" s="657">
        <f>SUM(F875:R875)</f>
        <v>247945.00287079066</v>
      </c>
      <c r="T875" s="357"/>
      <c r="U875" s="657">
        <f>SUM(S875:S875)</f>
        <v>247945.00287079066</v>
      </c>
      <c r="V875" s="657">
        <f>+U875-'ROR-Model'!G885</f>
        <v>0</v>
      </c>
    </row>
    <row r="876" spans="1:22">
      <c r="A876" s="668"/>
      <c r="B876" s="659"/>
      <c r="C876" s="659" t="s">
        <v>160</v>
      </c>
      <c r="D876" s="659"/>
      <c r="E876" s="656"/>
      <c r="F876" s="388">
        <f>SUM(F874:F875)</f>
        <v>0</v>
      </c>
      <c r="G876" s="388">
        <f>G1*SUM(G874:G875)</f>
        <v>0</v>
      </c>
      <c r="H876" s="388">
        <f>SUM(H874:H875)</f>
        <v>0</v>
      </c>
      <c r="I876" s="388">
        <f t="shared" ref="I876:P876" si="188">SUM(I874:I875)</f>
        <v>0</v>
      </c>
      <c r="J876" s="585">
        <f>J1*SUM(J874:J875)</f>
        <v>7601327</v>
      </c>
      <c r="K876" s="585">
        <f>K1*SUM(K874:K875)</f>
        <v>0</v>
      </c>
      <c r="L876" s="388">
        <f t="shared" si="188"/>
        <v>0</v>
      </c>
      <c r="M876" s="388">
        <f t="shared" si="188"/>
        <v>0</v>
      </c>
      <c r="N876" s="388">
        <f t="shared" si="188"/>
        <v>0</v>
      </c>
      <c r="O876" s="388">
        <f t="shared" si="188"/>
        <v>0</v>
      </c>
      <c r="P876" s="388">
        <f t="shared" si="188"/>
        <v>0</v>
      </c>
      <c r="Q876" s="585">
        <f>SUM(Q874:Q875)</f>
        <v>0</v>
      </c>
      <c r="R876" s="585">
        <f>R1*SUM(R874:R875)</f>
        <v>0</v>
      </c>
      <c r="S876" s="661">
        <f>SUM(F876:R876)</f>
        <v>7601327</v>
      </c>
      <c r="T876" s="388"/>
      <c r="U876" s="661">
        <f>SUM(S876:S876)</f>
        <v>7601327</v>
      </c>
      <c r="V876" s="661">
        <f>+U876-'ROR-Model'!G886</f>
        <v>0</v>
      </c>
    </row>
    <row r="877" spans="1:22">
      <c r="A877" s="668">
        <v>931</v>
      </c>
      <c r="B877" s="659" t="s">
        <v>370</v>
      </c>
      <c r="C877" s="659"/>
      <c r="D877" s="659"/>
      <c r="E877" s="656"/>
      <c r="F877" s="357"/>
      <c r="G877" s="357"/>
      <c r="H877" s="357"/>
      <c r="I877" s="357"/>
      <c r="J877" s="390"/>
      <c r="K877" s="390"/>
      <c r="L877" s="357"/>
      <c r="M877" s="357"/>
      <c r="N877" s="357"/>
      <c r="O877" s="357"/>
      <c r="P877" s="357"/>
      <c r="Q877" s="390"/>
      <c r="R877" s="390"/>
      <c r="S877" s="657"/>
      <c r="T877" s="357"/>
      <c r="U877" s="657"/>
      <c r="V877" s="657">
        <f>+U877-'ROR-Model'!G887</f>
        <v>0</v>
      </c>
    </row>
    <row r="878" spans="1:22">
      <c r="A878" s="668"/>
      <c r="B878" s="659"/>
      <c r="C878" s="659" t="s">
        <v>13</v>
      </c>
      <c r="D878" s="659"/>
      <c r="E878" s="656"/>
      <c r="F878" s="357"/>
      <c r="G878" s="357"/>
      <c r="H878" s="357"/>
      <c r="I878" s="357"/>
      <c r="J878" s="390"/>
      <c r="K878" s="390"/>
      <c r="L878" s="357"/>
      <c r="M878" s="357"/>
      <c r="N878" s="357"/>
      <c r="O878" s="357"/>
      <c r="P878" s="357"/>
      <c r="Q878" s="390"/>
      <c r="R878" s="390"/>
      <c r="S878" s="657">
        <f>SUM(F878:R878)</f>
        <v>0</v>
      </c>
      <c r="T878" s="357"/>
      <c r="U878" s="657">
        <f>SUM(S878:S878)</f>
        <v>0</v>
      </c>
      <c r="V878" s="657">
        <f>+U878-'ROR-Model'!G889</f>
        <v>0</v>
      </c>
    </row>
    <row r="879" spans="1:22">
      <c r="A879" s="668"/>
      <c r="B879" s="659"/>
      <c r="C879" s="659" t="s">
        <v>24</v>
      </c>
      <c r="D879" s="659"/>
      <c r="E879" s="656"/>
      <c r="F879" s="357"/>
      <c r="G879" s="357"/>
      <c r="H879" s="357"/>
      <c r="I879" s="357"/>
      <c r="J879" s="390"/>
      <c r="K879" s="390"/>
      <c r="L879" s="357"/>
      <c r="M879" s="357"/>
      <c r="N879" s="357"/>
      <c r="O879" s="357"/>
      <c r="P879" s="357"/>
      <c r="Q879" s="390"/>
      <c r="R879" s="390"/>
      <c r="S879" s="657">
        <f>SUM(F879:R879)</f>
        <v>0</v>
      </c>
      <c r="T879" s="357"/>
      <c r="U879" s="657">
        <f>SUM(S879:S879)</f>
        <v>0</v>
      </c>
      <c r="V879" s="657">
        <f>+U879-'ROR-Model'!G890</f>
        <v>0</v>
      </c>
    </row>
    <row r="880" spans="1:22">
      <c r="A880" s="668"/>
      <c r="B880" s="659"/>
      <c r="C880" s="659" t="s">
        <v>160</v>
      </c>
      <c r="D880" s="659"/>
      <c r="E880" s="656"/>
      <c r="F880" s="388">
        <f>SUM(F878:F879)</f>
        <v>0</v>
      </c>
      <c r="G880" s="388">
        <f>G1*SUM(G878:G879)</f>
        <v>0</v>
      </c>
      <c r="H880" s="388">
        <f>SUM(H878:H879)</f>
        <v>0</v>
      </c>
      <c r="I880" s="388">
        <f t="shared" ref="I880:P880" si="189">SUM(I878:I879)</f>
        <v>0</v>
      </c>
      <c r="J880" s="585">
        <f>J1*SUM(J878:J879)</f>
        <v>0</v>
      </c>
      <c r="K880" s="585">
        <f>K1*SUM(K878:K879)</f>
        <v>0</v>
      </c>
      <c r="L880" s="388">
        <f t="shared" si="189"/>
        <v>0</v>
      </c>
      <c r="M880" s="388">
        <f t="shared" si="189"/>
        <v>0</v>
      </c>
      <c r="N880" s="388">
        <f t="shared" si="189"/>
        <v>0</v>
      </c>
      <c r="O880" s="388">
        <f t="shared" si="189"/>
        <v>0</v>
      </c>
      <c r="P880" s="388">
        <f t="shared" si="189"/>
        <v>0</v>
      </c>
      <c r="Q880" s="585">
        <f>SUM(Q878:Q879)</f>
        <v>0</v>
      </c>
      <c r="R880" s="585">
        <f>R1*SUM(R878:R879)</f>
        <v>0</v>
      </c>
      <c r="S880" s="661">
        <f>SUM(F880:R880)</f>
        <v>0</v>
      </c>
      <c r="T880" s="388"/>
      <c r="U880" s="661">
        <f>SUM(S880:S880)</f>
        <v>0</v>
      </c>
      <c r="V880" s="661">
        <f>+U880-'ROR-Model'!G891</f>
        <v>0</v>
      </c>
    </row>
    <row r="881" spans="1:22">
      <c r="A881" s="668">
        <v>935</v>
      </c>
      <c r="B881" s="659" t="s">
        <v>420</v>
      </c>
      <c r="C881" s="659"/>
      <c r="D881" s="659"/>
      <c r="E881" s="656"/>
      <c r="F881" s="357"/>
      <c r="G881" s="357"/>
      <c r="H881" s="357"/>
      <c r="I881" s="357"/>
      <c r="J881" s="390"/>
      <c r="K881" s="390"/>
      <c r="L881" s="357"/>
      <c r="M881" s="357"/>
      <c r="N881" s="357"/>
      <c r="O881" s="357"/>
      <c r="P881" s="357"/>
      <c r="Q881" s="390"/>
      <c r="R881" s="390"/>
      <c r="S881" s="657"/>
      <c r="T881" s="357"/>
      <c r="U881" s="657"/>
      <c r="V881" s="657">
        <f>+U881-'ROR-Model'!G882</f>
        <v>0</v>
      </c>
    </row>
    <row r="882" spans="1:22">
      <c r="A882" s="668"/>
      <c r="B882" s="659"/>
      <c r="C882" s="659" t="s">
        <v>13</v>
      </c>
      <c r="D882" s="659"/>
      <c r="E882" s="656"/>
      <c r="F882" s="357"/>
      <c r="G882" s="357"/>
      <c r="H882" s="357"/>
      <c r="I882" s="357"/>
      <c r="J882" s="390"/>
      <c r="K882" s="390"/>
      <c r="L882" s="357"/>
      <c r="M882" s="357"/>
      <c r="N882" s="357"/>
      <c r="O882" s="357"/>
      <c r="P882" s="357"/>
      <c r="Q882" s="390"/>
      <c r="R882" s="390"/>
      <c r="S882" s="657">
        <f>SUM(F882:R882)</f>
        <v>0</v>
      </c>
      <c r="T882" s="357"/>
      <c r="U882" s="657">
        <f>SUM(S882:S882)</f>
        <v>0</v>
      </c>
      <c r="V882" s="657">
        <f>+U882-'ROR-Model'!G894</f>
        <v>0</v>
      </c>
    </row>
    <row r="883" spans="1:22">
      <c r="A883" s="668"/>
      <c r="B883" s="659"/>
      <c r="C883" s="659" t="s">
        <v>24</v>
      </c>
      <c r="D883" s="659"/>
      <c r="E883" s="656"/>
      <c r="F883" s="357"/>
      <c r="G883" s="357"/>
      <c r="H883" s="357"/>
      <c r="I883" s="357"/>
      <c r="J883" s="390"/>
      <c r="K883" s="390"/>
      <c r="L883" s="357"/>
      <c r="M883" s="357"/>
      <c r="N883" s="357"/>
      <c r="O883" s="357"/>
      <c r="P883" s="357"/>
      <c r="Q883" s="390"/>
      <c r="R883" s="390"/>
      <c r="S883" s="657">
        <f>SUM(F883:R883)</f>
        <v>0</v>
      </c>
      <c r="T883" s="357"/>
      <c r="U883" s="657">
        <f>SUM(S883:S883)</f>
        <v>0</v>
      </c>
      <c r="V883" s="657">
        <f>+U883-'ROR-Model'!G895</f>
        <v>0</v>
      </c>
    </row>
    <row r="884" spans="1:22">
      <c r="A884" s="668"/>
      <c r="B884" s="659"/>
      <c r="C884" s="659" t="s">
        <v>160</v>
      </c>
      <c r="D884" s="659"/>
      <c r="E884" s="656"/>
      <c r="F884" s="388">
        <f>SUM(F882:F883)</f>
        <v>0</v>
      </c>
      <c r="G884" s="388">
        <f>G1*SUM(G882:G883)</f>
        <v>0</v>
      </c>
      <c r="H884" s="388">
        <f>SUM(H882:H883)</f>
        <v>0</v>
      </c>
      <c r="I884" s="388">
        <f t="shared" ref="I884:P884" si="190">SUM(I882:I883)</f>
        <v>0</v>
      </c>
      <c r="J884" s="585">
        <f>J1*SUM(J882:J883)</f>
        <v>0</v>
      </c>
      <c r="K884" s="585">
        <f>K1*SUM(K882:K883)</f>
        <v>0</v>
      </c>
      <c r="L884" s="388">
        <f t="shared" si="190"/>
        <v>0</v>
      </c>
      <c r="M884" s="388">
        <f t="shared" si="190"/>
        <v>0</v>
      </c>
      <c r="N884" s="388">
        <f t="shared" si="190"/>
        <v>0</v>
      </c>
      <c r="O884" s="388">
        <f t="shared" si="190"/>
        <v>0</v>
      </c>
      <c r="P884" s="388">
        <f t="shared" si="190"/>
        <v>0</v>
      </c>
      <c r="Q884" s="585">
        <f>SUM(Q882:Q883)</f>
        <v>0</v>
      </c>
      <c r="R884" s="585">
        <f>R1*SUM(R882:R883)</f>
        <v>0</v>
      </c>
      <c r="S884" s="661">
        <f>SUM(F884:R884)</f>
        <v>0</v>
      </c>
      <c r="T884" s="388"/>
      <c r="U884" s="661">
        <f>SUM(S884:S884)</f>
        <v>0</v>
      </c>
      <c r="V884" s="661">
        <f>+U884-'ROR-Model'!G896</f>
        <v>0</v>
      </c>
    </row>
    <row r="885" spans="1:22">
      <c r="A885" s="189" t="s">
        <v>819</v>
      </c>
      <c r="B885" s="659"/>
      <c r="C885" s="659"/>
      <c r="D885" s="659"/>
      <c r="E885" s="656"/>
      <c r="F885" s="357"/>
      <c r="G885" s="357"/>
      <c r="H885" s="357"/>
      <c r="I885" s="357"/>
      <c r="J885" s="390"/>
      <c r="K885" s="390"/>
      <c r="L885" s="357"/>
      <c r="M885" s="357"/>
      <c r="N885" s="357"/>
      <c r="O885" s="357"/>
      <c r="P885" s="357"/>
      <c r="Q885" s="390"/>
      <c r="R885" s="390"/>
      <c r="S885" s="657"/>
      <c r="T885" s="357"/>
      <c r="U885" s="657"/>
      <c r="V885" s="657">
        <f>+U885-'ROR-Model'!G897</f>
        <v>0</v>
      </c>
    </row>
    <row r="886" spans="1:22">
      <c r="A886" s="668"/>
      <c r="B886" s="575" t="s">
        <v>817</v>
      </c>
      <c r="C886" s="659"/>
      <c r="D886" s="659"/>
      <c r="E886" s="656"/>
      <c r="F886" s="357">
        <f>F838+F842+F846+F850+F854+F858+F862+F866+F870+F874+F878+F882</f>
        <v>0</v>
      </c>
      <c r="G886" s="357">
        <f>G1*G838+G842+G846+G850+G854+G858+G862+G866+G870+G874+G878+G882</f>
        <v>0</v>
      </c>
      <c r="H886" s="357">
        <f>H838+H842+H846+H850+H854+H858+H862+H866+H870+H874+H878+H882</f>
        <v>0</v>
      </c>
      <c r="I886" s="357">
        <f t="shared" ref="I886:P887" si="191">I838+I842+I846+I850+I854+I858+I862+I866+I870+I874+I878+I882</f>
        <v>0</v>
      </c>
      <c r="J886" s="390">
        <f>J1*J838+J842+J846+J850+J854+J858+J862+J866+J870+J874+J878+J882</f>
        <v>7353381.9971292093</v>
      </c>
      <c r="K886" s="390">
        <f>K1*K838+K842+K846+K850+K854+K858+K862+K866+K870+K874+K878+K882</f>
        <v>19073817.824499369</v>
      </c>
      <c r="L886" s="357">
        <f t="shared" si="191"/>
        <v>0</v>
      </c>
      <c r="M886" s="357">
        <f t="shared" si="191"/>
        <v>-1050314.8604837537</v>
      </c>
      <c r="N886" s="357">
        <f t="shared" si="191"/>
        <v>0</v>
      </c>
      <c r="O886" s="357">
        <f t="shared" si="191"/>
        <v>0</v>
      </c>
      <c r="P886" s="357">
        <f t="shared" ca="1" si="191"/>
        <v>-180335.02223107964</v>
      </c>
      <c r="Q886" s="390">
        <f>Q838+Q842+Q846+Q850+Q854+Q858+Q862+Q866+Q870+Q874+Q878+Q882</f>
        <v>-4514.7687740051206</v>
      </c>
      <c r="R886" s="390">
        <f>R1*R838+R842+R846+R850+R854+R858+R862+R866+R870+R874+R878+R882</f>
        <v>2583753.6325391629</v>
      </c>
      <c r="S886" s="657">
        <f ca="1">SUM(F886:R886)</f>
        <v>27775788.802678902</v>
      </c>
      <c r="T886" s="357"/>
      <c r="U886" s="657">
        <f ca="1">SUM(S886:S886)</f>
        <v>27775788.802678902</v>
      </c>
      <c r="V886" s="657">
        <f ca="1">+U886-'ROR-Model'!G899</f>
        <v>0</v>
      </c>
    </row>
    <row r="887" spans="1:22">
      <c r="A887" s="668"/>
      <c r="B887" s="575" t="s">
        <v>818</v>
      </c>
      <c r="C887" s="659"/>
      <c r="D887" s="659"/>
      <c r="E887" s="656"/>
      <c r="F887" s="357">
        <f>F839+F843+F847+F851+F855+F859+F863+F867+F871+F875+F879+F883</f>
        <v>0</v>
      </c>
      <c r="G887" s="357">
        <f>G1*G839+G843+G847+G851+G855+G859+G863+G867+G871+G875+G879+G883</f>
        <v>0</v>
      </c>
      <c r="H887" s="357">
        <f>H839+H843+H847+H851+H855+H859+H863+H867+H871+H875+H879+H883</f>
        <v>0</v>
      </c>
      <c r="I887" s="357">
        <f t="shared" si="191"/>
        <v>0</v>
      </c>
      <c r="J887" s="390">
        <f>J1*J839+J843+J847+J851+J855+J859+J863+J867+J871+J875+J879+J883</f>
        <v>247945.00287079066</v>
      </c>
      <c r="K887" s="390">
        <f>K1*K839+K843+K847+K851+K855+K859+K863+K867+K871+K875+K879+K883</f>
        <v>633170.73550062987</v>
      </c>
      <c r="L887" s="357">
        <f t="shared" si="191"/>
        <v>0</v>
      </c>
      <c r="M887" s="357">
        <f t="shared" si="191"/>
        <v>-35415.040480631513</v>
      </c>
      <c r="N887" s="357">
        <f t="shared" si="191"/>
        <v>0</v>
      </c>
      <c r="O887" s="357">
        <f t="shared" si="191"/>
        <v>0</v>
      </c>
      <c r="P887" s="357">
        <f t="shared" ca="1" si="191"/>
        <v>-6080.6262509203598</v>
      </c>
      <c r="Q887" s="390">
        <f>Q839+Q843+Q847+Q851+Q855+Q859+Q863+Q867+Q871+Q875+Q879+Q883</f>
        <v>-152.23122599487928</v>
      </c>
      <c r="R887" s="390">
        <f>R1*R839+R843+R847+R851+R855+R859+R863+R867+R871+R875+R879+R883</f>
        <v>85769.781536129623</v>
      </c>
      <c r="S887" s="657">
        <f ca="1">SUM(F887:R887)</f>
        <v>925237.62195000343</v>
      </c>
      <c r="T887" s="357"/>
      <c r="U887" s="657">
        <f ca="1">SUM(S887:S887)</f>
        <v>925237.62195000343</v>
      </c>
      <c r="V887" s="657">
        <f ca="1">+U887-'ROR-Model'!G900</f>
        <v>0</v>
      </c>
    </row>
    <row r="888" spans="1:22" ht="13.5" thickBot="1">
      <c r="A888" s="660"/>
      <c r="B888" s="659"/>
      <c r="C888" s="659"/>
      <c r="D888" s="659"/>
      <c r="E888" s="656"/>
      <c r="F888" s="580"/>
      <c r="G888" s="580"/>
      <c r="H888" s="580"/>
      <c r="I888" s="580"/>
      <c r="J888" s="673"/>
      <c r="K888" s="673"/>
      <c r="L888" s="580"/>
      <c r="M888" s="580"/>
      <c r="N888" s="580"/>
      <c r="O888" s="580"/>
      <c r="P888" s="580"/>
      <c r="Q888" s="673"/>
      <c r="R888" s="673"/>
      <c r="S888" s="674"/>
      <c r="T888" s="580"/>
      <c r="U888" s="674"/>
      <c r="V888" s="674"/>
    </row>
    <row r="889" spans="1:22">
      <c r="A889" s="660"/>
      <c r="B889" s="197" t="s">
        <v>421</v>
      </c>
      <c r="C889" s="659"/>
      <c r="D889" s="659"/>
      <c r="E889" s="656"/>
      <c r="F889" s="357">
        <f>IF((F886+F887)=F884+F880+F876+F872+F868+F864+F860+F856+F852+F848+F844+F840,F886+F887,"ERROR")</f>
        <v>0</v>
      </c>
      <c r="G889" s="357">
        <f>SUM(G886:G887)</f>
        <v>0</v>
      </c>
      <c r="H889" s="357">
        <f>SUM(H886:H887)</f>
        <v>0</v>
      </c>
      <c r="I889" s="357">
        <f t="shared" ref="I889:Q889" si="192">SUM(I886:I887)</f>
        <v>0</v>
      </c>
      <c r="J889" s="357">
        <f>J1*IF((J886+J887)=J1*J884+J880+J876+J872+J868+J864+J860+J856+J852+J848+J844+J840,J886+J887,"ERROR")</f>
        <v>7601327</v>
      </c>
      <c r="K889" s="357">
        <f>K1*IF((K886+K887)=K1*K884+K880+K876+K872+K868+K864+K860+K856+K852+K848+K844+K840,K886+K887,"ERROR")</f>
        <v>19706988.559999999</v>
      </c>
      <c r="L889" s="357">
        <f t="shared" si="192"/>
        <v>0</v>
      </c>
      <c r="M889" s="357">
        <f t="shared" si="192"/>
        <v>-1085729.9009643851</v>
      </c>
      <c r="N889" s="357">
        <f t="shared" si="192"/>
        <v>0</v>
      </c>
      <c r="O889" s="357">
        <f t="shared" si="192"/>
        <v>0</v>
      </c>
      <c r="P889" s="357">
        <f t="shared" ca="1" si="192"/>
        <v>-186415.64848199999</v>
      </c>
      <c r="Q889" s="357">
        <f t="shared" si="192"/>
        <v>-4667</v>
      </c>
      <c r="R889" s="357">
        <f>R1*IF((R886+R887)=R1*R884+R880+R876+R872+R868+R864+R860+R856+R852+R848+R844+R840,R886+R887,"ERROR")</f>
        <v>2669523.4140752926</v>
      </c>
      <c r="S889" s="748">
        <f ca="1">SUM(F889:R889)</f>
        <v>28701026.424628906</v>
      </c>
      <c r="T889" s="357"/>
      <c r="U889" s="657">
        <f ca="1">SUM(S889:S889)</f>
        <v>28701026.424628906</v>
      </c>
      <c r="V889" s="657">
        <f ca="1">+U889-'ROR-Model'!G902</f>
        <v>0</v>
      </c>
    </row>
    <row r="890" spans="1:22" ht="13.5" thickBot="1">
      <c r="A890" s="660"/>
      <c r="B890" s="659"/>
      <c r="C890" s="659"/>
      <c r="D890" s="659"/>
      <c r="E890" s="656"/>
      <c r="F890" s="579"/>
      <c r="G890" s="579"/>
      <c r="H890" s="579"/>
      <c r="I890" s="579"/>
      <c r="J890" s="586"/>
      <c r="K890" s="586"/>
      <c r="L890" s="579"/>
      <c r="M890" s="579"/>
      <c r="N890" s="579"/>
      <c r="O890" s="579"/>
      <c r="P890" s="579"/>
      <c r="Q890" s="586"/>
      <c r="R890" s="586"/>
      <c r="S890" s="663"/>
      <c r="T890" s="579"/>
      <c r="U890" s="663"/>
      <c r="V890" s="663"/>
    </row>
    <row r="891" spans="1:22" ht="13.5" thickTop="1">
      <c r="A891" s="660"/>
      <c r="B891" s="659"/>
      <c r="C891" s="659"/>
      <c r="D891" s="659"/>
      <c r="E891" s="656"/>
      <c r="F891" s="357"/>
      <c r="G891" s="357"/>
      <c r="H891" s="357"/>
      <c r="I891" s="357"/>
      <c r="J891" s="390"/>
      <c r="K891" s="390"/>
      <c r="L891" s="357"/>
      <c r="M891" s="357"/>
      <c r="N891" s="357"/>
      <c r="O891" s="357"/>
      <c r="P891" s="357"/>
      <c r="Q891" s="390"/>
      <c r="R891" s="390"/>
      <c r="S891" s="657"/>
      <c r="T891" s="357"/>
      <c r="U891" s="657"/>
      <c r="V891" s="657">
        <f>+U891-'ROR-Model'!G892</f>
        <v>0</v>
      </c>
    </row>
    <row r="892" spans="1:22">
      <c r="A892" s="660"/>
      <c r="B892" s="197" t="s">
        <v>641</v>
      </c>
      <c r="C892" s="659"/>
      <c r="D892" s="659"/>
      <c r="E892" s="656"/>
      <c r="F892" s="357">
        <f>F649+F752+F805+F833+F889</f>
        <v>0</v>
      </c>
      <c r="G892" s="357">
        <f>G1*G649+G752+G805+G833+G889</f>
        <v>-20972049.120000001</v>
      </c>
      <c r="H892" s="357">
        <f>H649+H752+H805+H833+H889</f>
        <v>0</v>
      </c>
      <c r="I892" s="357">
        <f t="shared" ref="I892:Q892" si="193">I649+I752+I805+I833+I889</f>
        <v>0</v>
      </c>
      <c r="J892" s="390">
        <f>J1*J649+J752+J805+J833+J889</f>
        <v>7601327</v>
      </c>
      <c r="K892" s="390">
        <f>K1*K649+K752+K805+K833+K889</f>
        <v>19706988.559999999</v>
      </c>
      <c r="L892" s="357">
        <f>L649+L752+L805+L833+L889</f>
        <v>-1000511.2476272971</v>
      </c>
      <c r="M892" s="357">
        <f t="shared" si="193"/>
        <v>-1085729.9009643851</v>
      </c>
      <c r="N892" s="357">
        <f t="shared" si="193"/>
        <v>0</v>
      </c>
      <c r="O892" s="357">
        <f t="shared" si="193"/>
        <v>-5896.3974999999991</v>
      </c>
      <c r="P892" s="357">
        <f t="shared" ca="1" si="193"/>
        <v>-186415.64848199999</v>
      </c>
      <c r="Q892" s="390">
        <f t="shared" si="193"/>
        <v>-4667</v>
      </c>
      <c r="R892" s="390">
        <f>R1*R649+R752+R805+R833+R889</f>
        <v>2669523.4140752926</v>
      </c>
      <c r="S892" s="657">
        <f ca="1">SUM(F892:R892)</f>
        <v>6722569.6595016085</v>
      </c>
      <c r="T892" s="357"/>
      <c r="U892" s="657">
        <f ca="1">SUM(S892:S892)</f>
        <v>6722569.6595016085</v>
      </c>
      <c r="V892" s="657">
        <f ca="1">+U892-'ROR-Model'!G905</f>
        <v>0</v>
      </c>
    </row>
    <row r="893" spans="1:22">
      <c r="A893" s="660"/>
      <c r="B893" s="659"/>
      <c r="C893" s="659"/>
      <c r="D893" s="659"/>
      <c r="E893" s="656"/>
      <c r="F893" s="357"/>
      <c r="G893" s="357"/>
      <c r="H893" s="357"/>
      <c r="I893" s="357"/>
      <c r="J893" s="390"/>
      <c r="K893" s="390"/>
      <c r="L893" s="357"/>
      <c r="M893" s="357"/>
      <c r="N893" s="357"/>
      <c r="O893" s="357"/>
      <c r="P893" s="357"/>
      <c r="Q893" s="390"/>
      <c r="R893" s="390"/>
      <c r="S893" s="657"/>
      <c r="T893" s="357"/>
      <c r="U893" s="657"/>
      <c r="V893" s="657"/>
    </row>
    <row r="894" spans="1:22">
      <c r="A894" s="660"/>
      <c r="B894" s="659"/>
      <c r="C894" s="659"/>
      <c r="D894" s="659"/>
      <c r="E894" s="656"/>
      <c r="F894" s="357"/>
      <c r="G894" s="357"/>
      <c r="H894" s="357"/>
      <c r="I894" s="357"/>
      <c r="J894" s="390"/>
      <c r="K894" s="390"/>
      <c r="L894" s="357"/>
      <c r="M894" s="357"/>
      <c r="N894" s="357"/>
      <c r="O894" s="357"/>
      <c r="P894" s="357"/>
      <c r="Q894" s="390"/>
      <c r="R894" s="390"/>
      <c r="S894" s="657"/>
      <c r="T894" s="357"/>
      <c r="U894" s="657"/>
      <c r="V894" s="657"/>
    </row>
    <row r="895" spans="1:22">
      <c r="A895" s="189" t="s">
        <v>422</v>
      </c>
      <c r="B895" s="659"/>
      <c r="C895" s="659"/>
      <c r="D895" s="659"/>
      <c r="E895" s="656"/>
      <c r="F895" s="357"/>
      <c r="G895" s="357"/>
      <c r="H895" s="357"/>
      <c r="I895" s="357"/>
      <c r="J895" s="390"/>
      <c r="K895" s="390"/>
      <c r="L895" s="357"/>
      <c r="M895" s="357"/>
      <c r="N895" s="357"/>
      <c r="O895" s="357"/>
      <c r="P895" s="357"/>
      <c r="Q895" s="390"/>
      <c r="R895" s="390"/>
      <c r="S895" s="657"/>
      <c r="T895" s="357"/>
      <c r="U895" s="657"/>
      <c r="V895" s="657"/>
    </row>
    <row r="896" spans="1:22">
      <c r="A896" s="660"/>
      <c r="B896" s="659"/>
      <c r="C896" s="659"/>
      <c r="D896" s="659"/>
      <c r="E896" s="656"/>
      <c r="F896" s="357"/>
      <c r="G896" s="357"/>
      <c r="H896" s="357"/>
      <c r="I896" s="357"/>
      <c r="J896" s="390"/>
      <c r="K896" s="390"/>
      <c r="L896" s="357"/>
      <c r="M896" s="357"/>
      <c r="N896" s="357"/>
      <c r="O896" s="357"/>
      <c r="P896" s="357"/>
      <c r="Q896" s="390"/>
      <c r="R896" s="390"/>
      <c r="S896" s="657"/>
      <c r="T896" s="357"/>
      <c r="U896" s="657"/>
      <c r="V896" s="657"/>
    </row>
    <row r="897" spans="1:22">
      <c r="A897" s="189" t="s">
        <v>423</v>
      </c>
      <c r="B897" s="659"/>
      <c r="C897" s="659"/>
      <c r="D897" s="659"/>
      <c r="E897" s="656"/>
      <c r="F897" s="357"/>
      <c r="G897" s="357"/>
      <c r="H897" s="357"/>
      <c r="I897" s="357"/>
      <c r="J897" s="390"/>
      <c r="K897" s="390"/>
      <c r="L897" s="357"/>
      <c r="M897" s="357"/>
      <c r="N897" s="357"/>
      <c r="O897" s="357"/>
      <c r="P897" s="357"/>
      <c r="Q897" s="390"/>
      <c r="R897" s="390"/>
      <c r="S897" s="657"/>
      <c r="T897" s="357"/>
      <c r="U897" s="657"/>
      <c r="V897" s="657"/>
    </row>
    <row r="898" spans="1:22">
      <c r="A898" s="660"/>
      <c r="B898" s="659"/>
      <c r="C898" s="659"/>
      <c r="D898" s="659"/>
      <c r="E898" s="656"/>
      <c r="F898" s="357"/>
      <c r="G898" s="357"/>
      <c r="H898" s="357"/>
      <c r="I898" s="357"/>
      <c r="J898" s="390"/>
      <c r="K898" s="390"/>
      <c r="L898" s="357"/>
      <c r="M898" s="357"/>
      <c r="N898" s="357"/>
      <c r="O898" s="357"/>
      <c r="P898" s="357"/>
      <c r="Q898" s="390"/>
      <c r="R898" s="390"/>
      <c r="S898" s="657"/>
      <c r="T898" s="357"/>
      <c r="U898" s="657"/>
      <c r="V898" s="657"/>
    </row>
    <row r="899" spans="1:22">
      <c r="A899" s="668">
        <v>403</v>
      </c>
      <c r="B899" s="659" t="s">
        <v>426</v>
      </c>
      <c r="C899" s="659"/>
      <c r="D899" s="659"/>
      <c r="E899" s="656"/>
      <c r="F899" s="357"/>
      <c r="G899" s="357"/>
      <c r="H899" s="357"/>
      <c r="I899" s="357"/>
      <c r="J899" s="390"/>
      <c r="K899" s="390"/>
      <c r="L899" s="357"/>
      <c r="M899" s="357"/>
      <c r="N899" s="357"/>
      <c r="O899" s="357"/>
      <c r="P899" s="357"/>
      <c r="Q899" s="390"/>
      <c r="R899" s="390"/>
      <c r="S899" s="657"/>
      <c r="T899" s="357"/>
      <c r="U899" s="657"/>
      <c r="V899" s="657"/>
    </row>
    <row r="900" spans="1:22">
      <c r="A900" s="668"/>
      <c r="B900" s="659"/>
      <c r="C900" s="659" t="s">
        <v>427</v>
      </c>
      <c r="D900" s="659"/>
      <c r="E900" s="656"/>
      <c r="F900" s="357"/>
      <c r="G900" s="357"/>
      <c r="H900" s="357"/>
      <c r="I900" s="357"/>
      <c r="J900" s="390"/>
      <c r="K900" s="390"/>
      <c r="L900" s="357"/>
      <c r="M900" s="357"/>
      <c r="N900" s="357"/>
      <c r="O900" s="357"/>
      <c r="P900" s="357"/>
      <c r="Q900" s="390"/>
      <c r="R900" s="390"/>
      <c r="S900" s="657">
        <f>SUM(F900:R900)</f>
        <v>0</v>
      </c>
      <c r="T900" s="357"/>
      <c r="U900" s="657">
        <f>SUM(S900:S900)</f>
        <v>0</v>
      </c>
      <c r="V900" s="657">
        <f>+U900-'ROR-Model'!G913</f>
        <v>0</v>
      </c>
    </row>
    <row r="901" spans="1:22">
      <c r="A901" s="668"/>
      <c r="B901" s="659"/>
      <c r="C901" s="659" t="s">
        <v>581</v>
      </c>
      <c r="D901" s="659"/>
      <c r="E901" s="656"/>
      <c r="F901" s="357"/>
      <c r="G901" s="357"/>
      <c r="H901" s="357"/>
      <c r="I901" s="357"/>
      <c r="J901" s="390"/>
      <c r="K901" s="390"/>
      <c r="L901" s="357"/>
      <c r="M901" s="357"/>
      <c r="N901" s="357"/>
      <c r="O901" s="357"/>
      <c r="P901" s="357"/>
      <c r="Q901" s="390"/>
      <c r="R901" s="390"/>
      <c r="S901" s="657">
        <f>SUM(F901:R901)</f>
        <v>0</v>
      </c>
      <c r="T901" s="357"/>
      <c r="U901" s="657">
        <f>SUM(S901:S901)</f>
        <v>0</v>
      </c>
      <c r="V901" s="657">
        <f>+U901-'ROR-Model'!G914</f>
        <v>0</v>
      </c>
    </row>
    <row r="902" spans="1:22">
      <c r="A902" s="668"/>
      <c r="B902" s="659"/>
      <c r="C902" s="659" t="s">
        <v>582</v>
      </c>
      <c r="D902" s="659"/>
      <c r="E902" s="656"/>
      <c r="F902" s="357"/>
      <c r="G902" s="357"/>
      <c r="H902" s="357"/>
      <c r="I902" s="357"/>
      <c r="J902" s="390"/>
      <c r="K902" s="390"/>
      <c r="L902" s="357"/>
      <c r="M902" s="357"/>
      <c r="N902" s="357"/>
      <c r="O902" s="357"/>
      <c r="P902" s="357"/>
      <c r="Q902" s="390"/>
      <c r="R902" s="390"/>
      <c r="S902" s="657">
        <f>SUM(F902:R902)</f>
        <v>0</v>
      </c>
      <c r="T902" s="357"/>
      <c r="U902" s="657">
        <f>SUM(S902:S902)</f>
        <v>0</v>
      </c>
      <c r="V902" s="657">
        <f>+U902-'ROR-Model'!G915</f>
        <v>0</v>
      </c>
    </row>
    <row r="903" spans="1:22">
      <c r="A903" s="668"/>
      <c r="B903" s="659"/>
      <c r="C903" s="659" t="s">
        <v>584</v>
      </c>
      <c r="D903" s="659"/>
      <c r="E903" s="656"/>
      <c r="F903" s="357"/>
      <c r="G903" s="357"/>
      <c r="H903" s="357"/>
      <c r="I903" s="357"/>
      <c r="J903" s="390"/>
      <c r="K903" s="390"/>
      <c r="L903" s="357"/>
      <c r="M903" s="357"/>
      <c r="N903" s="357"/>
      <c r="O903" s="357"/>
      <c r="P903" s="357"/>
      <c r="Q903" s="390"/>
      <c r="R903" s="390"/>
      <c r="S903" s="657">
        <f>SUM(F903:R903)</f>
        <v>0</v>
      </c>
      <c r="T903" s="357"/>
      <c r="U903" s="657">
        <f>SUM(S903:S903)</f>
        <v>0</v>
      </c>
      <c r="V903" s="657">
        <f>+U903-'ROR-Model'!G916</f>
        <v>0</v>
      </c>
    </row>
    <row r="904" spans="1:22">
      <c r="A904" s="668"/>
      <c r="B904" s="659"/>
      <c r="C904" s="659" t="s">
        <v>585</v>
      </c>
      <c r="D904" s="659"/>
      <c r="E904" s="656"/>
      <c r="F904" s="388">
        <f>SUM(F900:F903)</f>
        <v>0</v>
      </c>
      <c r="G904" s="388">
        <f>G1*SUM(G900:G903)</f>
        <v>0</v>
      </c>
      <c r="H904" s="388">
        <f>SUM(H900:H903)</f>
        <v>0</v>
      </c>
      <c r="I904" s="388">
        <f t="shared" ref="I904:P904" si="194">SUM(I900:I903)</f>
        <v>0</v>
      </c>
      <c r="J904" s="585">
        <f>J1*SUM(J900:J903)</f>
        <v>0</v>
      </c>
      <c r="K904" s="585">
        <f>K1*SUM(K900:K903)</f>
        <v>0</v>
      </c>
      <c r="L904" s="388">
        <f t="shared" si="194"/>
        <v>0</v>
      </c>
      <c r="M904" s="388">
        <f t="shared" si="194"/>
        <v>0</v>
      </c>
      <c r="N904" s="388">
        <f t="shared" si="194"/>
        <v>0</v>
      </c>
      <c r="O904" s="388">
        <f t="shared" si="194"/>
        <v>0</v>
      </c>
      <c r="P904" s="388">
        <f t="shared" si="194"/>
        <v>0</v>
      </c>
      <c r="Q904" s="585">
        <f>SUM(Q900:Q903)</f>
        <v>0</v>
      </c>
      <c r="R904" s="585">
        <f>R1*SUM(R900:R903)</f>
        <v>0</v>
      </c>
      <c r="S904" s="661">
        <f>SUM(S900:S903)</f>
        <v>0</v>
      </c>
      <c r="T904" s="388"/>
      <c r="U904" s="661">
        <f>SUM(U900:U903)</f>
        <v>0</v>
      </c>
      <c r="V904" s="661">
        <f>+U904-'ROR-Model'!G917</f>
        <v>0</v>
      </c>
    </row>
    <row r="905" spans="1:22">
      <c r="A905" s="668"/>
      <c r="B905" s="659"/>
      <c r="C905" s="659"/>
      <c r="D905" s="659"/>
      <c r="E905" s="656"/>
      <c r="F905" s="357"/>
      <c r="G905" s="357"/>
      <c r="H905" s="357"/>
      <c r="I905" s="357"/>
      <c r="J905" s="390"/>
      <c r="K905" s="390"/>
      <c r="L905" s="357"/>
      <c r="M905" s="357"/>
      <c r="N905" s="357"/>
      <c r="O905" s="357"/>
      <c r="P905" s="357"/>
      <c r="Q905" s="390"/>
      <c r="R905" s="390"/>
      <c r="S905" s="657"/>
      <c r="T905" s="357"/>
      <c r="U905" s="657"/>
      <c r="V905" s="657">
        <f>+U905-'ROR-Model'!G906</f>
        <v>0</v>
      </c>
    </row>
    <row r="906" spans="1:22">
      <c r="A906" s="668">
        <v>404</v>
      </c>
      <c r="B906" s="659" t="s">
        <v>586</v>
      </c>
      <c r="C906" s="659"/>
      <c r="D906" s="659"/>
      <c r="E906" s="656"/>
      <c r="F906" s="357"/>
      <c r="G906" s="357"/>
      <c r="H906" s="357"/>
      <c r="I906" s="357"/>
      <c r="J906" s="390"/>
      <c r="K906" s="390"/>
      <c r="L906" s="357"/>
      <c r="M906" s="357"/>
      <c r="N906" s="357"/>
      <c r="O906" s="357"/>
      <c r="P906" s="357"/>
      <c r="Q906" s="390"/>
      <c r="R906" s="390"/>
      <c r="S906" s="657"/>
      <c r="T906" s="357"/>
      <c r="U906" s="657"/>
      <c r="V906" s="657">
        <f>+U906-'ROR-Model'!G907</f>
        <v>0</v>
      </c>
    </row>
    <row r="907" spans="1:22">
      <c r="A907" s="668"/>
      <c r="B907" s="659"/>
      <c r="C907" s="659" t="s">
        <v>427</v>
      </c>
      <c r="D907" s="659"/>
      <c r="E907" s="656"/>
      <c r="F907" s="357"/>
      <c r="G907" s="357"/>
      <c r="H907" s="357"/>
      <c r="I907" s="357"/>
      <c r="J907" s="390"/>
      <c r="K907" s="390"/>
      <c r="L907" s="357"/>
      <c r="M907" s="357"/>
      <c r="N907" s="357"/>
      <c r="O907" s="357"/>
      <c r="P907" s="357"/>
      <c r="Q907" s="390"/>
      <c r="R907" s="390"/>
      <c r="S907" s="657">
        <f>SUM(F907:R907)</f>
        <v>0</v>
      </c>
      <c r="T907" s="357"/>
      <c r="U907" s="657">
        <f>SUM(S907:S907)</f>
        <v>0</v>
      </c>
      <c r="V907" s="657">
        <f>+U907-'ROR-Model'!G920</f>
        <v>0</v>
      </c>
    </row>
    <row r="908" spans="1:22">
      <c r="A908" s="668"/>
      <c r="B908" s="659"/>
      <c r="C908" s="659" t="s">
        <v>581</v>
      </c>
      <c r="D908" s="659"/>
      <c r="E908" s="656"/>
      <c r="F908" s="357"/>
      <c r="G908" s="357"/>
      <c r="H908" s="357"/>
      <c r="I908" s="357"/>
      <c r="J908" s="390"/>
      <c r="K908" s="390"/>
      <c r="L908" s="357"/>
      <c r="M908" s="357"/>
      <c r="N908" s="357"/>
      <c r="O908" s="357"/>
      <c r="P908" s="357"/>
      <c r="Q908" s="390"/>
      <c r="R908" s="390"/>
      <c r="S908" s="657">
        <f>SUM(F908:R908)</f>
        <v>0</v>
      </c>
      <c r="T908" s="357"/>
      <c r="U908" s="657">
        <f>SUM(S908:S908)</f>
        <v>0</v>
      </c>
      <c r="V908" s="657">
        <f>+U908-'ROR-Model'!G909</f>
        <v>0</v>
      </c>
    </row>
    <row r="909" spans="1:22">
      <c r="A909" s="668"/>
      <c r="B909" s="659"/>
      <c r="C909" s="659" t="s">
        <v>582</v>
      </c>
      <c r="D909" s="659"/>
      <c r="E909" s="656"/>
      <c r="F909" s="357"/>
      <c r="G909" s="357"/>
      <c r="H909" s="357"/>
      <c r="I909" s="357"/>
      <c r="J909" s="390"/>
      <c r="K909" s="390"/>
      <c r="L909" s="357"/>
      <c r="M909" s="357"/>
      <c r="N909" s="357"/>
      <c r="O909" s="357"/>
      <c r="P909" s="357"/>
      <c r="Q909" s="390"/>
      <c r="R909" s="390"/>
      <c r="S909" s="657">
        <f>SUM(F909:R909)</f>
        <v>0</v>
      </c>
      <c r="T909" s="357"/>
      <c r="U909" s="657">
        <f>SUM(S909:S909)</f>
        <v>0</v>
      </c>
      <c r="V909" s="657">
        <f>+U909-'ROR-Model'!G910</f>
        <v>0</v>
      </c>
    </row>
    <row r="910" spans="1:22">
      <c r="A910" s="668"/>
      <c r="B910" s="659"/>
      <c r="C910" s="659" t="s">
        <v>584</v>
      </c>
      <c r="D910" s="659"/>
      <c r="E910" s="656"/>
      <c r="F910" s="357"/>
      <c r="G910" s="357"/>
      <c r="H910" s="357"/>
      <c r="I910" s="357"/>
      <c r="J910" s="390"/>
      <c r="K910" s="390"/>
      <c r="L910" s="357"/>
      <c r="M910" s="357"/>
      <c r="N910" s="357"/>
      <c r="O910" s="357"/>
      <c r="P910" s="357"/>
      <c r="Q910" s="390"/>
      <c r="R910" s="390"/>
      <c r="S910" s="657">
        <f>SUM(F910:R910)</f>
        <v>0</v>
      </c>
      <c r="T910" s="357"/>
      <c r="U910" s="657">
        <f>SUM(S910:S910)</f>
        <v>0</v>
      </c>
      <c r="V910" s="657">
        <f>+U910-'ROR-Model'!G911</f>
        <v>0</v>
      </c>
    </row>
    <row r="911" spans="1:22">
      <c r="A911" s="668"/>
      <c r="B911" s="659"/>
      <c r="C911" s="659" t="s">
        <v>587</v>
      </c>
      <c r="D911" s="659"/>
      <c r="E911" s="656"/>
      <c r="F911" s="388">
        <f>SUM(F907:F910)</f>
        <v>0</v>
      </c>
      <c r="G911" s="388"/>
      <c r="H911" s="388">
        <f>SUM(H907:H910)</f>
        <v>0</v>
      </c>
      <c r="I911" s="388">
        <f t="shared" ref="I911:P911" si="195">SUM(I907:I910)</f>
        <v>0</v>
      </c>
      <c r="J911" s="585"/>
      <c r="K911" s="585"/>
      <c r="L911" s="388">
        <f t="shared" si="195"/>
        <v>0</v>
      </c>
      <c r="M911" s="388">
        <f t="shared" si="195"/>
        <v>0</v>
      </c>
      <c r="N911" s="388">
        <f t="shared" si="195"/>
        <v>0</v>
      </c>
      <c r="O911" s="388">
        <f t="shared" si="195"/>
        <v>0</v>
      </c>
      <c r="P911" s="388">
        <f t="shared" si="195"/>
        <v>0</v>
      </c>
      <c r="Q911" s="585">
        <f>SUM(Q907:Q910)</f>
        <v>0</v>
      </c>
      <c r="R911" s="585"/>
      <c r="S911" s="661">
        <f>SUM(S907:S910)</f>
        <v>0</v>
      </c>
      <c r="T911" s="388"/>
      <c r="U911" s="661">
        <f>SUM(U907:U910)</f>
        <v>0</v>
      </c>
      <c r="V911" s="661">
        <f>+U911-'ROR-Model'!G924</f>
        <v>0</v>
      </c>
    </row>
    <row r="912" spans="1:22" ht="13.5" thickBot="1">
      <c r="A912" s="668"/>
      <c r="B912" s="659"/>
      <c r="C912" s="659"/>
      <c r="D912" s="659"/>
      <c r="E912" s="656"/>
      <c r="F912" s="580"/>
      <c r="G912" s="580"/>
      <c r="H912" s="580"/>
      <c r="I912" s="580"/>
      <c r="J912" s="673"/>
      <c r="K912" s="673"/>
      <c r="L912" s="580"/>
      <c r="M912" s="580"/>
      <c r="N912" s="580"/>
      <c r="O912" s="580"/>
      <c r="P912" s="580"/>
      <c r="Q912" s="673"/>
      <c r="R912" s="673"/>
      <c r="S912" s="674"/>
      <c r="T912" s="580"/>
      <c r="U912" s="674"/>
      <c r="V912" s="674">
        <f>+U912-'ROR-Model'!G925</f>
        <v>0</v>
      </c>
    </row>
    <row r="913" spans="1:22">
      <c r="A913" s="668"/>
      <c r="B913" s="197" t="s">
        <v>644</v>
      </c>
      <c r="C913" s="659"/>
      <c r="D913" s="659"/>
      <c r="E913" s="656"/>
      <c r="F913" s="357">
        <f>F904+F911</f>
        <v>0</v>
      </c>
      <c r="G913" s="357">
        <f>G1*+G904+G911</f>
        <v>0</v>
      </c>
      <c r="H913" s="357">
        <f>H904+H911</f>
        <v>0</v>
      </c>
      <c r="I913" s="357">
        <f t="shared" ref="I913:Q913" si="196">I904+I911</f>
        <v>0</v>
      </c>
      <c r="J913" s="390">
        <f>J1*+J904+J911</f>
        <v>0</v>
      </c>
      <c r="K913" s="390">
        <f>K1*+K904+K911</f>
        <v>0</v>
      </c>
      <c r="L913" s="357">
        <f t="shared" si="196"/>
        <v>0</v>
      </c>
      <c r="M913" s="357">
        <f t="shared" si="196"/>
        <v>0</v>
      </c>
      <c r="N913" s="357">
        <f t="shared" si="196"/>
        <v>0</v>
      </c>
      <c r="O913" s="357">
        <f t="shared" si="196"/>
        <v>0</v>
      </c>
      <c r="P913" s="357">
        <f t="shared" si="196"/>
        <v>0</v>
      </c>
      <c r="Q913" s="390">
        <f t="shared" si="196"/>
        <v>0</v>
      </c>
      <c r="R913" s="390">
        <f>R1*+R904+R911</f>
        <v>0</v>
      </c>
      <c r="S913" s="657">
        <f>SUM(F913:R913)</f>
        <v>0</v>
      </c>
      <c r="T913" s="357"/>
      <c r="U913" s="657">
        <f>SUM(S913:S913)</f>
        <v>0</v>
      </c>
      <c r="V913" s="657">
        <f>+U913-'ROR-Model'!G926</f>
        <v>0</v>
      </c>
    </row>
    <row r="914" spans="1:22">
      <c r="A914" s="668"/>
      <c r="B914" s="659"/>
      <c r="C914" s="659"/>
      <c r="D914" s="659"/>
      <c r="E914" s="656"/>
      <c r="F914" s="357"/>
      <c r="G914" s="357"/>
      <c r="H914" s="357"/>
      <c r="I914" s="357"/>
      <c r="J914" s="390"/>
      <c r="K914" s="390"/>
      <c r="L914" s="357"/>
      <c r="M914" s="357"/>
      <c r="N914" s="357"/>
      <c r="O914" s="357"/>
      <c r="P914" s="357"/>
      <c r="Q914" s="390"/>
      <c r="R914" s="390"/>
      <c r="S914" s="657"/>
      <c r="T914" s="357"/>
      <c r="U914" s="657"/>
      <c r="V914" s="657">
        <f>+U914-'ROR-Model'!G927</f>
        <v>0</v>
      </c>
    </row>
    <row r="915" spans="1:22">
      <c r="A915" s="198" t="s">
        <v>645</v>
      </c>
      <c r="B915" s="659"/>
      <c r="C915" s="659"/>
      <c r="D915" s="659"/>
      <c r="E915" s="656"/>
      <c r="F915" s="357"/>
      <c r="G915" s="357"/>
      <c r="H915" s="357"/>
      <c r="I915" s="357"/>
      <c r="J915" s="390"/>
      <c r="K915" s="390"/>
      <c r="L915" s="357"/>
      <c r="M915" s="357"/>
      <c r="N915" s="357"/>
      <c r="O915" s="357"/>
      <c r="P915" s="357"/>
      <c r="Q915" s="390"/>
      <c r="R915" s="390"/>
      <c r="S915" s="657"/>
      <c r="T915" s="357"/>
      <c r="U915" s="657"/>
      <c r="V915" s="657">
        <f>+U915-'ROR-Model'!G928</f>
        <v>0</v>
      </c>
    </row>
    <row r="916" spans="1:22">
      <c r="A916" s="668">
        <v>408</v>
      </c>
      <c r="B916" s="659" t="s">
        <v>588</v>
      </c>
      <c r="C916" s="659"/>
      <c r="D916" s="659"/>
      <c r="E916" s="656"/>
      <c r="F916" s="357"/>
      <c r="G916" s="357"/>
      <c r="H916" s="357"/>
      <c r="I916" s="357"/>
      <c r="J916" s="390"/>
      <c r="K916" s="390"/>
      <c r="L916" s="357"/>
      <c r="M916" s="357"/>
      <c r="N916" s="357"/>
      <c r="O916" s="357"/>
      <c r="P916" s="357"/>
      <c r="Q916" s="390"/>
      <c r="R916" s="390"/>
      <c r="S916" s="657"/>
      <c r="T916" s="357"/>
      <c r="U916" s="657"/>
      <c r="V916" s="657">
        <f>+U916-'ROR-Model'!G929</f>
        <v>0</v>
      </c>
    </row>
    <row r="917" spans="1:22">
      <c r="A917" s="660"/>
      <c r="B917" s="659"/>
      <c r="C917" s="659" t="s">
        <v>427</v>
      </c>
      <c r="D917" s="659"/>
      <c r="E917" s="656"/>
      <c r="F917" s="357"/>
      <c r="G917" s="357"/>
      <c r="H917" s="357"/>
      <c r="I917" s="357"/>
      <c r="J917" s="390"/>
      <c r="K917" s="390"/>
      <c r="L917" s="357"/>
      <c r="M917" s="357"/>
      <c r="N917" s="357"/>
      <c r="O917" s="357"/>
      <c r="P917" s="357"/>
      <c r="Q917" s="390"/>
      <c r="R917" s="390"/>
      <c r="S917" s="657">
        <f>SUM(F917:R917)</f>
        <v>0</v>
      </c>
      <c r="T917" s="357"/>
      <c r="U917" s="657">
        <f>SUM(S917:S917)</f>
        <v>0</v>
      </c>
      <c r="V917" s="657">
        <f>+U917-'ROR-Model'!G930</f>
        <v>0</v>
      </c>
    </row>
    <row r="918" spans="1:22">
      <c r="A918" s="660"/>
      <c r="B918" s="659"/>
      <c r="C918" s="659" t="s">
        <v>581</v>
      </c>
      <c r="D918" s="659"/>
      <c r="E918" s="656"/>
      <c r="F918" s="357"/>
      <c r="G918" s="357"/>
      <c r="H918" s="357"/>
      <c r="I918" s="357"/>
      <c r="J918" s="390"/>
      <c r="K918" s="390"/>
      <c r="L918" s="357"/>
      <c r="M918" s="357"/>
      <c r="N918" s="357"/>
      <c r="O918" s="357"/>
      <c r="P918" s="357"/>
      <c r="Q918" s="390"/>
      <c r="R918" s="390"/>
      <c r="S918" s="657">
        <f>SUM(F918:R918)</f>
        <v>0</v>
      </c>
      <c r="T918" s="357"/>
      <c r="U918" s="657">
        <f>SUM(S918:S918)</f>
        <v>0</v>
      </c>
      <c r="V918" s="657">
        <f>+U918-'ROR-Model'!G931</f>
        <v>0</v>
      </c>
    </row>
    <row r="919" spans="1:22">
      <c r="A919" s="660"/>
      <c r="B919" s="659"/>
      <c r="C919" s="659" t="s">
        <v>582</v>
      </c>
      <c r="D919" s="659"/>
      <c r="E919" s="656"/>
      <c r="F919" s="357"/>
      <c r="G919" s="357"/>
      <c r="H919" s="357"/>
      <c r="I919" s="357"/>
      <c r="J919" s="390"/>
      <c r="K919" s="390"/>
      <c r="L919" s="357"/>
      <c r="M919" s="357"/>
      <c r="N919" s="357"/>
      <c r="O919" s="357"/>
      <c r="P919" s="357"/>
      <c r="Q919" s="390"/>
      <c r="R919" s="390"/>
      <c r="S919" s="657">
        <f>SUM(F919:R919)</f>
        <v>0</v>
      </c>
      <c r="T919" s="357"/>
      <c r="U919" s="657">
        <f>SUM(S919:S919)</f>
        <v>0</v>
      </c>
      <c r="V919" s="657">
        <f>+U919-'ROR-Model'!G932</f>
        <v>0</v>
      </c>
    </row>
    <row r="920" spans="1:22">
      <c r="A920" s="660"/>
      <c r="B920" s="659"/>
      <c r="C920" s="659" t="s">
        <v>584</v>
      </c>
      <c r="D920" s="659"/>
      <c r="E920" s="656"/>
      <c r="F920" s="357"/>
      <c r="G920" s="357"/>
      <c r="H920" s="357"/>
      <c r="I920" s="357"/>
      <c r="J920" s="390"/>
      <c r="K920" s="390"/>
      <c r="L920" s="357"/>
      <c r="M920" s="357"/>
      <c r="N920" s="357"/>
      <c r="O920" s="357"/>
      <c r="P920" s="357"/>
      <c r="Q920" s="390"/>
      <c r="R920" s="390"/>
      <c r="S920" s="657">
        <f>SUM(F920:R920)</f>
        <v>0</v>
      </c>
      <c r="T920" s="357"/>
      <c r="U920" s="657">
        <f>SUM(S920:S920)</f>
        <v>0</v>
      </c>
      <c r="V920" s="657">
        <f>+U920-'ROR-Model'!G933</f>
        <v>0</v>
      </c>
    </row>
    <row r="921" spans="1:22">
      <c r="A921" s="660"/>
      <c r="B921" s="659"/>
      <c r="C921" s="659" t="s">
        <v>589</v>
      </c>
      <c r="D921" s="659"/>
      <c r="E921" s="656"/>
      <c r="F921" s="388">
        <f>SUM(F917:F920)</f>
        <v>0</v>
      </c>
      <c r="G921" s="388">
        <f>G1*SUM(G917:G920)</f>
        <v>0</v>
      </c>
      <c r="H921" s="388">
        <f>SUM(H917:H920)</f>
        <v>0</v>
      </c>
      <c r="I921" s="388">
        <f t="shared" ref="I921:P921" si="197">SUM(I917:I920)</f>
        <v>0</v>
      </c>
      <c r="J921" s="585">
        <f>J1*SUM(J917:J920)</f>
        <v>0</v>
      </c>
      <c r="K921" s="585">
        <f>K1*SUM(K917:K920)</f>
        <v>0</v>
      </c>
      <c r="L921" s="388">
        <f t="shared" si="197"/>
        <v>0</v>
      </c>
      <c r="M921" s="388">
        <f t="shared" si="197"/>
        <v>0</v>
      </c>
      <c r="N921" s="388">
        <f t="shared" si="197"/>
        <v>0</v>
      </c>
      <c r="O921" s="388">
        <f t="shared" si="197"/>
        <v>0</v>
      </c>
      <c r="P921" s="388">
        <f t="shared" si="197"/>
        <v>0</v>
      </c>
      <c r="Q921" s="585">
        <f>SUM(Q917:Q920)</f>
        <v>0</v>
      </c>
      <c r="R921" s="585">
        <f>R1*SUM(R917:R920)</f>
        <v>0</v>
      </c>
      <c r="S921" s="661">
        <f>SUM(S917:S920)</f>
        <v>0</v>
      </c>
      <c r="T921" s="388"/>
      <c r="U921" s="661">
        <f>SUM(U917:U920)</f>
        <v>0</v>
      </c>
      <c r="V921" s="661">
        <f>+U921-'ROR-Model'!G934</f>
        <v>0</v>
      </c>
    </row>
    <row r="922" spans="1:22">
      <c r="A922" s="660"/>
      <c r="B922" s="659"/>
      <c r="C922" s="659"/>
      <c r="D922" s="659"/>
      <c r="E922" s="656"/>
      <c r="F922" s="357"/>
      <c r="G922" s="357"/>
      <c r="H922" s="357"/>
      <c r="I922" s="357"/>
      <c r="J922" s="390"/>
      <c r="K922" s="390"/>
      <c r="L922" s="357"/>
      <c r="M922" s="357"/>
      <c r="N922" s="357"/>
      <c r="O922" s="357"/>
      <c r="P922" s="357"/>
      <c r="Q922" s="390"/>
      <c r="R922" s="390"/>
      <c r="S922" s="657"/>
      <c r="T922" s="357"/>
      <c r="U922" s="657"/>
      <c r="V922" s="657">
        <f>+U922-'ROR-Model'!G935</f>
        <v>0</v>
      </c>
    </row>
    <row r="923" spans="1:22">
      <c r="A923" s="668">
        <v>4090</v>
      </c>
      <c r="B923" s="659" t="s">
        <v>591</v>
      </c>
      <c r="C923" s="659"/>
      <c r="D923" s="659"/>
      <c r="E923" s="656"/>
      <c r="F923" s="357">
        <f>((F512)-(F639+F892+F913+F921-F925))*Taxes!$L$23</f>
        <v>0</v>
      </c>
      <c r="G923" s="357">
        <f>((G512)-(G639+G892+G913+G921-G925))*Taxes!$L$23</f>
        <v>0</v>
      </c>
      <c r="H923" s="357">
        <f>((H512)-(H639+H892+H913+H921-H925))*Taxes!$L$23</f>
        <v>0</v>
      </c>
      <c r="I923" s="357">
        <f>((I512)-(I639+I892+I913+I921-I925))*Taxes!$L$23</f>
        <v>0</v>
      </c>
      <c r="J923" s="390">
        <f>((J512)-(J639+J892+J913+J921-J925))*Taxes!$L$23</f>
        <v>-2895304.1410877551</v>
      </c>
      <c r="K923" s="390">
        <f>((K512)-(K639+K892+K913+K921-K925))*Taxes!$L$23</f>
        <v>-7506284.8350211764</v>
      </c>
      <c r="L923" s="357">
        <f>((L512)-(L639+L892+L913+L921-L925))*Taxes!$L$23</f>
        <v>381089.2964426066</v>
      </c>
      <c r="M923" s="357">
        <f>((M512)-(M639+M892+M913+M921-M925))*Taxes!$L$23</f>
        <v>413548.61833532259</v>
      </c>
      <c r="N923" s="357">
        <f>((N512)-(N639+N892+N913+N921-N925))*Taxes!$L$23</f>
        <v>0</v>
      </c>
      <c r="O923" s="357">
        <f>((O512)-(O639+O892+O913+O921-O925))*Taxes!$L$23</f>
        <v>2245.9057608295871</v>
      </c>
      <c r="P923" s="357">
        <f ca="1">((P512)-(P639+P892+P913+P921-P925))*Taxes!$L$23</f>
        <v>71004.707337744301</v>
      </c>
      <c r="Q923" s="390">
        <f>((Q512)-(Q639+Q892+Q913+Q921-Q925))*Taxes!$L$23</f>
        <v>1777.634934855</v>
      </c>
      <c r="R923" s="390">
        <f>((R512)-(R639+R892+R913+R921-R925))*Taxes!$L$23</f>
        <v>-1016806.9595615235</v>
      </c>
      <c r="S923" s="657">
        <f ca="1">SUM(F923:R923)</f>
        <v>-10548729.772859093</v>
      </c>
      <c r="T923" s="357"/>
      <c r="U923" s="657">
        <f ca="1">SUM(S923:S923)</f>
        <v>-10548729.772859093</v>
      </c>
      <c r="V923" s="657">
        <f ca="1">+U923-'ROR-Model'!G936</f>
        <v>0</v>
      </c>
    </row>
    <row r="924" spans="1:22">
      <c r="A924" s="668"/>
      <c r="B924" s="659"/>
      <c r="C924" s="659"/>
      <c r="D924" s="659"/>
      <c r="E924" s="656"/>
      <c r="F924" s="357"/>
      <c r="G924" s="357"/>
      <c r="H924" s="357"/>
      <c r="I924" s="357"/>
      <c r="J924" s="390"/>
      <c r="K924" s="390"/>
      <c r="L924" s="357"/>
      <c r="M924" s="357"/>
      <c r="N924" s="357"/>
      <c r="O924" s="357"/>
      <c r="P924" s="357"/>
      <c r="Q924" s="390"/>
      <c r="R924" s="390"/>
      <c r="S924" s="657"/>
      <c r="T924" s="357"/>
      <c r="U924" s="657"/>
      <c r="V924" s="657">
        <f>+U924-'ROR-Model'!G937</f>
        <v>0</v>
      </c>
    </row>
    <row r="925" spans="1:22">
      <c r="A925" s="668">
        <v>4091</v>
      </c>
      <c r="B925" s="659" t="s">
        <v>592</v>
      </c>
      <c r="C925" s="659"/>
      <c r="D925" s="659"/>
      <c r="E925" s="656"/>
      <c r="F925" s="357"/>
      <c r="G925" s="357"/>
      <c r="H925" s="357"/>
      <c r="I925" s="357"/>
      <c r="J925" s="390"/>
      <c r="K925" s="390"/>
      <c r="L925" s="357"/>
      <c r="M925" s="357"/>
      <c r="N925" s="357"/>
      <c r="O925" s="357"/>
      <c r="P925" s="357"/>
      <c r="Q925" s="390"/>
      <c r="R925" s="390"/>
      <c r="S925" s="657">
        <f>SUM(F925:R925)</f>
        <v>0</v>
      </c>
      <c r="T925" s="357"/>
      <c r="U925" s="657">
        <f>SUM(S925:S925)</f>
        <v>0</v>
      </c>
      <c r="V925" s="657">
        <f>+U925-'ROR-Model'!G938</f>
        <v>0</v>
      </c>
    </row>
    <row r="926" spans="1:22">
      <c r="A926" s="668"/>
      <c r="B926" s="659"/>
      <c r="C926" s="659"/>
      <c r="D926" s="659"/>
      <c r="E926" s="656"/>
      <c r="F926" s="357"/>
      <c r="G926" s="357"/>
      <c r="H926" s="357"/>
      <c r="I926" s="357"/>
      <c r="J926" s="390"/>
      <c r="K926" s="390"/>
      <c r="L926" s="357"/>
      <c r="M926" s="357"/>
      <c r="N926" s="357"/>
      <c r="O926" s="357"/>
      <c r="P926" s="357"/>
      <c r="Q926" s="390"/>
      <c r="R926" s="390"/>
      <c r="S926" s="657"/>
      <c r="T926" s="357"/>
      <c r="U926" s="657"/>
      <c r="V926" s="657">
        <f>+U926-'ROR-Model'!G939</f>
        <v>0</v>
      </c>
    </row>
    <row r="927" spans="1:22">
      <c r="A927" s="668">
        <v>4101</v>
      </c>
      <c r="B927" s="659" t="s">
        <v>593</v>
      </c>
      <c r="C927" s="659"/>
      <c r="D927" s="659"/>
      <c r="E927" s="656"/>
      <c r="F927" s="357"/>
      <c r="G927" s="357"/>
      <c r="H927" s="357"/>
      <c r="I927" s="357"/>
      <c r="J927" s="390"/>
      <c r="K927" s="390"/>
      <c r="L927" s="357"/>
      <c r="M927" s="357"/>
      <c r="N927" s="357"/>
      <c r="O927" s="357"/>
      <c r="P927" s="357"/>
      <c r="Q927" s="390"/>
      <c r="R927" s="390"/>
      <c r="S927" s="657">
        <f>SUM(F927:R927)</f>
        <v>0</v>
      </c>
      <c r="T927" s="357"/>
      <c r="U927" s="657">
        <f>SUM(S927:S927)</f>
        <v>0</v>
      </c>
      <c r="V927" s="657">
        <f>+U927-'ROR-Model'!G940</f>
        <v>0</v>
      </c>
    </row>
    <row r="928" spans="1:22">
      <c r="A928" s="668"/>
      <c r="B928" s="659"/>
      <c r="C928" s="659"/>
      <c r="D928" s="659"/>
      <c r="E928" s="656"/>
      <c r="F928" s="357"/>
      <c r="G928" s="357"/>
      <c r="H928" s="357"/>
      <c r="I928" s="357"/>
      <c r="J928" s="390"/>
      <c r="K928" s="390"/>
      <c r="L928" s="357"/>
      <c r="M928" s="357"/>
      <c r="N928" s="357"/>
      <c r="O928" s="357"/>
      <c r="P928" s="357"/>
      <c r="Q928" s="390"/>
      <c r="R928" s="390"/>
      <c r="S928" s="657"/>
      <c r="T928" s="357"/>
      <c r="U928" s="657"/>
      <c r="V928" s="657">
        <f>+U928-'ROR-Model'!G941</f>
        <v>0</v>
      </c>
    </row>
    <row r="929" spans="1:22">
      <c r="A929" s="668">
        <v>4111</v>
      </c>
      <c r="B929" s="659" t="s">
        <v>594</v>
      </c>
      <c r="C929" s="659"/>
      <c r="D929" s="659"/>
      <c r="E929" s="656"/>
      <c r="F929" s="357"/>
      <c r="G929" s="357"/>
      <c r="H929" s="357"/>
      <c r="I929" s="357"/>
      <c r="J929" s="390"/>
      <c r="K929" s="390"/>
      <c r="L929" s="357"/>
      <c r="M929" s="357"/>
      <c r="N929" s="357"/>
      <c r="O929" s="357"/>
      <c r="P929" s="357"/>
      <c r="Q929" s="390"/>
      <c r="R929" s="390"/>
      <c r="S929" s="657">
        <f>SUM(F929:R929)</f>
        <v>0</v>
      </c>
      <c r="T929" s="357"/>
      <c r="U929" s="657">
        <f>SUM(S929:S929)</f>
        <v>0</v>
      </c>
      <c r="V929" s="657">
        <f>+U929-'ROR-Model'!G942</f>
        <v>0</v>
      </c>
    </row>
    <row r="930" spans="1:22">
      <c r="A930" s="668"/>
      <c r="B930" s="659"/>
      <c r="C930" s="659"/>
      <c r="D930" s="659"/>
      <c r="E930" s="656"/>
      <c r="F930" s="357"/>
      <c r="G930" s="357"/>
      <c r="H930" s="357"/>
      <c r="I930" s="357"/>
      <c r="J930" s="390"/>
      <c r="K930" s="390"/>
      <c r="L930" s="357"/>
      <c r="M930" s="357"/>
      <c r="N930" s="357"/>
      <c r="O930" s="357"/>
      <c r="P930" s="357"/>
      <c r="Q930" s="390"/>
      <c r="R930" s="390"/>
      <c r="S930" s="657"/>
      <c r="T930" s="357"/>
      <c r="U930" s="657"/>
      <c r="V930" s="657">
        <f>+U930-'ROR-Model'!G943</f>
        <v>0</v>
      </c>
    </row>
    <row r="931" spans="1:22">
      <c r="A931" s="668">
        <v>4114</v>
      </c>
      <c r="B931" s="659" t="s">
        <v>595</v>
      </c>
      <c r="C931" s="659"/>
      <c r="D931" s="659"/>
      <c r="E931" s="656"/>
      <c r="F931" s="357"/>
      <c r="G931" s="357"/>
      <c r="H931" s="357"/>
      <c r="I931" s="357"/>
      <c r="J931" s="390"/>
      <c r="K931" s="390"/>
      <c r="L931" s="357"/>
      <c r="M931" s="357"/>
      <c r="N931" s="357"/>
      <c r="O931" s="357"/>
      <c r="P931" s="357"/>
      <c r="Q931" s="390"/>
      <c r="R931" s="390"/>
      <c r="S931" s="657">
        <f>SUM(F931:R931)</f>
        <v>0</v>
      </c>
      <c r="T931" s="357"/>
      <c r="U931" s="657">
        <f>SUM(S931:S931)</f>
        <v>0</v>
      </c>
      <c r="V931" s="657">
        <f>+U931-'ROR-Model'!G944</f>
        <v>0</v>
      </c>
    </row>
    <row r="932" spans="1:22" ht="13.5" thickBot="1">
      <c r="A932" s="660"/>
      <c r="B932" s="659"/>
      <c r="C932" s="659"/>
      <c r="D932" s="659"/>
      <c r="E932" s="656"/>
      <c r="F932" s="580"/>
      <c r="G932" s="580"/>
      <c r="H932" s="580"/>
      <c r="I932" s="580"/>
      <c r="J932" s="673"/>
      <c r="K932" s="673"/>
      <c r="L932" s="580"/>
      <c r="M932" s="580"/>
      <c r="N932" s="580"/>
      <c r="O932" s="580"/>
      <c r="P932" s="580"/>
      <c r="Q932" s="673"/>
      <c r="R932" s="673"/>
      <c r="S932" s="674"/>
      <c r="T932" s="580"/>
      <c r="U932" s="674"/>
      <c r="V932" s="674">
        <f>+U932-'ROR-Model'!G945</f>
        <v>0</v>
      </c>
    </row>
    <row r="933" spans="1:22">
      <c r="A933" s="660"/>
      <c r="B933" s="197" t="s">
        <v>646</v>
      </c>
      <c r="C933" s="659"/>
      <c r="D933" s="659"/>
      <c r="E933" s="656"/>
      <c r="F933" s="357">
        <f>F921+F923+F925+F927+F929+F931</f>
        <v>0</v>
      </c>
      <c r="G933" s="357">
        <f t="shared" ref="G933:Q933" si="198">G921+G923+G925+G927+G929+G931</f>
        <v>0</v>
      </c>
      <c r="H933" s="357">
        <f>H921+H923+H925+H927+H929+H931</f>
        <v>0</v>
      </c>
      <c r="I933" s="357">
        <f t="shared" si="198"/>
        <v>0</v>
      </c>
      <c r="J933" s="357">
        <f>J921+J923+J925+J927+J929+J931</f>
        <v>-2895304.1410877551</v>
      </c>
      <c r="K933" s="357">
        <f>K921+K923+K925+K927+K929+K931</f>
        <v>-7506284.8350211764</v>
      </c>
      <c r="L933" s="357">
        <f t="shared" si="198"/>
        <v>381089.2964426066</v>
      </c>
      <c r="M933" s="357">
        <f t="shared" si="198"/>
        <v>413548.61833532259</v>
      </c>
      <c r="N933" s="357">
        <f t="shared" si="198"/>
        <v>0</v>
      </c>
      <c r="O933" s="357">
        <f t="shared" si="198"/>
        <v>2245.9057608295871</v>
      </c>
      <c r="P933" s="357">
        <f t="shared" ca="1" si="198"/>
        <v>71004.707337744301</v>
      </c>
      <c r="Q933" s="357">
        <f t="shared" si="198"/>
        <v>1777.634934855</v>
      </c>
      <c r="R933" s="357">
        <f>R921+R923+R925+R927+R929+R931</f>
        <v>-1016806.9595615235</v>
      </c>
      <c r="S933" s="657">
        <f ca="1">SUM(F933:R933)</f>
        <v>-10548729.772859093</v>
      </c>
      <c r="T933" s="357"/>
      <c r="U933" s="657">
        <f ca="1">SUM(S933:S933)</f>
        <v>-10548729.772859093</v>
      </c>
      <c r="V933" s="657">
        <f ca="1">+U933-'ROR-Model'!G950</f>
        <v>0</v>
      </c>
    </row>
    <row r="934" spans="1:22" ht="13.5" thickBot="1">
      <c r="A934" s="660"/>
      <c r="B934" s="659"/>
      <c r="C934" s="659"/>
      <c r="D934" s="659"/>
      <c r="E934" s="656"/>
      <c r="F934" s="579"/>
      <c r="G934" s="579"/>
      <c r="H934" s="579"/>
      <c r="I934" s="579"/>
      <c r="J934" s="586"/>
      <c r="K934" s="586"/>
      <c r="L934" s="579"/>
      <c r="M934" s="579"/>
      <c r="N934" s="579"/>
      <c r="O934" s="579"/>
      <c r="P934" s="579"/>
      <c r="Q934" s="586"/>
      <c r="R934" s="586"/>
      <c r="S934" s="663"/>
      <c r="T934" s="579"/>
      <c r="U934" s="663"/>
      <c r="V934" s="663"/>
    </row>
    <row r="935" spans="1:22" ht="13.5" thickTop="1">
      <c r="A935" s="660"/>
      <c r="B935" s="659"/>
      <c r="C935" s="659"/>
      <c r="D935" s="659"/>
      <c r="E935" s="656"/>
      <c r="F935" s="357"/>
      <c r="G935" s="357"/>
      <c r="H935" s="357"/>
      <c r="I935" s="357"/>
      <c r="J935" s="390"/>
      <c r="K935" s="390"/>
      <c r="L935" s="357"/>
      <c r="M935" s="357"/>
      <c r="N935" s="357"/>
      <c r="O935" s="357"/>
      <c r="P935" s="357"/>
      <c r="Q935" s="390"/>
      <c r="R935" s="390"/>
      <c r="S935" s="657"/>
      <c r="T935" s="357"/>
      <c r="U935" s="657"/>
      <c r="V935" s="657"/>
    </row>
    <row r="936" spans="1:22">
      <c r="A936" s="189"/>
      <c r="B936" s="197" t="s">
        <v>643</v>
      </c>
      <c r="C936" s="659"/>
      <c r="D936" s="659"/>
      <c r="E936" s="656"/>
      <c r="F936" s="357">
        <f>F913+F933</f>
        <v>0</v>
      </c>
      <c r="G936" s="357">
        <f>G1*G913+G933</f>
        <v>0</v>
      </c>
      <c r="H936" s="357">
        <f>H913+H933</f>
        <v>0</v>
      </c>
      <c r="I936" s="357">
        <f t="shared" ref="I936:Q936" si="199">I913+I933</f>
        <v>0</v>
      </c>
      <c r="J936" s="390">
        <f>J1*J913+J933</f>
        <v>-2895304.1410877551</v>
      </c>
      <c r="K936" s="390">
        <f>K1*K913+K933</f>
        <v>-7506284.8350211764</v>
      </c>
      <c r="L936" s="357">
        <f t="shared" si="199"/>
        <v>381089.2964426066</v>
      </c>
      <c r="M936" s="357">
        <f t="shared" si="199"/>
        <v>413548.61833532259</v>
      </c>
      <c r="N936" s="357">
        <f t="shared" si="199"/>
        <v>0</v>
      </c>
      <c r="O936" s="357">
        <f t="shared" si="199"/>
        <v>2245.9057608295871</v>
      </c>
      <c r="P936" s="357">
        <f t="shared" ca="1" si="199"/>
        <v>71004.707337744301</v>
      </c>
      <c r="Q936" s="390">
        <f t="shared" si="199"/>
        <v>1777.634934855</v>
      </c>
      <c r="R936" s="390">
        <f>R1*R913+R933</f>
        <v>-1016806.9595615235</v>
      </c>
      <c r="S936" s="657">
        <f ca="1">SUM(F936:R936)</f>
        <v>-10548729.772859093</v>
      </c>
      <c r="T936" s="357"/>
      <c r="U936" s="657">
        <f ca="1">SUM(S936:S936)</f>
        <v>-10548729.772859093</v>
      </c>
      <c r="V936" s="657">
        <f ca="1">+U936-'ROR-Model'!G953</f>
        <v>0</v>
      </c>
    </row>
    <row r="937" spans="1:22" ht="13.5" thickBot="1">
      <c r="A937" s="660"/>
      <c r="B937" s="659"/>
      <c r="C937" s="659"/>
      <c r="D937" s="659"/>
      <c r="E937" s="656"/>
      <c r="F937" s="579"/>
      <c r="G937" s="579"/>
      <c r="H937" s="579"/>
      <c r="I937" s="579"/>
      <c r="J937" s="586"/>
      <c r="K937" s="586"/>
      <c r="L937" s="579"/>
      <c r="M937" s="579"/>
      <c r="N937" s="579"/>
      <c r="O937" s="579"/>
      <c r="P937" s="579"/>
      <c r="Q937" s="586"/>
      <c r="R937" s="586"/>
      <c r="S937" s="663"/>
      <c r="T937" s="579"/>
      <c r="U937" s="663"/>
      <c r="V937" s="663">
        <f>+U937-'ROR-Model'!G938</f>
        <v>0</v>
      </c>
    </row>
    <row r="938" spans="1:22" ht="13.5" thickTop="1">
      <c r="A938" s="660"/>
      <c r="B938" s="659"/>
      <c r="C938" s="659"/>
      <c r="D938" s="659"/>
      <c r="E938" s="656"/>
      <c r="F938" s="357"/>
      <c r="G938" s="357"/>
      <c r="H938" s="357"/>
      <c r="I938" s="357"/>
      <c r="J938" s="390"/>
      <c r="K938" s="390"/>
      <c r="L938" s="357"/>
      <c r="M938" s="357"/>
      <c r="N938" s="357"/>
      <c r="O938" s="357"/>
      <c r="P938" s="357"/>
      <c r="Q938" s="390"/>
      <c r="R938" s="390"/>
      <c r="S938" s="657"/>
      <c r="T938" s="357"/>
      <c r="U938" s="657"/>
      <c r="V938" s="657">
        <f>+U938-'ROR-Model'!G939</f>
        <v>0</v>
      </c>
    </row>
    <row r="939" spans="1:22">
      <c r="A939" s="189" t="s">
        <v>642</v>
      </c>
      <c r="B939" s="659"/>
      <c r="C939" s="659"/>
      <c r="D939" s="659"/>
      <c r="E939" s="656"/>
      <c r="F939" s="357">
        <f>F639+F892+F936</f>
        <v>0</v>
      </c>
      <c r="G939" s="357">
        <f>G1*G639+G892+G936</f>
        <v>-20972049.120000001</v>
      </c>
      <c r="H939" s="357">
        <f>H639+H892+H936</f>
        <v>0</v>
      </c>
      <c r="I939" s="357">
        <f t="shared" ref="I939:Q939" si="200">I639+I892+I936</f>
        <v>0</v>
      </c>
      <c r="J939" s="390">
        <f>J1*J639+J892+J936</f>
        <v>4706022.8589122444</v>
      </c>
      <c r="K939" s="390">
        <f>K1*K639+K892+K936</f>
        <v>12200703.724978823</v>
      </c>
      <c r="L939" s="357">
        <f t="shared" si="200"/>
        <v>-619421.95118469046</v>
      </c>
      <c r="M939" s="357">
        <f t="shared" si="200"/>
        <v>-672181.28262906254</v>
      </c>
      <c r="N939" s="357">
        <f t="shared" si="200"/>
        <v>0</v>
      </c>
      <c r="O939" s="357">
        <f t="shared" si="200"/>
        <v>-3650.4917391704121</v>
      </c>
      <c r="P939" s="357">
        <f t="shared" ca="1" si="200"/>
        <v>-115410.94114425569</v>
      </c>
      <c r="Q939" s="390">
        <f t="shared" si="200"/>
        <v>-2889.3650651449998</v>
      </c>
      <c r="R939" s="390">
        <f>R1*R639+R892+R936</f>
        <v>1652716.4545137691</v>
      </c>
      <c r="S939" s="657">
        <f ca="1">SUM(F939:R939)</f>
        <v>-3826160.1133574885</v>
      </c>
      <c r="T939" s="357"/>
      <c r="U939" s="657">
        <f ca="1">SUM(S939:S939)</f>
        <v>-3826160.1133574885</v>
      </c>
      <c r="V939" s="657">
        <f ca="1">+U939-'ROR-Model'!G956</f>
        <v>0</v>
      </c>
    </row>
    <row r="940" spans="1:22">
      <c r="A940" s="660"/>
      <c r="B940" s="659"/>
      <c r="C940" s="659"/>
      <c r="D940" s="659"/>
      <c r="E940" s="656"/>
      <c r="F940" s="357"/>
      <c r="G940" s="357"/>
      <c r="H940" s="357"/>
      <c r="I940" s="357"/>
      <c r="J940" s="390"/>
      <c r="K940" s="390"/>
      <c r="L940" s="357"/>
      <c r="M940" s="357"/>
      <c r="N940" s="357"/>
      <c r="O940" s="357"/>
      <c r="P940" s="357"/>
      <c r="Q940" s="390"/>
      <c r="R940" s="390"/>
      <c r="S940" s="657"/>
      <c r="T940" s="357"/>
      <c r="U940" s="657"/>
      <c r="V940" s="657"/>
    </row>
    <row r="941" spans="1:22">
      <c r="A941" s="189"/>
      <c r="B941" s="119"/>
      <c r="C941" s="119"/>
      <c r="D941" s="119"/>
      <c r="E941" s="199"/>
      <c r="F941" s="5"/>
      <c r="G941" s="1006"/>
      <c r="H941" s="5"/>
      <c r="I941" s="5"/>
      <c r="J941" s="302"/>
      <c r="K941" s="302"/>
      <c r="L941" s="5"/>
      <c r="M941" s="5"/>
      <c r="N941" s="5"/>
      <c r="O941" s="5"/>
      <c r="P941" s="5"/>
      <c r="Q941" s="302"/>
      <c r="R941" s="302"/>
      <c r="S941" s="302"/>
      <c r="T941" s="5"/>
      <c r="U941" s="302"/>
      <c r="V941" s="302"/>
    </row>
    <row r="942" spans="1:22">
      <c r="A942" s="189"/>
      <c r="B942" s="119"/>
      <c r="C942" s="119"/>
      <c r="D942" s="119"/>
      <c r="E942" s="199"/>
      <c r="F942" s="5"/>
      <c r="G942" s="1006"/>
      <c r="H942" s="5"/>
      <c r="I942" s="5"/>
      <c r="J942" s="302"/>
      <c r="K942" s="302"/>
      <c r="L942" s="5"/>
      <c r="M942" s="5"/>
      <c r="N942" s="5"/>
      <c r="O942" s="5"/>
      <c r="P942" s="5"/>
      <c r="Q942" s="302"/>
      <c r="R942" s="302"/>
      <c r="S942" s="302"/>
      <c r="T942" s="5"/>
      <c r="U942" s="302"/>
      <c r="V942" s="302"/>
    </row>
    <row r="943" spans="1:22" ht="13.5" thickBot="1">
      <c r="A943" s="151" t="s">
        <v>828</v>
      </c>
      <c r="B943" s="152"/>
      <c r="C943" s="1415" t="s">
        <v>829</v>
      </c>
      <c r="D943" s="1415"/>
      <c r="E943" s="200"/>
      <c r="F943" s="21"/>
      <c r="G943" s="1004"/>
      <c r="H943" s="21"/>
      <c r="I943" s="21"/>
      <c r="J943" s="375"/>
      <c r="K943" s="375"/>
      <c r="L943" s="21"/>
      <c r="M943" s="21"/>
      <c r="N943" s="21"/>
      <c r="O943" s="21"/>
      <c r="P943" s="21"/>
      <c r="Q943" s="375"/>
      <c r="R943" s="375"/>
      <c r="S943" s="375"/>
      <c r="T943" s="21"/>
      <c r="U943" s="375"/>
      <c r="V943" s="375"/>
    </row>
    <row r="944" spans="1:22">
      <c r="A944" s="660"/>
      <c r="B944" s="659"/>
      <c r="C944" s="659"/>
      <c r="D944" s="659"/>
      <c r="E944" s="656"/>
      <c r="F944" s="357"/>
      <c r="G944" s="357"/>
      <c r="H944" s="357"/>
      <c r="I944" s="357"/>
      <c r="J944" s="390"/>
      <c r="K944" s="390"/>
      <c r="L944" s="357"/>
      <c r="M944" s="357"/>
      <c r="N944" s="357"/>
      <c r="O944" s="357"/>
      <c r="P944" s="357"/>
      <c r="Q944" s="390"/>
      <c r="R944" s="390"/>
      <c r="S944" s="657"/>
      <c r="T944" s="357"/>
      <c r="U944" s="657"/>
      <c r="V944" s="657"/>
    </row>
    <row r="945" spans="1:22">
      <c r="A945" s="1413" t="s">
        <v>283</v>
      </c>
      <c r="B945" s="1413"/>
      <c r="C945" s="1413"/>
      <c r="D945" s="1413"/>
      <c r="E945" s="1414"/>
      <c r="F945" s="357"/>
      <c r="G945" s="357"/>
      <c r="H945" s="357"/>
      <c r="I945" s="357"/>
      <c r="J945" s="390"/>
      <c r="K945" s="390"/>
      <c r="L945" s="357"/>
      <c r="M945" s="357"/>
      <c r="N945" s="357"/>
      <c r="O945" s="357"/>
      <c r="P945" s="357"/>
      <c r="Q945" s="390"/>
      <c r="R945" s="390"/>
      <c r="S945" s="657"/>
      <c r="T945" s="357"/>
      <c r="U945" s="657"/>
      <c r="V945" s="657"/>
    </row>
    <row r="946" spans="1:22">
      <c r="A946" s="130" t="s">
        <v>288</v>
      </c>
      <c r="B946" s="662"/>
      <c r="C946" s="662"/>
      <c r="D946" s="662"/>
      <c r="E946" s="656"/>
      <c r="F946" s="357"/>
      <c r="G946" s="357"/>
      <c r="H946" s="357"/>
      <c r="I946" s="357"/>
      <c r="J946" s="390"/>
      <c r="K946" s="390"/>
      <c r="L946" s="357"/>
      <c r="M946" s="357"/>
      <c r="N946" s="357"/>
      <c r="O946" s="357"/>
      <c r="P946" s="357"/>
      <c r="Q946" s="390"/>
      <c r="R946" s="390"/>
      <c r="S946" s="657"/>
      <c r="T946" s="357"/>
      <c r="U946" s="657"/>
      <c r="V946" s="657"/>
    </row>
    <row r="947" spans="1:22">
      <c r="A947" s="662" t="s">
        <v>284</v>
      </c>
      <c r="B947" s="662"/>
      <c r="C947" s="662"/>
      <c r="D947" s="662"/>
      <c r="E947" s="656"/>
      <c r="F947" s="357"/>
      <c r="G947" s="357"/>
      <c r="H947" s="357"/>
      <c r="I947" s="357"/>
      <c r="J947" s="390"/>
      <c r="K947" s="390"/>
      <c r="L947" s="357"/>
      <c r="M947" s="357"/>
      <c r="N947" s="357"/>
      <c r="O947" s="357"/>
      <c r="P947" s="357"/>
      <c r="Q947" s="390"/>
      <c r="R947" s="390"/>
      <c r="S947" s="657"/>
      <c r="T947" s="357"/>
      <c r="U947" s="657"/>
      <c r="V947" s="657"/>
    </row>
    <row r="948" spans="1:22">
      <c r="A948" s="677"/>
      <c r="B948" s="662" t="s">
        <v>203</v>
      </c>
      <c r="C948" s="662"/>
      <c r="D948" s="662"/>
      <c r="E948" s="656"/>
      <c r="F948" s="357"/>
      <c r="G948" s="357"/>
      <c r="H948" s="357"/>
      <c r="I948" s="357"/>
      <c r="J948" s="390"/>
      <c r="K948" s="390"/>
      <c r="L948" s="357"/>
      <c r="M948" s="357"/>
      <c r="N948" s="357"/>
      <c r="O948" s="357"/>
      <c r="P948" s="357"/>
      <c r="Q948" s="390"/>
      <c r="R948" s="390"/>
      <c r="S948" s="657"/>
      <c r="T948" s="357"/>
      <c r="U948" s="657"/>
      <c r="V948" s="657"/>
    </row>
    <row r="949" spans="1:22">
      <c r="A949" s="662" t="s">
        <v>204</v>
      </c>
      <c r="B949" s="662" t="s">
        <v>205</v>
      </c>
      <c r="C949" s="662"/>
      <c r="D949" s="662"/>
      <c r="E949" s="656"/>
      <c r="F949" s="357"/>
      <c r="G949" s="357"/>
      <c r="H949" s="357"/>
      <c r="I949" s="357"/>
      <c r="J949" s="390"/>
      <c r="K949" s="390"/>
      <c r="L949" s="357"/>
      <c r="M949" s="357"/>
      <c r="N949" s="357"/>
      <c r="O949" s="357"/>
      <c r="P949" s="357"/>
      <c r="Q949" s="390"/>
      <c r="R949" s="390"/>
      <c r="S949" s="657"/>
      <c r="T949" s="357"/>
      <c r="U949" s="657"/>
      <c r="V949" s="657"/>
    </row>
    <row r="950" spans="1:22">
      <c r="A950" s="662"/>
      <c r="B950" s="662" t="s">
        <v>581</v>
      </c>
      <c r="C950" s="662"/>
      <c r="D950" s="662"/>
      <c r="E950" s="656"/>
      <c r="F950" s="357">
        <f>'Rate Base'!$AD$15*F1</f>
        <v>0</v>
      </c>
      <c r="G950" s="357"/>
      <c r="H950" s="357"/>
      <c r="I950" s="357"/>
      <c r="J950" s="390"/>
      <c r="K950" s="390"/>
      <c r="L950" s="357"/>
      <c r="M950" s="357"/>
      <c r="N950" s="357"/>
      <c r="O950" s="357"/>
      <c r="P950" s="357"/>
      <c r="Q950" s="390"/>
      <c r="R950" s="390"/>
      <c r="S950" s="657">
        <f>SUM(F950:R950)</f>
        <v>0</v>
      </c>
      <c r="T950" s="357"/>
      <c r="U950" s="657">
        <f>SUM(S950:S950)</f>
        <v>0</v>
      </c>
      <c r="V950" s="657">
        <f>+U950-'ROR-Model'!G966</f>
        <v>0</v>
      </c>
    </row>
    <row r="951" spans="1:22">
      <c r="A951" s="662"/>
      <c r="B951" s="662" t="s">
        <v>582</v>
      </c>
      <c r="C951" s="662"/>
      <c r="D951" s="662"/>
      <c r="E951" s="656"/>
      <c r="F951" s="357">
        <f>'Rate Base'!$AD$16*F1</f>
        <v>0</v>
      </c>
      <c r="G951" s="357"/>
      <c r="H951" s="357"/>
      <c r="I951" s="357"/>
      <c r="J951" s="390"/>
      <c r="K951" s="390"/>
      <c r="L951" s="357"/>
      <c r="M951" s="357"/>
      <c r="N951" s="357"/>
      <c r="O951" s="357"/>
      <c r="P951" s="357"/>
      <c r="Q951" s="390"/>
      <c r="R951" s="390"/>
      <c r="S951" s="657">
        <f>SUM(F951:R951)</f>
        <v>0</v>
      </c>
      <c r="T951" s="357"/>
      <c r="U951" s="657">
        <f>SUM(S951:S951)</f>
        <v>0</v>
      </c>
      <c r="V951" s="657">
        <f>+U951-'ROR-Model'!G967</f>
        <v>0</v>
      </c>
    </row>
    <row r="952" spans="1:22">
      <c r="A952" s="58"/>
      <c r="B952" s="662"/>
      <c r="C952" s="662"/>
      <c r="D952" s="662"/>
      <c r="E952" s="656"/>
      <c r="F952" s="357"/>
      <c r="G952" s="357"/>
      <c r="H952" s="357"/>
      <c r="I952" s="357"/>
      <c r="J952" s="390"/>
      <c r="K952" s="390"/>
      <c r="L952" s="357"/>
      <c r="M952" s="357"/>
      <c r="N952" s="357"/>
      <c r="O952" s="357"/>
      <c r="P952" s="357"/>
      <c r="Q952" s="390"/>
      <c r="R952" s="390"/>
      <c r="S952" s="657"/>
      <c r="T952" s="357"/>
      <c r="U952" s="657"/>
      <c r="V952" s="657">
        <f>+U952-'ROR-Model'!G968</f>
        <v>0</v>
      </c>
    </row>
    <row r="953" spans="1:22">
      <c r="A953" s="662"/>
      <c r="B953" s="662" t="s">
        <v>206</v>
      </c>
      <c r="C953" s="662"/>
      <c r="D953" s="662"/>
      <c r="E953" s="656"/>
      <c r="F953" s="357">
        <f>SUM(F950:F951)</f>
        <v>0</v>
      </c>
      <c r="G953" s="357"/>
      <c r="H953" s="357"/>
      <c r="I953" s="357"/>
      <c r="J953" s="390"/>
      <c r="K953" s="390"/>
      <c r="L953" s="357"/>
      <c r="M953" s="357"/>
      <c r="N953" s="357"/>
      <c r="O953" s="357"/>
      <c r="P953" s="357"/>
      <c r="Q953" s="390"/>
      <c r="R953" s="390"/>
      <c r="S953" s="657">
        <f>SUM(F953:R953)</f>
        <v>0</v>
      </c>
      <c r="T953" s="357"/>
      <c r="U953" s="657">
        <f>SUM(S953:S953)</f>
        <v>0</v>
      </c>
      <c r="V953" s="657">
        <f>+U953-'ROR-Model'!G969</f>
        <v>0</v>
      </c>
    </row>
    <row r="954" spans="1:22">
      <c r="A954" s="662"/>
      <c r="B954" s="662"/>
      <c r="C954" s="662"/>
      <c r="D954" s="662"/>
      <c r="E954" s="656"/>
      <c r="F954" s="357"/>
      <c r="G954" s="357"/>
      <c r="H954" s="357"/>
      <c r="I954" s="357"/>
      <c r="J954" s="390"/>
      <c r="K954" s="390"/>
      <c r="L954" s="357"/>
      <c r="M954" s="357"/>
      <c r="N954" s="357"/>
      <c r="O954" s="357"/>
      <c r="P954" s="357"/>
      <c r="Q954" s="390"/>
      <c r="R954" s="390"/>
      <c r="S954" s="657"/>
      <c r="T954" s="357"/>
      <c r="U954" s="657"/>
      <c r="V954" s="657">
        <f>+U954-'ROR-Model'!G970</f>
        <v>0</v>
      </c>
    </row>
    <row r="955" spans="1:22">
      <c r="A955" s="677"/>
      <c r="B955" s="662" t="s">
        <v>207</v>
      </c>
      <c r="C955" s="662"/>
      <c r="D955" s="662"/>
      <c r="E955" s="656"/>
      <c r="F955" s="357"/>
      <c r="G955" s="357"/>
      <c r="H955" s="357"/>
      <c r="I955" s="357"/>
      <c r="J955" s="390"/>
      <c r="K955" s="390"/>
      <c r="L955" s="357"/>
      <c r="M955" s="357"/>
      <c r="N955" s="357"/>
      <c r="O955" s="357"/>
      <c r="P955" s="357"/>
      <c r="Q955" s="390"/>
      <c r="R955" s="390"/>
      <c r="S955" s="657"/>
      <c r="T955" s="357"/>
      <c r="U955" s="657"/>
      <c r="V955" s="657">
        <f>+U955-'ROR-Model'!G971</f>
        <v>0</v>
      </c>
    </row>
    <row r="956" spans="1:22">
      <c r="A956" s="677" t="s">
        <v>208</v>
      </c>
      <c r="B956" s="662" t="s">
        <v>209</v>
      </c>
      <c r="C956" s="662"/>
      <c r="D956" s="662"/>
      <c r="E956" s="656"/>
      <c r="F956" s="357">
        <f>'Rate Base'!$AD$21*$F$1</f>
        <v>0</v>
      </c>
      <c r="G956" s="357"/>
      <c r="H956" s="357"/>
      <c r="I956" s="357">
        <f>-'Rate Base'!AC21*Wexpro!$G$12*$I$1</f>
        <v>-394814.74346999993</v>
      </c>
      <c r="J956" s="390"/>
      <c r="K956" s="390"/>
      <c r="L956" s="357"/>
      <c r="M956" s="357"/>
      <c r="N956" s="357"/>
      <c r="O956" s="357"/>
      <c r="P956" s="357"/>
      <c r="Q956" s="390"/>
      <c r="R956" s="390"/>
      <c r="S956" s="657">
        <f t="shared" ref="S956:S962" si="201">SUM(F956:R956)</f>
        <v>-394814.74346999993</v>
      </c>
      <c r="T956" s="357"/>
      <c r="U956" s="657">
        <f t="shared" ref="U956:U962" si="202">SUM(S956:S956)</f>
        <v>-394814.74346999993</v>
      </c>
      <c r="V956" s="657">
        <f>+U956-'ROR-Model'!G972</f>
        <v>0</v>
      </c>
    </row>
    <row r="957" spans="1:22">
      <c r="A957" s="677" t="s">
        <v>210</v>
      </c>
      <c r="B957" s="662" t="s">
        <v>211</v>
      </c>
      <c r="C957" s="662"/>
      <c r="D957" s="662"/>
      <c r="E957" s="656"/>
      <c r="F957" s="357">
        <f>'Rate Base'!$AD$22*$F$1</f>
        <v>0</v>
      </c>
      <c r="G957" s="357"/>
      <c r="H957" s="357"/>
      <c r="I957" s="357">
        <f>-'Rate Base'!AC22*Wexpro!$G$12*$I$1</f>
        <v>-90566.783370000005</v>
      </c>
      <c r="J957" s="390"/>
      <c r="K957" s="390"/>
      <c r="L957" s="357"/>
      <c r="M957" s="357"/>
      <c r="N957" s="357"/>
      <c r="O957" s="357"/>
      <c r="P957" s="357"/>
      <c r="Q957" s="390"/>
      <c r="R957" s="390"/>
      <c r="S957" s="657">
        <f t="shared" si="201"/>
        <v>-90566.783370000005</v>
      </c>
      <c r="T957" s="357"/>
      <c r="U957" s="657">
        <f t="shared" si="202"/>
        <v>-90566.783370000005</v>
      </c>
      <c r="V957" s="657">
        <f>+U957-'ROR-Model'!G973</f>
        <v>0</v>
      </c>
    </row>
    <row r="958" spans="1:22">
      <c r="A958" s="677" t="s">
        <v>212</v>
      </c>
      <c r="B958" s="662" t="s">
        <v>213</v>
      </c>
      <c r="C958" s="662"/>
      <c r="D958" s="662"/>
      <c r="E958" s="656"/>
      <c r="F958" s="357">
        <f>'Rate Base'!$AD$23*$F$1</f>
        <v>0</v>
      </c>
      <c r="G958" s="357"/>
      <c r="H958" s="357"/>
      <c r="I958" s="357">
        <f>-'Rate Base'!AC23*Wexpro!$G$12*$I$1</f>
        <v>-3287043.51003</v>
      </c>
      <c r="J958" s="390"/>
      <c r="K958" s="390"/>
      <c r="L958" s="357"/>
      <c r="M958" s="357"/>
      <c r="N958" s="357"/>
      <c r="O958" s="357"/>
      <c r="P958" s="357"/>
      <c r="Q958" s="390"/>
      <c r="R958" s="390"/>
      <c r="S958" s="657">
        <f t="shared" si="201"/>
        <v>-3287043.51003</v>
      </c>
      <c r="T958" s="357"/>
      <c r="U958" s="657">
        <f t="shared" si="202"/>
        <v>-3287043.51003</v>
      </c>
      <c r="V958" s="657">
        <f>+U958-'ROR-Model'!G974</f>
        <v>0</v>
      </c>
    </row>
    <row r="959" spans="1:22">
      <c r="A959" s="677" t="s">
        <v>214</v>
      </c>
      <c r="B959" s="662" t="s">
        <v>215</v>
      </c>
      <c r="C959" s="662"/>
      <c r="D959" s="662"/>
      <c r="E959" s="656"/>
      <c r="F959" s="357">
        <f>'Rate Base'!$AD$24*$F$1</f>
        <v>0</v>
      </c>
      <c r="G959" s="357"/>
      <c r="H959" s="357"/>
      <c r="I959" s="357">
        <f>-'Rate Base'!AC24*Wexpro!$G$12*$I$1</f>
        <v>-1084630.4311500003</v>
      </c>
      <c r="J959" s="390"/>
      <c r="K959" s="390"/>
      <c r="L959" s="357"/>
      <c r="M959" s="357"/>
      <c r="N959" s="357"/>
      <c r="O959" s="357"/>
      <c r="P959" s="357"/>
      <c r="Q959" s="390"/>
      <c r="R959" s="390"/>
      <c r="S959" s="657">
        <f t="shared" si="201"/>
        <v>-1084630.4311500003</v>
      </c>
      <c r="T959" s="357"/>
      <c r="U959" s="657">
        <f t="shared" si="202"/>
        <v>-1084630.4311500003</v>
      </c>
      <c r="V959" s="657">
        <f>+U959-'ROR-Model'!G975</f>
        <v>0</v>
      </c>
    </row>
    <row r="960" spans="1:22">
      <c r="A960" s="677" t="s">
        <v>216</v>
      </c>
      <c r="B960" s="662" t="s">
        <v>217</v>
      </c>
      <c r="C960" s="662"/>
      <c r="D960" s="662"/>
      <c r="E960" s="656"/>
      <c r="F960" s="357">
        <f>'Rate Base'!$AD$25*$F$1</f>
        <v>0</v>
      </c>
      <c r="G960" s="357"/>
      <c r="H960" s="357"/>
      <c r="I960" s="357">
        <f>-'Rate Base'!AC25*Wexpro!$G$12*$I$1</f>
        <v>-169710.41556000002</v>
      </c>
      <c r="J960" s="390"/>
      <c r="K960" s="390"/>
      <c r="L960" s="357"/>
      <c r="M960" s="357"/>
      <c r="N960" s="357"/>
      <c r="O960" s="357"/>
      <c r="P960" s="357"/>
      <c r="Q960" s="390"/>
      <c r="R960" s="390"/>
      <c r="S960" s="657">
        <f t="shared" si="201"/>
        <v>-169710.41556000002</v>
      </c>
      <c r="T960" s="357"/>
      <c r="U960" s="657">
        <f t="shared" si="202"/>
        <v>-169710.41556000002</v>
      </c>
      <c r="V960" s="657">
        <f>+U960-'ROR-Model'!G976</f>
        <v>0</v>
      </c>
    </row>
    <row r="961" spans="1:22">
      <c r="A961" s="677" t="s">
        <v>218</v>
      </c>
      <c r="B961" s="662" t="s">
        <v>219</v>
      </c>
      <c r="C961" s="662"/>
      <c r="D961" s="662"/>
      <c r="E961" s="656"/>
      <c r="F961" s="357">
        <f>'Rate Base'!$AD$26*$F$1</f>
        <v>0</v>
      </c>
      <c r="G961" s="357"/>
      <c r="H961" s="357"/>
      <c r="I961" s="357">
        <f>-'Rate Base'!AC26*Wexpro!$G$12*$I$1</f>
        <v>-3591.9267300000001</v>
      </c>
      <c r="J961" s="390"/>
      <c r="K961" s="390"/>
      <c r="L961" s="357"/>
      <c r="M961" s="357"/>
      <c r="N961" s="357"/>
      <c r="O961" s="357"/>
      <c r="P961" s="357"/>
      <c r="Q961" s="390"/>
      <c r="R961" s="390"/>
      <c r="S961" s="657">
        <f t="shared" si="201"/>
        <v>-3591.9267300000001</v>
      </c>
      <c r="T961" s="357"/>
      <c r="U961" s="657">
        <f t="shared" si="202"/>
        <v>-3591.9267300000001</v>
      </c>
      <c r="V961" s="657">
        <f>+U961-'ROR-Model'!G977</f>
        <v>0</v>
      </c>
    </row>
    <row r="962" spans="1:22">
      <c r="A962" s="662" t="s">
        <v>220</v>
      </c>
      <c r="B962" s="662" t="s">
        <v>221</v>
      </c>
      <c r="C962" s="662"/>
      <c r="D962" s="662"/>
      <c r="E962" s="656"/>
      <c r="F962" s="357">
        <f>'Rate Base'!$AD$27*$F$1</f>
        <v>0</v>
      </c>
      <c r="G962" s="357"/>
      <c r="H962" s="357"/>
      <c r="I962" s="357">
        <f>-'Rate Base'!AC27*Wexpro!$G$12*$I$1</f>
        <v>-7634.7576899999976</v>
      </c>
      <c r="J962" s="390"/>
      <c r="K962" s="390"/>
      <c r="L962" s="357"/>
      <c r="M962" s="357"/>
      <c r="N962" s="357"/>
      <c r="O962" s="357"/>
      <c r="P962" s="357"/>
      <c r="Q962" s="390"/>
      <c r="R962" s="390"/>
      <c r="S962" s="657">
        <f t="shared" si="201"/>
        <v>-7634.7576899999976</v>
      </c>
      <c r="T962" s="357"/>
      <c r="U962" s="657">
        <f t="shared" si="202"/>
        <v>-7634.7576899999976</v>
      </c>
      <c r="V962" s="657">
        <f>+U962-'ROR-Model'!G978</f>
        <v>0</v>
      </c>
    </row>
    <row r="963" spans="1:22">
      <c r="A963" s="58"/>
      <c r="B963" s="662"/>
      <c r="C963" s="662"/>
      <c r="D963" s="662"/>
      <c r="E963" s="656"/>
      <c r="F963" s="357"/>
      <c r="G963" s="357"/>
      <c r="H963" s="357"/>
      <c r="I963" s="357"/>
      <c r="J963" s="390"/>
      <c r="K963" s="390"/>
      <c r="L963" s="357"/>
      <c r="M963" s="357"/>
      <c r="N963" s="357"/>
      <c r="O963" s="357"/>
      <c r="P963" s="357"/>
      <c r="Q963" s="390"/>
      <c r="R963" s="390"/>
      <c r="S963" s="657"/>
      <c r="T963" s="357"/>
      <c r="U963" s="657"/>
      <c r="V963" s="657">
        <f>+U963-'ROR-Model'!G979</f>
        <v>0</v>
      </c>
    </row>
    <row r="964" spans="1:22">
      <c r="A964" s="662"/>
      <c r="B964" s="662" t="s">
        <v>222</v>
      </c>
      <c r="C964" s="662"/>
      <c r="D964" s="662"/>
      <c r="E964" s="656"/>
      <c r="F964" s="357">
        <f>SUM(F956:F962)</f>
        <v>0</v>
      </c>
      <c r="G964" s="357"/>
      <c r="H964" s="357"/>
      <c r="I964" s="357">
        <f>SUM(I956:I962)</f>
        <v>-5037992.5680000009</v>
      </c>
      <c r="J964" s="390"/>
      <c r="K964" s="390"/>
      <c r="L964" s="357"/>
      <c r="M964" s="357"/>
      <c r="N964" s="357"/>
      <c r="O964" s="357"/>
      <c r="P964" s="357"/>
      <c r="Q964" s="390"/>
      <c r="R964" s="390"/>
      <c r="S964" s="657">
        <f>+S1078</f>
        <v>-5037992.5680000009</v>
      </c>
      <c r="T964" s="357"/>
      <c r="U964" s="657">
        <f>+U1078</f>
        <v>-5037992.5680000009</v>
      </c>
      <c r="V964" s="657">
        <f>+U964-'ROR-Model'!G980</f>
        <v>0</v>
      </c>
    </row>
    <row r="965" spans="1:22">
      <c r="A965" s="662"/>
      <c r="B965" s="662"/>
      <c r="C965" s="662"/>
      <c r="D965" s="662"/>
      <c r="E965" s="656"/>
      <c r="F965" s="357"/>
      <c r="G965" s="357"/>
      <c r="H965" s="357"/>
      <c r="I965" s="357"/>
      <c r="J965" s="390"/>
      <c r="K965" s="390"/>
      <c r="L965" s="357"/>
      <c r="M965" s="357"/>
      <c r="N965" s="357"/>
      <c r="O965" s="357"/>
      <c r="P965" s="357"/>
      <c r="Q965" s="390"/>
      <c r="R965" s="390"/>
      <c r="S965" s="657"/>
      <c r="T965" s="357"/>
      <c r="U965" s="657"/>
      <c r="V965" s="657">
        <f>+U965-'ROR-Model'!G981</f>
        <v>0</v>
      </c>
    </row>
    <row r="966" spans="1:22">
      <c r="A966" s="662"/>
      <c r="B966" s="662" t="s">
        <v>223</v>
      </c>
      <c r="C966" s="662"/>
      <c r="D966" s="662"/>
      <c r="E966" s="656"/>
      <c r="F966" s="357"/>
      <c r="G966" s="357"/>
      <c r="H966" s="357"/>
      <c r="I966" s="357"/>
      <c r="J966" s="390"/>
      <c r="K966" s="390"/>
      <c r="L966" s="357"/>
      <c r="M966" s="357"/>
      <c r="N966" s="357"/>
      <c r="O966" s="357"/>
      <c r="P966" s="357"/>
      <c r="Q966" s="390"/>
      <c r="R966" s="390"/>
      <c r="S966" s="657"/>
      <c r="T966" s="357"/>
      <c r="U966" s="657"/>
      <c r="V966" s="657">
        <f>+U966-'ROR-Model'!G982</f>
        <v>0</v>
      </c>
    </row>
    <row r="967" spans="1:22">
      <c r="A967" s="662" t="s">
        <v>224</v>
      </c>
      <c r="B967" s="662" t="s">
        <v>209</v>
      </c>
      <c r="C967" s="662"/>
      <c r="D967" s="662"/>
      <c r="E967" s="656"/>
      <c r="F967" s="357"/>
      <c r="G967" s="357"/>
      <c r="H967" s="357"/>
      <c r="I967" s="357"/>
      <c r="J967" s="390"/>
      <c r="K967" s="390"/>
      <c r="L967" s="357"/>
      <c r="M967" s="357"/>
      <c r="N967" s="357"/>
      <c r="O967" s="357"/>
      <c r="P967" s="357"/>
      <c r="Q967" s="390"/>
      <c r="R967" s="390"/>
      <c r="S967" s="657"/>
      <c r="T967" s="357"/>
      <c r="U967" s="657"/>
      <c r="V967" s="657">
        <f>+U967-'ROR-Model'!G983</f>
        <v>0</v>
      </c>
    </row>
    <row r="968" spans="1:22">
      <c r="A968" s="662"/>
      <c r="B968" s="662"/>
      <c r="C968" s="662" t="s">
        <v>24</v>
      </c>
      <c r="D968" s="662"/>
      <c r="E968" s="656">
        <f>+F968</f>
        <v>-9533.9325000001118</v>
      </c>
      <c r="F968" s="357">
        <f>'Rate Base'!$AD$33*$F$1</f>
        <v>-9533.9325000001118</v>
      </c>
      <c r="G968" s="357"/>
      <c r="H968" s="357"/>
      <c r="I968" s="357"/>
      <c r="J968" s="390"/>
      <c r="K968" s="390"/>
      <c r="L968" s="357"/>
      <c r="M968" s="357"/>
      <c r="N968" s="357"/>
      <c r="O968" s="357"/>
      <c r="P968" s="357"/>
      <c r="Q968" s="390"/>
      <c r="R968" s="390"/>
      <c r="S968" s="657">
        <f>SUM(F968:R968)</f>
        <v>-9533.9325000001118</v>
      </c>
      <c r="T968" s="357"/>
      <c r="U968" s="657">
        <f>SUM(S968:S968)</f>
        <v>-9533.9325000001118</v>
      </c>
      <c r="V968" s="657">
        <f>+U968-'ROR-Model'!G984</f>
        <v>0</v>
      </c>
    </row>
    <row r="969" spans="1:22">
      <c r="A969" s="662"/>
      <c r="B969" s="662"/>
      <c r="C969" s="662" t="s">
        <v>13</v>
      </c>
      <c r="D969" s="662"/>
      <c r="E969" s="656"/>
      <c r="F969" s="357">
        <f>'Rate Base'!$AD$34*$F$1</f>
        <v>-388087.05000000447</v>
      </c>
      <c r="G969" s="357"/>
      <c r="H969" s="357"/>
      <c r="I969" s="357"/>
      <c r="J969" s="390"/>
      <c r="K969" s="390"/>
      <c r="L969" s="357"/>
      <c r="M969" s="357"/>
      <c r="N969" s="357"/>
      <c r="O969" s="357"/>
      <c r="P969" s="357"/>
      <c r="Q969" s="390"/>
      <c r="R969" s="390"/>
      <c r="S969" s="657">
        <f>SUM(F969:R969)</f>
        <v>-388087.05000000447</v>
      </c>
      <c r="T969" s="357"/>
      <c r="U969" s="657">
        <f>SUM(S969:S969)</f>
        <v>-388087.05000000447</v>
      </c>
      <c r="V969" s="657">
        <f>+U969-'ROR-Model'!G985</f>
        <v>0</v>
      </c>
    </row>
    <row r="970" spans="1:22">
      <c r="A970" s="662"/>
      <c r="B970" s="662"/>
      <c r="C970" s="662" t="s">
        <v>160</v>
      </c>
      <c r="D970" s="662"/>
      <c r="E970" s="656"/>
      <c r="F970" s="357">
        <f>SUM(F968:F969)</f>
        <v>-397620.98250000458</v>
      </c>
      <c r="G970" s="357"/>
      <c r="H970" s="357"/>
      <c r="I970" s="357"/>
      <c r="J970" s="390"/>
      <c r="K970" s="390"/>
      <c r="L970" s="357"/>
      <c r="M970" s="357"/>
      <c r="N970" s="357"/>
      <c r="O970" s="357"/>
      <c r="P970" s="357"/>
      <c r="Q970" s="390"/>
      <c r="R970" s="390"/>
      <c r="S970" s="657">
        <f>SUM(F970:R970)</f>
        <v>-397620.98250000458</v>
      </c>
      <c r="T970" s="357"/>
      <c r="U970" s="657">
        <f>SUM(S970:S970)</f>
        <v>-397620.98250000458</v>
      </c>
      <c r="V970" s="657">
        <f>+U970-'ROR-Model'!G986</f>
        <v>0</v>
      </c>
    </row>
    <row r="971" spans="1:22">
      <c r="A971" s="662"/>
      <c r="B971" s="662"/>
      <c r="C971" s="662"/>
      <c r="D971" s="662"/>
      <c r="E971" s="656"/>
      <c r="F971" s="357"/>
      <c r="G971" s="357"/>
      <c r="H971" s="357"/>
      <c r="I971" s="357"/>
      <c r="J971" s="390"/>
      <c r="K971" s="390"/>
      <c r="L971" s="357"/>
      <c r="M971" s="357"/>
      <c r="N971" s="357"/>
      <c r="O971" s="357"/>
      <c r="P971" s="357"/>
      <c r="Q971" s="390"/>
      <c r="R971" s="390"/>
      <c r="S971" s="657"/>
      <c r="T971" s="357"/>
      <c r="U971" s="657"/>
      <c r="V971" s="657">
        <f>+U971-'ROR-Model'!G987</f>
        <v>0</v>
      </c>
    </row>
    <row r="972" spans="1:22">
      <c r="A972" s="662" t="s">
        <v>225</v>
      </c>
      <c r="B972" s="662" t="s">
        <v>226</v>
      </c>
      <c r="C972" s="662"/>
      <c r="D972" s="662"/>
      <c r="E972" s="656"/>
      <c r="F972" s="357"/>
      <c r="G972" s="357"/>
      <c r="H972" s="357"/>
      <c r="I972" s="357"/>
      <c r="J972" s="390"/>
      <c r="K972" s="390"/>
      <c r="L972" s="357"/>
      <c r="M972" s="357"/>
      <c r="N972" s="357"/>
      <c r="O972" s="357"/>
      <c r="P972" s="357"/>
      <c r="Q972" s="390"/>
      <c r="R972" s="390"/>
      <c r="S972" s="657"/>
      <c r="T972" s="357"/>
      <c r="U972" s="657"/>
      <c r="V972" s="657">
        <f>+U972-'ROR-Model'!G988</f>
        <v>0</v>
      </c>
    </row>
    <row r="973" spans="1:22">
      <c r="A973" s="662"/>
      <c r="B973" s="662"/>
      <c r="C973" s="662" t="s">
        <v>24</v>
      </c>
      <c r="D973" s="662"/>
      <c r="E973" s="656">
        <f>+F973</f>
        <v>-639.66249999974389</v>
      </c>
      <c r="F973" s="357">
        <f>'Rate Base'!$AD$38*$F$1</f>
        <v>-639.66249999974389</v>
      </c>
      <c r="G973" s="357"/>
      <c r="H973" s="357"/>
      <c r="I973" s="357"/>
      <c r="J973" s="390"/>
      <c r="K973" s="390"/>
      <c r="L973" s="357"/>
      <c r="M973" s="357"/>
      <c r="N973" s="357"/>
      <c r="O973" s="357"/>
      <c r="P973" s="357"/>
      <c r="Q973" s="390"/>
      <c r="R973" s="390"/>
      <c r="S973" s="657">
        <f>SUM(F973:R973)</f>
        <v>-639.66249999974389</v>
      </c>
      <c r="T973" s="357"/>
      <c r="U973" s="657">
        <f>SUM(S973:S973)</f>
        <v>-639.66249999974389</v>
      </c>
      <c r="V973" s="657">
        <f>+U973-'ROR-Model'!G989</f>
        <v>0</v>
      </c>
    </row>
    <row r="974" spans="1:22">
      <c r="A974" s="662"/>
      <c r="B974" s="662"/>
      <c r="C974" s="662" t="s">
        <v>13</v>
      </c>
      <c r="D974" s="662"/>
      <c r="E974" s="656"/>
      <c r="F974" s="357">
        <f>'Rate Base'!$AD$39*$F$1</f>
        <v>7358.6824999991804</v>
      </c>
      <c r="G974" s="357"/>
      <c r="H974" s="357"/>
      <c r="I974" s="357"/>
      <c r="J974" s="390"/>
      <c r="K974" s="390"/>
      <c r="L974" s="357"/>
      <c r="M974" s="357"/>
      <c r="N974" s="357"/>
      <c r="O974" s="357"/>
      <c r="P974" s="357"/>
      <c r="Q974" s="390"/>
      <c r="R974" s="390"/>
      <c r="S974" s="657">
        <f>SUM(F974:R974)</f>
        <v>7358.6824999991804</v>
      </c>
      <c r="T974" s="357"/>
      <c r="U974" s="657">
        <f>SUM(S974:S974)</f>
        <v>7358.6824999991804</v>
      </c>
      <c r="V974" s="657">
        <f>+U974-'ROR-Model'!G990</f>
        <v>0</v>
      </c>
    </row>
    <row r="975" spans="1:22">
      <c r="A975" s="662"/>
      <c r="B975" s="662"/>
      <c r="C975" s="662" t="s">
        <v>160</v>
      </c>
      <c r="D975" s="662"/>
      <c r="E975" s="656"/>
      <c r="F975" s="357">
        <f>SUM(F973:F974)</f>
        <v>6719.0199999994365</v>
      </c>
      <c r="G975" s="357"/>
      <c r="H975" s="357"/>
      <c r="I975" s="357"/>
      <c r="J975" s="390"/>
      <c r="K975" s="390"/>
      <c r="L975" s="357"/>
      <c r="M975" s="357"/>
      <c r="N975" s="357"/>
      <c r="O975" s="357"/>
      <c r="P975" s="357"/>
      <c r="Q975" s="390"/>
      <c r="R975" s="390"/>
      <c r="S975" s="657">
        <f>SUM(F975:R975)</f>
        <v>6719.0199999994365</v>
      </c>
      <c r="T975" s="357"/>
      <c r="U975" s="657">
        <f>SUM(S975:S975)</f>
        <v>6719.0199999994365</v>
      </c>
      <c r="V975" s="657">
        <f>+U975-'ROR-Model'!G991</f>
        <v>0</v>
      </c>
    </row>
    <row r="976" spans="1:22">
      <c r="A976" s="662"/>
      <c r="B976" s="662"/>
      <c r="C976" s="662"/>
      <c r="D976" s="662"/>
      <c r="E976" s="656"/>
      <c r="F976" s="357"/>
      <c r="G976" s="357"/>
      <c r="H976" s="357"/>
      <c r="I976" s="357"/>
      <c r="J976" s="390"/>
      <c r="K976" s="390"/>
      <c r="L976" s="357"/>
      <c r="M976" s="357"/>
      <c r="N976" s="357"/>
      <c r="O976" s="357"/>
      <c r="P976" s="357"/>
      <c r="Q976" s="390"/>
      <c r="R976" s="390"/>
      <c r="S976" s="657"/>
      <c r="T976" s="357"/>
      <c r="U976" s="657"/>
      <c r="V976" s="657">
        <f>+U976-'ROR-Model'!G992</f>
        <v>0</v>
      </c>
    </row>
    <row r="977" spans="1:22">
      <c r="A977" s="662" t="s">
        <v>230</v>
      </c>
      <c r="B977" s="662" t="s">
        <v>231</v>
      </c>
      <c r="C977" s="662"/>
      <c r="D977" s="662"/>
      <c r="E977" s="656"/>
      <c r="F977" s="357"/>
      <c r="G977" s="357"/>
      <c r="H977" s="357"/>
      <c r="I977" s="357"/>
      <c r="J977" s="390"/>
      <c r="K977" s="390"/>
      <c r="L977" s="357"/>
      <c r="M977" s="357"/>
      <c r="N977" s="357"/>
      <c r="O977" s="357"/>
      <c r="P977" s="357"/>
      <c r="Q977" s="390"/>
      <c r="R977" s="390"/>
      <c r="S977" s="657"/>
      <c r="T977" s="357"/>
      <c r="U977" s="657"/>
      <c r="V977" s="657">
        <f>+U977-'ROR-Model'!G993</f>
        <v>0</v>
      </c>
    </row>
    <row r="978" spans="1:22">
      <c r="A978" s="662"/>
      <c r="B978" s="662"/>
      <c r="C978" s="662" t="s">
        <v>55</v>
      </c>
      <c r="D978" s="662"/>
      <c r="E978" s="656"/>
      <c r="F978" s="357">
        <f>'Rate Base'!$AD$43*$F$1</f>
        <v>0</v>
      </c>
      <c r="G978" s="357"/>
      <c r="H978" s="357"/>
      <c r="I978" s="357"/>
      <c r="J978" s="390"/>
      <c r="K978" s="390"/>
      <c r="L978" s="357"/>
      <c r="M978" s="357"/>
      <c r="N978" s="357"/>
      <c r="O978" s="357"/>
      <c r="P978" s="357"/>
      <c r="Q978" s="390"/>
      <c r="R978" s="390"/>
      <c r="S978" s="657">
        <f t="shared" ref="S978:S986" si="203">SUM(F978:R978)</f>
        <v>0</v>
      </c>
      <c r="T978" s="357"/>
      <c r="U978" s="657">
        <f t="shared" ref="U978:U986" si="204">SUM(S978:S978)</f>
        <v>0</v>
      </c>
      <c r="V978" s="657">
        <f>+U978-'ROR-Model'!G994</f>
        <v>0</v>
      </c>
    </row>
    <row r="979" spans="1:22">
      <c r="A979" s="662"/>
      <c r="B979" s="662"/>
      <c r="C979" s="662" t="s">
        <v>521</v>
      </c>
      <c r="D979" s="662"/>
      <c r="E979" s="656"/>
      <c r="F979" s="357">
        <f>'Rate Base'!$AD$44*$F$1</f>
        <v>0</v>
      </c>
      <c r="G979" s="357"/>
      <c r="H979" s="357"/>
      <c r="I979" s="357"/>
      <c r="J979" s="390"/>
      <c r="K979" s="390"/>
      <c r="L979" s="357"/>
      <c r="M979" s="357"/>
      <c r="N979" s="357"/>
      <c r="O979" s="357"/>
      <c r="P979" s="357"/>
      <c r="Q979" s="390"/>
      <c r="R979" s="390"/>
      <c r="S979" s="657">
        <f t="shared" si="203"/>
        <v>0</v>
      </c>
      <c r="T979" s="357"/>
      <c r="U979" s="657">
        <f t="shared" si="204"/>
        <v>0</v>
      </c>
      <c r="V979" s="657">
        <f>+U979-'ROR-Model'!G995</f>
        <v>0</v>
      </c>
    </row>
    <row r="980" spans="1:22">
      <c r="A980" s="662"/>
      <c r="B980" s="662"/>
      <c r="C980" s="662" t="s">
        <v>522</v>
      </c>
      <c r="D980" s="662"/>
      <c r="E980" s="656"/>
      <c r="F980" s="357">
        <f>'Rate Base'!$AD$45*$F$1</f>
        <v>0</v>
      </c>
      <c r="G980" s="357"/>
      <c r="H980" s="357"/>
      <c r="I980" s="357"/>
      <c r="J980" s="390"/>
      <c r="K980" s="390"/>
      <c r="L980" s="357"/>
      <c r="M980" s="357"/>
      <c r="N980" s="357"/>
      <c r="O980" s="357"/>
      <c r="P980" s="357"/>
      <c r="Q980" s="390"/>
      <c r="R980" s="390"/>
      <c r="S980" s="657">
        <f t="shared" si="203"/>
        <v>0</v>
      </c>
      <c r="T980" s="357"/>
      <c r="U980" s="657">
        <f t="shared" si="204"/>
        <v>0</v>
      </c>
      <c r="V980" s="657">
        <f>+U980-'ROR-Model'!G996</f>
        <v>0</v>
      </c>
    </row>
    <row r="981" spans="1:22">
      <c r="A981" s="662"/>
      <c r="B981" s="662"/>
      <c r="C981" s="662" t="s">
        <v>523</v>
      </c>
      <c r="D981" s="662"/>
      <c r="E981" s="656">
        <f>+F981</f>
        <v>-2022327.8795833364</v>
      </c>
      <c r="F981" s="357">
        <f>'Rate Base'!$AD$46*$F$1</f>
        <v>-2022327.8795833364</v>
      </c>
      <c r="G981" s="357"/>
      <c r="H981" s="357"/>
      <c r="I981" s="357"/>
      <c r="J981" s="390"/>
      <c r="K981" s="390"/>
      <c r="L981" s="357"/>
      <c r="M981" s="357"/>
      <c r="N981" s="357"/>
      <c r="O981" s="357"/>
      <c r="P981" s="357"/>
      <c r="Q981" s="390"/>
      <c r="R981" s="390"/>
      <c r="S981" s="657">
        <f t="shared" si="203"/>
        <v>-2022327.8795833364</v>
      </c>
      <c r="T981" s="357"/>
      <c r="U981" s="657">
        <f t="shared" si="204"/>
        <v>-2022327.8795833364</v>
      </c>
      <c r="V981" s="657">
        <f>+U981-'ROR-Model'!G997</f>
        <v>0</v>
      </c>
    </row>
    <row r="982" spans="1:22">
      <c r="A982" s="662"/>
      <c r="B982" s="662"/>
      <c r="C982" s="662" t="s">
        <v>524</v>
      </c>
      <c r="D982" s="662"/>
      <c r="E982" s="656"/>
      <c r="F982" s="357">
        <f>'Rate Base'!$AD$47*$F$1</f>
        <v>0</v>
      </c>
      <c r="G982" s="357"/>
      <c r="H982" s="357"/>
      <c r="I982" s="357"/>
      <c r="J982" s="390"/>
      <c r="K982" s="390"/>
      <c r="L982" s="357"/>
      <c r="M982" s="357"/>
      <c r="N982" s="357"/>
      <c r="O982" s="357"/>
      <c r="P982" s="357"/>
      <c r="Q982" s="390"/>
      <c r="R982" s="390"/>
      <c r="S982" s="657">
        <f t="shared" si="203"/>
        <v>0</v>
      </c>
      <c r="T982" s="357"/>
      <c r="U982" s="657">
        <f t="shared" si="204"/>
        <v>0</v>
      </c>
      <c r="V982" s="657">
        <f>+U982-'ROR-Model'!G998</f>
        <v>0</v>
      </c>
    </row>
    <row r="983" spans="1:22">
      <c r="A983" s="662"/>
      <c r="B983" s="662"/>
      <c r="C983" s="662" t="s">
        <v>525</v>
      </c>
      <c r="D983" s="662"/>
      <c r="E983" s="656"/>
      <c r="F983" s="357">
        <f>'Rate Base'!$AD$48*$F$1</f>
        <v>0</v>
      </c>
      <c r="G983" s="357"/>
      <c r="H983" s="357"/>
      <c r="I983" s="357"/>
      <c r="J983" s="390"/>
      <c r="K983" s="390"/>
      <c r="L983" s="357"/>
      <c r="M983" s="357"/>
      <c r="N983" s="357"/>
      <c r="O983" s="357"/>
      <c r="P983" s="357"/>
      <c r="Q983" s="390"/>
      <c r="R983" s="390"/>
      <c r="S983" s="657">
        <f t="shared" si="203"/>
        <v>0</v>
      </c>
      <c r="T983" s="357"/>
      <c r="U983" s="657">
        <f t="shared" si="204"/>
        <v>0</v>
      </c>
      <c r="V983" s="657">
        <f>+U983-'ROR-Model'!G999</f>
        <v>0</v>
      </c>
    </row>
    <row r="984" spans="1:22">
      <c r="A984" s="662"/>
      <c r="B984" s="662"/>
      <c r="C984" s="662" t="s">
        <v>526</v>
      </c>
      <c r="D984" s="662"/>
      <c r="E984" s="656"/>
      <c r="F984" s="357">
        <f>'Rate Base'!$AD$49*$F$1</f>
        <v>0</v>
      </c>
      <c r="G984" s="357"/>
      <c r="H984" s="357"/>
      <c r="I984" s="357"/>
      <c r="J984" s="390"/>
      <c r="K984" s="390"/>
      <c r="L984" s="357"/>
      <c r="M984" s="357"/>
      <c r="N984" s="357"/>
      <c r="O984" s="357"/>
      <c r="P984" s="357"/>
      <c r="Q984" s="390"/>
      <c r="R984" s="390"/>
      <c r="S984" s="657">
        <f t="shared" si="203"/>
        <v>0</v>
      </c>
      <c r="T984" s="357"/>
      <c r="U984" s="657">
        <f t="shared" si="204"/>
        <v>0</v>
      </c>
      <c r="V984" s="657">
        <f>+U984-'ROR-Model'!G1000</f>
        <v>0</v>
      </c>
    </row>
    <row r="985" spans="1:22">
      <c r="A985" s="662"/>
      <c r="B985" s="662"/>
      <c r="C985" s="662" t="s">
        <v>527</v>
      </c>
      <c r="D985" s="662"/>
      <c r="E985" s="656"/>
      <c r="F985" s="357">
        <f>'Rate Base'!$AD$50*$F$1</f>
        <v>-62364174.89625001</v>
      </c>
      <c r="G985" s="357"/>
      <c r="H985" s="357"/>
      <c r="I985" s="357"/>
      <c r="J985" s="357"/>
      <c r="K985" s="357"/>
      <c r="L985" s="357"/>
      <c r="M985" s="357"/>
      <c r="N985" s="357"/>
      <c r="O985" s="357"/>
      <c r="P985" s="357"/>
      <c r="Q985" s="390"/>
      <c r="R985" s="357"/>
      <c r="S985" s="657">
        <f t="shared" si="203"/>
        <v>-62364174.89625001</v>
      </c>
      <c r="T985" s="357"/>
      <c r="U985" s="657">
        <f t="shared" si="204"/>
        <v>-62364174.89625001</v>
      </c>
      <c r="V985" s="657">
        <f>+U985-'ROR-Model'!G1001</f>
        <v>0</v>
      </c>
    </row>
    <row r="986" spans="1:22">
      <c r="A986" s="662"/>
      <c r="B986" s="662"/>
      <c r="C986" s="662" t="s">
        <v>699</v>
      </c>
      <c r="D986" s="662"/>
      <c r="E986" s="656"/>
      <c r="F986" s="357">
        <f>SUM(F978:F985)</f>
        <v>-64386502.775833346</v>
      </c>
      <c r="G986" s="357"/>
      <c r="H986" s="357"/>
      <c r="I986" s="357"/>
      <c r="J986" s="357"/>
      <c r="K986" s="357"/>
      <c r="L986" s="357"/>
      <c r="M986" s="357"/>
      <c r="N986" s="357"/>
      <c r="O986" s="357"/>
      <c r="P986" s="357"/>
      <c r="Q986" s="390"/>
      <c r="R986" s="357"/>
      <c r="S986" s="657">
        <f t="shared" si="203"/>
        <v>-64386502.775833346</v>
      </c>
      <c r="T986" s="357"/>
      <c r="U986" s="657">
        <f t="shared" si="204"/>
        <v>-64386502.775833346</v>
      </c>
      <c r="V986" s="657">
        <f>+U986-'ROR-Model'!G1002</f>
        <v>0</v>
      </c>
    </row>
    <row r="987" spans="1:22">
      <c r="A987" s="662"/>
      <c r="B987" s="662"/>
      <c r="C987" s="662"/>
      <c r="D987" s="662"/>
      <c r="E987" s="656"/>
      <c r="F987" s="357"/>
      <c r="G987" s="357"/>
      <c r="H987" s="357"/>
      <c r="I987" s="357"/>
      <c r="J987" s="390"/>
      <c r="K987" s="390"/>
      <c r="L987" s="357"/>
      <c r="M987" s="357"/>
      <c r="N987" s="357"/>
      <c r="O987" s="357"/>
      <c r="P987" s="357"/>
      <c r="Q987" s="390"/>
      <c r="R987" s="390"/>
      <c r="S987" s="657"/>
      <c r="T987" s="357"/>
      <c r="U987" s="657"/>
      <c r="V987" s="657">
        <f>+U987-'ROR-Model'!G1003</f>
        <v>0</v>
      </c>
    </row>
    <row r="988" spans="1:22">
      <c r="A988" s="662" t="s">
        <v>232</v>
      </c>
      <c r="B988" s="662" t="s">
        <v>234</v>
      </c>
      <c r="C988" s="662"/>
      <c r="D988" s="662"/>
      <c r="E988" s="656"/>
      <c r="F988" s="357"/>
      <c r="G988" s="357"/>
      <c r="H988" s="357"/>
      <c r="I988" s="357"/>
      <c r="J988" s="390"/>
      <c r="K988" s="390"/>
      <c r="L988" s="357"/>
      <c r="M988" s="357"/>
      <c r="N988" s="357"/>
      <c r="O988" s="357"/>
      <c r="P988" s="357"/>
      <c r="Q988" s="390"/>
      <c r="R988" s="390"/>
      <c r="S988" s="657"/>
      <c r="T988" s="357"/>
      <c r="U988" s="657"/>
      <c r="V988" s="657">
        <f>+U988-'ROR-Model'!G1004</f>
        <v>0</v>
      </c>
    </row>
    <row r="989" spans="1:22">
      <c r="A989" s="662"/>
      <c r="B989" s="662"/>
      <c r="C989" s="662" t="s">
        <v>24</v>
      </c>
      <c r="D989" s="662"/>
      <c r="E989" s="656"/>
      <c r="F989" s="357">
        <f>'Rate Base'!$AD$54*$F$1</f>
        <v>0</v>
      </c>
      <c r="G989" s="357"/>
      <c r="H989" s="357"/>
      <c r="I989" s="357"/>
      <c r="J989" s="390"/>
      <c r="K989" s="390"/>
      <c r="L989" s="357"/>
      <c r="M989" s="357"/>
      <c r="N989" s="357"/>
      <c r="O989" s="357"/>
      <c r="P989" s="357"/>
      <c r="Q989" s="390"/>
      <c r="R989" s="390"/>
      <c r="S989" s="657">
        <f>SUM(F989:R989)</f>
        <v>0</v>
      </c>
      <c r="T989" s="357"/>
      <c r="U989" s="657">
        <f>SUM(S989:S989)</f>
        <v>0</v>
      </c>
      <c r="V989" s="657">
        <f>+U989-'ROR-Model'!G1005</f>
        <v>0</v>
      </c>
    </row>
    <row r="990" spans="1:22">
      <c r="A990" s="662"/>
      <c r="B990" s="662"/>
      <c r="C990" s="662" t="s">
        <v>13</v>
      </c>
      <c r="D990" s="662"/>
      <c r="E990" s="656"/>
      <c r="F990" s="357">
        <f>'Rate Base'!$AD$55*$F$1</f>
        <v>835931.56458333135</v>
      </c>
      <c r="G990" s="357"/>
      <c r="H990" s="357"/>
      <c r="I990" s="357"/>
      <c r="J990" s="390"/>
      <c r="K990" s="390"/>
      <c r="L990" s="357"/>
      <c r="M990" s="357"/>
      <c r="N990" s="357"/>
      <c r="O990" s="357"/>
      <c r="P990" s="357"/>
      <c r="Q990" s="390"/>
      <c r="R990" s="390"/>
      <c r="S990" s="657">
        <f>SUM(F990:R990)</f>
        <v>835931.56458333135</v>
      </c>
      <c r="T990" s="357"/>
      <c r="U990" s="657">
        <f>SUM(S990:S990)</f>
        <v>835931.56458333135</v>
      </c>
      <c r="V990" s="657">
        <f>+U990-'ROR-Model'!G1006</f>
        <v>0</v>
      </c>
    </row>
    <row r="991" spans="1:22">
      <c r="A991" s="662"/>
      <c r="B991" s="662"/>
      <c r="C991" s="662" t="s">
        <v>160</v>
      </c>
      <c r="D991" s="662"/>
      <c r="E991" s="656"/>
      <c r="F991" s="357">
        <f>SUM(F989:F990)</f>
        <v>835931.56458333135</v>
      </c>
      <c r="G991" s="357"/>
      <c r="H991" s="357"/>
      <c r="I991" s="357"/>
      <c r="J991" s="390"/>
      <c r="K991" s="390"/>
      <c r="L991" s="357"/>
      <c r="M991" s="357"/>
      <c r="N991" s="357"/>
      <c r="O991" s="357"/>
      <c r="P991" s="357"/>
      <c r="Q991" s="390"/>
      <c r="R991" s="390"/>
      <c r="S991" s="657">
        <f>SUM(F991:R991)</f>
        <v>835931.56458333135</v>
      </c>
      <c r="T991" s="357"/>
      <c r="U991" s="657">
        <f>SUM(S991:S991)</f>
        <v>835931.56458333135</v>
      </c>
      <c r="V991" s="657">
        <f>+U991-'ROR-Model'!G1007</f>
        <v>0</v>
      </c>
    </row>
    <row r="992" spans="1:22">
      <c r="A992" s="662"/>
      <c r="B992" s="662"/>
      <c r="C992" s="662"/>
      <c r="D992" s="662"/>
      <c r="E992" s="656"/>
      <c r="F992" s="357"/>
      <c r="G992" s="357"/>
      <c r="H992" s="357"/>
      <c r="I992" s="357"/>
      <c r="J992" s="390"/>
      <c r="K992" s="390"/>
      <c r="L992" s="357"/>
      <c r="M992" s="357"/>
      <c r="N992" s="357"/>
      <c r="O992" s="357"/>
      <c r="P992" s="357"/>
      <c r="Q992" s="390"/>
      <c r="R992" s="390"/>
      <c r="S992" s="657"/>
      <c r="T992" s="357"/>
      <c r="U992" s="657"/>
      <c r="V992" s="657">
        <f>+U992-'ROR-Model'!G1008</f>
        <v>0</v>
      </c>
    </row>
    <row r="993" spans="1:22">
      <c r="A993" s="662" t="s">
        <v>235</v>
      </c>
      <c r="B993" s="662" t="s">
        <v>236</v>
      </c>
      <c r="C993" s="662"/>
      <c r="D993" s="662"/>
      <c r="E993" s="656"/>
      <c r="F993" s="357"/>
      <c r="G993" s="357"/>
      <c r="H993" s="357"/>
      <c r="I993" s="357"/>
      <c r="J993" s="390"/>
      <c r="K993" s="390"/>
      <c r="L993" s="357"/>
      <c r="M993" s="357"/>
      <c r="N993" s="357"/>
      <c r="O993" s="357"/>
      <c r="P993" s="357"/>
      <c r="Q993" s="390"/>
      <c r="R993" s="390"/>
      <c r="S993" s="657"/>
      <c r="T993" s="357"/>
      <c r="U993" s="657"/>
      <c r="V993" s="657">
        <f>+U993-'ROR-Model'!G1009</f>
        <v>0</v>
      </c>
    </row>
    <row r="994" spans="1:22">
      <c r="A994" s="662"/>
      <c r="B994" s="662"/>
      <c r="C994" s="662" t="s">
        <v>24</v>
      </c>
      <c r="D994" s="662"/>
      <c r="E994" s="656"/>
      <c r="F994" s="357">
        <f>'Rate Base'!$AD$59*$F$1</f>
        <v>-24429.354583333246</v>
      </c>
      <c r="G994" s="357"/>
      <c r="H994" s="357"/>
      <c r="I994" s="357"/>
      <c r="J994" s="390"/>
      <c r="K994" s="390"/>
      <c r="L994" s="357"/>
      <c r="M994" s="357"/>
      <c r="N994" s="357"/>
      <c r="O994" s="357"/>
      <c r="P994" s="357"/>
      <c r="Q994" s="390"/>
      <c r="R994" s="390"/>
      <c r="S994" s="657">
        <f>SUM(F994:R994)</f>
        <v>-24429.354583333246</v>
      </c>
      <c r="T994" s="357"/>
      <c r="U994" s="657">
        <f>SUM(S994:S994)</f>
        <v>-24429.354583333246</v>
      </c>
      <c r="V994" s="657">
        <f>+U994-'ROR-Model'!G1010</f>
        <v>0</v>
      </c>
    </row>
    <row r="995" spans="1:22">
      <c r="A995" s="662"/>
      <c r="B995" s="662"/>
      <c r="C995" s="662" t="s">
        <v>13</v>
      </c>
      <c r="D995" s="662"/>
      <c r="E995" s="656"/>
      <c r="F995" s="357">
        <f>'Rate Base'!$AD$60*$F$1</f>
        <v>-4225624.0495833308</v>
      </c>
      <c r="G995" s="357"/>
      <c r="H995" s="357"/>
      <c r="I995" s="357"/>
      <c r="J995" s="390"/>
      <c r="K995" s="390"/>
      <c r="L995" s="357"/>
      <c r="M995" s="357"/>
      <c r="N995" s="357"/>
      <c r="O995" s="357"/>
      <c r="P995" s="357"/>
      <c r="Q995" s="390"/>
      <c r="R995" s="390"/>
      <c r="S995" s="657">
        <f>SUM(F995:R995)</f>
        <v>-4225624.0495833308</v>
      </c>
      <c r="T995" s="357"/>
      <c r="U995" s="657">
        <f>SUM(S995:S995)</f>
        <v>-4225624.0495833308</v>
      </c>
      <c r="V995" s="657">
        <f>+U995-'ROR-Model'!G1011</f>
        <v>0</v>
      </c>
    </row>
    <row r="996" spans="1:22">
      <c r="A996" s="662"/>
      <c r="B996" s="662"/>
      <c r="C996" s="662" t="s">
        <v>160</v>
      </c>
      <c r="D996" s="662"/>
      <c r="E996" s="656"/>
      <c r="F996" s="357">
        <f>SUM(F994:F995)</f>
        <v>-4250053.404166664</v>
      </c>
      <c r="G996" s="357"/>
      <c r="H996" s="357"/>
      <c r="I996" s="357"/>
      <c r="J996" s="390"/>
      <c r="K996" s="390"/>
      <c r="L996" s="357"/>
      <c r="M996" s="357"/>
      <c r="N996" s="357"/>
      <c r="O996" s="357"/>
      <c r="P996" s="357"/>
      <c r="Q996" s="390"/>
      <c r="R996" s="390"/>
      <c r="S996" s="657">
        <f>SUM(F996:R996)</f>
        <v>-4250053.404166664</v>
      </c>
      <c r="T996" s="357"/>
      <c r="U996" s="657">
        <f>SUM(S996:S996)</f>
        <v>-4250053.404166664</v>
      </c>
      <c r="V996" s="657">
        <f>+U996-'ROR-Model'!G1012</f>
        <v>0</v>
      </c>
    </row>
    <row r="997" spans="1:22">
      <c r="A997" s="662"/>
      <c r="B997" s="662"/>
      <c r="C997" s="662"/>
      <c r="D997" s="662"/>
      <c r="E997" s="656"/>
      <c r="F997" s="357"/>
      <c r="G997" s="357"/>
      <c r="H997" s="357"/>
      <c r="I997" s="357"/>
      <c r="J997" s="390"/>
      <c r="K997" s="390"/>
      <c r="L997" s="357"/>
      <c r="M997" s="357"/>
      <c r="N997" s="357"/>
      <c r="O997" s="357"/>
      <c r="P997" s="357"/>
      <c r="Q997" s="390"/>
      <c r="R997" s="390"/>
      <c r="S997" s="657"/>
      <c r="T997" s="357"/>
      <c r="U997" s="657"/>
      <c r="V997" s="657">
        <f>+U997-'ROR-Model'!G1013</f>
        <v>0</v>
      </c>
    </row>
    <row r="998" spans="1:22">
      <c r="A998" s="662" t="s">
        <v>237</v>
      </c>
      <c r="B998" s="662" t="s">
        <v>768</v>
      </c>
      <c r="C998" s="662"/>
      <c r="D998" s="662"/>
      <c r="E998" s="656"/>
      <c r="F998" s="357"/>
      <c r="G998" s="357"/>
      <c r="H998" s="357"/>
      <c r="I998" s="357"/>
      <c r="J998" s="390"/>
      <c r="K998" s="390"/>
      <c r="L998" s="357"/>
      <c r="M998" s="357"/>
      <c r="N998" s="357"/>
      <c r="O998" s="357"/>
      <c r="P998" s="357"/>
      <c r="Q998" s="390"/>
      <c r="R998" s="390"/>
      <c r="S998" s="657"/>
      <c r="T998" s="357"/>
      <c r="U998" s="657"/>
      <c r="V998" s="657">
        <f>+U998-'ROR-Model'!G1014</f>
        <v>0</v>
      </c>
    </row>
    <row r="999" spans="1:22">
      <c r="A999" s="662"/>
      <c r="B999" s="662"/>
      <c r="C999" s="662" t="s">
        <v>24</v>
      </c>
      <c r="D999" s="662"/>
      <c r="E999" s="656"/>
      <c r="F999" s="357">
        <f>'Rate Base'!$AD$64*$F$1</f>
        <v>-998236.85583333299</v>
      </c>
      <c r="G999" s="357"/>
      <c r="H999" s="357"/>
      <c r="I999" s="357"/>
      <c r="J999" s="390"/>
      <c r="K999" s="390"/>
      <c r="L999" s="357"/>
      <c r="M999" s="357"/>
      <c r="N999" s="357"/>
      <c r="O999" s="357"/>
      <c r="P999" s="357"/>
      <c r="Q999" s="390"/>
      <c r="R999" s="390"/>
      <c r="S999" s="657">
        <f>SUM(F999:R999)</f>
        <v>-998236.85583333299</v>
      </c>
      <c r="T999" s="357"/>
      <c r="U999" s="657">
        <f>SUM(S999:S999)</f>
        <v>-998236.85583333299</v>
      </c>
      <c r="V999" s="657">
        <f>+U999-'ROR-Model'!G1015</f>
        <v>0</v>
      </c>
    </row>
    <row r="1000" spans="1:22">
      <c r="A1000" s="662"/>
      <c r="B1000" s="662"/>
      <c r="C1000" s="662" t="s">
        <v>13</v>
      </c>
      <c r="D1000" s="662"/>
      <c r="E1000" s="656"/>
      <c r="F1000" s="357">
        <f>'Rate Base'!$AD$65*$F$1</f>
        <v>-9641930.061250031</v>
      </c>
      <c r="G1000" s="357"/>
      <c r="H1000" s="357"/>
      <c r="I1000" s="357"/>
      <c r="J1000" s="390"/>
      <c r="K1000" s="390"/>
      <c r="L1000" s="357"/>
      <c r="M1000" s="357"/>
      <c r="N1000" s="357"/>
      <c r="O1000" s="357"/>
      <c r="P1000" s="357"/>
      <c r="Q1000" s="390"/>
      <c r="R1000" s="390"/>
      <c r="S1000" s="657">
        <f>SUM(F1000:R1000)</f>
        <v>-9641930.061250031</v>
      </c>
      <c r="T1000" s="357"/>
      <c r="U1000" s="657">
        <f>SUM(S1000:S1000)</f>
        <v>-9641930.061250031</v>
      </c>
      <c r="V1000" s="657">
        <f>+U1000-'ROR-Model'!G1016</f>
        <v>0</v>
      </c>
    </row>
    <row r="1001" spans="1:22">
      <c r="A1001" s="662"/>
      <c r="B1001" s="662"/>
      <c r="C1001" s="662" t="s">
        <v>160</v>
      </c>
      <c r="D1001" s="662"/>
      <c r="E1001" s="656"/>
      <c r="F1001" s="357">
        <f>SUM(F999:F1000)</f>
        <v>-10640166.917083364</v>
      </c>
      <c r="G1001" s="357"/>
      <c r="H1001" s="357"/>
      <c r="I1001" s="357"/>
      <c r="J1001" s="390"/>
      <c r="K1001" s="390"/>
      <c r="L1001" s="357"/>
      <c r="M1001" s="357"/>
      <c r="N1001" s="357"/>
      <c r="O1001" s="357"/>
      <c r="P1001" s="357"/>
      <c r="Q1001" s="390"/>
      <c r="R1001" s="390"/>
      <c r="S1001" s="657">
        <f>SUM(F1001:R1001)</f>
        <v>-10640166.917083364</v>
      </c>
      <c r="T1001" s="357"/>
      <c r="U1001" s="657">
        <f>SUM(S1001:S1001)</f>
        <v>-10640166.917083364</v>
      </c>
      <c r="V1001" s="657">
        <f>+U1001-'ROR-Model'!G1017</f>
        <v>0</v>
      </c>
    </row>
    <row r="1002" spans="1:22">
      <c r="A1002" s="662"/>
      <c r="B1002" s="662"/>
      <c r="C1002" s="662"/>
      <c r="D1002" s="662"/>
      <c r="E1002" s="656"/>
      <c r="F1002" s="357"/>
      <c r="G1002" s="357"/>
      <c r="H1002" s="357"/>
      <c r="I1002" s="357"/>
      <c r="J1002" s="390"/>
      <c r="K1002" s="390"/>
      <c r="L1002" s="357"/>
      <c r="M1002" s="357"/>
      <c r="N1002" s="357"/>
      <c r="O1002" s="357"/>
      <c r="P1002" s="357"/>
      <c r="Q1002" s="390"/>
      <c r="R1002" s="390"/>
      <c r="S1002" s="657"/>
      <c r="T1002" s="357"/>
      <c r="U1002" s="657"/>
      <c r="V1002" s="657">
        <f>+U1002-'ROR-Model'!G1018</f>
        <v>0</v>
      </c>
    </row>
    <row r="1003" spans="1:22">
      <c r="A1003" s="662" t="s">
        <v>238</v>
      </c>
      <c r="B1003" s="662" t="s">
        <v>239</v>
      </c>
      <c r="C1003" s="662"/>
      <c r="D1003" s="662"/>
      <c r="E1003" s="656"/>
      <c r="F1003" s="357"/>
      <c r="G1003" s="357"/>
      <c r="H1003" s="357"/>
      <c r="I1003" s="357"/>
      <c r="J1003" s="390"/>
      <c r="K1003" s="390"/>
      <c r="L1003" s="357"/>
      <c r="M1003" s="357"/>
      <c r="N1003" s="357"/>
      <c r="O1003" s="357"/>
      <c r="P1003" s="357"/>
      <c r="Q1003" s="390"/>
      <c r="R1003" s="390"/>
      <c r="S1003" s="657"/>
      <c r="T1003" s="357"/>
      <c r="U1003" s="657"/>
      <c r="V1003" s="657">
        <f>+U1003-'ROR-Model'!G1019</f>
        <v>0</v>
      </c>
    </row>
    <row r="1004" spans="1:22">
      <c r="A1004" s="662"/>
      <c r="B1004" s="662"/>
      <c r="C1004" s="662" t="s">
        <v>24</v>
      </c>
      <c r="D1004" s="662"/>
      <c r="E1004" s="656"/>
      <c r="F1004" s="357">
        <f>'Rate Base'!$AD$69*$F$1</f>
        <v>-453842.29816666618</v>
      </c>
      <c r="G1004" s="357"/>
      <c r="H1004" s="357"/>
      <c r="I1004" s="357"/>
      <c r="J1004" s="390"/>
      <c r="K1004" s="390"/>
      <c r="L1004" s="357"/>
      <c r="M1004" s="357"/>
      <c r="N1004" s="357"/>
      <c r="O1004" s="357"/>
      <c r="P1004" s="357"/>
      <c r="Q1004" s="390"/>
      <c r="R1004" s="390"/>
      <c r="S1004" s="657">
        <f>SUM(F1004:R1004)</f>
        <v>-453842.29816666618</v>
      </c>
      <c r="T1004" s="357"/>
      <c r="U1004" s="657">
        <f>SUM(S1004:S1004)</f>
        <v>-453842.29816666618</v>
      </c>
      <c r="V1004" s="657">
        <f>+U1004-'ROR-Model'!G1020</f>
        <v>0</v>
      </c>
    </row>
    <row r="1005" spans="1:22">
      <c r="A1005" s="662"/>
      <c r="B1005" s="662"/>
      <c r="C1005" s="662" t="s">
        <v>13</v>
      </c>
      <c r="D1005" s="662"/>
      <c r="E1005" s="656"/>
      <c r="F1005" s="357">
        <f>'Rate Base'!$AD$70*$F$1</f>
        <v>-15975243.738916695</v>
      </c>
      <c r="G1005" s="357"/>
      <c r="H1005" s="357"/>
      <c r="I1005" s="357"/>
      <c r="J1005" s="390"/>
      <c r="K1005" s="390"/>
      <c r="L1005" s="357"/>
      <c r="M1005" s="357"/>
      <c r="N1005" s="357"/>
      <c r="O1005" s="357"/>
      <c r="P1005" s="357"/>
      <c r="Q1005" s="390"/>
      <c r="R1005" s="390"/>
      <c r="S1005" s="657">
        <f>SUM(F1005:R1005)</f>
        <v>-15975243.738916695</v>
      </c>
      <c r="T1005" s="357"/>
      <c r="U1005" s="657">
        <f>SUM(S1005:S1005)</f>
        <v>-15975243.738916695</v>
      </c>
      <c r="V1005" s="657">
        <f>+U1005-'ROR-Model'!G1021</f>
        <v>0</v>
      </c>
    </row>
    <row r="1006" spans="1:22">
      <c r="A1006" s="662"/>
      <c r="B1006" s="662"/>
      <c r="C1006" s="662" t="s">
        <v>160</v>
      </c>
      <c r="D1006" s="662"/>
      <c r="E1006" s="656"/>
      <c r="F1006" s="357">
        <f>SUM(F1004:F1005)</f>
        <v>-16429086.037083361</v>
      </c>
      <c r="G1006" s="357"/>
      <c r="H1006" s="357"/>
      <c r="I1006" s="357"/>
      <c r="J1006" s="390"/>
      <c r="K1006" s="390"/>
      <c r="L1006" s="357"/>
      <c r="M1006" s="357"/>
      <c r="N1006" s="357"/>
      <c r="O1006" s="357"/>
      <c r="P1006" s="357"/>
      <c r="Q1006" s="390"/>
      <c r="R1006" s="390"/>
      <c r="S1006" s="657">
        <f>SUM(F1006:R1006)</f>
        <v>-16429086.037083361</v>
      </c>
      <c r="T1006" s="357"/>
      <c r="U1006" s="657">
        <f>SUM(S1006:S1006)</f>
        <v>-16429086.037083361</v>
      </c>
      <c r="V1006" s="657">
        <f>+U1006-'ROR-Model'!G1022</f>
        <v>0</v>
      </c>
    </row>
    <row r="1007" spans="1:22">
      <c r="A1007" s="662"/>
      <c r="B1007" s="662"/>
      <c r="C1007" s="662"/>
      <c r="D1007" s="662"/>
      <c r="E1007" s="656"/>
      <c r="F1007" s="357"/>
      <c r="G1007" s="357"/>
      <c r="H1007" s="357"/>
      <c r="I1007" s="357"/>
      <c r="J1007" s="390"/>
      <c r="K1007" s="390"/>
      <c r="L1007" s="357"/>
      <c r="M1007" s="357"/>
      <c r="N1007" s="357"/>
      <c r="O1007" s="357"/>
      <c r="P1007" s="357"/>
      <c r="Q1007" s="390"/>
      <c r="R1007" s="390"/>
      <c r="S1007" s="657"/>
      <c r="T1007" s="357"/>
      <c r="U1007" s="657"/>
      <c r="V1007" s="657">
        <f>+U1007-'ROR-Model'!G1023</f>
        <v>0</v>
      </c>
    </row>
    <row r="1008" spans="1:22">
      <c r="A1008" s="662" t="s">
        <v>240</v>
      </c>
      <c r="B1008" s="662" t="s">
        <v>241</v>
      </c>
      <c r="C1008" s="662"/>
      <c r="D1008" s="662"/>
      <c r="E1008" s="656"/>
      <c r="F1008" s="357"/>
      <c r="G1008" s="357"/>
      <c r="H1008" s="357"/>
      <c r="I1008" s="357"/>
      <c r="J1008" s="390"/>
      <c r="K1008" s="390"/>
      <c r="L1008" s="357"/>
      <c r="M1008" s="357"/>
      <c r="N1008" s="357"/>
      <c r="O1008" s="357"/>
      <c r="P1008" s="357"/>
      <c r="Q1008" s="390"/>
      <c r="R1008" s="390"/>
      <c r="S1008" s="657"/>
      <c r="T1008" s="357"/>
      <c r="U1008" s="657"/>
      <c r="V1008" s="657">
        <f>+U1008-'ROR-Model'!G1024</f>
        <v>0</v>
      </c>
    </row>
    <row r="1009" spans="1:22">
      <c r="A1009" s="662"/>
      <c r="B1009" s="662"/>
      <c r="C1009" s="662" t="s">
        <v>24</v>
      </c>
      <c r="D1009" s="662"/>
      <c r="E1009" s="656"/>
      <c r="F1009" s="357">
        <f>'Rate Base'!$AD$74*$F$1</f>
        <v>7582.7566666667117</v>
      </c>
      <c r="G1009" s="357"/>
      <c r="H1009" s="357"/>
      <c r="I1009" s="357"/>
      <c r="J1009" s="390"/>
      <c r="K1009" s="390"/>
      <c r="L1009" s="357"/>
      <c r="M1009" s="357"/>
      <c r="N1009" s="357"/>
      <c r="O1009" s="357"/>
      <c r="P1009" s="357"/>
      <c r="Q1009" s="390"/>
      <c r="R1009" s="390"/>
      <c r="S1009" s="657">
        <f>SUM(F1009:R1009)</f>
        <v>7582.7566666667117</v>
      </c>
      <c r="T1009" s="357"/>
      <c r="U1009" s="657">
        <f>SUM(S1009:S1009)</f>
        <v>7582.7566666667117</v>
      </c>
      <c r="V1009" s="657">
        <f>+U1009-'ROR-Model'!G1025</f>
        <v>0</v>
      </c>
    </row>
    <row r="1010" spans="1:22">
      <c r="A1010" s="662"/>
      <c r="B1010" s="662"/>
      <c r="C1010" s="662" t="s">
        <v>13</v>
      </c>
      <c r="D1010" s="662"/>
      <c r="E1010" s="656"/>
      <c r="F1010" s="357">
        <f>'Rate Base'!$AD$75*$F$1</f>
        <v>25194.64499999769</v>
      </c>
      <c r="G1010" s="357"/>
      <c r="H1010" s="357"/>
      <c r="I1010" s="357"/>
      <c r="J1010" s="390"/>
      <c r="K1010" s="390"/>
      <c r="L1010" s="357"/>
      <c r="M1010" s="357"/>
      <c r="N1010" s="357"/>
      <c r="O1010" s="357"/>
      <c r="P1010" s="357"/>
      <c r="Q1010" s="390"/>
      <c r="R1010" s="390"/>
      <c r="S1010" s="657">
        <f>SUM(F1010:R1010)</f>
        <v>25194.64499999769</v>
      </c>
      <c r="T1010" s="357"/>
      <c r="U1010" s="657">
        <f>SUM(S1010:S1010)</f>
        <v>25194.64499999769</v>
      </c>
      <c r="V1010" s="657">
        <f>+U1010-'ROR-Model'!G1026</f>
        <v>0</v>
      </c>
    </row>
    <row r="1011" spans="1:22">
      <c r="A1011" s="662"/>
      <c r="B1011" s="662"/>
      <c r="C1011" s="662" t="s">
        <v>160</v>
      </c>
      <c r="D1011" s="662"/>
      <c r="E1011" s="656"/>
      <c r="F1011" s="357">
        <f>SUM(F1009:F1010)</f>
        <v>32777.401666664402</v>
      </c>
      <c r="G1011" s="357"/>
      <c r="H1011" s="357"/>
      <c r="I1011" s="357"/>
      <c r="J1011" s="390"/>
      <c r="K1011" s="390"/>
      <c r="L1011" s="357"/>
      <c r="M1011" s="357"/>
      <c r="N1011" s="357"/>
      <c r="O1011" s="357"/>
      <c r="P1011" s="357"/>
      <c r="Q1011" s="390"/>
      <c r="R1011" s="390"/>
      <c r="S1011" s="657">
        <f>SUM(F1011:R1011)</f>
        <v>32777.401666664402</v>
      </c>
      <c r="T1011" s="357"/>
      <c r="U1011" s="657">
        <f>SUM(S1011:S1011)</f>
        <v>32777.401666664402</v>
      </c>
      <c r="V1011" s="657">
        <f>+U1011-'ROR-Model'!G1027</f>
        <v>0</v>
      </c>
    </row>
    <row r="1012" spans="1:22">
      <c r="A1012" s="662"/>
      <c r="B1012" s="662"/>
      <c r="C1012" s="662"/>
      <c r="D1012" s="662"/>
      <c r="E1012" s="656"/>
      <c r="F1012" s="357"/>
      <c r="G1012" s="357"/>
      <c r="H1012" s="357"/>
      <c r="I1012" s="357"/>
      <c r="J1012" s="390"/>
      <c r="K1012" s="390"/>
      <c r="L1012" s="357"/>
      <c r="M1012" s="357"/>
      <c r="N1012" s="357"/>
      <c r="O1012" s="357"/>
      <c r="P1012" s="357"/>
      <c r="Q1012" s="390"/>
      <c r="R1012" s="390"/>
      <c r="S1012" s="657"/>
      <c r="T1012" s="357"/>
      <c r="U1012" s="657"/>
      <c r="V1012" s="657">
        <f>+U1012-'ROR-Model'!G1028</f>
        <v>0</v>
      </c>
    </row>
    <row r="1013" spans="1:22">
      <c r="A1013" s="662" t="s">
        <v>242</v>
      </c>
      <c r="B1013" s="662" t="s">
        <v>221</v>
      </c>
      <c r="C1013" s="662"/>
      <c r="D1013" s="662"/>
      <c r="E1013" s="656"/>
      <c r="F1013" s="357"/>
      <c r="G1013" s="357"/>
      <c r="H1013" s="357"/>
      <c r="I1013" s="357"/>
      <c r="J1013" s="390"/>
      <c r="K1013" s="390"/>
      <c r="L1013" s="357"/>
      <c r="M1013" s="357"/>
      <c r="N1013" s="357"/>
      <c r="O1013" s="357"/>
      <c r="P1013" s="357"/>
      <c r="Q1013" s="390"/>
      <c r="R1013" s="390"/>
      <c r="S1013" s="657"/>
      <c r="T1013" s="357"/>
      <c r="U1013" s="657"/>
      <c r="V1013" s="657">
        <f>+U1013-'ROR-Model'!G1029</f>
        <v>0</v>
      </c>
    </row>
    <row r="1014" spans="1:22">
      <c r="A1014" s="662"/>
      <c r="B1014" s="662"/>
      <c r="C1014" s="662" t="s">
        <v>24</v>
      </c>
      <c r="D1014" s="662"/>
      <c r="E1014" s="656"/>
      <c r="F1014" s="357">
        <f>'Rate Base'!$AD$79*$F$1</f>
        <v>0</v>
      </c>
      <c r="G1014" s="357"/>
      <c r="H1014" s="357"/>
      <c r="I1014" s="357"/>
      <c r="J1014" s="390"/>
      <c r="K1014" s="390"/>
      <c r="L1014" s="357"/>
      <c r="M1014" s="357"/>
      <c r="N1014" s="357"/>
      <c r="O1014" s="357"/>
      <c r="P1014" s="357"/>
      <c r="Q1014" s="390"/>
      <c r="R1014" s="390"/>
      <c r="S1014" s="657">
        <f>SUM(F1014:R1014)</f>
        <v>0</v>
      </c>
      <c r="T1014" s="357"/>
      <c r="U1014" s="657">
        <f>SUM(S1014:S1014)</f>
        <v>0</v>
      </c>
      <c r="V1014" s="657">
        <f>+U1014-'ROR-Model'!G1030</f>
        <v>0</v>
      </c>
    </row>
    <row r="1015" spans="1:22">
      <c r="A1015" s="662"/>
      <c r="B1015" s="662"/>
      <c r="C1015" s="662" t="s">
        <v>13</v>
      </c>
      <c r="D1015" s="662"/>
      <c r="E1015" s="656"/>
      <c r="F1015" s="357">
        <f>'Rate Base'!$AD$80*$F$1</f>
        <v>-712.18624999979511</v>
      </c>
      <c r="G1015" s="357"/>
      <c r="H1015" s="357"/>
      <c r="I1015" s="357"/>
      <c r="J1015" s="390"/>
      <c r="K1015" s="390"/>
      <c r="L1015" s="357"/>
      <c r="M1015" s="357"/>
      <c r="N1015" s="357"/>
      <c r="O1015" s="357"/>
      <c r="P1015" s="357"/>
      <c r="Q1015" s="390"/>
      <c r="R1015" s="390"/>
      <c r="S1015" s="657">
        <f>SUM(F1015:R1015)</f>
        <v>-712.18624999979511</v>
      </c>
      <c r="T1015" s="357"/>
      <c r="U1015" s="657">
        <f>SUM(S1015:S1015)</f>
        <v>-712.18624999979511</v>
      </c>
      <c r="V1015" s="657">
        <f>+U1015-'ROR-Model'!G1031</f>
        <v>0</v>
      </c>
    </row>
    <row r="1016" spans="1:22">
      <c r="A1016" s="662"/>
      <c r="B1016" s="662"/>
      <c r="C1016" s="662" t="s">
        <v>160</v>
      </c>
      <c r="D1016" s="662"/>
      <c r="E1016" s="656"/>
      <c r="F1016" s="357">
        <f>SUM(F1014:F1015)</f>
        <v>-712.18624999979511</v>
      </c>
      <c r="G1016" s="357"/>
      <c r="H1016" s="357"/>
      <c r="I1016" s="357"/>
      <c r="J1016" s="390"/>
      <c r="K1016" s="390"/>
      <c r="L1016" s="357"/>
      <c r="M1016" s="357"/>
      <c r="N1016" s="357"/>
      <c r="O1016" s="357"/>
      <c r="P1016" s="357"/>
      <c r="Q1016" s="390"/>
      <c r="R1016" s="390"/>
      <c r="S1016" s="657">
        <f>SUM(F1016:R1016)</f>
        <v>-712.18624999979511</v>
      </c>
      <c r="T1016" s="357"/>
      <c r="U1016" s="657">
        <f>SUM(S1016:S1016)</f>
        <v>-712.18624999979511</v>
      </c>
      <c r="V1016" s="657">
        <f>+U1016-'ROR-Model'!G1032</f>
        <v>0</v>
      </c>
    </row>
    <row r="1017" spans="1:22">
      <c r="A1017" s="662"/>
      <c r="B1017" s="662"/>
      <c r="C1017" s="662"/>
      <c r="D1017" s="662"/>
      <c r="E1017" s="656"/>
      <c r="F1017" s="357"/>
      <c r="G1017" s="357"/>
      <c r="H1017" s="357"/>
      <c r="I1017" s="357"/>
      <c r="J1017" s="390"/>
      <c r="K1017" s="390"/>
      <c r="L1017" s="357"/>
      <c r="M1017" s="357"/>
      <c r="N1017" s="357"/>
      <c r="O1017" s="357"/>
      <c r="P1017" s="357"/>
      <c r="Q1017" s="390"/>
      <c r="R1017" s="390"/>
      <c r="S1017" s="657"/>
      <c r="T1017" s="357"/>
      <c r="U1017" s="657"/>
      <c r="V1017" s="657">
        <f>+U1017-'ROR-Model'!G1033</f>
        <v>0</v>
      </c>
    </row>
    <row r="1018" spans="1:22">
      <c r="A1018" s="662" t="s">
        <v>244</v>
      </c>
      <c r="B1018" s="662" t="s">
        <v>209</v>
      </c>
      <c r="C1018" s="662"/>
      <c r="D1018" s="662"/>
      <c r="E1018" s="656"/>
      <c r="F1018" s="357"/>
      <c r="G1018" s="357"/>
      <c r="H1018" s="357"/>
      <c r="I1018" s="357"/>
      <c r="J1018" s="390"/>
      <c r="K1018" s="390"/>
      <c r="L1018" s="357"/>
      <c r="M1018" s="357"/>
      <c r="N1018" s="357"/>
      <c r="O1018" s="357"/>
      <c r="P1018" s="357"/>
      <c r="Q1018" s="390"/>
      <c r="R1018" s="390"/>
      <c r="S1018" s="657"/>
      <c r="T1018" s="357"/>
      <c r="U1018" s="657"/>
      <c r="V1018" s="657">
        <f>+U1018-'ROR-Model'!G1037</f>
        <v>0</v>
      </c>
    </row>
    <row r="1019" spans="1:22">
      <c r="A1019" s="662"/>
      <c r="B1019" s="662"/>
      <c r="C1019" s="662" t="s">
        <v>581</v>
      </c>
      <c r="D1019" s="662"/>
      <c r="E1019" s="656"/>
      <c r="F1019" s="357">
        <f>'Rate Base'!$AD$87*$F$1</f>
        <v>0</v>
      </c>
      <c r="G1019" s="357"/>
      <c r="H1019" s="357"/>
      <c r="I1019" s="357"/>
      <c r="J1019" s="390"/>
      <c r="K1019" s="390"/>
      <c r="L1019" s="357"/>
      <c r="M1019" s="357"/>
      <c r="N1019" s="357"/>
      <c r="O1019" s="357"/>
      <c r="P1019" s="357"/>
      <c r="Q1019" s="390"/>
      <c r="R1019" s="390"/>
      <c r="S1019" s="657">
        <f>SUM(F1019:R1019)</f>
        <v>0</v>
      </c>
      <c r="T1019" s="357"/>
      <c r="U1019" s="657">
        <f>SUM(S1019:S1019)</f>
        <v>0</v>
      </c>
      <c r="V1019" s="657">
        <f>+U1019-'ROR-Model'!G1038</f>
        <v>0</v>
      </c>
    </row>
    <row r="1020" spans="1:22">
      <c r="A1020" s="662"/>
      <c r="B1020" s="662"/>
      <c r="C1020" s="662" t="s">
        <v>582</v>
      </c>
      <c r="D1020" s="662"/>
      <c r="E1020" s="656"/>
      <c r="F1020" s="357">
        <f>'Rate Base'!$AD$88*$F$1</f>
        <v>0</v>
      </c>
      <c r="G1020" s="357"/>
      <c r="H1020" s="357"/>
      <c r="I1020" s="357"/>
      <c r="J1020" s="390"/>
      <c r="K1020" s="390"/>
      <c r="L1020" s="357"/>
      <c r="M1020" s="357"/>
      <c r="N1020" s="357"/>
      <c r="O1020" s="357"/>
      <c r="P1020" s="357"/>
      <c r="Q1020" s="390"/>
      <c r="R1020" s="390"/>
      <c r="S1020" s="657">
        <f>SUM(F1020:R1020)</f>
        <v>0</v>
      </c>
      <c r="T1020" s="357"/>
      <c r="U1020" s="657">
        <f>SUM(S1020:S1020)</f>
        <v>0</v>
      </c>
      <c r="V1020" s="657">
        <f>+U1020-'ROR-Model'!G1039</f>
        <v>0</v>
      </c>
    </row>
    <row r="1021" spans="1:22">
      <c r="A1021" s="662"/>
      <c r="B1021" s="662"/>
      <c r="C1021" s="662" t="s">
        <v>160</v>
      </c>
      <c r="D1021" s="662"/>
      <c r="E1021" s="656"/>
      <c r="F1021" s="357">
        <f>'Rate Base'!$AD$89*$F$1</f>
        <v>0</v>
      </c>
      <c r="G1021" s="357"/>
      <c r="H1021" s="357"/>
      <c r="I1021" s="357"/>
      <c r="J1021" s="390"/>
      <c r="K1021" s="390"/>
      <c r="L1021" s="357"/>
      <c r="M1021" s="357"/>
      <c r="N1021" s="357"/>
      <c r="O1021" s="357"/>
      <c r="P1021" s="357"/>
      <c r="Q1021" s="390"/>
      <c r="R1021" s="390"/>
      <c r="S1021" s="657">
        <f>SUM(F1021:R1021)</f>
        <v>0</v>
      </c>
      <c r="T1021" s="357"/>
      <c r="U1021" s="657">
        <f>SUM(S1021:S1021)</f>
        <v>0</v>
      </c>
      <c r="V1021" s="657">
        <f>+U1021-'ROR-Model'!G1040</f>
        <v>0</v>
      </c>
    </row>
    <row r="1022" spans="1:22">
      <c r="A1022" s="662"/>
      <c r="B1022" s="662"/>
      <c r="C1022" s="662"/>
      <c r="D1022" s="662"/>
      <c r="E1022" s="656"/>
      <c r="F1022" s="357"/>
      <c r="G1022" s="357"/>
      <c r="H1022" s="357"/>
      <c r="I1022" s="357"/>
      <c r="J1022" s="390"/>
      <c r="K1022" s="390"/>
      <c r="L1022" s="357"/>
      <c r="M1022" s="357"/>
      <c r="N1022" s="357"/>
      <c r="O1022" s="357"/>
      <c r="P1022" s="357"/>
      <c r="Q1022" s="390"/>
      <c r="R1022" s="390"/>
      <c r="S1022" s="657"/>
      <c r="T1022" s="357"/>
      <c r="U1022" s="657"/>
      <c r="V1022" s="657">
        <f>+U1022-'ROR-Model'!G1041</f>
        <v>0</v>
      </c>
    </row>
    <row r="1023" spans="1:22">
      <c r="A1023" s="662" t="s">
        <v>245</v>
      </c>
      <c r="B1023" s="662" t="s">
        <v>226</v>
      </c>
      <c r="C1023" s="662"/>
      <c r="D1023" s="662"/>
      <c r="E1023" s="656"/>
      <c r="F1023" s="357"/>
      <c r="G1023" s="357"/>
      <c r="H1023" s="357"/>
      <c r="I1023" s="357"/>
      <c r="J1023" s="390"/>
      <c r="K1023" s="390"/>
      <c r="L1023" s="357"/>
      <c r="M1023" s="357"/>
      <c r="N1023" s="357"/>
      <c r="O1023" s="357"/>
      <c r="P1023" s="357"/>
      <c r="Q1023" s="390"/>
      <c r="R1023" s="390"/>
      <c r="S1023" s="657"/>
      <c r="T1023" s="357"/>
      <c r="U1023" s="657"/>
      <c r="V1023" s="657">
        <f>+U1023-'ROR-Model'!G1042</f>
        <v>0</v>
      </c>
    </row>
    <row r="1024" spans="1:22">
      <c r="A1024" s="662"/>
      <c r="B1024" s="662"/>
      <c r="C1024" s="662" t="s">
        <v>581</v>
      </c>
      <c r="D1024" s="662"/>
      <c r="E1024" s="656"/>
      <c r="F1024" s="357">
        <f>'Rate Base'!$AD$92*$F$1</f>
        <v>-8201.1175000004005</v>
      </c>
      <c r="G1024" s="357"/>
      <c r="H1024" s="357"/>
      <c r="I1024" s="357"/>
      <c r="J1024" s="390"/>
      <c r="K1024" s="390"/>
      <c r="L1024" s="357"/>
      <c r="M1024" s="357"/>
      <c r="N1024" s="357"/>
      <c r="O1024" s="357"/>
      <c r="P1024" s="357"/>
      <c r="Q1024" s="390"/>
      <c r="R1024" s="390"/>
      <c r="S1024" s="657">
        <f>SUM(F1024:R1024)</f>
        <v>-8201.1175000004005</v>
      </c>
      <c r="T1024" s="357"/>
      <c r="U1024" s="657">
        <f>SUM(S1024:S1024)</f>
        <v>-8201.1175000004005</v>
      </c>
      <c r="V1024" s="657">
        <f>+U1024-'ROR-Model'!G1043</f>
        <v>0</v>
      </c>
    </row>
    <row r="1025" spans="1:22">
      <c r="A1025" s="662"/>
      <c r="B1025" s="662"/>
      <c r="C1025" s="662" t="s">
        <v>582</v>
      </c>
      <c r="D1025" s="662"/>
      <c r="E1025" s="656"/>
      <c r="F1025" s="357">
        <f>'Rate Base'!$AD$93*$F$1</f>
        <v>-849385.79999998957</v>
      </c>
      <c r="G1025" s="357"/>
      <c r="H1025" s="357"/>
      <c r="I1025" s="357"/>
      <c r="J1025" s="390"/>
      <c r="K1025" s="390"/>
      <c r="L1025" s="357"/>
      <c r="M1025" s="357"/>
      <c r="N1025" s="357"/>
      <c r="O1025" s="357"/>
      <c r="P1025" s="357"/>
      <c r="Q1025" s="390"/>
      <c r="R1025" s="390"/>
      <c r="S1025" s="657">
        <f>SUM(F1025:R1025)</f>
        <v>-849385.79999998957</v>
      </c>
      <c r="T1025" s="357"/>
      <c r="U1025" s="657">
        <f>SUM(S1025:S1025)</f>
        <v>-849385.79999998957</v>
      </c>
      <c r="V1025" s="657">
        <f>+U1025-'ROR-Model'!G1044</f>
        <v>0</v>
      </c>
    </row>
    <row r="1026" spans="1:22">
      <c r="A1026" s="662"/>
      <c r="B1026" s="662"/>
      <c r="C1026" s="309" t="s">
        <v>584</v>
      </c>
      <c r="D1026" s="662"/>
      <c r="E1026" s="656"/>
      <c r="F1026" s="357">
        <f>'Rate Base'!$AD$94*$F$1</f>
        <v>-56440.678750008345</v>
      </c>
      <c r="G1026" s="357"/>
      <c r="H1026" s="357"/>
      <c r="I1026" s="357"/>
      <c r="J1026" s="390"/>
      <c r="K1026" s="390"/>
      <c r="L1026" s="357"/>
      <c r="M1026" s="357"/>
      <c r="N1026" s="357"/>
      <c r="O1026" s="357"/>
      <c r="P1026" s="357"/>
      <c r="Q1026" s="390"/>
      <c r="R1026" s="390"/>
      <c r="S1026" s="657">
        <f>SUM(F1026:R1026)</f>
        <v>-56440.678750008345</v>
      </c>
      <c r="T1026" s="357"/>
      <c r="U1026" s="657">
        <f>SUM(S1026:S1026)</f>
        <v>-56440.678750008345</v>
      </c>
      <c r="V1026" s="657">
        <f>+U1026-'ROR-Model'!G1045</f>
        <v>0</v>
      </c>
    </row>
    <row r="1027" spans="1:22">
      <c r="A1027" s="662"/>
      <c r="B1027" s="662"/>
      <c r="C1027" s="662" t="s">
        <v>160</v>
      </c>
      <c r="D1027" s="662"/>
      <c r="E1027" s="656"/>
      <c r="F1027" s="357">
        <f>'Rate Base'!$AD$95*$F$1</f>
        <v>-914027.59624999762</v>
      </c>
      <c r="G1027" s="357"/>
      <c r="H1027" s="357"/>
      <c r="I1027" s="357"/>
      <c r="J1027" s="390"/>
      <c r="K1027" s="390"/>
      <c r="L1027" s="357"/>
      <c r="M1027" s="357"/>
      <c r="N1027" s="357"/>
      <c r="O1027" s="357"/>
      <c r="P1027" s="357"/>
      <c r="Q1027" s="390"/>
      <c r="R1027" s="390"/>
      <c r="S1027" s="657">
        <f>SUM(F1027:R1027)</f>
        <v>-914027.59624999762</v>
      </c>
      <c r="T1027" s="357"/>
      <c r="U1027" s="657">
        <f>SUM(S1027:S1027)</f>
        <v>-914027.59624999762</v>
      </c>
      <c r="V1027" s="657">
        <f>+U1027-'ROR-Model'!G1046</f>
        <v>0</v>
      </c>
    </row>
    <row r="1028" spans="1:22">
      <c r="A1028" s="662"/>
      <c r="B1028" s="662"/>
      <c r="C1028" s="662"/>
      <c r="D1028" s="662"/>
      <c r="E1028" s="656"/>
      <c r="F1028" s="357"/>
      <c r="G1028" s="357"/>
      <c r="H1028" s="357"/>
      <c r="I1028" s="357"/>
      <c r="J1028" s="390"/>
      <c r="K1028" s="390"/>
      <c r="L1028" s="357"/>
      <c r="M1028" s="357"/>
      <c r="N1028" s="357"/>
      <c r="O1028" s="357"/>
      <c r="P1028" s="357"/>
      <c r="Q1028" s="390"/>
      <c r="R1028" s="390"/>
      <c r="S1028" s="657"/>
      <c r="T1028" s="357"/>
      <c r="U1028" s="657"/>
      <c r="V1028" s="657">
        <f>+U1028-'ROR-Model'!G1047</f>
        <v>0</v>
      </c>
    </row>
    <row r="1029" spans="1:22">
      <c r="A1029" s="662" t="s">
        <v>246</v>
      </c>
      <c r="B1029" s="662" t="s">
        <v>247</v>
      </c>
      <c r="C1029" s="662"/>
      <c r="D1029" s="662"/>
      <c r="E1029" s="656"/>
      <c r="F1029" s="357"/>
      <c r="G1029" s="357"/>
      <c r="H1029" s="357"/>
      <c r="I1029" s="357"/>
      <c r="J1029" s="390"/>
      <c r="K1029" s="390"/>
      <c r="L1029" s="357"/>
      <c r="M1029" s="357"/>
      <c r="N1029" s="357"/>
      <c r="O1029" s="357"/>
      <c r="P1029" s="357"/>
      <c r="Q1029" s="390"/>
      <c r="R1029" s="390"/>
      <c r="S1029" s="657"/>
      <c r="T1029" s="357"/>
      <c r="U1029" s="657"/>
      <c r="V1029" s="657">
        <f>+U1029-'ROR-Model'!G1048</f>
        <v>0</v>
      </c>
    </row>
    <row r="1030" spans="1:22">
      <c r="A1030" s="662"/>
      <c r="B1030" s="662"/>
      <c r="C1030" s="662" t="s">
        <v>581</v>
      </c>
      <c r="D1030" s="662"/>
      <c r="E1030" s="656"/>
      <c r="F1030" s="357">
        <f>'Rate Base'!$AD$98*$F$1</f>
        <v>24835.577499999956</v>
      </c>
      <c r="G1030" s="357"/>
      <c r="H1030" s="357"/>
      <c r="I1030" s="357"/>
      <c r="J1030" s="390"/>
      <c r="K1030" s="390"/>
      <c r="L1030" s="357"/>
      <c r="M1030" s="357"/>
      <c r="N1030" s="357"/>
      <c r="O1030" s="357"/>
      <c r="P1030" s="357"/>
      <c r="Q1030" s="390"/>
      <c r="R1030" s="390"/>
      <c r="S1030" s="657">
        <f>SUM(F1030:R1030)</f>
        <v>24835.577499999956</v>
      </c>
      <c r="T1030" s="357"/>
      <c r="U1030" s="657">
        <f>SUM(S1030:S1030)</f>
        <v>24835.577499999956</v>
      </c>
      <c r="V1030" s="657">
        <f>+U1030-'ROR-Model'!G1049</f>
        <v>0</v>
      </c>
    </row>
    <row r="1031" spans="1:22">
      <c r="A1031" s="662"/>
      <c r="B1031" s="662"/>
      <c r="C1031" s="662" t="s">
        <v>582</v>
      </c>
      <c r="D1031" s="662"/>
      <c r="E1031" s="656"/>
      <c r="F1031" s="357">
        <f>'Rate Base'!$AD$99*$F$1</f>
        <v>986249.76416666619</v>
      </c>
      <c r="G1031" s="357"/>
      <c r="H1031" s="357"/>
      <c r="I1031" s="357"/>
      <c r="J1031" s="390"/>
      <c r="K1031" s="390"/>
      <c r="L1031" s="357"/>
      <c r="M1031" s="357"/>
      <c r="N1031" s="357"/>
      <c r="O1031" s="357"/>
      <c r="P1031" s="357"/>
      <c r="Q1031" s="390"/>
      <c r="R1031" s="390"/>
      <c r="S1031" s="657">
        <f>SUM(F1031:R1031)</f>
        <v>986249.76416666619</v>
      </c>
      <c r="T1031" s="357"/>
      <c r="U1031" s="657">
        <f>SUM(S1031:S1031)</f>
        <v>986249.76416666619</v>
      </c>
      <c r="V1031" s="657">
        <f>+U1031-'ROR-Model'!G1050</f>
        <v>0</v>
      </c>
    </row>
    <row r="1032" spans="1:22">
      <c r="A1032" s="662"/>
      <c r="B1032" s="662"/>
      <c r="C1032" s="662" t="s">
        <v>584</v>
      </c>
      <c r="D1032" s="662"/>
      <c r="E1032" s="656"/>
      <c r="F1032" s="357">
        <f>'Rate Base'!$AD$100*$F$1</f>
        <v>2213814.0904166624</v>
      </c>
      <c r="G1032" s="357"/>
      <c r="H1032" s="357"/>
      <c r="I1032" s="357"/>
      <c r="J1032" s="390"/>
      <c r="K1032" s="390"/>
      <c r="L1032" s="357"/>
      <c r="M1032" s="357"/>
      <c r="N1032" s="357"/>
      <c r="O1032" s="357"/>
      <c r="P1032" s="357"/>
      <c r="Q1032" s="390"/>
      <c r="R1032" s="390"/>
      <c r="S1032" s="657">
        <f>SUM(F1032:R1032)</f>
        <v>2213814.0904166624</v>
      </c>
      <c r="T1032" s="357"/>
      <c r="U1032" s="657">
        <f>SUM(S1032:S1032)</f>
        <v>2213814.0904166624</v>
      </c>
      <c r="V1032" s="657">
        <f>+U1032-'ROR-Model'!G1051</f>
        <v>0</v>
      </c>
    </row>
    <row r="1033" spans="1:22">
      <c r="A1033" s="662"/>
      <c r="B1033" s="662"/>
      <c r="C1033" s="662" t="s">
        <v>160</v>
      </c>
      <c r="D1033" s="662"/>
      <c r="E1033" s="656"/>
      <c r="F1033" s="357">
        <f>'Rate Base'!$AD$101*$F$1</f>
        <v>3224899.4320833236</v>
      </c>
      <c r="G1033" s="357"/>
      <c r="H1033" s="357"/>
      <c r="I1033" s="357"/>
      <c r="J1033" s="390"/>
      <c r="K1033" s="390"/>
      <c r="L1033" s="357"/>
      <c r="M1033" s="357"/>
      <c r="N1033" s="357"/>
      <c r="O1033" s="357"/>
      <c r="P1033" s="357"/>
      <c r="Q1033" s="390"/>
      <c r="R1033" s="390"/>
      <c r="S1033" s="657">
        <f>SUM(F1033:R1033)</f>
        <v>3224899.4320833236</v>
      </c>
      <c r="T1033" s="357"/>
      <c r="U1033" s="657">
        <f>SUM(S1033:S1033)</f>
        <v>3224899.4320833236</v>
      </c>
      <c r="V1033" s="657">
        <f>+U1033-'ROR-Model'!G1052</f>
        <v>0</v>
      </c>
    </row>
    <row r="1034" spans="1:22">
      <c r="A1034" s="662"/>
      <c r="B1034" s="662"/>
      <c r="C1034" s="662"/>
      <c r="D1034" s="662"/>
      <c r="E1034" s="656"/>
      <c r="F1034" s="357"/>
      <c r="G1034" s="357"/>
      <c r="H1034" s="357"/>
      <c r="I1034" s="357"/>
      <c r="J1034" s="390"/>
      <c r="K1034" s="390"/>
      <c r="L1034" s="357"/>
      <c r="M1034" s="357"/>
      <c r="N1034" s="357"/>
      <c r="O1034" s="357"/>
      <c r="P1034" s="357"/>
      <c r="Q1034" s="390"/>
      <c r="R1034" s="390"/>
      <c r="S1034" s="657"/>
      <c r="T1034" s="357"/>
      <c r="U1034" s="657"/>
      <c r="V1034" s="657">
        <f>+U1034-'ROR-Model'!G1053</f>
        <v>0</v>
      </c>
    </row>
    <row r="1035" spans="1:22">
      <c r="A1035" s="662" t="s">
        <v>248</v>
      </c>
      <c r="B1035" s="662" t="s">
        <v>249</v>
      </c>
      <c r="C1035" s="662"/>
      <c r="D1035" s="662"/>
      <c r="E1035" s="656"/>
      <c r="F1035" s="357"/>
      <c r="G1035" s="357"/>
      <c r="H1035" s="357"/>
      <c r="I1035" s="357"/>
      <c r="J1035" s="390"/>
      <c r="K1035" s="390"/>
      <c r="L1035" s="357"/>
      <c r="M1035" s="357"/>
      <c r="N1035" s="357"/>
      <c r="O1035" s="357"/>
      <c r="P1035" s="357"/>
      <c r="Q1035" s="390"/>
      <c r="R1035" s="390"/>
      <c r="S1035" s="657"/>
      <c r="T1035" s="357"/>
      <c r="U1035" s="657"/>
      <c r="V1035" s="657">
        <f>+U1035-'ROR-Model'!G1054</f>
        <v>0</v>
      </c>
    </row>
    <row r="1036" spans="1:22">
      <c r="A1036" s="662"/>
      <c r="B1036" s="662"/>
      <c r="C1036" s="662" t="s">
        <v>581</v>
      </c>
      <c r="D1036" s="662"/>
      <c r="E1036" s="656"/>
      <c r="F1036" s="357">
        <f>'Rate Base'!$AD$104*$F$1</f>
        <v>-68781.554166667163</v>
      </c>
      <c r="G1036" s="357"/>
      <c r="H1036" s="357"/>
      <c r="I1036" s="357"/>
      <c r="J1036" s="390"/>
      <c r="K1036" s="390"/>
      <c r="L1036" s="357"/>
      <c r="M1036" s="357"/>
      <c r="N1036" s="357"/>
      <c r="O1036" s="357"/>
      <c r="P1036" s="357"/>
      <c r="Q1036" s="390"/>
      <c r="R1036" s="390"/>
      <c r="S1036" s="657">
        <f>SUM(F1036:R1036)</f>
        <v>-68781.554166667163</v>
      </c>
      <c r="T1036" s="357"/>
      <c r="U1036" s="657">
        <f>SUM(S1036:S1036)</f>
        <v>-68781.554166667163</v>
      </c>
      <c r="V1036" s="657">
        <f>+U1036-'ROR-Model'!G1055</f>
        <v>0</v>
      </c>
    </row>
    <row r="1037" spans="1:22">
      <c r="A1037" s="662"/>
      <c r="B1037" s="662"/>
      <c r="C1037" s="662" t="s">
        <v>582</v>
      </c>
      <c r="D1037" s="662"/>
      <c r="E1037" s="656"/>
      <c r="F1037" s="357">
        <f>'Rate Base'!$AD$105*$F$1</f>
        <v>-198334.15458333492</v>
      </c>
      <c r="G1037" s="357"/>
      <c r="H1037" s="357"/>
      <c r="I1037" s="357"/>
      <c r="J1037" s="390"/>
      <c r="K1037" s="390"/>
      <c r="L1037" s="357"/>
      <c r="M1037" s="357"/>
      <c r="N1037" s="357"/>
      <c r="O1037" s="357"/>
      <c r="P1037" s="357"/>
      <c r="Q1037" s="390"/>
      <c r="R1037" s="390"/>
      <c r="S1037" s="657">
        <f>SUM(F1037:R1037)</f>
        <v>-198334.15458333492</v>
      </c>
      <c r="T1037" s="357"/>
      <c r="U1037" s="657">
        <f>SUM(S1037:S1037)</f>
        <v>-198334.15458333492</v>
      </c>
      <c r="V1037" s="657">
        <f>+U1037-'ROR-Model'!G1056</f>
        <v>0</v>
      </c>
    </row>
    <row r="1038" spans="1:22">
      <c r="A1038" s="662"/>
      <c r="B1038" s="662"/>
      <c r="C1038" s="662" t="s">
        <v>584</v>
      </c>
      <c r="D1038" s="662"/>
      <c r="E1038" s="656"/>
      <c r="F1038" s="357">
        <f>'Rate Base'!$AD$106*$F$1</f>
        <v>0</v>
      </c>
      <c r="G1038" s="357"/>
      <c r="H1038" s="357"/>
      <c r="I1038" s="357"/>
      <c r="J1038" s="390"/>
      <c r="K1038" s="390"/>
      <c r="L1038" s="357"/>
      <c r="M1038" s="357"/>
      <c r="N1038" s="357"/>
      <c r="O1038" s="357"/>
      <c r="P1038" s="357"/>
      <c r="Q1038" s="390"/>
      <c r="R1038" s="390"/>
      <c r="S1038" s="657">
        <f>SUM(F1038:R1038)</f>
        <v>0</v>
      </c>
      <c r="T1038" s="357"/>
      <c r="U1038" s="657">
        <f>SUM(S1038:S1038)</f>
        <v>0</v>
      </c>
      <c r="V1038" s="657">
        <f>+U1038-'ROR-Model'!G1057</f>
        <v>0</v>
      </c>
    </row>
    <row r="1039" spans="1:22">
      <c r="A1039" s="662"/>
      <c r="B1039" s="662"/>
      <c r="C1039" s="662" t="s">
        <v>160</v>
      </c>
      <c r="D1039" s="662"/>
      <c r="E1039" s="656"/>
      <c r="F1039" s="357">
        <f>'Rate Base'!$AD$107*$F$1</f>
        <v>-267115.70875000209</v>
      </c>
      <c r="G1039" s="357"/>
      <c r="H1039" s="357"/>
      <c r="I1039" s="357"/>
      <c r="J1039" s="390"/>
      <c r="K1039" s="390"/>
      <c r="L1039" s="357"/>
      <c r="M1039" s="357"/>
      <c r="N1039" s="357"/>
      <c r="O1039" s="357"/>
      <c r="P1039" s="357"/>
      <c r="Q1039" s="390"/>
      <c r="R1039" s="390"/>
      <c r="S1039" s="657">
        <f>SUM(F1039:R1039)</f>
        <v>-267115.70875000209</v>
      </c>
      <c r="T1039" s="357"/>
      <c r="U1039" s="657">
        <f>SUM(S1039:S1039)</f>
        <v>-267115.70875000209</v>
      </c>
      <c r="V1039" s="657">
        <f>+U1039-'ROR-Model'!G1058</f>
        <v>0</v>
      </c>
    </row>
    <row r="1040" spans="1:22">
      <c r="A1040" s="662"/>
      <c r="B1040" s="662"/>
      <c r="C1040" s="662"/>
      <c r="D1040" s="662"/>
      <c r="E1040" s="656"/>
      <c r="F1040" s="357"/>
      <c r="G1040" s="357"/>
      <c r="H1040" s="357"/>
      <c r="I1040" s="357"/>
      <c r="J1040" s="390"/>
      <c r="K1040" s="390"/>
      <c r="L1040" s="357"/>
      <c r="M1040" s="357"/>
      <c r="N1040" s="357"/>
      <c r="O1040" s="357"/>
      <c r="P1040" s="357"/>
      <c r="Q1040" s="390"/>
      <c r="R1040" s="390"/>
      <c r="S1040" s="657"/>
      <c r="T1040" s="357"/>
      <c r="U1040" s="657"/>
      <c r="V1040" s="657">
        <f>+U1040-'ROR-Model'!G1059</f>
        <v>0</v>
      </c>
    </row>
    <row r="1041" spans="1:22">
      <c r="A1041" s="662" t="s">
        <v>250</v>
      </c>
      <c r="B1041" s="662" t="s">
        <v>251</v>
      </c>
      <c r="C1041" s="662"/>
      <c r="D1041" s="662"/>
      <c r="E1041" s="656"/>
      <c r="F1041" s="357"/>
      <c r="G1041" s="357"/>
      <c r="H1041" s="357"/>
      <c r="I1041" s="357"/>
      <c r="J1041" s="390"/>
      <c r="K1041" s="390"/>
      <c r="L1041" s="357"/>
      <c r="M1041" s="357"/>
      <c r="N1041" s="357"/>
      <c r="O1041" s="357"/>
      <c r="P1041" s="357"/>
      <c r="Q1041" s="390"/>
      <c r="R1041" s="390"/>
      <c r="S1041" s="657"/>
      <c r="T1041" s="357"/>
      <c r="U1041" s="657"/>
      <c r="V1041" s="657">
        <f>+U1041-'ROR-Model'!G1060</f>
        <v>0</v>
      </c>
    </row>
    <row r="1042" spans="1:22">
      <c r="A1042" s="662"/>
      <c r="B1042" s="662"/>
      <c r="C1042" s="662" t="s">
        <v>581</v>
      </c>
      <c r="D1042" s="662"/>
      <c r="E1042" s="656"/>
      <c r="F1042" s="357">
        <f>'Rate Base'!$AD$110*$F$1</f>
        <v>0</v>
      </c>
      <c r="G1042" s="357"/>
      <c r="H1042" s="357"/>
      <c r="I1042" s="357"/>
      <c r="J1042" s="390"/>
      <c r="K1042" s="390"/>
      <c r="L1042" s="357"/>
      <c r="M1042" s="357"/>
      <c r="N1042" s="357"/>
      <c r="O1042" s="357"/>
      <c r="P1042" s="357"/>
      <c r="Q1042" s="390"/>
      <c r="R1042" s="390"/>
      <c r="S1042" s="657">
        <f>SUM(F1042:R1042)</f>
        <v>0</v>
      </c>
      <c r="T1042" s="357"/>
      <c r="U1042" s="657">
        <f>SUM(S1042:S1042)</f>
        <v>0</v>
      </c>
      <c r="V1042" s="657">
        <f>+U1042-'ROR-Model'!G1061</f>
        <v>0</v>
      </c>
    </row>
    <row r="1043" spans="1:22">
      <c r="A1043" s="662"/>
      <c r="B1043" s="662"/>
      <c r="C1043" s="662" t="s">
        <v>582</v>
      </c>
      <c r="D1043" s="662"/>
      <c r="E1043" s="656"/>
      <c r="F1043" s="357">
        <f>'Rate Base'!$AD$111*$F$1</f>
        <v>0</v>
      </c>
      <c r="G1043" s="357"/>
      <c r="H1043" s="357"/>
      <c r="I1043" s="357"/>
      <c r="J1043" s="390"/>
      <c r="K1043" s="390"/>
      <c r="L1043" s="357"/>
      <c r="M1043" s="357"/>
      <c r="N1043" s="357"/>
      <c r="O1043" s="357"/>
      <c r="P1043" s="357"/>
      <c r="Q1043" s="390"/>
      <c r="R1043" s="390"/>
      <c r="S1043" s="657">
        <f>SUM(F1043:R1043)</f>
        <v>0</v>
      </c>
      <c r="T1043" s="357"/>
      <c r="U1043" s="657">
        <f>SUM(S1043:S1043)</f>
        <v>0</v>
      </c>
      <c r="V1043" s="657">
        <f>+U1043-'ROR-Model'!G1062</f>
        <v>0</v>
      </c>
    </row>
    <row r="1044" spans="1:22">
      <c r="A1044" s="662"/>
      <c r="B1044" s="662"/>
      <c r="C1044" s="662" t="s">
        <v>160</v>
      </c>
      <c r="D1044" s="662"/>
      <c r="E1044" s="656"/>
      <c r="F1044" s="357">
        <f>'Rate Base'!$AD$112*$F$1</f>
        <v>0</v>
      </c>
      <c r="G1044" s="357"/>
      <c r="H1044" s="357"/>
      <c r="I1044" s="357"/>
      <c r="J1044" s="390"/>
      <c r="K1044" s="390"/>
      <c r="L1044" s="357"/>
      <c r="M1044" s="357"/>
      <c r="N1044" s="357"/>
      <c r="O1044" s="357"/>
      <c r="P1044" s="357"/>
      <c r="Q1044" s="390"/>
      <c r="R1044" s="390"/>
      <c r="S1044" s="657">
        <f>SUM(F1044:R1044)</f>
        <v>0</v>
      </c>
      <c r="T1044" s="357"/>
      <c r="U1044" s="657">
        <f>SUM(S1044:S1044)</f>
        <v>0</v>
      </c>
      <c r="V1044" s="657">
        <f>+U1044-'ROR-Model'!G1063</f>
        <v>0</v>
      </c>
    </row>
    <row r="1045" spans="1:22">
      <c r="A1045" s="662"/>
      <c r="B1045" s="662"/>
      <c r="C1045" s="662"/>
      <c r="D1045" s="662"/>
      <c r="E1045" s="656"/>
      <c r="F1045" s="357"/>
      <c r="G1045" s="357"/>
      <c r="H1045" s="357"/>
      <c r="I1045" s="357"/>
      <c r="J1045" s="390"/>
      <c r="K1045" s="390"/>
      <c r="L1045" s="357"/>
      <c r="M1045" s="357"/>
      <c r="N1045" s="357"/>
      <c r="O1045" s="357"/>
      <c r="P1045" s="357"/>
      <c r="Q1045" s="390"/>
      <c r="R1045" s="390"/>
      <c r="S1045" s="657"/>
      <c r="T1045" s="357"/>
      <c r="U1045" s="657"/>
      <c r="V1045" s="657">
        <f>+U1045-'ROR-Model'!G1064</f>
        <v>0</v>
      </c>
    </row>
    <row r="1046" spans="1:22">
      <c r="A1046" s="662" t="s">
        <v>252</v>
      </c>
      <c r="B1046" s="662" t="s">
        <v>253</v>
      </c>
      <c r="C1046" s="662"/>
      <c r="D1046" s="662"/>
      <c r="E1046" s="656"/>
      <c r="F1046" s="357"/>
      <c r="G1046" s="357"/>
      <c r="H1046" s="357"/>
      <c r="I1046" s="357"/>
      <c r="J1046" s="390"/>
      <c r="K1046" s="390"/>
      <c r="L1046" s="357"/>
      <c r="M1046" s="357"/>
      <c r="N1046" s="357"/>
      <c r="O1046" s="357"/>
      <c r="P1046" s="357"/>
      <c r="Q1046" s="390"/>
      <c r="R1046" s="390"/>
      <c r="S1046" s="657"/>
      <c r="T1046" s="357"/>
      <c r="U1046" s="657"/>
      <c r="V1046" s="657">
        <f>+U1046-'ROR-Model'!G1065</f>
        <v>0</v>
      </c>
    </row>
    <row r="1047" spans="1:22">
      <c r="A1047" s="662"/>
      <c r="B1047" s="662"/>
      <c r="C1047" s="662" t="s">
        <v>581</v>
      </c>
      <c r="D1047" s="662"/>
      <c r="E1047" s="656"/>
      <c r="F1047" s="357">
        <f>'Rate Base'!$AD$115*$F$1</f>
        <v>81956.826249999925</v>
      </c>
      <c r="G1047" s="357"/>
      <c r="H1047" s="357"/>
      <c r="I1047" s="357"/>
      <c r="J1047" s="390"/>
      <c r="K1047" s="390"/>
      <c r="L1047" s="357"/>
      <c r="M1047" s="357"/>
      <c r="N1047" s="357"/>
      <c r="O1047" s="357"/>
      <c r="P1047" s="357"/>
      <c r="Q1047" s="390"/>
      <c r="R1047" s="390"/>
      <c r="S1047" s="657">
        <f>SUM(F1047:R1047)</f>
        <v>81956.826249999925</v>
      </c>
      <c r="T1047" s="357"/>
      <c r="U1047" s="657">
        <f>SUM(S1047:S1047)</f>
        <v>81956.826249999925</v>
      </c>
      <c r="V1047" s="657">
        <f>+U1047-'ROR-Model'!G1066</f>
        <v>0</v>
      </c>
    </row>
    <row r="1048" spans="1:22">
      <c r="A1048" s="662"/>
      <c r="B1048" s="662"/>
      <c r="C1048" s="662" t="s">
        <v>582</v>
      </c>
      <c r="D1048" s="662"/>
      <c r="E1048" s="656"/>
      <c r="F1048" s="357">
        <f>'Rate Base'!$AD$116*$F$1</f>
        <v>38140.487916663289</v>
      </c>
      <c r="G1048" s="357"/>
      <c r="H1048" s="357"/>
      <c r="I1048" s="357"/>
      <c r="J1048" s="390"/>
      <c r="K1048" s="390"/>
      <c r="L1048" s="357"/>
      <c r="M1048" s="357"/>
      <c r="N1048" s="357"/>
      <c r="O1048" s="357"/>
      <c r="P1048" s="357"/>
      <c r="Q1048" s="390"/>
      <c r="R1048" s="390"/>
      <c r="S1048" s="657">
        <f>SUM(F1048:R1048)</f>
        <v>38140.487916663289</v>
      </c>
      <c r="T1048" s="357"/>
      <c r="U1048" s="657">
        <f>SUM(S1048:S1048)</f>
        <v>38140.487916663289</v>
      </c>
      <c r="V1048" s="657">
        <f>+U1048-'ROR-Model'!G1067</f>
        <v>0</v>
      </c>
    </row>
    <row r="1049" spans="1:22">
      <c r="A1049" s="662"/>
      <c r="B1049" s="662"/>
      <c r="C1049" s="662" t="s">
        <v>584</v>
      </c>
      <c r="D1049" s="662"/>
      <c r="E1049" s="656"/>
      <c r="F1049" s="357">
        <f>'Rate Base'!$AD$117*$F$1</f>
        <v>0</v>
      </c>
      <c r="G1049" s="357"/>
      <c r="H1049" s="357"/>
      <c r="I1049" s="357"/>
      <c r="J1049" s="390"/>
      <c r="K1049" s="390"/>
      <c r="L1049" s="357"/>
      <c r="M1049" s="357"/>
      <c r="N1049" s="357"/>
      <c r="O1049" s="357"/>
      <c r="P1049" s="357"/>
      <c r="Q1049" s="390"/>
      <c r="R1049" s="390"/>
      <c r="S1049" s="657">
        <f>SUM(F1049:R1049)</f>
        <v>0</v>
      </c>
      <c r="T1049" s="357"/>
      <c r="U1049" s="657">
        <f>SUM(S1049:S1049)</f>
        <v>0</v>
      </c>
      <c r="V1049" s="657">
        <f>+U1049-'ROR-Model'!G1068</f>
        <v>0</v>
      </c>
    </row>
    <row r="1050" spans="1:22">
      <c r="A1050" s="662"/>
      <c r="B1050" s="662"/>
      <c r="C1050" s="662" t="s">
        <v>160</v>
      </c>
      <c r="D1050" s="662"/>
      <c r="E1050" s="656"/>
      <c r="F1050" s="357">
        <f>'Rate Base'!$AD$118*$F$1</f>
        <v>120097.31416666508</v>
      </c>
      <c r="G1050" s="357"/>
      <c r="H1050" s="357"/>
      <c r="I1050" s="357"/>
      <c r="J1050" s="390"/>
      <c r="K1050" s="390"/>
      <c r="L1050" s="357"/>
      <c r="M1050" s="357"/>
      <c r="N1050" s="357"/>
      <c r="O1050" s="357"/>
      <c r="P1050" s="357"/>
      <c r="Q1050" s="390"/>
      <c r="R1050" s="390"/>
      <c r="S1050" s="657">
        <f>SUM(F1050:R1050)</f>
        <v>120097.31416666508</v>
      </c>
      <c r="T1050" s="357"/>
      <c r="U1050" s="657">
        <f>SUM(S1050:S1050)</f>
        <v>120097.31416666508</v>
      </c>
      <c r="V1050" s="657">
        <f>+U1050-'ROR-Model'!G1069</f>
        <v>0</v>
      </c>
    </row>
    <row r="1051" spans="1:22">
      <c r="A1051" s="662"/>
      <c r="B1051" s="662"/>
      <c r="C1051" s="662"/>
      <c r="D1051" s="662"/>
      <c r="E1051" s="656"/>
      <c r="F1051" s="357"/>
      <c r="G1051" s="357"/>
      <c r="H1051" s="357"/>
      <c r="I1051" s="357"/>
      <c r="J1051" s="390"/>
      <c r="K1051" s="390"/>
      <c r="L1051" s="357"/>
      <c r="M1051" s="357"/>
      <c r="N1051" s="357"/>
      <c r="O1051" s="357"/>
      <c r="P1051" s="357"/>
      <c r="Q1051" s="390"/>
      <c r="R1051" s="390"/>
      <c r="S1051" s="657"/>
      <c r="T1051" s="357"/>
      <c r="U1051" s="657"/>
      <c r="V1051" s="657">
        <f>+U1051-'ROR-Model'!G1070</f>
        <v>0</v>
      </c>
    </row>
    <row r="1052" spans="1:22">
      <c r="A1052" s="662" t="s">
        <v>254</v>
      </c>
      <c r="B1052" s="662" t="s">
        <v>255</v>
      </c>
      <c r="C1052" s="662"/>
      <c r="D1052" s="662"/>
      <c r="E1052" s="656"/>
      <c r="F1052" s="357"/>
      <c r="G1052" s="357"/>
      <c r="H1052" s="357"/>
      <c r="I1052" s="357"/>
      <c r="J1052" s="390"/>
      <c r="K1052" s="390"/>
      <c r="L1052" s="357"/>
      <c r="M1052" s="357"/>
      <c r="N1052" s="357"/>
      <c r="O1052" s="357"/>
      <c r="P1052" s="357"/>
      <c r="Q1052" s="390"/>
      <c r="R1052" s="390"/>
      <c r="S1052" s="657"/>
      <c r="T1052" s="357"/>
      <c r="U1052" s="657"/>
      <c r="V1052" s="657">
        <f>+U1052-'ROR-Model'!G1071</f>
        <v>0</v>
      </c>
    </row>
    <row r="1053" spans="1:22">
      <c r="A1053" s="662"/>
      <c r="B1053" s="662"/>
      <c r="C1053" s="662" t="s">
        <v>581</v>
      </c>
      <c r="D1053" s="662"/>
      <c r="E1053" s="656"/>
      <c r="F1053" s="357">
        <f>'Rate Base'!$AD$121*$F$1</f>
        <v>0</v>
      </c>
      <c r="G1053" s="357"/>
      <c r="H1053" s="357"/>
      <c r="I1053" s="357"/>
      <c r="J1053" s="390"/>
      <c r="K1053" s="390"/>
      <c r="L1053" s="357"/>
      <c r="M1053" s="357"/>
      <c r="N1053" s="357"/>
      <c r="O1053" s="357"/>
      <c r="P1053" s="357"/>
      <c r="Q1053" s="390"/>
      <c r="R1053" s="390"/>
      <c r="S1053" s="657">
        <f>SUM(F1053:R1053)</f>
        <v>0</v>
      </c>
      <c r="T1053" s="357"/>
      <c r="U1053" s="657">
        <f>SUM(S1053:S1053)</f>
        <v>0</v>
      </c>
      <c r="V1053" s="657">
        <f>+U1053-'ROR-Model'!G1072</f>
        <v>0</v>
      </c>
    </row>
    <row r="1054" spans="1:22">
      <c r="A1054" s="662"/>
      <c r="B1054" s="662"/>
      <c r="C1054" s="662" t="s">
        <v>582</v>
      </c>
      <c r="D1054" s="662"/>
      <c r="E1054" s="656"/>
      <c r="F1054" s="357">
        <f>'Rate Base'!$AD$122*$F$1</f>
        <v>0</v>
      </c>
      <c r="G1054" s="357"/>
      <c r="H1054" s="357"/>
      <c r="I1054" s="357"/>
      <c r="J1054" s="390"/>
      <c r="K1054" s="390"/>
      <c r="L1054" s="357"/>
      <c r="M1054" s="357"/>
      <c r="N1054" s="357"/>
      <c r="O1054" s="357"/>
      <c r="P1054" s="357"/>
      <c r="Q1054" s="390"/>
      <c r="R1054" s="390"/>
      <c r="S1054" s="657">
        <f>SUM(F1054:R1054)</f>
        <v>0</v>
      </c>
      <c r="T1054" s="357"/>
      <c r="U1054" s="657">
        <f>SUM(S1054:S1054)</f>
        <v>0</v>
      </c>
      <c r="V1054" s="657">
        <f>+U1054-'ROR-Model'!G1073</f>
        <v>0</v>
      </c>
    </row>
    <row r="1055" spans="1:22">
      <c r="A1055" s="662"/>
      <c r="B1055" s="662"/>
      <c r="C1055" s="662" t="s">
        <v>584</v>
      </c>
      <c r="D1055" s="662"/>
      <c r="E1055" s="656"/>
      <c r="F1055" s="357">
        <f>'Rate Base'!$AD$123*$F$1</f>
        <v>0</v>
      </c>
      <c r="G1055" s="357"/>
      <c r="H1055" s="357"/>
      <c r="I1055" s="357"/>
      <c r="J1055" s="390"/>
      <c r="K1055" s="390"/>
      <c r="L1055" s="357"/>
      <c r="M1055" s="357"/>
      <c r="N1055" s="357"/>
      <c r="O1055" s="357"/>
      <c r="P1055" s="357"/>
      <c r="Q1055" s="390"/>
      <c r="R1055" s="390"/>
      <c r="S1055" s="657">
        <f>SUM(F1055:R1055)</f>
        <v>0</v>
      </c>
      <c r="T1055" s="357"/>
      <c r="U1055" s="657">
        <f>SUM(S1055:S1055)</f>
        <v>0</v>
      </c>
      <c r="V1055" s="657">
        <f>+U1055-'ROR-Model'!G1074</f>
        <v>0</v>
      </c>
    </row>
    <row r="1056" spans="1:22">
      <c r="A1056" s="662"/>
      <c r="B1056" s="662"/>
      <c r="C1056" s="662" t="s">
        <v>160</v>
      </c>
      <c r="D1056" s="662"/>
      <c r="E1056" s="656"/>
      <c r="F1056" s="357">
        <f>'Rate Base'!$AD$124*$F$1</f>
        <v>0</v>
      </c>
      <c r="G1056" s="357"/>
      <c r="H1056" s="357"/>
      <c r="I1056" s="357"/>
      <c r="J1056" s="390"/>
      <c r="K1056" s="390"/>
      <c r="L1056" s="357"/>
      <c r="M1056" s="357"/>
      <c r="N1056" s="357"/>
      <c r="O1056" s="357"/>
      <c r="P1056" s="357"/>
      <c r="Q1056" s="390"/>
      <c r="R1056" s="390"/>
      <c r="S1056" s="657">
        <f>SUM(F1056:R1056)</f>
        <v>0</v>
      </c>
      <c r="T1056" s="357"/>
      <c r="U1056" s="657">
        <f>SUM(S1056:S1056)</f>
        <v>0</v>
      </c>
      <c r="V1056" s="657">
        <f>+U1056-'ROR-Model'!G1075</f>
        <v>0</v>
      </c>
    </row>
    <row r="1057" spans="1:22">
      <c r="A1057" s="662"/>
      <c r="B1057" s="662"/>
      <c r="C1057" s="662"/>
      <c r="D1057" s="662"/>
      <c r="E1057" s="656"/>
      <c r="F1057" s="357"/>
      <c r="G1057" s="357"/>
      <c r="H1057" s="357"/>
      <c r="I1057" s="357"/>
      <c r="J1057" s="390"/>
      <c r="K1057" s="390"/>
      <c r="L1057" s="357"/>
      <c r="M1057" s="357"/>
      <c r="N1057" s="357"/>
      <c r="O1057" s="357"/>
      <c r="P1057" s="357"/>
      <c r="Q1057" s="390"/>
      <c r="R1057" s="390"/>
      <c r="S1057" s="657"/>
      <c r="T1057" s="357"/>
      <c r="U1057" s="657"/>
      <c r="V1057" s="657">
        <f>+U1057-'ROR-Model'!G1076</f>
        <v>0</v>
      </c>
    </row>
    <row r="1058" spans="1:22">
      <c r="A1058" s="662" t="s">
        <v>256</v>
      </c>
      <c r="B1058" s="662" t="s">
        <v>257</v>
      </c>
      <c r="C1058" s="662"/>
      <c r="D1058" s="662"/>
      <c r="E1058" s="656"/>
      <c r="F1058" s="357"/>
      <c r="G1058" s="357"/>
      <c r="H1058" s="357"/>
      <c r="I1058" s="357"/>
      <c r="J1058" s="390"/>
      <c r="K1058" s="390"/>
      <c r="L1058" s="357"/>
      <c r="M1058" s="357"/>
      <c r="N1058" s="357"/>
      <c r="O1058" s="357"/>
      <c r="P1058" s="357"/>
      <c r="Q1058" s="390"/>
      <c r="R1058" s="390"/>
      <c r="S1058" s="657"/>
      <c r="T1058" s="357"/>
      <c r="U1058" s="657"/>
      <c r="V1058" s="657">
        <f>+U1058-'ROR-Model'!G1077</f>
        <v>0</v>
      </c>
    </row>
    <row r="1059" spans="1:22">
      <c r="A1059" s="662"/>
      <c r="B1059" s="662"/>
      <c r="C1059" s="662" t="s">
        <v>581</v>
      </c>
      <c r="D1059" s="662"/>
      <c r="E1059" s="656"/>
      <c r="F1059" s="357">
        <f>'Rate Base'!$AD$127*$F$1</f>
        <v>-55847.131666666828</v>
      </c>
      <c r="G1059" s="357"/>
      <c r="H1059" s="357"/>
      <c r="I1059" s="357"/>
      <c r="J1059" s="390"/>
      <c r="K1059" s="390"/>
      <c r="L1059" s="357"/>
      <c r="M1059" s="357"/>
      <c r="N1059" s="357"/>
      <c r="O1059" s="357"/>
      <c r="P1059" s="357"/>
      <c r="Q1059" s="390"/>
      <c r="R1059" s="390"/>
      <c r="S1059" s="657">
        <f>SUM(F1059:R1059)</f>
        <v>-55847.131666666828</v>
      </c>
      <c r="T1059" s="357"/>
      <c r="U1059" s="657">
        <f>SUM(S1059:S1059)</f>
        <v>-55847.131666666828</v>
      </c>
      <c r="V1059" s="657">
        <f>+U1059-'ROR-Model'!G1078</f>
        <v>0</v>
      </c>
    </row>
    <row r="1060" spans="1:22">
      <c r="A1060" s="662"/>
      <c r="B1060" s="662"/>
      <c r="C1060" s="662" t="s">
        <v>582</v>
      </c>
      <c r="D1060" s="662"/>
      <c r="E1060" s="656"/>
      <c r="F1060" s="357">
        <f>'Rate Base'!$AD$128*$F$1</f>
        <v>83917.990833330899</v>
      </c>
      <c r="G1060" s="357"/>
      <c r="H1060" s="357"/>
      <c r="I1060" s="357"/>
      <c r="J1060" s="390"/>
      <c r="K1060" s="390"/>
      <c r="L1060" s="357"/>
      <c r="M1060" s="357"/>
      <c r="N1060" s="357"/>
      <c r="O1060" s="357"/>
      <c r="P1060" s="357"/>
      <c r="Q1060" s="390"/>
      <c r="R1060" s="390"/>
      <c r="S1060" s="657">
        <f>SUM(F1060:R1060)</f>
        <v>83917.990833330899</v>
      </c>
      <c r="T1060" s="357"/>
      <c r="U1060" s="657">
        <f>SUM(S1060:S1060)</f>
        <v>83917.990833330899</v>
      </c>
      <c r="V1060" s="657">
        <f>+U1060-'ROR-Model'!G1079</f>
        <v>0</v>
      </c>
    </row>
    <row r="1061" spans="1:22">
      <c r="A1061" s="662"/>
      <c r="B1061" s="662"/>
      <c r="C1061" s="662" t="s">
        <v>584</v>
      </c>
      <c r="D1061" s="662"/>
      <c r="E1061" s="656"/>
      <c r="F1061" s="357">
        <f>'Rate Base'!$AD$129*$F$1</f>
        <v>0</v>
      </c>
      <c r="G1061" s="357"/>
      <c r="H1061" s="357"/>
      <c r="I1061" s="357"/>
      <c r="J1061" s="390"/>
      <c r="K1061" s="390"/>
      <c r="L1061" s="357"/>
      <c r="M1061" s="357"/>
      <c r="N1061" s="357"/>
      <c r="O1061" s="357"/>
      <c r="P1061" s="357"/>
      <c r="Q1061" s="390"/>
      <c r="R1061" s="390"/>
      <c r="S1061" s="657">
        <f>SUM(F1061:R1061)</f>
        <v>0</v>
      </c>
      <c r="T1061" s="357"/>
      <c r="U1061" s="657">
        <f>SUM(S1061:S1061)</f>
        <v>0</v>
      </c>
      <c r="V1061" s="657">
        <f>+U1061-'ROR-Model'!G1080</f>
        <v>0</v>
      </c>
    </row>
    <row r="1062" spans="1:22">
      <c r="A1062" s="662"/>
      <c r="B1062" s="662"/>
      <c r="C1062" s="662" t="s">
        <v>160</v>
      </c>
      <c r="D1062" s="662"/>
      <c r="E1062" s="656"/>
      <c r="F1062" s="357">
        <f>'Rate Base'!$AD$130*$F$1</f>
        <v>28070.85916666314</v>
      </c>
      <c r="G1062" s="357"/>
      <c r="H1062" s="357"/>
      <c r="I1062" s="357"/>
      <c r="J1062" s="390"/>
      <c r="K1062" s="390"/>
      <c r="L1062" s="357"/>
      <c r="M1062" s="357"/>
      <c r="N1062" s="357"/>
      <c r="O1062" s="357"/>
      <c r="P1062" s="357"/>
      <c r="Q1062" s="390"/>
      <c r="R1062" s="390"/>
      <c r="S1062" s="657">
        <f>SUM(F1062:R1062)</f>
        <v>28070.85916666314</v>
      </c>
      <c r="T1062" s="357"/>
      <c r="U1062" s="657">
        <f>SUM(S1062:S1062)</f>
        <v>28070.85916666314</v>
      </c>
      <c r="V1062" s="657">
        <f>+U1062-'ROR-Model'!G1081</f>
        <v>0</v>
      </c>
    </row>
    <row r="1063" spans="1:22">
      <c r="A1063" s="662"/>
      <c r="B1063" s="662"/>
      <c r="C1063" s="662"/>
      <c r="D1063" s="662"/>
      <c r="E1063" s="656"/>
      <c r="F1063" s="357"/>
      <c r="G1063" s="357"/>
      <c r="H1063" s="357"/>
      <c r="I1063" s="357"/>
      <c r="J1063" s="390"/>
      <c r="K1063" s="390"/>
      <c r="L1063" s="357"/>
      <c r="M1063" s="357"/>
      <c r="N1063" s="357"/>
      <c r="O1063" s="357"/>
      <c r="P1063" s="357"/>
      <c r="Q1063" s="390"/>
      <c r="R1063" s="390"/>
      <c r="S1063" s="657"/>
      <c r="T1063" s="357"/>
      <c r="U1063" s="657"/>
      <c r="V1063" s="657">
        <f>+U1063-'ROR-Model'!G1082</f>
        <v>0</v>
      </c>
    </row>
    <row r="1064" spans="1:22">
      <c r="A1064" s="662" t="s">
        <v>258</v>
      </c>
      <c r="B1064" s="662" t="s">
        <v>259</v>
      </c>
      <c r="C1064" s="662"/>
      <c r="D1064" s="662"/>
      <c r="E1064" s="656"/>
      <c r="F1064" s="357"/>
      <c r="G1064" s="357"/>
      <c r="H1064" s="357"/>
      <c r="I1064" s="357"/>
      <c r="J1064" s="390"/>
      <c r="K1064" s="390"/>
      <c r="L1064" s="357"/>
      <c r="M1064" s="357"/>
      <c r="N1064" s="357"/>
      <c r="O1064" s="357"/>
      <c r="P1064" s="357"/>
      <c r="Q1064" s="390"/>
      <c r="R1064" s="390"/>
      <c r="S1064" s="657"/>
      <c r="T1064" s="357"/>
      <c r="U1064" s="657"/>
      <c r="V1064" s="657">
        <f>+U1064-'ROR-Model'!G1083</f>
        <v>0</v>
      </c>
    </row>
    <row r="1065" spans="1:22">
      <c r="A1065" s="662"/>
      <c r="B1065" s="662"/>
      <c r="C1065" s="662" t="s">
        <v>581</v>
      </c>
      <c r="D1065" s="662"/>
      <c r="E1065" s="656"/>
      <c r="F1065" s="357">
        <f>'Rate Base'!$AD$133*$F$1</f>
        <v>-15813.638750000144</v>
      </c>
      <c r="G1065" s="357"/>
      <c r="H1065" s="357"/>
      <c r="I1065" s="357"/>
      <c r="J1065" s="390"/>
      <c r="K1065" s="390"/>
      <c r="L1065" s="357"/>
      <c r="M1065" s="357"/>
      <c r="N1065" s="357"/>
      <c r="O1065" s="357"/>
      <c r="P1065" s="357"/>
      <c r="Q1065" s="390"/>
      <c r="R1065" s="390"/>
      <c r="S1065" s="657">
        <f>SUM(F1065:R1065)</f>
        <v>-15813.638750000144</v>
      </c>
      <c r="T1065" s="357"/>
      <c r="U1065" s="657">
        <f>SUM(S1065:S1065)</f>
        <v>-15813.638750000144</v>
      </c>
      <c r="V1065" s="657">
        <f>+U1065-'ROR-Model'!G1084</f>
        <v>0</v>
      </c>
    </row>
    <row r="1066" spans="1:22">
      <c r="A1066" s="662"/>
      <c r="B1066" s="662"/>
      <c r="C1066" s="662" t="s">
        <v>582</v>
      </c>
      <c r="D1066" s="662"/>
      <c r="E1066" s="656"/>
      <c r="F1066" s="357">
        <f>'Rate Base'!$AD$134*$F$1</f>
        <v>-40374.574583332986</v>
      </c>
      <c r="G1066" s="357"/>
      <c r="H1066" s="357"/>
      <c r="I1066" s="357"/>
      <c r="J1066" s="390"/>
      <c r="K1066" s="390"/>
      <c r="L1066" s="357"/>
      <c r="M1066" s="357"/>
      <c r="N1066" s="357"/>
      <c r="O1066" s="357"/>
      <c r="P1066" s="357"/>
      <c r="Q1066" s="390"/>
      <c r="R1066" s="390"/>
      <c r="S1066" s="657">
        <f>SUM(F1066:R1066)</f>
        <v>-40374.574583332986</v>
      </c>
      <c r="T1066" s="357"/>
      <c r="U1066" s="657">
        <f>SUM(S1066:S1066)</f>
        <v>-40374.574583332986</v>
      </c>
      <c r="V1066" s="657">
        <f>+U1066-'ROR-Model'!G1085</f>
        <v>0</v>
      </c>
    </row>
    <row r="1067" spans="1:22">
      <c r="A1067" s="662"/>
      <c r="B1067" s="662"/>
      <c r="C1067" s="662" t="s">
        <v>160</v>
      </c>
      <c r="D1067" s="662"/>
      <c r="E1067" s="656"/>
      <c r="F1067" s="357">
        <f>'Rate Base'!$AD$135*$F$1</f>
        <v>-56188.213333334774</v>
      </c>
      <c r="G1067" s="357"/>
      <c r="H1067" s="357"/>
      <c r="I1067" s="357"/>
      <c r="J1067" s="390"/>
      <c r="K1067" s="390"/>
      <c r="L1067" s="357"/>
      <c r="M1067" s="357"/>
      <c r="N1067" s="357"/>
      <c r="O1067" s="357"/>
      <c r="P1067" s="357"/>
      <c r="Q1067" s="390"/>
      <c r="R1067" s="390"/>
      <c r="S1067" s="657">
        <f>SUM(F1067:R1067)</f>
        <v>-56188.213333334774</v>
      </c>
      <c r="T1067" s="357"/>
      <c r="U1067" s="657">
        <f>SUM(S1067:S1067)</f>
        <v>-56188.213333334774</v>
      </c>
      <c r="V1067" s="657">
        <f>+U1067-'ROR-Model'!G1086</f>
        <v>0</v>
      </c>
    </row>
    <row r="1068" spans="1:22">
      <c r="A1068" s="662"/>
      <c r="B1068" s="662"/>
      <c r="C1068" s="662"/>
      <c r="D1068" s="662"/>
      <c r="E1068" s="656"/>
      <c r="F1068" s="357"/>
      <c r="G1068" s="357"/>
      <c r="H1068" s="357"/>
      <c r="I1068" s="357"/>
      <c r="J1068" s="390"/>
      <c r="K1068" s="390"/>
      <c r="L1068" s="357"/>
      <c r="M1068" s="357"/>
      <c r="N1068" s="357"/>
      <c r="O1068" s="357"/>
      <c r="P1068" s="357"/>
      <c r="Q1068" s="390"/>
      <c r="R1068" s="390"/>
      <c r="S1068" s="657"/>
      <c r="T1068" s="357"/>
      <c r="U1068" s="657"/>
      <c r="V1068" s="657">
        <f>+U1068-'ROR-Model'!G1087</f>
        <v>0</v>
      </c>
    </row>
    <row r="1069" spans="1:22">
      <c r="A1069" s="662" t="s">
        <v>260</v>
      </c>
      <c r="B1069" s="662" t="s">
        <v>261</v>
      </c>
      <c r="C1069" s="662"/>
      <c r="D1069" s="662"/>
      <c r="E1069" s="656"/>
      <c r="F1069" s="357"/>
      <c r="G1069" s="357"/>
      <c r="H1069" s="357"/>
      <c r="I1069" s="357"/>
      <c r="J1069" s="390"/>
      <c r="K1069" s="390"/>
      <c r="L1069" s="357"/>
      <c r="M1069" s="357"/>
      <c r="N1069" s="357"/>
      <c r="O1069" s="357"/>
      <c r="P1069" s="357"/>
      <c r="Q1069" s="390"/>
      <c r="R1069" s="390"/>
      <c r="S1069" s="657"/>
      <c r="T1069" s="357"/>
      <c r="U1069" s="657"/>
      <c r="V1069" s="657">
        <f>+U1069-'ROR-Model'!G1088</f>
        <v>0</v>
      </c>
    </row>
    <row r="1070" spans="1:22">
      <c r="A1070" s="662"/>
      <c r="B1070" s="662"/>
      <c r="C1070" s="662" t="s">
        <v>581</v>
      </c>
      <c r="D1070" s="662"/>
      <c r="E1070" s="656"/>
      <c r="F1070" s="357">
        <f>'Rate Base'!$AD$138*$F$1</f>
        <v>0</v>
      </c>
      <c r="G1070" s="357"/>
      <c r="H1070" s="357"/>
      <c r="I1070" s="357"/>
      <c r="J1070" s="390"/>
      <c r="K1070" s="390"/>
      <c r="L1070" s="357"/>
      <c r="M1070" s="357"/>
      <c r="N1070" s="357"/>
      <c r="O1070" s="357"/>
      <c r="P1070" s="357"/>
      <c r="Q1070" s="390"/>
      <c r="R1070" s="390"/>
      <c r="S1070" s="657">
        <f>SUM(F1070:R1070)</f>
        <v>0</v>
      </c>
      <c r="T1070" s="357"/>
      <c r="U1070" s="657">
        <f>SUM(S1070:S1070)</f>
        <v>0</v>
      </c>
      <c r="V1070" s="657">
        <f>+U1070-'ROR-Model'!G1089</f>
        <v>0</v>
      </c>
    </row>
    <row r="1071" spans="1:22">
      <c r="A1071" s="662"/>
      <c r="B1071" s="662"/>
      <c r="C1071" s="662" t="s">
        <v>582</v>
      </c>
      <c r="D1071" s="662"/>
      <c r="E1071" s="656"/>
      <c r="F1071" s="357">
        <f>'Rate Base'!$AD$139*$F$1</f>
        <v>3143.0395833333023</v>
      </c>
      <c r="G1071" s="357"/>
      <c r="H1071" s="357"/>
      <c r="I1071" s="357"/>
      <c r="J1071" s="390"/>
      <c r="K1071" s="390"/>
      <c r="L1071" s="357"/>
      <c r="M1071" s="357"/>
      <c r="N1071" s="357"/>
      <c r="O1071" s="357"/>
      <c r="P1071" s="357"/>
      <c r="Q1071" s="390"/>
      <c r="R1071" s="390"/>
      <c r="S1071" s="657">
        <f>SUM(F1071:R1071)</f>
        <v>3143.0395833333023</v>
      </c>
      <c r="T1071" s="357"/>
      <c r="U1071" s="657">
        <f>SUM(S1071:S1071)</f>
        <v>3143.0395833333023</v>
      </c>
      <c r="V1071" s="657">
        <f>+U1071-'ROR-Model'!G1090</f>
        <v>0</v>
      </c>
    </row>
    <row r="1072" spans="1:22">
      <c r="A1072" s="662"/>
      <c r="B1072" s="662"/>
      <c r="C1072" s="662" t="s">
        <v>584</v>
      </c>
      <c r="D1072" s="662"/>
      <c r="E1072" s="656"/>
      <c r="F1072" s="357">
        <f>'Rate Base'!$AD$140*$F$1</f>
        <v>0</v>
      </c>
      <c r="G1072" s="357"/>
      <c r="H1072" s="357"/>
      <c r="I1072" s="357"/>
      <c r="J1072" s="390"/>
      <c r="K1072" s="390"/>
      <c r="L1072" s="357"/>
      <c r="M1072" s="357"/>
      <c r="N1072" s="357"/>
      <c r="O1072" s="357"/>
      <c r="P1072" s="357"/>
      <c r="Q1072" s="390"/>
      <c r="R1072" s="390"/>
      <c r="S1072" s="657">
        <f>SUM(F1072:R1072)</f>
        <v>0</v>
      </c>
      <c r="T1072" s="357"/>
      <c r="U1072" s="657">
        <f>SUM(S1072:S1072)</f>
        <v>0</v>
      </c>
      <c r="V1072" s="657">
        <f>+U1072-'ROR-Model'!G1091</f>
        <v>0</v>
      </c>
    </row>
    <row r="1073" spans="1:22">
      <c r="A1073" s="662"/>
      <c r="B1073" s="662"/>
      <c r="C1073" s="662" t="s">
        <v>160</v>
      </c>
      <c r="D1073" s="662"/>
      <c r="E1073" s="656"/>
      <c r="F1073" s="357">
        <f>'Rate Base'!$AD$141*$F$1</f>
        <v>3143.0395833333023</v>
      </c>
      <c r="G1073" s="357"/>
      <c r="H1073" s="357"/>
      <c r="I1073" s="357"/>
      <c r="J1073" s="390"/>
      <c r="K1073" s="390"/>
      <c r="L1073" s="357"/>
      <c r="M1073" s="357"/>
      <c r="N1073" s="357"/>
      <c r="O1073" s="357"/>
      <c r="P1073" s="357"/>
      <c r="Q1073" s="390"/>
      <c r="R1073" s="390"/>
      <c r="S1073" s="657">
        <f>SUM(F1073:R1073)</f>
        <v>3143.0395833333023</v>
      </c>
      <c r="T1073" s="357"/>
      <c r="U1073" s="657">
        <f>SUM(S1073:S1073)</f>
        <v>3143.0395833333023</v>
      </c>
      <c r="V1073" s="657">
        <f>+U1073-'ROR-Model'!G1092</f>
        <v>0</v>
      </c>
    </row>
    <row r="1074" spans="1:22">
      <c r="A1074" s="662"/>
      <c r="B1074" s="662"/>
      <c r="C1074" s="662"/>
      <c r="D1074" s="662"/>
      <c r="E1074" s="656"/>
      <c r="F1074" s="357"/>
      <c r="G1074" s="357"/>
      <c r="H1074" s="357"/>
      <c r="I1074" s="357"/>
      <c r="J1074" s="390"/>
      <c r="K1074" s="390"/>
      <c r="L1074" s="357"/>
      <c r="M1074" s="357"/>
      <c r="N1074" s="357"/>
      <c r="O1074" s="357"/>
      <c r="P1074" s="357"/>
      <c r="Q1074" s="390"/>
      <c r="R1074" s="390"/>
      <c r="S1074" s="657"/>
      <c r="T1074" s="357"/>
      <c r="U1074" s="657"/>
      <c r="V1074" s="657">
        <f>+U1074-'ROR-Model'!G1093</f>
        <v>0</v>
      </c>
    </row>
    <row r="1075" spans="1:22">
      <c r="A1075" s="662"/>
      <c r="B1075" s="662" t="s">
        <v>262</v>
      </c>
      <c r="C1075" s="662"/>
      <c r="D1075" s="662"/>
      <c r="E1075" s="656"/>
      <c r="F1075" s="357">
        <f>(F1073+F1067+F1062+F1056+F1050+F1044+F1039+F1033+F1027+F1021)*F1</f>
        <v>2138879.1266666506</v>
      </c>
      <c r="G1075" s="357">
        <f t="shared" ref="G1075:R1075" si="205">(G1073+G1067+G1062+G1056+G1050+G1044+G1039+G1033+G1027+G1021)*G1</f>
        <v>0</v>
      </c>
      <c r="H1075" s="357">
        <f t="shared" si="205"/>
        <v>0</v>
      </c>
      <c r="I1075" s="357">
        <f t="shared" si="205"/>
        <v>0</v>
      </c>
      <c r="J1075" s="357">
        <f>(J1073+J1067+J1062+J1056+J1050+J1044+J1039+J1033+J1027+J1021)*J1</f>
        <v>0</v>
      </c>
      <c r="K1075" s="357">
        <f t="shared" ref="K1075" si="206">(K1073+K1067+K1062+K1056+K1050+K1044+K1039+K1033+K1027+K1021)*K1</f>
        <v>0</v>
      </c>
      <c r="L1075" s="357">
        <f t="shared" si="205"/>
        <v>0</v>
      </c>
      <c r="M1075" s="357">
        <f t="shared" si="205"/>
        <v>0</v>
      </c>
      <c r="N1075" s="357">
        <f t="shared" si="205"/>
        <v>0</v>
      </c>
      <c r="O1075" s="357">
        <f t="shared" si="205"/>
        <v>0</v>
      </c>
      <c r="P1075" s="357">
        <f t="shared" si="205"/>
        <v>0</v>
      </c>
      <c r="Q1075" s="357">
        <f t="shared" si="205"/>
        <v>0</v>
      </c>
      <c r="R1075" s="357">
        <f t="shared" si="205"/>
        <v>0</v>
      </c>
      <c r="S1075" s="657">
        <f>SUM(F1075:R1075)</f>
        <v>2138879.1266666506</v>
      </c>
      <c r="T1075" s="357"/>
      <c r="U1075" s="657">
        <f>SUM(S1075:S1075)</f>
        <v>2138879.1266666506</v>
      </c>
      <c r="V1075" s="657">
        <f>+U1075-'ROR-Model'!G1094</f>
        <v>0</v>
      </c>
    </row>
    <row r="1076" spans="1:22">
      <c r="A1076" s="660"/>
      <c r="B1076" s="659"/>
      <c r="C1076" s="659"/>
      <c r="D1076" s="659"/>
      <c r="E1076" s="656"/>
      <c r="F1076" s="357"/>
      <c r="G1076" s="357"/>
      <c r="H1076" s="357"/>
      <c r="I1076" s="357"/>
      <c r="J1076" s="390"/>
      <c r="K1076" s="390"/>
      <c r="L1076" s="357"/>
      <c r="M1076" s="357"/>
      <c r="N1076" s="357"/>
      <c r="O1076" s="357"/>
      <c r="P1076" s="357"/>
      <c r="Q1076" s="390"/>
      <c r="R1076" s="390"/>
      <c r="S1076" s="657"/>
      <c r="T1076" s="357"/>
      <c r="U1076" s="657"/>
      <c r="V1076" s="657">
        <f>+U1076-'ROR-Model'!G1095</f>
        <v>0</v>
      </c>
    </row>
    <row r="1077" spans="1:22">
      <c r="A1077" s="668">
        <v>101</v>
      </c>
      <c r="B1077" s="323" t="s">
        <v>648</v>
      </c>
      <c r="C1077" s="659"/>
      <c r="D1077" s="659"/>
      <c r="E1077" s="656"/>
      <c r="F1077" s="357"/>
      <c r="G1077" s="357"/>
      <c r="H1077" s="357"/>
      <c r="I1077" s="357"/>
      <c r="J1077" s="390"/>
      <c r="K1077" s="390"/>
      <c r="L1077" s="357"/>
      <c r="M1077" s="357"/>
      <c r="N1077" s="357"/>
      <c r="O1077" s="357"/>
      <c r="P1077" s="357"/>
      <c r="Q1077" s="390"/>
      <c r="R1077" s="390"/>
      <c r="S1077" s="657"/>
      <c r="T1077" s="357"/>
      <c r="U1077" s="657"/>
      <c r="V1077" s="657">
        <f>+U1077-'ROR-Model'!G1096</f>
        <v>0</v>
      </c>
    </row>
    <row r="1078" spans="1:22">
      <c r="A1078" s="668"/>
      <c r="B1078" s="659"/>
      <c r="C1078" s="659" t="s">
        <v>427</v>
      </c>
      <c r="D1078" s="659"/>
      <c r="E1078" s="656"/>
      <c r="F1078" s="357">
        <f t="shared" ref="F1078:R1078" si="207">+F964*F1</f>
        <v>0</v>
      </c>
      <c r="G1078" s="357">
        <f t="shared" si="207"/>
        <v>0</v>
      </c>
      <c r="H1078" s="357">
        <f t="shared" si="207"/>
        <v>0</v>
      </c>
      <c r="I1078" s="357">
        <f t="shared" si="207"/>
        <v>-5037992.5680000009</v>
      </c>
      <c r="J1078" s="357">
        <f>+J964*J1</f>
        <v>0</v>
      </c>
      <c r="K1078" s="357">
        <f t="shared" ref="K1078" si="208">+K964*K1</f>
        <v>0</v>
      </c>
      <c r="L1078" s="357">
        <f t="shared" si="207"/>
        <v>0</v>
      </c>
      <c r="M1078" s="357">
        <f t="shared" si="207"/>
        <v>0</v>
      </c>
      <c r="N1078" s="357">
        <f t="shared" si="207"/>
        <v>0</v>
      </c>
      <c r="O1078" s="357">
        <f t="shared" si="207"/>
        <v>0</v>
      </c>
      <c r="P1078" s="357">
        <f t="shared" si="207"/>
        <v>0</v>
      </c>
      <c r="Q1078" s="357">
        <f t="shared" si="207"/>
        <v>0</v>
      </c>
      <c r="R1078" s="357">
        <f t="shared" si="207"/>
        <v>0</v>
      </c>
      <c r="S1078" s="657">
        <f>SUM(F1078:R1078)</f>
        <v>-5037992.5680000009</v>
      </c>
      <c r="T1078" s="357"/>
      <c r="U1078" s="657">
        <f>SUM(S1078:S1078)</f>
        <v>-5037992.5680000009</v>
      </c>
      <c r="V1078" s="657">
        <f>+U1078-'ROR-Model'!G1098</f>
        <v>0</v>
      </c>
    </row>
    <row r="1079" spans="1:22">
      <c r="A1079" s="668"/>
      <c r="B1079" s="659"/>
      <c r="C1079" s="659" t="s">
        <v>581</v>
      </c>
      <c r="D1079" s="659"/>
      <c r="E1079" s="656"/>
      <c r="F1079" s="357">
        <f t="shared" ref="F1079:R1079" si="209">(+F950+F968+F973+F981+F989+F994+F999+F1004+F1009+F1014)*F1</f>
        <v>-3501427.2265000017</v>
      </c>
      <c r="G1079" s="357">
        <f t="shared" si="209"/>
        <v>0</v>
      </c>
      <c r="H1079" s="357">
        <f t="shared" si="209"/>
        <v>0</v>
      </c>
      <c r="I1079" s="357">
        <f t="shared" si="209"/>
        <v>0</v>
      </c>
      <c r="J1079" s="357">
        <f>(+J950+J968+J973+J981+J989+J994+J999+J1004+J1009+J1014)*J1</f>
        <v>0</v>
      </c>
      <c r="K1079" s="357">
        <f t="shared" ref="K1079" si="210">(+K950+K968+K973+K981+K989+K994+K999+K1004+K1009+K1014)*K1</f>
        <v>0</v>
      </c>
      <c r="L1079" s="357">
        <f t="shared" si="209"/>
        <v>0</v>
      </c>
      <c r="M1079" s="357">
        <f t="shared" si="209"/>
        <v>0</v>
      </c>
      <c r="N1079" s="357">
        <f t="shared" si="209"/>
        <v>0</v>
      </c>
      <c r="O1079" s="357">
        <f t="shared" si="209"/>
        <v>0</v>
      </c>
      <c r="P1079" s="357">
        <f t="shared" si="209"/>
        <v>0</v>
      </c>
      <c r="Q1079" s="357">
        <f t="shared" si="209"/>
        <v>0</v>
      </c>
      <c r="R1079" s="357">
        <f t="shared" si="209"/>
        <v>0</v>
      </c>
      <c r="S1079" s="657">
        <f>SUM(F1079:R1079)</f>
        <v>-3501427.2265000017</v>
      </c>
      <c r="T1079" s="357"/>
      <c r="U1079" s="657">
        <f>SUM(S1079:S1079)</f>
        <v>-3501427.2265000017</v>
      </c>
      <c r="V1079" s="657">
        <f>+U1079-'ROR-Model'!G1099</f>
        <v>0</v>
      </c>
    </row>
    <row r="1080" spans="1:22">
      <c r="A1080" s="668"/>
      <c r="B1080" s="659"/>
      <c r="C1080" s="659" t="s">
        <v>582</v>
      </c>
      <c r="D1080" s="659"/>
      <c r="E1080" s="656"/>
      <c r="F1080" s="357">
        <f t="shared" ref="F1080:R1080" si="211">(+F951+F969+F974+F985+F990+F995+F1000+F1005+F1010+F1015)*F1</f>
        <v>-91727287.090166748</v>
      </c>
      <c r="G1080" s="357">
        <f t="shared" si="211"/>
        <v>0</v>
      </c>
      <c r="H1080" s="357">
        <f t="shared" si="211"/>
        <v>0</v>
      </c>
      <c r="I1080" s="357">
        <f t="shared" si="211"/>
        <v>0</v>
      </c>
      <c r="J1080" s="357">
        <f>(+J951+J969+J974+J985+J990+J995+J1000+J1005+J1010+J1015)*J1</f>
        <v>0</v>
      </c>
      <c r="K1080" s="357">
        <f t="shared" ref="K1080" si="212">(+K951+K969+K974+K985+K990+K995+K1000+K1005+K1010+K1015)*K1</f>
        <v>0</v>
      </c>
      <c r="L1080" s="357">
        <f t="shared" si="211"/>
        <v>0</v>
      </c>
      <c r="M1080" s="357">
        <f t="shared" si="211"/>
        <v>0</v>
      </c>
      <c r="N1080" s="357">
        <f t="shared" si="211"/>
        <v>0</v>
      </c>
      <c r="O1080" s="357">
        <f t="shared" si="211"/>
        <v>0</v>
      </c>
      <c r="P1080" s="357">
        <f t="shared" si="211"/>
        <v>0</v>
      </c>
      <c r="Q1080" s="357">
        <f t="shared" si="211"/>
        <v>0</v>
      </c>
      <c r="R1080" s="357">
        <f t="shared" si="211"/>
        <v>0</v>
      </c>
      <c r="S1080" s="657">
        <f>SUM(F1080:R1080)</f>
        <v>-91727287.090166748</v>
      </c>
      <c r="T1080" s="357"/>
      <c r="U1080" s="657">
        <f>SUM(S1080:S1080)</f>
        <v>-91727287.090166748</v>
      </c>
      <c r="V1080" s="657">
        <f>+U1080-'ROR-Model'!G1100</f>
        <v>0</v>
      </c>
    </row>
    <row r="1081" spans="1:22">
      <c r="A1081" s="668"/>
      <c r="B1081" s="659"/>
      <c r="C1081" s="659" t="s">
        <v>584</v>
      </c>
      <c r="D1081" s="659"/>
      <c r="E1081" s="656"/>
      <c r="F1081" s="357">
        <f t="shared" ref="F1081:R1081" si="213">+F1075*F1</f>
        <v>2138879.1266666506</v>
      </c>
      <c r="G1081" s="357">
        <f t="shared" si="213"/>
        <v>0</v>
      </c>
      <c r="H1081" s="357">
        <f t="shared" si="213"/>
        <v>0</v>
      </c>
      <c r="I1081" s="357">
        <f t="shared" si="213"/>
        <v>0</v>
      </c>
      <c r="J1081" s="357">
        <f>+J1075*J1</f>
        <v>0</v>
      </c>
      <c r="K1081" s="357">
        <f t="shared" ref="K1081" si="214">+K1075*K1</f>
        <v>0</v>
      </c>
      <c r="L1081" s="357">
        <f t="shared" si="213"/>
        <v>0</v>
      </c>
      <c r="M1081" s="357">
        <f t="shared" si="213"/>
        <v>0</v>
      </c>
      <c r="N1081" s="357">
        <f t="shared" si="213"/>
        <v>0</v>
      </c>
      <c r="O1081" s="357">
        <f t="shared" si="213"/>
        <v>0</v>
      </c>
      <c r="P1081" s="357">
        <f t="shared" si="213"/>
        <v>0</v>
      </c>
      <c r="Q1081" s="357">
        <f t="shared" si="213"/>
        <v>0</v>
      </c>
      <c r="R1081" s="357">
        <f t="shared" si="213"/>
        <v>0</v>
      </c>
      <c r="S1081" s="657">
        <f>SUM(F1081:R1081)</f>
        <v>2138879.1266666506</v>
      </c>
      <c r="T1081" s="357"/>
      <c r="U1081" s="657">
        <f>SUM(S1081:S1081)</f>
        <v>2138879.1266666506</v>
      </c>
      <c r="V1081" s="657">
        <f>+U1081-'ROR-Model'!G1101</f>
        <v>0</v>
      </c>
    </row>
    <row r="1082" spans="1:22">
      <c r="A1082" s="668"/>
      <c r="B1082" s="659"/>
      <c r="C1082" s="323" t="s">
        <v>648</v>
      </c>
      <c r="D1082" s="659"/>
      <c r="E1082" s="656"/>
      <c r="F1082" s="388">
        <f t="shared" ref="F1082:L1082" si="215">SUM(F1078:F1081)</f>
        <v>-93089835.190000102</v>
      </c>
      <c r="G1082" s="388">
        <f t="shared" si="215"/>
        <v>0</v>
      </c>
      <c r="H1082" s="388">
        <f>SUM(H1078:H1081)</f>
        <v>0</v>
      </c>
      <c r="I1082" s="388">
        <f t="shared" si="215"/>
        <v>-5037992.5680000009</v>
      </c>
      <c r="J1082" s="388">
        <f>SUM(J1078:J1081)</f>
        <v>0</v>
      </c>
      <c r="K1082" s="388">
        <f>SUM(K1078:K1081)</f>
        <v>0</v>
      </c>
      <c r="L1082" s="388">
        <f t="shared" si="215"/>
        <v>0</v>
      </c>
      <c r="M1082" s="388">
        <f t="shared" ref="M1082:Q1082" si="216">SUM(M1078:M1081)</f>
        <v>0</v>
      </c>
      <c r="N1082" s="388">
        <f t="shared" si="216"/>
        <v>0</v>
      </c>
      <c r="O1082" s="388">
        <f t="shared" si="216"/>
        <v>0</v>
      </c>
      <c r="P1082" s="388">
        <f t="shared" si="216"/>
        <v>0</v>
      </c>
      <c r="Q1082" s="388">
        <f t="shared" si="216"/>
        <v>0</v>
      </c>
      <c r="R1082" s="388">
        <f>SUM(R1078:R1081)</f>
        <v>0</v>
      </c>
      <c r="S1082" s="924">
        <f>SUM(S1078:S1081)</f>
        <v>-98127827.758000106</v>
      </c>
      <c r="T1082" s="388"/>
      <c r="U1082" s="661">
        <f>SUM(U1078:U1081)</f>
        <v>-98127827.758000106</v>
      </c>
      <c r="V1082" s="661">
        <f>+U1082-'ROR-Model'!G1102</f>
        <v>0</v>
      </c>
    </row>
    <row r="1083" spans="1:22">
      <c r="A1083" s="668"/>
      <c r="B1083" s="659"/>
      <c r="C1083" s="659"/>
      <c r="D1083" s="659"/>
      <c r="E1083" s="656"/>
      <c r="F1083" s="357"/>
      <c r="G1083" s="357"/>
      <c r="H1083" s="357"/>
      <c r="I1083" s="357"/>
      <c r="J1083" s="390"/>
      <c r="K1083" s="390"/>
      <c r="L1083" s="357"/>
      <c r="M1083" s="357"/>
      <c r="N1083" s="357"/>
      <c r="O1083" s="357"/>
      <c r="P1083" s="357"/>
      <c r="Q1083" s="390"/>
      <c r="R1083" s="390"/>
      <c r="S1083" s="657"/>
      <c r="T1083" s="357"/>
      <c r="U1083" s="657"/>
      <c r="V1083" s="657">
        <f>+U1083-'ROR-Model'!G1103</f>
        <v>0</v>
      </c>
    </row>
    <row r="1084" spans="1:22">
      <c r="A1084" s="668">
        <v>105</v>
      </c>
      <c r="B1084" s="659" t="s">
        <v>285</v>
      </c>
      <c r="C1084" s="659"/>
      <c r="D1084" s="659"/>
      <c r="E1084" s="2"/>
      <c r="F1084" s="357"/>
      <c r="G1084" s="357"/>
      <c r="H1084" s="357"/>
      <c r="I1084" s="357"/>
      <c r="J1084" s="390"/>
      <c r="K1084" s="390"/>
      <c r="L1084" s="357"/>
      <c r="M1084" s="357"/>
      <c r="N1084" s="357"/>
      <c r="O1084" s="357"/>
      <c r="P1084" s="357"/>
      <c r="Q1084" s="390"/>
      <c r="R1084" s="390"/>
      <c r="S1084" s="657"/>
      <c r="T1084" s="357"/>
      <c r="U1084" s="657"/>
      <c r="V1084" s="657">
        <f>+U1084-'ROR-Model'!G1104</f>
        <v>0</v>
      </c>
    </row>
    <row r="1085" spans="1:22">
      <c r="A1085" s="668"/>
      <c r="B1085" s="659"/>
      <c r="C1085" s="659" t="s">
        <v>582</v>
      </c>
      <c r="D1085" s="659"/>
      <c r="E1085" s="656"/>
      <c r="F1085" s="357">
        <f>'Rate Base'!$AD$153*F1</f>
        <v>0</v>
      </c>
      <c r="G1085" s="357"/>
      <c r="H1085" s="357"/>
      <c r="I1085" s="357"/>
      <c r="J1085" s="390"/>
      <c r="K1085" s="390"/>
      <c r="L1085" s="357"/>
      <c r="M1085" s="357"/>
      <c r="N1085" s="357"/>
      <c r="O1085" s="357"/>
      <c r="P1085" s="357"/>
      <c r="Q1085" s="390"/>
      <c r="R1085" s="390"/>
      <c r="S1085" s="657">
        <f>SUM(F1085:R1085)</f>
        <v>0</v>
      </c>
      <c r="T1085" s="357"/>
      <c r="U1085" s="657">
        <f>SUM(S1085:S1085)</f>
        <v>0</v>
      </c>
      <c r="V1085" s="657">
        <f>+U1085-'ROR-Model'!G1105</f>
        <v>0</v>
      </c>
    </row>
    <row r="1086" spans="1:22">
      <c r="A1086" s="668"/>
      <c r="B1086" s="659"/>
      <c r="C1086" s="659" t="s">
        <v>160</v>
      </c>
      <c r="D1086" s="659"/>
      <c r="E1086" s="656"/>
      <c r="F1086" s="388">
        <f>SUM(F1085)</f>
        <v>0</v>
      </c>
      <c r="G1086" s="388"/>
      <c r="H1086" s="388">
        <f>SUM(H1085)</f>
        <v>0</v>
      </c>
      <c r="I1086" s="388">
        <f t="shared" ref="I1086:Q1086" si="217">SUM(I1085)</f>
        <v>0</v>
      </c>
      <c r="J1086" s="585">
        <f>SUM(J1085)</f>
        <v>0</v>
      </c>
      <c r="K1086" s="585">
        <f>SUM(K1085)</f>
        <v>0</v>
      </c>
      <c r="L1086" s="388">
        <f t="shared" si="217"/>
        <v>0</v>
      </c>
      <c r="M1086" s="388">
        <f t="shared" si="217"/>
        <v>0</v>
      </c>
      <c r="N1086" s="388">
        <f t="shared" si="217"/>
        <v>0</v>
      </c>
      <c r="O1086" s="388">
        <f t="shared" si="217"/>
        <v>0</v>
      </c>
      <c r="P1086" s="388">
        <f t="shared" si="217"/>
        <v>0</v>
      </c>
      <c r="Q1086" s="585">
        <f t="shared" si="217"/>
        <v>0</v>
      </c>
      <c r="R1086" s="585">
        <f>SUM(R1085)</f>
        <v>0</v>
      </c>
      <c r="S1086" s="661">
        <f>SUM(S1085)</f>
        <v>0</v>
      </c>
      <c r="T1086" s="388"/>
      <c r="U1086" s="661">
        <f>SUM(U1085)</f>
        <v>0</v>
      </c>
      <c r="V1086" s="661">
        <f>+U1086-'ROR-Model'!G1106</f>
        <v>0</v>
      </c>
    </row>
    <row r="1087" spans="1:22">
      <c r="A1087" s="668"/>
      <c r="B1087" s="659"/>
      <c r="C1087" s="659"/>
      <c r="D1087" s="659"/>
      <c r="E1087" s="656"/>
      <c r="F1087" s="357"/>
      <c r="G1087" s="357"/>
      <c r="H1087" s="357"/>
      <c r="I1087" s="357"/>
      <c r="J1087" s="390"/>
      <c r="K1087" s="390"/>
      <c r="L1087" s="357"/>
      <c r="M1087" s="357"/>
      <c r="N1087" s="357"/>
      <c r="O1087" s="357"/>
      <c r="P1087" s="357"/>
      <c r="Q1087" s="390"/>
      <c r="R1087" s="390"/>
      <c r="S1087" s="657"/>
      <c r="T1087" s="357"/>
      <c r="U1087" s="657"/>
      <c r="V1087" s="657">
        <f>+U1087-'ROR-Model'!G1107</f>
        <v>0</v>
      </c>
    </row>
    <row r="1088" spans="1:22">
      <c r="A1088" s="668">
        <v>106</v>
      </c>
      <c r="B1088" s="659" t="s">
        <v>649</v>
      </c>
      <c r="C1088" s="659"/>
      <c r="D1088" s="659"/>
      <c r="E1088" s="656"/>
      <c r="F1088" s="357"/>
      <c r="G1088" s="357"/>
      <c r="H1088" s="357"/>
      <c r="I1088" s="357"/>
      <c r="J1088" s="390"/>
      <c r="K1088" s="390"/>
      <c r="L1088" s="357"/>
      <c r="M1088" s="357"/>
      <c r="N1088" s="357"/>
      <c r="O1088" s="357"/>
      <c r="P1088" s="357"/>
      <c r="Q1088" s="390"/>
      <c r="R1088" s="390"/>
      <c r="S1088" s="657"/>
      <c r="T1088" s="357"/>
      <c r="U1088" s="657"/>
      <c r="V1088" s="657">
        <f>+U1088-'ROR-Model'!G1108</f>
        <v>0</v>
      </c>
    </row>
    <row r="1089" spans="1:22">
      <c r="A1089" s="668"/>
      <c r="B1089" s="659"/>
      <c r="C1089" s="659" t="s">
        <v>427</v>
      </c>
      <c r="D1089" s="659"/>
      <c r="E1089" s="656"/>
      <c r="F1089" s="357">
        <f>'Rate Base'!$AD$157*F1</f>
        <v>0</v>
      </c>
      <c r="G1089" s="357"/>
      <c r="H1089" s="357"/>
      <c r="I1089" s="357"/>
      <c r="J1089" s="390"/>
      <c r="K1089" s="390"/>
      <c r="L1089" s="357"/>
      <c r="M1089" s="357"/>
      <c r="N1089" s="357"/>
      <c r="O1089" s="357"/>
      <c r="P1089" s="357"/>
      <c r="Q1089" s="390"/>
      <c r="R1089" s="390"/>
      <c r="S1089" s="657">
        <f>SUM(F1089:R1089)</f>
        <v>0</v>
      </c>
      <c r="T1089" s="357"/>
      <c r="U1089" s="657">
        <f>SUM(S1089:S1089)</f>
        <v>0</v>
      </c>
      <c r="V1089" s="657">
        <f>+U1089-'ROR-Model'!G1109</f>
        <v>0</v>
      </c>
    </row>
    <row r="1090" spans="1:22">
      <c r="A1090" s="668"/>
      <c r="B1090" s="659"/>
      <c r="C1090" s="659" t="s">
        <v>581</v>
      </c>
      <c r="D1090" s="659"/>
      <c r="E1090" s="656"/>
      <c r="F1090" s="357">
        <f>'Rate Base'!$AD$158*F1</f>
        <v>422620.18708333338</v>
      </c>
      <c r="G1090" s="357"/>
      <c r="H1090" s="357"/>
      <c r="I1090" s="357"/>
      <c r="J1090" s="390"/>
      <c r="K1090" s="390"/>
      <c r="L1090" s="357"/>
      <c r="M1090" s="357"/>
      <c r="N1090" s="357"/>
      <c r="O1090" s="357"/>
      <c r="P1090" s="357"/>
      <c r="Q1090" s="390"/>
      <c r="R1090" s="390"/>
      <c r="S1090" s="657">
        <f>SUM(F1090:R1090)</f>
        <v>422620.18708333338</v>
      </c>
      <c r="T1090" s="357"/>
      <c r="U1090" s="657">
        <f>SUM(S1090:S1090)</f>
        <v>422620.18708333338</v>
      </c>
      <c r="V1090" s="657">
        <f>+U1090-'ROR-Model'!G1110</f>
        <v>0</v>
      </c>
    </row>
    <row r="1091" spans="1:22">
      <c r="A1091" s="668"/>
      <c r="B1091" s="659"/>
      <c r="C1091" s="659" t="s">
        <v>582</v>
      </c>
      <c r="D1091" s="659"/>
      <c r="E1091" s="656"/>
      <c r="F1091" s="357">
        <f>'Rate Base'!$AD$159*F1</f>
        <v>-9343737.7580833379</v>
      </c>
      <c r="G1091" s="357"/>
      <c r="H1091" s="357"/>
      <c r="I1091" s="357"/>
      <c r="J1091" s="390"/>
      <c r="K1091" s="390"/>
      <c r="L1091" s="357"/>
      <c r="M1091" s="357"/>
      <c r="N1091" s="357"/>
      <c r="O1091" s="357"/>
      <c r="P1091" s="357"/>
      <c r="Q1091" s="390"/>
      <c r="R1091" s="390"/>
      <c r="S1091" s="657">
        <f>SUM(F1091:R1091)</f>
        <v>-9343737.7580833379</v>
      </c>
      <c r="T1091" s="357"/>
      <c r="U1091" s="657">
        <f>SUM(S1091:S1091)</f>
        <v>-9343737.7580833379</v>
      </c>
      <c r="V1091" s="657">
        <f>+U1091-'ROR-Model'!G1111</f>
        <v>0</v>
      </c>
    </row>
    <row r="1092" spans="1:22">
      <c r="A1092" s="668"/>
      <c r="B1092" s="659"/>
      <c r="C1092" s="659" t="s">
        <v>584</v>
      </c>
      <c r="D1092" s="659"/>
      <c r="E1092" s="656"/>
      <c r="F1092" s="357">
        <f>'Rate Base'!$AD$160*F1</f>
        <v>-2264944.3966666665</v>
      </c>
      <c r="G1092" s="357"/>
      <c r="H1092" s="357"/>
      <c r="I1092" s="357"/>
      <c r="J1092" s="390"/>
      <c r="K1092" s="390"/>
      <c r="L1092" s="357"/>
      <c r="M1092" s="357"/>
      <c r="N1092" s="357"/>
      <c r="O1092" s="357"/>
      <c r="P1092" s="357"/>
      <c r="Q1092" s="390"/>
      <c r="R1092" s="390"/>
      <c r="S1092" s="657">
        <f>SUM(F1092:R1092)</f>
        <v>-2264944.3966666665</v>
      </c>
      <c r="T1092" s="357"/>
      <c r="U1092" s="657">
        <f>SUM(S1092:S1092)</f>
        <v>-2264944.3966666665</v>
      </c>
      <c r="V1092" s="657">
        <f>+U1092-'ROR-Model'!G1112</f>
        <v>0</v>
      </c>
    </row>
    <row r="1093" spans="1:22">
      <c r="A1093" s="668"/>
      <c r="B1093" s="659"/>
      <c r="C1093" s="659" t="s">
        <v>160</v>
      </c>
      <c r="D1093" s="659"/>
      <c r="E1093" s="656"/>
      <c r="F1093" s="388">
        <f>SUM(F1089:F1092)</f>
        <v>-11186061.967666671</v>
      </c>
      <c r="G1093" s="388"/>
      <c r="H1093" s="388">
        <f>SUM(H1089:H1092)</f>
        <v>0</v>
      </c>
      <c r="I1093" s="388">
        <f t="shared" ref="I1093:Q1093" si="218">SUM(I1089:I1092)</f>
        <v>0</v>
      </c>
      <c r="J1093" s="585">
        <f>SUM(J1089:J1092)</f>
        <v>0</v>
      </c>
      <c r="K1093" s="585">
        <f>SUM(K1089:K1092)</f>
        <v>0</v>
      </c>
      <c r="L1093" s="388">
        <f t="shared" si="218"/>
        <v>0</v>
      </c>
      <c r="M1093" s="388">
        <f t="shared" si="218"/>
        <v>0</v>
      </c>
      <c r="N1093" s="388">
        <f t="shared" si="218"/>
        <v>0</v>
      </c>
      <c r="O1093" s="388">
        <f t="shared" si="218"/>
        <v>0</v>
      </c>
      <c r="P1093" s="388">
        <f t="shared" si="218"/>
        <v>0</v>
      </c>
      <c r="Q1093" s="585">
        <f t="shared" si="218"/>
        <v>0</v>
      </c>
      <c r="R1093" s="585">
        <f>SUM(R1089:R1092)</f>
        <v>0</v>
      </c>
      <c r="S1093" s="661">
        <f>SUM(S1089:S1092)</f>
        <v>-11186061.967666671</v>
      </c>
      <c r="T1093" s="388"/>
      <c r="U1093" s="661">
        <f>SUM(U1089:U1092)</f>
        <v>-11186061.967666671</v>
      </c>
      <c r="V1093" s="661">
        <f>+U1093-'ROR-Model'!G1113</f>
        <v>0</v>
      </c>
    </row>
    <row r="1094" spans="1:22">
      <c r="A1094" s="668"/>
      <c r="B1094" s="659"/>
      <c r="C1094" s="659"/>
      <c r="D1094" s="659"/>
      <c r="E1094" s="656"/>
      <c r="F1094" s="357"/>
      <c r="G1094" s="357"/>
      <c r="H1094" s="357"/>
      <c r="I1094" s="357"/>
      <c r="J1094" s="390"/>
      <c r="K1094" s="390"/>
      <c r="L1094" s="357"/>
      <c r="M1094" s="357"/>
      <c r="N1094" s="357"/>
      <c r="O1094" s="357"/>
      <c r="P1094" s="357"/>
      <c r="Q1094" s="390"/>
      <c r="R1094" s="390"/>
      <c r="S1094" s="657"/>
      <c r="T1094" s="357"/>
      <c r="U1094" s="657"/>
      <c r="V1094" s="657">
        <f>+U1094-'ROR-Model'!G1114</f>
        <v>0</v>
      </c>
    </row>
    <row r="1095" spans="1:22">
      <c r="A1095" s="668">
        <v>108</v>
      </c>
      <c r="B1095" s="659" t="s">
        <v>650</v>
      </c>
      <c r="C1095" s="659"/>
      <c r="D1095" s="659"/>
      <c r="E1095" s="656"/>
      <c r="F1095" s="357"/>
      <c r="G1095" s="357"/>
      <c r="H1095" s="357"/>
      <c r="I1095" s="357"/>
      <c r="J1095" s="390"/>
      <c r="K1095" s="390"/>
      <c r="L1095" s="357"/>
      <c r="M1095" s="357"/>
      <c r="N1095" s="357"/>
      <c r="O1095" s="357"/>
      <c r="P1095" s="357"/>
      <c r="Q1095" s="390"/>
      <c r="R1095" s="390"/>
      <c r="S1095" s="657"/>
      <c r="T1095" s="357"/>
      <c r="U1095" s="657"/>
      <c r="V1095" s="657">
        <f>+U1095-'ROR-Model'!G1115</f>
        <v>0</v>
      </c>
    </row>
    <row r="1096" spans="1:22">
      <c r="A1096" s="668"/>
      <c r="B1096" s="659"/>
      <c r="C1096" s="659" t="s">
        <v>427</v>
      </c>
      <c r="D1096" s="659"/>
      <c r="E1096" s="656"/>
      <c r="F1096" s="357">
        <f>'Rate Base'!$AD$164*F1</f>
        <v>318661.29666665196</v>
      </c>
      <c r="G1096" s="357"/>
      <c r="H1096" s="357"/>
      <c r="I1096" s="357">
        <f>WEX_ADJ_108_PROD*I1</f>
        <v>4363257.5729400013</v>
      </c>
      <c r="J1096" s="390"/>
      <c r="K1096" s="390"/>
      <c r="L1096" s="357"/>
      <c r="M1096" s="357"/>
      <c r="N1096" s="357"/>
      <c r="O1096" s="357"/>
      <c r="P1096" s="357"/>
      <c r="Q1096" s="390"/>
      <c r="R1096" s="390"/>
      <c r="S1096" s="657">
        <f>SUM(F1096:R1096)</f>
        <v>4681918.8696066532</v>
      </c>
      <c r="T1096" s="357"/>
      <c r="U1096" s="657">
        <f>SUM(S1096:S1096)</f>
        <v>4681918.8696066532</v>
      </c>
      <c r="V1096" s="657">
        <f>+U1096-'ROR-Model'!G1116</f>
        <v>0</v>
      </c>
    </row>
    <row r="1097" spans="1:22">
      <c r="A1097" s="668"/>
      <c r="B1097" s="659"/>
      <c r="C1097" s="659" t="s">
        <v>581</v>
      </c>
      <c r="D1097" s="659"/>
      <c r="E1097" s="656"/>
      <c r="F1097" s="357">
        <f>'Rate Base'!$AD$165*F1</f>
        <v>5998317.5087500028</v>
      </c>
      <c r="G1097" s="357"/>
      <c r="H1097" s="357"/>
      <c r="I1097" s="357"/>
      <c r="J1097" s="390"/>
      <c r="K1097" s="390"/>
      <c r="L1097" s="357"/>
      <c r="M1097" s="357"/>
      <c r="N1097" s="357"/>
      <c r="O1097" s="357"/>
      <c r="P1097" s="357"/>
      <c r="Q1097" s="390"/>
      <c r="R1097" s="390"/>
      <c r="S1097" s="657">
        <f>SUM(F1097:R1097)</f>
        <v>5998317.5087500028</v>
      </c>
      <c r="T1097" s="357"/>
      <c r="U1097" s="657">
        <f>SUM(S1097:S1097)</f>
        <v>5998317.5087500028</v>
      </c>
      <c r="V1097" s="657">
        <f>+U1097-'ROR-Model'!G1117</f>
        <v>0</v>
      </c>
    </row>
    <row r="1098" spans="1:22">
      <c r="A1098" s="668"/>
      <c r="B1098" s="659"/>
      <c r="C1098" s="659" t="s">
        <v>582</v>
      </c>
      <c r="D1098" s="659"/>
      <c r="E1098" s="656"/>
      <c r="F1098" s="357">
        <f>'Rate Base'!$AD$166*F1</f>
        <v>8730765.7579166889</v>
      </c>
      <c r="G1098" s="357"/>
      <c r="H1098" s="357"/>
      <c r="I1098" s="357"/>
      <c r="J1098" s="390"/>
      <c r="K1098" s="390"/>
      <c r="L1098" s="357"/>
      <c r="M1098" s="357"/>
      <c r="N1098" s="357"/>
      <c r="O1098" s="357"/>
      <c r="P1098" s="357"/>
      <c r="Q1098" s="390"/>
      <c r="R1098" s="390"/>
      <c r="S1098" s="657">
        <f>SUM(F1098:R1098)</f>
        <v>8730765.7579166889</v>
      </c>
      <c r="T1098" s="357"/>
      <c r="U1098" s="657">
        <f>SUM(S1098:S1098)</f>
        <v>8730765.7579166889</v>
      </c>
      <c r="V1098" s="657">
        <f>+U1098-'ROR-Model'!G1118</f>
        <v>0</v>
      </c>
    </row>
    <row r="1099" spans="1:22">
      <c r="A1099" s="668"/>
      <c r="B1099" s="659"/>
      <c r="C1099" s="659" t="s">
        <v>584</v>
      </c>
      <c r="D1099" s="659"/>
      <c r="E1099" s="656"/>
      <c r="F1099" s="357">
        <f>'Rate Base'!$AD$167*F1</f>
        <v>-1666474.9441666901</v>
      </c>
      <c r="G1099" s="357"/>
      <c r="H1099" s="357"/>
      <c r="I1099" s="357"/>
      <c r="J1099" s="390"/>
      <c r="K1099" s="390"/>
      <c r="L1099" s="357"/>
      <c r="M1099" s="357"/>
      <c r="N1099" s="357"/>
      <c r="O1099" s="357"/>
      <c r="P1099" s="357"/>
      <c r="Q1099" s="390"/>
      <c r="R1099" s="390"/>
      <c r="S1099" s="657">
        <f>SUM(F1099:R1099)</f>
        <v>-1666474.9441666901</v>
      </c>
      <c r="T1099" s="357"/>
      <c r="U1099" s="657">
        <f>SUM(S1099:S1099)</f>
        <v>-1666474.9441666901</v>
      </c>
      <c r="V1099" s="657">
        <f>+U1099-'ROR-Model'!G1119</f>
        <v>0</v>
      </c>
    </row>
    <row r="1100" spans="1:22">
      <c r="A1100" s="668"/>
      <c r="B1100" s="659"/>
      <c r="C1100" s="659" t="s">
        <v>160</v>
      </c>
      <c r="D1100" s="659"/>
      <c r="E1100" s="656"/>
      <c r="F1100" s="388">
        <f>SUM(F1096:F1099)</f>
        <v>13381269.619166654</v>
      </c>
      <c r="G1100" s="388">
        <f>G1*SUM(G1096:G1099)</f>
        <v>0</v>
      </c>
      <c r="H1100" s="388">
        <f>SUM(H1096:H1099)</f>
        <v>0</v>
      </c>
      <c r="I1100" s="388">
        <f t="shared" ref="I1100:P1100" si="219">SUM(I1096:I1099)</f>
        <v>4363257.5729400013</v>
      </c>
      <c r="J1100" s="585">
        <f>SUM(J1096:J1099)</f>
        <v>0</v>
      </c>
      <c r="K1100" s="585">
        <f>SUM(K1096:K1099)</f>
        <v>0</v>
      </c>
      <c r="L1100" s="388">
        <f t="shared" si="219"/>
        <v>0</v>
      </c>
      <c r="M1100" s="388">
        <f t="shared" si="219"/>
        <v>0</v>
      </c>
      <c r="N1100" s="388">
        <f t="shared" si="219"/>
        <v>0</v>
      </c>
      <c r="O1100" s="388">
        <f t="shared" si="219"/>
        <v>0</v>
      </c>
      <c r="P1100" s="388">
        <f t="shared" si="219"/>
        <v>0</v>
      </c>
      <c r="Q1100" s="585">
        <f>SUM(Q1096:Q1099)</f>
        <v>0</v>
      </c>
      <c r="R1100" s="585">
        <f>SUM(R1096:R1099)</f>
        <v>0</v>
      </c>
      <c r="S1100" s="661">
        <f>SUM(S1096:S1099)</f>
        <v>17744527.192106657</v>
      </c>
      <c r="T1100" s="388"/>
      <c r="U1100" s="661">
        <f>SUM(U1096:U1099)</f>
        <v>17744527.192106657</v>
      </c>
      <c r="V1100" s="661">
        <f>+U1100-'ROR-Model'!G1120</f>
        <v>0</v>
      </c>
    </row>
    <row r="1101" spans="1:22">
      <c r="A1101" s="668"/>
      <c r="B1101" s="659"/>
      <c r="C1101" s="659"/>
      <c r="D1101" s="659"/>
      <c r="E1101" s="656"/>
      <c r="F1101" s="357"/>
      <c r="G1101" s="357"/>
      <c r="H1101" s="357"/>
      <c r="I1101" s="357"/>
      <c r="J1101" s="390"/>
      <c r="K1101" s="390"/>
      <c r="L1101" s="357"/>
      <c r="M1101" s="357"/>
      <c r="N1101" s="357"/>
      <c r="O1101" s="357"/>
      <c r="P1101" s="357"/>
      <c r="Q1101" s="390"/>
      <c r="R1101" s="390"/>
      <c r="S1101" s="657"/>
      <c r="T1101" s="357"/>
      <c r="U1101" s="657"/>
      <c r="V1101" s="657">
        <f>+U1101-'ROR-Model'!G1121</f>
        <v>0</v>
      </c>
    </row>
    <row r="1102" spans="1:22">
      <c r="A1102" s="668">
        <v>111</v>
      </c>
      <c r="B1102" s="659" t="s">
        <v>286</v>
      </c>
      <c r="C1102" s="659"/>
      <c r="D1102" s="659"/>
      <c r="E1102" s="656"/>
      <c r="F1102" s="357"/>
      <c r="G1102" s="357"/>
      <c r="H1102" s="357"/>
      <c r="I1102" s="357"/>
      <c r="J1102" s="390"/>
      <c r="K1102" s="390"/>
      <c r="L1102" s="357"/>
      <c r="M1102" s="357"/>
      <c r="N1102" s="357"/>
      <c r="O1102" s="357"/>
      <c r="P1102" s="357"/>
      <c r="Q1102" s="390"/>
      <c r="R1102" s="390"/>
      <c r="S1102" s="657"/>
      <c r="T1102" s="357"/>
      <c r="U1102" s="657"/>
      <c r="V1102" s="657">
        <f>+U1102-'ROR-Model'!G1122</f>
        <v>0</v>
      </c>
    </row>
    <row r="1103" spans="1:22">
      <c r="A1103" s="660"/>
      <c r="B1103" s="659"/>
      <c r="C1103" s="659" t="s">
        <v>427</v>
      </c>
      <c r="D1103" s="659"/>
      <c r="E1103" s="656"/>
      <c r="F1103" s="357">
        <f>'Rate Base'!AD171*F1</f>
        <v>8395.53125</v>
      </c>
      <c r="G1103" s="357"/>
      <c r="H1103" s="357"/>
      <c r="I1103" s="357">
        <f>WEX_ADJ_111_PROD*I1</f>
        <v>386938.51111125003</v>
      </c>
      <c r="J1103" s="390"/>
      <c r="K1103" s="390"/>
      <c r="L1103" s="357"/>
      <c r="M1103" s="357"/>
      <c r="N1103" s="357"/>
      <c r="O1103" s="357"/>
      <c r="P1103" s="357"/>
      <c r="Q1103" s="390"/>
      <c r="R1103" s="390"/>
      <c r="S1103" s="657">
        <f>SUM(F1103:R1103)</f>
        <v>395334.04236125003</v>
      </c>
      <c r="T1103" s="357"/>
      <c r="U1103" s="657">
        <f>SUM(S1103:S1103)</f>
        <v>395334.04236125003</v>
      </c>
      <c r="V1103" s="657">
        <f>+U1103-'ROR-Model'!G1123</f>
        <v>0</v>
      </c>
    </row>
    <row r="1104" spans="1:22">
      <c r="A1104" s="660"/>
      <c r="B1104" s="659"/>
      <c r="C1104" s="659" t="s">
        <v>581</v>
      </c>
      <c r="D1104" s="659"/>
      <c r="E1104" s="656"/>
      <c r="F1104" s="357">
        <f>'Rate Base'!AD172*F1</f>
        <v>0</v>
      </c>
      <c r="G1104" s="357"/>
      <c r="H1104" s="357"/>
      <c r="I1104" s="357"/>
      <c r="J1104" s="390"/>
      <c r="K1104" s="390"/>
      <c r="L1104" s="357"/>
      <c r="M1104" s="357"/>
      <c r="N1104" s="357"/>
      <c r="O1104" s="357"/>
      <c r="P1104" s="357"/>
      <c r="Q1104" s="390"/>
      <c r="R1104" s="390"/>
      <c r="S1104" s="657">
        <f>SUM(F1104:R1104)</f>
        <v>0</v>
      </c>
      <c r="T1104" s="357"/>
      <c r="U1104" s="657">
        <f>SUM(S1104:S1104)</f>
        <v>0</v>
      </c>
      <c r="V1104" s="657">
        <f>+U1104-'ROR-Model'!G1124</f>
        <v>0</v>
      </c>
    </row>
    <row r="1105" spans="1:22">
      <c r="A1105" s="660"/>
      <c r="B1105" s="659"/>
      <c r="C1105" s="659" t="s">
        <v>582</v>
      </c>
      <c r="D1105" s="659"/>
      <c r="E1105" s="656"/>
      <c r="F1105" s="357">
        <f>'Rate Base'!AD173*F1</f>
        <v>0</v>
      </c>
      <c r="G1105" s="357"/>
      <c r="H1105" s="357"/>
      <c r="I1105" s="357"/>
      <c r="J1105" s="390"/>
      <c r="K1105" s="390"/>
      <c r="L1105" s="357"/>
      <c r="M1105" s="357"/>
      <c r="N1105" s="357"/>
      <c r="O1105" s="357"/>
      <c r="P1105" s="357"/>
      <c r="Q1105" s="390"/>
      <c r="R1105" s="390"/>
      <c r="S1105" s="657">
        <f>SUM(F1105:R1105)</f>
        <v>0</v>
      </c>
      <c r="T1105" s="357"/>
      <c r="U1105" s="657">
        <f>SUM(S1105:S1105)</f>
        <v>0</v>
      </c>
      <c r="V1105" s="657">
        <f>+U1105-'ROR-Model'!G1125</f>
        <v>0</v>
      </c>
    </row>
    <row r="1106" spans="1:22">
      <c r="A1106" s="660"/>
      <c r="B1106" s="659"/>
      <c r="C1106" s="659" t="s">
        <v>584</v>
      </c>
      <c r="D1106" s="659"/>
      <c r="E1106" s="656"/>
      <c r="F1106" s="357">
        <f>'Rate Base'!AD174*F1</f>
        <v>0</v>
      </c>
      <c r="G1106" s="357"/>
      <c r="H1106" s="357"/>
      <c r="I1106" s="357"/>
      <c r="J1106" s="390"/>
      <c r="K1106" s="390"/>
      <c r="L1106" s="357"/>
      <c r="M1106" s="357"/>
      <c r="N1106" s="357"/>
      <c r="O1106" s="357"/>
      <c r="P1106" s="357"/>
      <c r="Q1106" s="390"/>
      <c r="R1106" s="390"/>
      <c r="S1106" s="657">
        <f>SUM(F1106:R1106)</f>
        <v>0</v>
      </c>
      <c r="T1106" s="357"/>
      <c r="U1106" s="657">
        <f>SUM(S1106:S1106)</f>
        <v>0</v>
      </c>
      <c r="V1106" s="657">
        <f>+U1106-'ROR-Model'!G1126</f>
        <v>0</v>
      </c>
    </row>
    <row r="1107" spans="1:22">
      <c r="A1107" s="660"/>
      <c r="B1107" s="659"/>
      <c r="C1107" s="659" t="s">
        <v>160</v>
      </c>
      <c r="D1107" s="659"/>
      <c r="E1107" s="656"/>
      <c r="F1107" s="388">
        <f>'Rate Base'!AD175*F1</f>
        <v>8395.53125</v>
      </c>
      <c r="G1107" s="388">
        <f>G1*SUM(G1103:G1106)</f>
        <v>0</v>
      </c>
      <c r="H1107" s="388">
        <f>SUM(H1103:H1106)</f>
        <v>0</v>
      </c>
      <c r="I1107" s="388">
        <f t="shared" ref="I1107:P1107" si="220">SUM(I1103:I1106)</f>
        <v>386938.51111125003</v>
      </c>
      <c r="J1107" s="585">
        <f>SUM(J1103:J1106)</f>
        <v>0</v>
      </c>
      <c r="K1107" s="585">
        <f>SUM(K1103:K1106)</f>
        <v>0</v>
      </c>
      <c r="L1107" s="388">
        <f t="shared" si="220"/>
        <v>0</v>
      </c>
      <c r="M1107" s="388">
        <f t="shared" si="220"/>
        <v>0</v>
      </c>
      <c r="N1107" s="388">
        <f t="shared" si="220"/>
        <v>0</v>
      </c>
      <c r="O1107" s="388">
        <f t="shared" si="220"/>
        <v>0</v>
      </c>
      <c r="P1107" s="388">
        <f t="shared" si="220"/>
        <v>0</v>
      </c>
      <c r="Q1107" s="585">
        <f>SUM(Q1103:Q1106)</f>
        <v>0</v>
      </c>
      <c r="R1107" s="585">
        <f>SUM(R1103:R1106)</f>
        <v>0</v>
      </c>
      <c r="S1107" s="661">
        <f>SUM(S1103:S1106)</f>
        <v>395334.04236125003</v>
      </c>
      <c r="T1107" s="388"/>
      <c r="U1107" s="661">
        <f>SUM(U1103:U1106)</f>
        <v>395334.04236125003</v>
      </c>
      <c r="V1107" s="657">
        <f>+U1107-'ROR-Model'!G1127</f>
        <v>0</v>
      </c>
    </row>
    <row r="1108" spans="1:22" ht="13.5" thickBot="1">
      <c r="A1108" s="660"/>
      <c r="B1108" s="659"/>
      <c r="C1108" s="659"/>
      <c r="D1108" s="659"/>
      <c r="E1108" s="656"/>
      <c r="F1108" s="579"/>
      <c r="G1108" s="579"/>
      <c r="H1108" s="579"/>
      <c r="I1108" s="579"/>
      <c r="J1108" s="586"/>
      <c r="K1108" s="586"/>
      <c r="L1108" s="579"/>
      <c r="M1108" s="579"/>
      <c r="N1108" s="579"/>
      <c r="O1108" s="579"/>
      <c r="P1108" s="579"/>
      <c r="Q1108" s="586"/>
      <c r="R1108" s="586"/>
      <c r="S1108" s="663"/>
      <c r="T1108" s="579"/>
      <c r="U1108" s="663"/>
      <c r="V1108" s="657">
        <f>+U1108-'ROR-Model'!G1128</f>
        <v>0</v>
      </c>
    </row>
    <row r="1109" spans="1:22" ht="13.5" thickTop="1">
      <c r="A1109" s="391" t="s">
        <v>1110</v>
      </c>
      <c r="B1109" s="323" t="s">
        <v>1112</v>
      </c>
      <c r="C1109" s="659"/>
      <c r="D1109" s="659"/>
      <c r="E1109" s="656"/>
      <c r="F1109" s="357"/>
      <c r="G1109" s="357"/>
      <c r="H1109" s="357"/>
      <c r="I1109" s="357"/>
      <c r="J1109" s="390"/>
      <c r="K1109" s="390"/>
      <c r="L1109" s="357"/>
      <c r="M1109" s="357"/>
      <c r="N1109" s="357"/>
      <c r="O1109" s="357"/>
      <c r="P1109" s="357"/>
      <c r="Q1109" s="390"/>
      <c r="R1109" s="390"/>
      <c r="S1109" s="657"/>
      <c r="T1109" s="357"/>
      <c r="U1109" s="657"/>
      <c r="V1109" s="657">
        <f>+U1109-'ROR-Model'!G1129</f>
        <v>0</v>
      </c>
    </row>
    <row r="1110" spans="1:22">
      <c r="A1110" s="660"/>
      <c r="B1110" s="659"/>
      <c r="C1110" s="659" t="s">
        <v>427</v>
      </c>
      <c r="D1110" s="659"/>
      <c r="E1110" s="656"/>
      <c r="F1110" s="357">
        <f>'Rate Base'!AD178*$F$1</f>
        <v>0</v>
      </c>
      <c r="G1110" s="357"/>
      <c r="H1110" s="357"/>
      <c r="I1110" s="357"/>
      <c r="J1110" s="390"/>
      <c r="K1110" s="390"/>
      <c r="L1110" s="357"/>
      <c r="M1110" s="357"/>
      <c r="N1110" s="357"/>
      <c r="O1110" s="357"/>
      <c r="P1110" s="357"/>
      <c r="Q1110" s="390"/>
      <c r="R1110" s="390"/>
      <c r="S1110" s="657">
        <f>SUM(F1110:R1110)</f>
        <v>0</v>
      </c>
      <c r="T1110" s="357"/>
      <c r="U1110" s="657">
        <f>SUM(S1110:S1110)</f>
        <v>0</v>
      </c>
      <c r="V1110" s="657">
        <f>+U1110-'ROR-Model'!G1130</f>
        <v>0</v>
      </c>
    </row>
    <row r="1111" spans="1:22">
      <c r="A1111" s="660"/>
      <c r="B1111" s="659"/>
      <c r="C1111" s="659" t="s">
        <v>581</v>
      </c>
      <c r="D1111" s="659"/>
      <c r="E1111" s="656"/>
      <c r="F1111" s="357">
        <f>'Rate Base'!AD179*$F$1</f>
        <v>92228.957500000484</v>
      </c>
      <c r="G1111" s="357"/>
      <c r="H1111" s="357"/>
      <c r="I1111" s="357"/>
      <c r="J1111" s="390"/>
      <c r="K1111" s="390"/>
      <c r="L1111" s="357"/>
      <c r="M1111" s="357"/>
      <c r="N1111" s="357"/>
      <c r="O1111" s="357"/>
      <c r="P1111" s="357"/>
      <c r="Q1111" s="390"/>
      <c r="R1111" s="390"/>
      <c r="S1111" s="657">
        <f>SUM(F1111:R1111)</f>
        <v>92228.957500000484</v>
      </c>
      <c r="T1111" s="357"/>
      <c r="U1111" s="657">
        <f>SUM(S1111:S1111)</f>
        <v>92228.957500000484</v>
      </c>
      <c r="V1111" s="657">
        <f>+U1111-'ROR-Model'!G1131</f>
        <v>0</v>
      </c>
    </row>
    <row r="1112" spans="1:22">
      <c r="A1112" s="660"/>
      <c r="B1112" s="659"/>
      <c r="C1112" s="659" t="s">
        <v>582</v>
      </c>
      <c r="D1112" s="659"/>
      <c r="E1112" s="656"/>
      <c r="F1112" s="357">
        <f>'Rate Base'!AD180*$F$1</f>
        <v>1787499.3899999559</v>
      </c>
      <c r="G1112" s="357"/>
      <c r="H1112" s="357"/>
      <c r="I1112" s="357"/>
      <c r="J1112" s="390"/>
      <c r="K1112" s="390"/>
      <c r="L1112" s="357"/>
      <c r="M1112" s="357"/>
      <c r="N1112" s="357"/>
      <c r="O1112" s="357"/>
      <c r="P1112" s="357"/>
      <c r="Q1112" s="390"/>
      <c r="R1112" s="390"/>
      <c r="S1112" s="657">
        <f>SUM(F1112:R1112)</f>
        <v>1787499.3899999559</v>
      </c>
      <c r="T1112" s="357"/>
      <c r="U1112" s="657">
        <f>SUM(S1112:S1112)</f>
        <v>1787499.3899999559</v>
      </c>
      <c r="V1112" s="657">
        <f>+U1112-'ROR-Model'!G1132</f>
        <v>0</v>
      </c>
    </row>
    <row r="1113" spans="1:22">
      <c r="A1113" s="660"/>
      <c r="B1113" s="659"/>
      <c r="C1113" s="659" t="s">
        <v>584</v>
      </c>
      <c r="D1113" s="659"/>
      <c r="E1113" s="656"/>
      <c r="F1113" s="357">
        <f>'Rate Base'!AD181*$F$1</f>
        <v>232942360.29166666</v>
      </c>
      <c r="G1113" s="357"/>
      <c r="H1113" s="357"/>
      <c r="I1113" s="357"/>
      <c r="J1113" s="390"/>
      <c r="K1113" s="390"/>
      <c r="L1113" s="357"/>
      <c r="M1113" s="357"/>
      <c r="N1113" s="357"/>
      <c r="O1113" s="357"/>
      <c r="P1113" s="357"/>
      <c r="Q1113" s="390"/>
      <c r="R1113" s="390"/>
      <c r="S1113" s="657">
        <f>SUM(F1113:R1113)</f>
        <v>232942360.29166666</v>
      </c>
      <c r="T1113" s="357"/>
      <c r="U1113" s="657">
        <f>SUM(S1113:S1113)</f>
        <v>232942360.29166666</v>
      </c>
      <c r="V1113" s="657">
        <f>+U1113-'ROR-Model'!G1133</f>
        <v>0</v>
      </c>
    </row>
    <row r="1114" spans="1:22">
      <c r="A1114" s="660"/>
      <c r="B1114" s="659"/>
      <c r="C1114" s="659" t="s">
        <v>160</v>
      </c>
      <c r="D1114" s="659"/>
      <c r="E1114" s="656"/>
      <c r="F1114" s="388">
        <f>'Rate Base'!AD182*$F$1</f>
        <v>234822088.63916662</v>
      </c>
      <c r="G1114" s="388">
        <f>G1*SUM(G1110:G1113)</f>
        <v>0</v>
      </c>
      <c r="H1114" s="388">
        <f>SUM(H1110:H1113)</f>
        <v>0</v>
      </c>
      <c r="I1114" s="388">
        <f t="shared" ref="I1114:P1114" si="221">SUM(I1110:I1113)</f>
        <v>0</v>
      </c>
      <c r="J1114" s="585">
        <f>SUM(J1110:J1113)</f>
        <v>0</v>
      </c>
      <c r="K1114" s="585">
        <f>SUM(K1110:K1113)</f>
        <v>0</v>
      </c>
      <c r="L1114" s="388">
        <f t="shared" si="221"/>
        <v>0</v>
      </c>
      <c r="M1114" s="388">
        <f t="shared" si="221"/>
        <v>0</v>
      </c>
      <c r="N1114" s="388">
        <f t="shared" si="221"/>
        <v>0</v>
      </c>
      <c r="O1114" s="388">
        <f t="shared" si="221"/>
        <v>0</v>
      </c>
      <c r="P1114" s="388">
        <f t="shared" si="221"/>
        <v>0</v>
      </c>
      <c r="Q1114" s="585">
        <f>SUM(Q1110:Q1113)</f>
        <v>0</v>
      </c>
      <c r="R1114" s="585">
        <f>SUM(R1110:R1113)</f>
        <v>0</v>
      </c>
      <c r="S1114" s="661">
        <f>SUM(S1110:S1113)</f>
        <v>234822088.63916662</v>
      </c>
      <c r="T1114" s="388"/>
      <c r="U1114" s="661">
        <f>SUM(U1110:U1113)</f>
        <v>234822088.63916662</v>
      </c>
      <c r="V1114" s="657">
        <f>+U1114-'ROR-Model'!G1134</f>
        <v>0</v>
      </c>
    </row>
    <row r="1115" spans="1:22" ht="13.5" thickBot="1">
      <c r="A1115" s="660"/>
      <c r="B1115" s="659"/>
      <c r="C1115" s="659"/>
      <c r="D1115" s="659"/>
      <c r="E1115" s="656"/>
      <c r="F1115" s="579"/>
      <c r="G1115" s="579"/>
      <c r="H1115" s="579"/>
      <c r="I1115" s="579"/>
      <c r="J1115" s="586"/>
      <c r="K1115" s="586"/>
      <c r="L1115" s="579"/>
      <c r="M1115" s="579"/>
      <c r="N1115" s="579"/>
      <c r="O1115" s="579"/>
      <c r="P1115" s="579"/>
      <c r="Q1115" s="586"/>
      <c r="R1115" s="586"/>
      <c r="S1115" s="663"/>
      <c r="T1115" s="579"/>
      <c r="U1115" s="663"/>
      <c r="V1115" s="657">
        <f>+U1115-'ROR-Model'!G1135</f>
        <v>0</v>
      </c>
    </row>
    <row r="1116" spans="1:22" ht="13.5" thickTop="1">
      <c r="A1116" s="660"/>
      <c r="B1116" s="659"/>
      <c r="C1116" s="659"/>
      <c r="D1116" s="659"/>
      <c r="E1116" s="656"/>
      <c r="F1116" s="357"/>
      <c r="G1116" s="357"/>
      <c r="H1116" s="357"/>
      <c r="I1116" s="357"/>
      <c r="J1116" s="390"/>
      <c r="K1116" s="390"/>
      <c r="L1116" s="357"/>
      <c r="M1116" s="357"/>
      <c r="N1116" s="357"/>
      <c r="O1116" s="357"/>
      <c r="P1116" s="357"/>
      <c r="Q1116" s="390"/>
      <c r="R1116" s="390"/>
      <c r="S1116" s="657"/>
      <c r="T1116" s="357"/>
      <c r="U1116" s="657"/>
      <c r="V1116" s="657">
        <f>+U1116-'ROR-Model'!G1136</f>
        <v>0</v>
      </c>
    </row>
    <row r="1117" spans="1:22">
      <c r="A1117" s="189" t="s">
        <v>651</v>
      </c>
      <c r="B1117" s="659"/>
      <c r="C1117" s="659"/>
      <c r="D1117" s="659"/>
      <c r="E1117" s="656"/>
      <c r="F1117" s="357"/>
      <c r="G1117" s="357"/>
      <c r="H1117" s="357"/>
      <c r="I1117" s="357"/>
      <c r="J1117" s="390"/>
      <c r="K1117" s="390"/>
      <c r="L1117" s="357"/>
      <c r="M1117" s="357"/>
      <c r="N1117" s="357"/>
      <c r="O1117" s="357"/>
      <c r="P1117" s="357"/>
      <c r="Q1117" s="390"/>
      <c r="R1117" s="390"/>
      <c r="S1117" s="657"/>
      <c r="T1117" s="357"/>
      <c r="U1117" s="657"/>
      <c r="V1117" s="657">
        <f>+U1117-'ROR-Model'!G1137</f>
        <v>0</v>
      </c>
    </row>
    <row r="1118" spans="1:22">
      <c r="A1118" s="660"/>
      <c r="B1118" s="659" t="s">
        <v>427</v>
      </c>
      <c r="C1118" s="659"/>
      <c r="D1118" s="659"/>
      <c r="E1118" s="656"/>
      <c r="F1118" s="357">
        <f>F1078+F1089+F1096+F1103+F1110</f>
        <v>327056.82791665196</v>
      </c>
      <c r="G1118" s="357">
        <f t="shared" ref="G1118:N1118" si="222">G1078+G1089+G1096+G1103+G1110</f>
        <v>0</v>
      </c>
      <c r="H1118" s="357">
        <f t="shared" si="222"/>
        <v>0</v>
      </c>
      <c r="I1118" s="357">
        <f t="shared" si="222"/>
        <v>-287796.48394874961</v>
      </c>
      <c r="J1118" s="357">
        <f>J1078+J1089+J1096+J1103+J1110</f>
        <v>0</v>
      </c>
      <c r="K1118" s="357">
        <f t="shared" ref="K1118" si="223">K1078+K1089+K1096+K1103+K1110</f>
        <v>0</v>
      </c>
      <c r="L1118" s="357">
        <f t="shared" si="222"/>
        <v>0</v>
      </c>
      <c r="M1118" s="357">
        <f t="shared" si="222"/>
        <v>0</v>
      </c>
      <c r="N1118" s="357">
        <f t="shared" si="222"/>
        <v>0</v>
      </c>
      <c r="O1118" s="357">
        <f>O1078+O1089+O1096+O1103+O1110</f>
        <v>0</v>
      </c>
      <c r="P1118" s="357">
        <f t="shared" ref="P1118:R1118" si="224">P1078+P1089+P1096+P1103+P1110</f>
        <v>0</v>
      </c>
      <c r="Q1118" s="357">
        <f t="shared" si="224"/>
        <v>0</v>
      </c>
      <c r="R1118" s="357">
        <f t="shared" si="224"/>
        <v>0</v>
      </c>
      <c r="S1118" s="657">
        <f>S1078+S1089+S1096+S1103+S1110</f>
        <v>39260.343967902358</v>
      </c>
      <c r="T1118" s="357"/>
      <c r="U1118" s="657">
        <f>U1078+U1089+U1096+U1103+U1110</f>
        <v>39260.343967902358</v>
      </c>
      <c r="V1118" s="657">
        <f>+U1118-'ROR-Model'!G1138</f>
        <v>0</v>
      </c>
    </row>
    <row r="1119" spans="1:22">
      <c r="A1119" s="660"/>
      <c r="B1119" s="659" t="s">
        <v>581</v>
      </c>
      <c r="C1119" s="659"/>
      <c r="D1119" s="659"/>
      <c r="E1119" s="656"/>
      <c r="F1119" s="357">
        <f>F1079+F1090+F1097+F1104+F1111</f>
        <v>3011739.4268333348</v>
      </c>
      <c r="G1119" s="357">
        <f t="shared" ref="G1119:N1119" si="225">G1079+G1090+G1097+G1104+G1111</f>
        <v>0</v>
      </c>
      <c r="H1119" s="357">
        <f t="shared" si="225"/>
        <v>0</v>
      </c>
      <c r="I1119" s="357">
        <f t="shared" si="225"/>
        <v>0</v>
      </c>
      <c r="J1119" s="357">
        <f>J1079+J1090+J1097+J1104+J1111</f>
        <v>0</v>
      </c>
      <c r="K1119" s="357">
        <f t="shared" ref="K1119" si="226">K1079+K1090+K1097+K1104+K1111</f>
        <v>0</v>
      </c>
      <c r="L1119" s="357">
        <f t="shared" si="225"/>
        <v>0</v>
      </c>
      <c r="M1119" s="357">
        <f t="shared" si="225"/>
        <v>0</v>
      </c>
      <c r="N1119" s="357">
        <f t="shared" si="225"/>
        <v>0</v>
      </c>
      <c r="O1119" s="357">
        <f>O1079+O1090+O1097+O1104+O1111</f>
        <v>0</v>
      </c>
      <c r="P1119" s="357">
        <f t="shared" ref="P1119:R1119" si="227">P1079+P1090+P1097+P1104+P1111</f>
        <v>0</v>
      </c>
      <c r="Q1119" s="357">
        <f t="shared" si="227"/>
        <v>0</v>
      </c>
      <c r="R1119" s="357">
        <f t="shared" si="227"/>
        <v>0</v>
      </c>
      <c r="S1119" s="657">
        <f>S1079+S1090+S1097+S1104+S1111</f>
        <v>3011739.4268333348</v>
      </c>
      <c r="T1119" s="357"/>
      <c r="U1119" s="657">
        <f>U1079+U1090+U1097+U1104+U1111</f>
        <v>3011739.4268333348</v>
      </c>
      <c r="V1119" s="657">
        <f>+U1119-'ROR-Model'!G1139</f>
        <v>0</v>
      </c>
    </row>
    <row r="1120" spans="1:22">
      <c r="A1120" s="660"/>
      <c r="B1120" s="659" t="s">
        <v>582</v>
      </c>
      <c r="C1120" s="659"/>
      <c r="D1120" s="659"/>
      <c r="E1120" s="656"/>
      <c r="F1120" s="357">
        <f>F1080+F1085+F1091+F1098+F1105+F1112</f>
        <v>-90552759.700333446</v>
      </c>
      <c r="G1120" s="357">
        <f t="shared" ref="G1120:N1120" si="228">G1080+G1085+G1091+G1098+G1105+G1112</f>
        <v>0</v>
      </c>
      <c r="H1120" s="357">
        <f t="shared" si="228"/>
        <v>0</v>
      </c>
      <c r="I1120" s="357">
        <f t="shared" si="228"/>
        <v>0</v>
      </c>
      <c r="J1120" s="357">
        <f>J1080+J1085+J1091+J1098+J1105+J1112</f>
        <v>0</v>
      </c>
      <c r="K1120" s="357">
        <f t="shared" ref="K1120" si="229">K1080+K1085+K1091+K1098+K1105+K1112</f>
        <v>0</v>
      </c>
      <c r="L1120" s="357">
        <f t="shared" si="228"/>
        <v>0</v>
      </c>
      <c r="M1120" s="357">
        <f t="shared" si="228"/>
        <v>0</v>
      </c>
      <c r="N1120" s="357">
        <f t="shared" si="228"/>
        <v>0</v>
      </c>
      <c r="O1120" s="357">
        <f>O1080+O1085+O1091+O1098+O1105+O1112</f>
        <v>0</v>
      </c>
      <c r="P1120" s="357">
        <f t="shared" ref="P1120:R1120" si="230">P1080+P1085+P1091+P1098+P1105+P1112</f>
        <v>0</v>
      </c>
      <c r="Q1120" s="357">
        <f t="shared" si="230"/>
        <v>0</v>
      </c>
      <c r="R1120" s="357">
        <f t="shared" si="230"/>
        <v>0</v>
      </c>
      <c r="S1120" s="657">
        <f>S1080+S1085+S1091+S1098+S1105+S1112</f>
        <v>-90552759.700333446</v>
      </c>
      <c r="T1120" s="357"/>
      <c r="U1120" s="657">
        <f>U1080+U1085+U1091+U1098+U1105+U1112</f>
        <v>-90552759.700333446</v>
      </c>
      <c r="V1120" s="657">
        <f>+U1120-'ROR-Model'!G1140</f>
        <v>0</v>
      </c>
    </row>
    <row r="1121" spans="1:22">
      <c r="A1121" s="660"/>
      <c r="B1121" s="659" t="s">
        <v>584</v>
      </c>
      <c r="C1121" s="659"/>
      <c r="D1121" s="659"/>
      <c r="E1121" s="656"/>
      <c r="F1121" s="357">
        <f>F1081+F1092+F1099+F1106+F1113</f>
        <v>231149820.07749996</v>
      </c>
      <c r="G1121" s="357">
        <f t="shared" ref="G1121:N1121" si="231">G1081+G1092+G1099+G1106+G1113</f>
        <v>0</v>
      </c>
      <c r="H1121" s="357">
        <f t="shared" si="231"/>
        <v>0</v>
      </c>
      <c r="I1121" s="357">
        <f t="shared" si="231"/>
        <v>0</v>
      </c>
      <c r="J1121" s="357">
        <f>J1081+J1092+J1099+J1106+J1113</f>
        <v>0</v>
      </c>
      <c r="K1121" s="357">
        <f t="shared" ref="K1121" si="232">K1081+K1092+K1099+K1106+K1113</f>
        <v>0</v>
      </c>
      <c r="L1121" s="357">
        <f t="shared" si="231"/>
        <v>0</v>
      </c>
      <c r="M1121" s="357">
        <f t="shared" si="231"/>
        <v>0</v>
      </c>
      <c r="N1121" s="357">
        <f t="shared" si="231"/>
        <v>0</v>
      </c>
      <c r="O1121" s="357">
        <f>O1081+O1092+O1099+O1106+O1113</f>
        <v>0</v>
      </c>
      <c r="P1121" s="357">
        <f t="shared" ref="P1121:R1121" si="233">P1081+P1092+P1099+P1106+P1113</f>
        <v>0</v>
      </c>
      <c r="Q1121" s="357">
        <f t="shared" si="233"/>
        <v>0</v>
      </c>
      <c r="R1121" s="357">
        <f t="shared" si="233"/>
        <v>0</v>
      </c>
      <c r="S1121" s="657">
        <f>S1081+S1092+S1099+S1106+S1113</f>
        <v>231149820.07749996</v>
      </c>
      <c r="T1121" s="357"/>
      <c r="U1121" s="657">
        <f>U1081+U1092+U1099+U1106+U1113</f>
        <v>231149820.07749996</v>
      </c>
      <c r="V1121" s="657">
        <f>+U1121-'ROR-Model'!G1141</f>
        <v>0</v>
      </c>
    </row>
    <row r="1122" spans="1:22" ht="13.5" thickBot="1">
      <c r="A1122" s="660"/>
      <c r="B1122" s="659"/>
      <c r="C1122" s="659"/>
      <c r="D1122" s="659"/>
      <c r="E1122" s="656"/>
      <c r="F1122" s="579"/>
      <c r="G1122" s="579"/>
      <c r="H1122" s="579"/>
      <c r="I1122" s="579"/>
      <c r="J1122" s="579"/>
      <c r="K1122" s="579"/>
      <c r="L1122" s="579"/>
      <c r="M1122" s="579"/>
      <c r="N1122" s="579"/>
      <c r="O1122" s="579"/>
      <c r="P1122" s="579"/>
      <c r="Q1122" s="579"/>
      <c r="R1122" s="579"/>
      <c r="S1122" s="663"/>
      <c r="T1122" s="579"/>
      <c r="U1122" s="663"/>
      <c r="V1122" s="663">
        <f>+U1122-'ROR-Model'!G1142</f>
        <v>0</v>
      </c>
    </row>
    <row r="1123" spans="1:22" ht="13.5" thickTop="1">
      <c r="A1123" s="660"/>
      <c r="B1123" s="659"/>
      <c r="C1123" s="659"/>
      <c r="D1123" s="659"/>
      <c r="E1123" s="656"/>
      <c r="F1123" s="357"/>
      <c r="G1123" s="357"/>
      <c r="H1123" s="357"/>
      <c r="I1123" s="357"/>
      <c r="J1123" s="357"/>
      <c r="K1123" s="357"/>
      <c r="L1123" s="357"/>
      <c r="M1123" s="357"/>
      <c r="N1123" s="357"/>
      <c r="O1123" s="357"/>
      <c r="P1123" s="357"/>
      <c r="Q1123" s="357"/>
      <c r="R1123" s="357"/>
      <c r="S1123" s="657"/>
      <c r="T1123" s="357"/>
      <c r="U1123" s="657"/>
      <c r="V1123" s="657">
        <f>+U1123-'ROR-Model'!G1143</f>
        <v>0</v>
      </c>
    </row>
    <row r="1124" spans="1:22">
      <c r="A1124" s="660"/>
      <c r="B1124" s="197" t="s">
        <v>651</v>
      </c>
      <c r="C1124" s="659"/>
      <c r="D1124" s="659"/>
      <c r="E1124" s="656"/>
      <c r="F1124" s="357">
        <f>F1082+F1086+F1093+F1100+F1107+F1114</f>
        <v>143935856.63191652</v>
      </c>
      <c r="G1124" s="357">
        <f t="shared" ref="G1124:N1124" si="234">G1082+G1086+G1093+G1100+G1107+G1114</f>
        <v>0</v>
      </c>
      <c r="H1124" s="357">
        <f t="shared" si="234"/>
        <v>0</v>
      </c>
      <c r="I1124" s="357">
        <f t="shared" si="234"/>
        <v>-287796.48394874961</v>
      </c>
      <c r="J1124" s="357">
        <f>J1082+J1086+J1093+J1100+J1107+J1114</f>
        <v>0</v>
      </c>
      <c r="K1124" s="357">
        <f t="shared" ref="K1124" si="235">K1082+K1086+K1093+K1100+K1107+K1114</f>
        <v>0</v>
      </c>
      <c r="L1124" s="357">
        <f t="shared" si="234"/>
        <v>0</v>
      </c>
      <c r="M1124" s="357">
        <f t="shared" si="234"/>
        <v>0</v>
      </c>
      <c r="N1124" s="357">
        <f t="shared" si="234"/>
        <v>0</v>
      </c>
      <c r="O1124" s="357">
        <f>O1082+O1086+O1093+O1100+O1107+O1114</f>
        <v>0</v>
      </c>
      <c r="P1124" s="357">
        <f t="shared" ref="P1124:R1124" si="236">P1082+P1086+P1093+P1100+P1107+P1114</f>
        <v>0</v>
      </c>
      <c r="Q1124" s="357">
        <f t="shared" si="236"/>
        <v>0</v>
      </c>
      <c r="R1124" s="357">
        <f t="shared" si="236"/>
        <v>0</v>
      </c>
      <c r="S1124" s="748">
        <f>S1082+S1086+S1093+S1100+S1107+S1114</f>
        <v>143648060.14796776</v>
      </c>
      <c r="T1124" s="357"/>
      <c r="U1124" s="657">
        <f>U1082+U1086+U1093+U1100+U1107+U1114</f>
        <v>143648060.14796776</v>
      </c>
      <c r="V1124" s="657">
        <f>+U1124-'ROR-Model'!G1144</f>
        <v>0</v>
      </c>
    </row>
    <row r="1125" spans="1:22">
      <c r="A1125" s="660"/>
      <c r="B1125" s="659"/>
      <c r="C1125" s="659"/>
      <c r="D1125" s="659"/>
      <c r="E1125" s="656"/>
      <c r="F1125" s="357"/>
      <c r="G1125" s="357"/>
      <c r="H1125" s="357"/>
      <c r="I1125" s="357"/>
      <c r="J1125" s="390"/>
      <c r="K1125" s="390"/>
      <c r="L1125" s="357"/>
      <c r="M1125" s="357"/>
      <c r="N1125" s="357"/>
      <c r="O1125" s="357"/>
      <c r="P1125" s="357"/>
      <c r="Q1125" s="390"/>
      <c r="R1125" s="390"/>
      <c r="S1125" s="657"/>
      <c r="T1125" s="357"/>
      <c r="U1125" s="657"/>
      <c r="V1125" s="657">
        <f>+U1125-'ROR-Model'!G1145</f>
        <v>0</v>
      </c>
    </row>
    <row r="1126" spans="1:22">
      <c r="A1126" s="660"/>
      <c r="B1126" s="659"/>
      <c r="C1126" s="659"/>
      <c r="D1126" s="659"/>
      <c r="E1126" s="656"/>
      <c r="F1126" s="357"/>
      <c r="G1126" s="357"/>
      <c r="H1126" s="357"/>
      <c r="I1126" s="357"/>
      <c r="J1126" s="390"/>
      <c r="K1126" s="390"/>
      <c r="L1126" s="357"/>
      <c r="M1126" s="357"/>
      <c r="N1126" s="357"/>
      <c r="O1126" s="357"/>
      <c r="P1126" s="357"/>
      <c r="Q1126" s="390"/>
      <c r="R1126" s="390"/>
      <c r="S1126" s="657"/>
      <c r="T1126" s="357"/>
      <c r="U1126" s="657"/>
      <c r="V1126" s="657">
        <f>+U1126-'ROR-Model'!G1146</f>
        <v>0</v>
      </c>
    </row>
    <row r="1127" spans="1:22">
      <c r="A1127" s="189" t="s">
        <v>293</v>
      </c>
      <c r="B1127" s="659"/>
      <c r="C1127" s="659"/>
      <c r="D1127" s="659"/>
      <c r="E1127" s="656"/>
      <c r="F1127" s="357"/>
      <c r="G1127" s="357"/>
      <c r="H1127" s="357"/>
      <c r="I1127" s="357"/>
      <c r="J1127" s="390"/>
      <c r="K1127" s="390"/>
      <c r="L1127" s="357"/>
      <c r="M1127" s="357"/>
      <c r="N1127" s="357"/>
      <c r="O1127" s="357"/>
      <c r="P1127" s="357"/>
      <c r="Q1127" s="390"/>
      <c r="R1127" s="390"/>
      <c r="S1127" s="657"/>
      <c r="T1127" s="357"/>
      <c r="U1127" s="657"/>
      <c r="V1127" s="657">
        <f>+U1127-'ROR-Model'!G1147</f>
        <v>0</v>
      </c>
    </row>
    <row r="1128" spans="1:22">
      <c r="A1128" s="660"/>
      <c r="B1128" s="659"/>
      <c r="C1128" s="659"/>
      <c r="D1128" s="659"/>
      <c r="E1128" s="2"/>
      <c r="F1128" s="357"/>
      <c r="G1128" s="357"/>
      <c r="H1128" s="357"/>
      <c r="I1128" s="357"/>
      <c r="J1128" s="390"/>
      <c r="K1128" s="390"/>
      <c r="L1128" s="357"/>
      <c r="M1128" s="357"/>
      <c r="N1128" s="357"/>
      <c r="O1128" s="357"/>
      <c r="P1128" s="357"/>
      <c r="Q1128" s="390"/>
      <c r="R1128" s="390"/>
      <c r="S1128" s="657"/>
      <c r="T1128" s="357"/>
      <c r="U1128" s="657"/>
      <c r="V1128" s="657">
        <f>+U1128-'ROR-Model'!G1148</f>
        <v>0</v>
      </c>
    </row>
    <row r="1129" spans="1:22">
      <c r="A1129" s="391">
        <v>154</v>
      </c>
      <c r="B1129" s="323" t="s">
        <v>294</v>
      </c>
      <c r="C1129" s="323"/>
      <c r="D1129" s="659"/>
      <c r="E1129" s="2"/>
      <c r="F1129" s="357"/>
      <c r="G1129" s="357"/>
      <c r="H1129" s="357"/>
      <c r="I1129" s="357"/>
      <c r="J1129" s="390"/>
      <c r="K1129" s="390"/>
      <c r="L1129" s="357"/>
      <c r="M1129" s="357"/>
      <c r="N1129" s="357"/>
      <c r="O1129" s="357"/>
      <c r="P1129" s="357"/>
      <c r="Q1129" s="390"/>
      <c r="R1129" s="390"/>
      <c r="S1129" s="657"/>
      <c r="T1129" s="357"/>
      <c r="U1129" s="657"/>
      <c r="V1129" s="657">
        <f>+U1129-'ROR-Model'!G1149</f>
        <v>0</v>
      </c>
    </row>
    <row r="1130" spans="1:22">
      <c r="A1130" s="391"/>
      <c r="B1130" s="323"/>
      <c r="C1130" s="323" t="s">
        <v>581</v>
      </c>
      <c r="D1130" s="659"/>
      <c r="E1130" s="2"/>
      <c r="F1130" s="357">
        <f>'Rate Base'!$AD$198*F1</f>
        <v>24091.935429131147</v>
      </c>
      <c r="G1130" s="357"/>
      <c r="H1130" s="357"/>
      <c r="I1130" s="357"/>
      <c r="J1130" s="390"/>
      <c r="K1130" s="390"/>
      <c r="L1130" s="357"/>
      <c r="M1130" s="357"/>
      <c r="N1130" s="357"/>
      <c r="O1130" s="357"/>
      <c r="P1130" s="357"/>
      <c r="Q1130" s="390"/>
      <c r="R1130" s="390"/>
      <c r="S1130" s="657">
        <f>SUM(F1130:R1130)</f>
        <v>24091.935429131147</v>
      </c>
      <c r="T1130" s="357"/>
      <c r="U1130" s="657">
        <f>SUM(S1130:S1130)</f>
        <v>24091.935429131147</v>
      </c>
      <c r="V1130" s="657">
        <f>+U1130-'ROR-Model'!G1150</f>
        <v>0</v>
      </c>
    </row>
    <row r="1131" spans="1:22">
      <c r="A1131" s="391"/>
      <c r="B1131" s="323"/>
      <c r="C1131" s="323" t="s">
        <v>582</v>
      </c>
      <c r="D1131" s="659"/>
      <c r="E1131" s="2"/>
      <c r="F1131" s="357">
        <f>'Rate Base'!$AD$199*F1</f>
        <v>714502.01540419832</v>
      </c>
      <c r="G1131" s="357"/>
      <c r="H1131" s="357"/>
      <c r="I1131" s="357"/>
      <c r="J1131" s="390"/>
      <c r="K1131" s="390"/>
      <c r="L1131" s="357"/>
      <c r="M1131" s="357"/>
      <c r="N1131" s="357"/>
      <c r="O1131" s="357"/>
      <c r="P1131" s="357"/>
      <c r="Q1131" s="390"/>
      <c r="R1131" s="390"/>
      <c r="S1131" s="657">
        <f>SUM(F1131:R1131)</f>
        <v>714502.01540419832</v>
      </c>
      <c r="T1131" s="357"/>
      <c r="U1131" s="657">
        <f>SUM(S1131:S1131)</f>
        <v>714502.01540419832</v>
      </c>
      <c r="V1131" s="657">
        <f>+U1131-'ROR-Model'!G1151</f>
        <v>0</v>
      </c>
    </row>
    <row r="1132" spans="1:22">
      <c r="A1132" s="391"/>
      <c r="B1132" s="323"/>
      <c r="C1132" s="323" t="s">
        <v>160</v>
      </c>
      <c r="D1132" s="659"/>
      <c r="E1132" s="2"/>
      <c r="F1132" s="388">
        <f>SUM(F1130:F1131)</f>
        <v>738593.95083332947</v>
      </c>
      <c r="G1132" s="388">
        <f>G1*SUM(G1130:G1131)</f>
        <v>0</v>
      </c>
      <c r="H1132" s="388">
        <f>SUM(H1130:H1131)</f>
        <v>0</v>
      </c>
      <c r="I1132" s="388">
        <f t="shared" ref="I1132:P1132" si="237">SUM(I1130:I1131)</f>
        <v>0</v>
      </c>
      <c r="J1132" s="585">
        <f>SUM(J1130:J1131)</f>
        <v>0</v>
      </c>
      <c r="K1132" s="585">
        <f>SUM(K1130:K1131)</f>
        <v>0</v>
      </c>
      <c r="L1132" s="388">
        <f t="shared" si="237"/>
        <v>0</v>
      </c>
      <c r="M1132" s="388">
        <f t="shared" si="237"/>
        <v>0</v>
      </c>
      <c r="N1132" s="388">
        <f t="shared" si="237"/>
        <v>0</v>
      </c>
      <c r="O1132" s="388">
        <f t="shared" si="237"/>
        <v>0</v>
      </c>
      <c r="P1132" s="388">
        <f t="shared" si="237"/>
        <v>0</v>
      </c>
      <c r="Q1132" s="585">
        <f>SUM(Q1130:Q1131)</f>
        <v>0</v>
      </c>
      <c r="R1132" s="585">
        <f>SUM(R1130:R1131)</f>
        <v>0</v>
      </c>
      <c r="S1132" s="661">
        <f>SUM(S1130:S1131)</f>
        <v>738593.95083332947</v>
      </c>
      <c r="T1132" s="388"/>
      <c r="U1132" s="661">
        <f>SUM(U1130:U1131)</f>
        <v>738593.95083332947</v>
      </c>
      <c r="V1132" s="661">
        <f>+U1132-'ROR-Model'!G1152</f>
        <v>0</v>
      </c>
    </row>
    <row r="1133" spans="1:22">
      <c r="A1133" s="668"/>
      <c r="B1133" s="659"/>
      <c r="C1133" s="659"/>
      <c r="D1133" s="659"/>
      <c r="E1133" s="2"/>
      <c r="F1133" s="357"/>
      <c r="G1133" s="357"/>
      <c r="H1133" s="357"/>
      <c r="I1133" s="357"/>
      <c r="J1133" s="390"/>
      <c r="K1133" s="390"/>
      <c r="L1133" s="357"/>
      <c r="M1133" s="357"/>
      <c r="N1133" s="357"/>
      <c r="O1133" s="357"/>
      <c r="P1133" s="357"/>
      <c r="Q1133" s="390"/>
      <c r="R1133" s="390"/>
      <c r="S1133" s="657"/>
      <c r="T1133" s="357"/>
      <c r="U1133" s="657"/>
      <c r="V1133" s="657">
        <f>+U1133-'ROR-Model'!G1153</f>
        <v>0</v>
      </c>
    </row>
    <row r="1134" spans="1:22">
      <c r="A1134" s="668">
        <v>1641</v>
      </c>
      <c r="B1134" s="659" t="s">
        <v>295</v>
      </c>
      <c r="C1134" s="659"/>
      <c r="D1134" s="659"/>
      <c r="E1134" s="2"/>
      <c r="F1134" s="357"/>
      <c r="G1134" s="357"/>
      <c r="H1134" s="357"/>
      <c r="I1134" s="357"/>
      <c r="J1134" s="390"/>
      <c r="K1134" s="390"/>
      <c r="L1134" s="357"/>
      <c r="M1134" s="357"/>
      <c r="N1134" s="357"/>
      <c r="O1134" s="357"/>
      <c r="P1134" s="357"/>
      <c r="Q1134" s="390"/>
      <c r="R1134" s="390"/>
      <c r="S1134" s="657"/>
      <c r="T1134" s="357"/>
      <c r="U1134" s="657"/>
      <c r="V1134" s="657">
        <f>+U1134-'ROR-Model'!G1154</f>
        <v>0</v>
      </c>
    </row>
    <row r="1135" spans="1:22">
      <c r="A1135" s="668"/>
      <c r="B1135" s="659"/>
      <c r="C1135" s="659" t="s">
        <v>427</v>
      </c>
      <c r="D1135" s="659"/>
      <c r="E1135" s="2"/>
      <c r="F1135" s="357">
        <f>'Rate Base'!$AD$203*F1</f>
        <v>0</v>
      </c>
      <c r="G1135" s="357"/>
      <c r="H1135" s="357">
        <f>'Und Stor'!D27*Adjustments!H1</f>
        <v>-52891066.75</v>
      </c>
      <c r="I1135" s="357"/>
      <c r="J1135" s="390"/>
      <c r="K1135" s="390"/>
      <c r="L1135" s="357"/>
      <c r="M1135" s="357"/>
      <c r="N1135" s="357"/>
      <c r="O1135" s="357"/>
      <c r="P1135" s="357"/>
      <c r="Q1135" s="390"/>
      <c r="R1135" s="390"/>
      <c r="S1135" s="657">
        <f>SUM(F1135:R1135)</f>
        <v>-52891066.75</v>
      </c>
      <c r="T1135" s="357"/>
      <c r="U1135" s="657">
        <f>SUM(S1135:S1135)</f>
        <v>-52891066.75</v>
      </c>
      <c r="V1135" s="657">
        <f>+U1135-'ROR-Model'!G1155</f>
        <v>0</v>
      </c>
    </row>
    <row r="1136" spans="1:22">
      <c r="A1136" s="668"/>
      <c r="B1136" s="659"/>
      <c r="C1136" s="659" t="s">
        <v>160</v>
      </c>
      <c r="D1136" s="659"/>
      <c r="E1136" s="2"/>
      <c r="F1136" s="388">
        <f>SUM(F1135)</f>
        <v>0</v>
      </c>
      <c r="G1136" s="388">
        <f>G1*SUM(G1135)</f>
        <v>0</v>
      </c>
      <c r="H1136" s="388">
        <f>SUM(H1135)</f>
        <v>-52891066.75</v>
      </c>
      <c r="I1136" s="388">
        <f t="shared" ref="I1136:Q1136" si="238">SUM(I1135)</f>
        <v>0</v>
      </c>
      <c r="J1136" s="585">
        <f>SUM(J1135)</f>
        <v>0</v>
      </c>
      <c r="K1136" s="585">
        <f>SUM(K1135)</f>
        <v>0</v>
      </c>
      <c r="L1136" s="388">
        <f t="shared" si="238"/>
        <v>0</v>
      </c>
      <c r="M1136" s="388">
        <f t="shared" si="238"/>
        <v>0</v>
      </c>
      <c r="N1136" s="388">
        <f t="shared" si="238"/>
        <v>0</v>
      </c>
      <c r="O1136" s="388">
        <f t="shared" si="238"/>
        <v>0</v>
      </c>
      <c r="P1136" s="388">
        <f t="shared" si="238"/>
        <v>0</v>
      </c>
      <c r="Q1136" s="585">
        <f t="shared" si="238"/>
        <v>0</v>
      </c>
      <c r="R1136" s="585">
        <f>SUM(R1135)</f>
        <v>0</v>
      </c>
      <c r="S1136" s="661">
        <f>SUM(S1135)</f>
        <v>-52891066.75</v>
      </c>
      <c r="T1136" s="388"/>
      <c r="U1136" s="661">
        <f>SUM(U1135)</f>
        <v>-52891066.75</v>
      </c>
      <c r="V1136" s="661">
        <f>+U1136-'ROR-Model'!G1156</f>
        <v>0</v>
      </c>
    </row>
    <row r="1137" spans="1:22">
      <c r="A1137" s="668"/>
      <c r="B1137" s="659"/>
      <c r="C1137" s="659"/>
      <c r="D1137" s="659"/>
      <c r="E1137" s="2"/>
      <c r="F1137" s="357"/>
      <c r="G1137" s="357"/>
      <c r="H1137" s="357"/>
      <c r="I1137" s="357"/>
      <c r="J1137" s="390"/>
      <c r="K1137" s="390"/>
      <c r="L1137" s="357"/>
      <c r="M1137" s="357"/>
      <c r="N1137" s="357"/>
      <c r="O1137" s="357"/>
      <c r="P1137" s="357"/>
      <c r="Q1137" s="390"/>
      <c r="R1137" s="390"/>
      <c r="S1137" s="657"/>
      <c r="T1137" s="357"/>
      <c r="U1137" s="657"/>
      <c r="V1137" s="657">
        <f>+U1137-'ROR-Model'!G1157</f>
        <v>0</v>
      </c>
    </row>
    <row r="1138" spans="1:22">
      <c r="A1138" s="391">
        <v>165</v>
      </c>
      <c r="B1138" s="323" t="s">
        <v>296</v>
      </c>
      <c r="C1138" s="323"/>
      <c r="D1138" s="659"/>
      <c r="E1138" s="2"/>
      <c r="F1138" s="357"/>
      <c r="G1138" s="357"/>
      <c r="H1138" s="357"/>
      <c r="I1138" s="357"/>
      <c r="J1138" s="390"/>
      <c r="K1138" s="390"/>
      <c r="L1138" s="357"/>
      <c r="M1138" s="357"/>
      <c r="N1138" s="357"/>
      <c r="O1138" s="357"/>
      <c r="P1138" s="357"/>
      <c r="Q1138" s="390"/>
      <c r="R1138" s="390"/>
      <c r="S1138" s="657"/>
      <c r="T1138" s="357"/>
      <c r="U1138" s="657"/>
      <c r="V1138" s="657">
        <f>+U1138-'ROR-Model'!G1158</f>
        <v>0</v>
      </c>
    </row>
    <row r="1139" spans="1:22">
      <c r="A1139" s="391"/>
      <c r="B1139" s="323"/>
      <c r="C1139" s="323" t="s">
        <v>584</v>
      </c>
      <c r="D1139" s="659"/>
      <c r="E1139" s="2"/>
      <c r="F1139" s="357">
        <f>'Rate Base'!$AD$207*F1</f>
        <v>-276003.70500000007</v>
      </c>
      <c r="G1139" s="357"/>
      <c r="H1139" s="357"/>
      <c r="I1139" s="357"/>
      <c r="J1139" s="390"/>
      <c r="K1139" s="390"/>
      <c r="L1139" s="357"/>
      <c r="M1139" s="357"/>
      <c r="N1139" s="357"/>
      <c r="O1139" s="357"/>
      <c r="P1139" s="357"/>
      <c r="Q1139" s="390"/>
      <c r="R1139" s="390"/>
      <c r="S1139" s="657">
        <f>SUM(F1139:R1139)</f>
        <v>-276003.70500000007</v>
      </c>
      <c r="T1139" s="357"/>
      <c r="U1139" s="657">
        <f>SUM(S1139:S1139)</f>
        <v>-276003.70500000007</v>
      </c>
      <c r="V1139" s="657">
        <f>+U1139-'ROR-Model'!G1159</f>
        <v>0</v>
      </c>
    </row>
    <row r="1140" spans="1:22">
      <c r="A1140" s="391"/>
      <c r="B1140" s="323"/>
      <c r="C1140" s="323" t="s">
        <v>160</v>
      </c>
      <c r="D1140" s="659"/>
      <c r="E1140" s="2"/>
      <c r="F1140" s="388">
        <f>SUM(F1139)</f>
        <v>-276003.70500000007</v>
      </c>
      <c r="G1140" s="388">
        <f>G1*SUM(G1139)</f>
        <v>0</v>
      </c>
      <c r="H1140" s="388">
        <f>SUM(H1139)</f>
        <v>0</v>
      </c>
      <c r="I1140" s="388">
        <f t="shared" ref="I1140:Q1140" si="239">SUM(I1139)</f>
        <v>0</v>
      </c>
      <c r="J1140" s="585">
        <f>SUM(J1139)</f>
        <v>0</v>
      </c>
      <c r="K1140" s="585">
        <f>SUM(K1139)</f>
        <v>0</v>
      </c>
      <c r="L1140" s="388">
        <f t="shared" si="239"/>
        <v>0</v>
      </c>
      <c r="M1140" s="388">
        <f t="shared" si="239"/>
        <v>0</v>
      </c>
      <c r="N1140" s="388">
        <f t="shared" si="239"/>
        <v>0</v>
      </c>
      <c r="O1140" s="388">
        <f t="shared" si="239"/>
        <v>0</v>
      </c>
      <c r="P1140" s="388">
        <f t="shared" si="239"/>
        <v>0</v>
      </c>
      <c r="Q1140" s="585">
        <f t="shared" si="239"/>
        <v>0</v>
      </c>
      <c r="R1140" s="585">
        <f>SUM(R1139)</f>
        <v>0</v>
      </c>
      <c r="S1140" s="661">
        <f>SUM(S1139)</f>
        <v>-276003.70500000007</v>
      </c>
      <c r="T1140" s="388"/>
      <c r="U1140" s="661">
        <f>SUM(U1139)</f>
        <v>-276003.70500000007</v>
      </c>
      <c r="V1140" s="661">
        <f>+U1140-'ROR-Model'!G1160</f>
        <v>0</v>
      </c>
    </row>
    <row r="1141" spans="1:22">
      <c r="A1141" s="668"/>
      <c r="B1141" s="659"/>
      <c r="C1141" s="659"/>
      <c r="D1141" s="659"/>
      <c r="E1141" s="2"/>
      <c r="F1141" s="357"/>
      <c r="G1141" s="357"/>
      <c r="H1141" s="357"/>
      <c r="I1141" s="357"/>
      <c r="J1141" s="390"/>
      <c r="K1141" s="390"/>
      <c r="L1141" s="357"/>
      <c r="M1141" s="357"/>
      <c r="N1141" s="357"/>
      <c r="O1141" s="357"/>
      <c r="P1141" s="357"/>
      <c r="Q1141" s="390"/>
      <c r="R1141" s="390"/>
      <c r="S1141" s="657"/>
      <c r="T1141" s="357"/>
      <c r="U1141" s="657"/>
      <c r="V1141" s="657">
        <f>+U1141-'ROR-Model'!G1161</f>
        <v>0</v>
      </c>
    </row>
    <row r="1142" spans="1:22">
      <c r="A1142" s="678" t="s">
        <v>289</v>
      </c>
      <c r="B1142" s="671" t="s">
        <v>291</v>
      </c>
      <c r="C1142" s="662"/>
      <c r="D1142" s="662"/>
      <c r="E1142" s="2"/>
      <c r="F1142" s="357"/>
      <c r="G1142" s="357"/>
      <c r="H1142" s="357"/>
      <c r="I1142" s="357"/>
      <c r="J1142" s="390"/>
      <c r="K1142" s="390"/>
      <c r="L1142" s="357"/>
      <c r="M1142" s="357"/>
      <c r="N1142" s="357"/>
      <c r="O1142" s="357"/>
      <c r="P1142" s="357"/>
      <c r="Q1142" s="390"/>
      <c r="R1142" s="390"/>
      <c r="S1142" s="657"/>
      <c r="T1142" s="357"/>
      <c r="U1142" s="657"/>
      <c r="V1142" s="657">
        <f>+U1142-'ROR-Model'!G1162</f>
        <v>0</v>
      </c>
    </row>
    <row r="1143" spans="1:22">
      <c r="A1143" s="679"/>
      <c r="B1143" s="662"/>
      <c r="C1143" s="662" t="s">
        <v>427</v>
      </c>
      <c r="D1143" s="662"/>
      <c r="E1143" s="2"/>
      <c r="F1143" s="357">
        <f>'Rate Base'!$AD$211*$F$1</f>
        <v>0</v>
      </c>
      <c r="G1143" s="357"/>
      <c r="H1143" s="357"/>
      <c r="I1143" s="357"/>
      <c r="J1143" s="390"/>
      <c r="K1143" s="390"/>
      <c r="L1143" s="357"/>
      <c r="M1143" s="357"/>
      <c r="N1143" s="357"/>
      <c r="O1143" s="357"/>
      <c r="P1143" s="357"/>
      <c r="Q1143" s="390"/>
      <c r="R1143" s="390"/>
      <c r="S1143" s="657">
        <f>SUM(F1143:R1143)</f>
        <v>0</v>
      </c>
      <c r="T1143" s="357"/>
      <c r="U1143" s="657">
        <f>SUM(S1143:S1143)</f>
        <v>0</v>
      </c>
      <c r="V1143" s="657">
        <f>+U1143-'ROR-Model'!G1163</f>
        <v>0</v>
      </c>
    </row>
    <row r="1144" spans="1:22">
      <c r="A1144" s="679"/>
      <c r="B1144" s="662"/>
      <c r="C1144" s="662" t="s">
        <v>581</v>
      </c>
      <c r="D1144" s="662"/>
      <c r="E1144" s="2"/>
      <c r="F1144" s="357">
        <f>'Rate Base'!$AD$212*$F$1</f>
        <v>-1755838.0441708355</v>
      </c>
      <c r="G1144" s="357"/>
      <c r="H1144" s="357"/>
      <c r="I1144" s="357"/>
      <c r="J1144" s="390"/>
      <c r="K1144" s="390"/>
      <c r="L1144" s="357"/>
      <c r="M1144" s="357"/>
      <c r="N1144" s="357"/>
      <c r="O1144" s="357"/>
      <c r="P1144" s="357"/>
      <c r="Q1144" s="390"/>
      <c r="R1144" s="390"/>
      <c r="S1144" s="657">
        <f>SUM(F1144:R1144)</f>
        <v>-1755838.0441708355</v>
      </c>
      <c r="T1144" s="357"/>
      <c r="U1144" s="657">
        <f>SUM(S1144:S1144)</f>
        <v>-1755838.0441708355</v>
      </c>
      <c r="V1144" s="657">
        <f>+U1144-'ROR-Model'!G1164</f>
        <v>0</v>
      </c>
    </row>
    <row r="1145" spans="1:22">
      <c r="A1145" s="679"/>
      <c r="B1145" s="662"/>
      <c r="C1145" s="662" t="s">
        <v>582</v>
      </c>
      <c r="D1145" s="662"/>
      <c r="E1145" s="2"/>
      <c r="F1145" s="357">
        <f>'Rate Base'!$AD$213*$F$1</f>
        <v>-53286106.914162494</v>
      </c>
      <c r="G1145" s="357"/>
      <c r="H1145" s="357"/>
      <c r="I1145" s="357"/>
      <c r="J1145" s="390"/>
      <c r="K1145" s="390"/>
      <c r="L1145" s="357"/>
      <c r="M1145" s="357"/>
      <c r="N1145" s="357"/>
      <c r="O1145" s="357"/>
      <c r="P1145" s="357"/>
      <c r="Q1145" s="390"/>
      <c r="R1145" s="390"/>
      <c r="S1145" s="657">
        <f>SUM(F1145:R1145)</f>
        <v>-53286106.914162494</v>
      </c>
      <c r="T1145" s="357"/>
      <c r="U1145" s="657">
        <f>SUM(S1145:S1145)</f>
        <v>-53286106.914162494</v>
      </c>
      <c r="V1145" s="657">
        <f>+U1145-'ROR-Model'!G1165</f>
        <v>0</v>
      </c>
    </row>
    <row r="1146" spans="1:22">
      <c r="A1146" s="679"/>
      <c r="B1146" s="662"/>
      <c r="C1146" s="662" t="s">
        <v>584</v>
      </c>
      <c r="D1146" s="662"/>
      <c r="E1146" s="2"/>
      <c r="F1146" s="357">
        <f>'Rate Base'!$AD$214*$F$1</f>
        <v>0</v>
      </c>
      <c r="G1146" s="357"/>
      <c r="H1146" s="357"/>
      <c r="I1146" s="357"/>
      <c r="J1146" s="390"/>
      <c r="K1146" s="390"/>
      <c r="L1146" s="357"/>
      <c r="M1146" s="357"/>
      <c r="N1146" s="357"/>
      <c r="O1146" s="357"/>
      <c r="P1146" s="357"/>
      <c r="Q1146" s="390"/>
      <c r="R1146" s="390"/>
      <c r="S1146" s="657">
        <f>SUM(F1146:R1146)</f>
        <v>0</v>
      </c>
      <c r="T1146" s="357"/>
      <c r="U1146" s="657">
        <f>SUM(S1146:S1146)</f>
        <v>0</v>
      </c>
      <c r="V1146" s="657">
        <f>+U1146-'ROR-Model'!G1166</f>
        <v>0</v>
      </c>
    </row>
    <row r="1147" spans="1:22">
      <c r="A1147" s="679"/>
      <c r="B1147" s="662"/>
      <c r="C1147" s="662" t="s">
        <v>160</v>
      </c>
      <c r="D1147" s="662"/>
      <c r="E1147" s="2"/>
      <c r="F1147" s="388">
        <f>SUM(F1143:F1146)</f>
        <v>-55041944.958333328</v>
      </c>
      <c r="G1147" s="388">
        <f>G1*SUM(G1143:G1146)</f>
        <v>0</v>
      </c>
      <c r="H1147" s="388">
        <f>SUM(H1143:H1146)</f>
        <v>0</v>
      </c>
      <c r="I1147" s="388">
        <f t="shared" ref="I1147:P1147" si="240">SUM(I1143:I1146)</f>
        <v>0</v>
      </c>
      <c r="J1147" s="585">
        <f>SUM(J1143:J1146)</f>
        <v>0</v>
      </c>
      <c r="K1147" s="585">
        <f>SUM(K1143:K1146)</f>
        <v>0</v>
      </c>
      <c r="L1147" s="388">
        <f t="shared" si="240"/>
        <v>0</v>
      </c>
      <c r="M1147" s="388">
        <f t="shared" si="240"/>
        <v>0</v>
      </c>
      <c r="N1147" s="388">
        <f t="shared" si="240"/>
        <v>0</v>
      </c>
      <c r="O1147" s="388">
        <f t="shared" si="240"/>
        <v>0</v>
      </c>
      <c r="P1147" s="388">
        <f t="shared" si="240"/>
        <v>0</v>
      </c>
      <c r="Q1147" s="585">
        <f>SUM(Q1143:Q1146)</f>
        <v>0</v>
      </c>
      <c r="R1147" s="585">
        <f>SUM(R1143:R1146)</f>
        <v>0</v>
      </c>
      <c r="S1147" s="661">
        <f>SUM(S1143:S1146)</f>
        <v>-55041944.958333328</v>
      </c>
      <c r="T1147" s="388"/>
      <c r="U1147" s="661">
        <f>SUM(U1143:U1146)</f>
        <v>-55041944.958333328</v>
      </c>
      <c r="V1147" s="661">
        <f>+U1147-'ROR-Model'!G1167</f>
        <v>0</v>
      </c>
    </row>
    <row r="1148" spans="1:22">
      <c r="A1148" s="679"/>
      <c r="B1148" s="662"/>
      <c r="C1148" s="662"/>
      <c r="D1148" s="662"/>
      <c r="E1148" s="2"/>
      <c r="F1148" s="357"/>
      <c r="G1148" s="357"/>
      <c r="H1148" s="357"/>
      <c r="I1148" s="357"/>
      <c r="J1148" s="390"/>
      <c r="K1148" s="390"/>
      <c r="L1148" s="357"/>
      <c r="M1148" s="357"/>
      <c r="N1148" s="357"/>
      <c r="O1148" s="357"/>
      <c r="P1148" s="357"/>
      <c r="Q1148" s="390"/>
      <c r="R1148" s="390"/>
      <c r="S1148" s="657"/>
      <c r="T1148" s="357"/>
      <c r="U1148" s="657"/>
      <c r="V1148" s="657">
        <f>+U1148-'ROR-Model'!G1168</f>
        <v>0</v>
      </c>
    </row>
    <row r="1149" spans="1:22">
      <c r="A1149" s="678" t="s">
        <v>290</v>
      </c>
      <c r="B1149" s="671" t="s">
        <v>292</v>
      </c>
      <c r="C1149" s="662"/>
      <c r="D1149" s="662"/>
      <c r="E1149" s="2"/>
      <c r="F1149" s="357"/>
      <c r="G1149" s="357"/>
      <c r="H1149" s="357"/>
      <c r="I1149" s="357"/>
      <c r="J1149" s="390"/>
      <c r="K1149" s="390"/>
      <c r="L1149" s="357"/>
      <c r="M1149" s="357"/>
      <c r="N1149" s="357"/>
      <c r="O1149" s="357"/>
      <c r="P1149" s="357"/>
      <c r="Q1149" s="390"/>
      <c r="R1149" s="390"/>
      <c r="S1149" s="657"/>
      <c r="T1149" s="357"/>
      <c r="U1149" s="657"/>
      <c r="V1149" s="657">
        <f>+U1149-'ROR-Model'!G1169</f>
        <v>0</v>
      </c>
    </row>
    <row r="1150" spans="1:22">
      <c r="A1150" s="679"/>
      <c r="B1150" s="662"/>
      <c r="C1150" s="662" t="s">
        <v>427</v>
      </c>
      <c r="D1150" s="662"/>
      <c r="E1150" s="2"/>
      <c r="F1150" s="357">
        <f>'Rate Base'!$AD$218*$F$1</f>
        <v>0</v>
      </c>
      <c r="G1150" s="357"/>
      <c r="H1150" s="357"/>
      <c r="I1150" s="357"/>
      <c r="J1150" s="390"/>
      <c r="K1150" s="390"/>
      <c r="L1150" s="357"/>
      <c r="M1150" s="357"/>
      <c r="N1150" s="357"/>
      <c r="O1150" s="357"/>
      <c r="P1150" s="357"/>
      <c r="Q1150" s="390"/>
      <c r="R1150" s="390"/>
      <c r="S1150" s="657">
        <f>SUM(F1150:R1150)</f>
        <v>0</v>
      </c>
      <c r="T1150" s="357"/>
      <c r="U1150" s="657">
        <f>SUM(S1150:S1150)</f>
        <v>0</v>
      </c>
      <c r="V1150" s="657">
        <f>+U1150-'ROR-Model'!G1170</f>
        <v>0</v>
      </c>
    </row>
    <row r="1151" spans="1:22">
      <c r="A1151" s="679"/>
      <c r="B1151" s="662"/>
      <c r="C1151" s="662" t="s">
        <v>581</v>
      </c>
      <c r="D1151" s="662"/>
      <c r="E1151" s="2"/>
      <c r="F1151" s="357">
        <f>'Rate Base'!$AD$219*$F$1</f>
        <v>0</v>
      </c>
      <c r="G1151" s="357"/>
      <c r="H1151" s="357"/>
      <c r="I1151" s="357"/>
      <c r="J1151" s="390"/>
      <c r="K1151" s="390"/>
      <c r="L1151" s="357"/>
      <c r="M1151" s="357"/>
      <c r="N1151" s="357"/>
      <c r="O1151" s="357"/>
      <c r="P1151" s="357"/>
      <c r="Q1151" s="390"/>
      <c r="R1151" s="390"/>
      <c r="S1151" s="657">
        <f>SUM(F1151:R1151)</f>
        <v>0</v>
      </c>
      <c r="T1151" s="357"/>
      <c r="U1151" s="657">
        <f>SUM(S1151:S1151)</f>
        <v>0</v>
      </c>
      <c r="V1151" s="657">
        <f>+U1151-'ROR-Model'!G1171</f>
        <v>0</v>
      </c>
    </row>
    <row r="1152" spans="1:22">
      <c r="A1152" s="679"/>
      <c r="B1152" s="662"/>
      <c r="C1152" s="662" t="s">
        <v>582</v>
      </c>
      <c r="D1152" s="662"/>
      <c r="E1152" s="2"/>
      <c r="F1152" s="357">
        <f>'Rate Base'!$AD$220*$F$1</f>
        <v>-12588429.958333334</v>
      </c>
      <c r="G1152" s="357"/>
      <c r="H1152" s="357"/>
      <c r="I1152" s="357"/>
      <c r="J1152" s="390"/>
      <c r="K1152" s="390"/>
      <c r="L1152" s="357"/>
      <c r="M1152" s="357"/>
      <c r="N1152" s="357"/>
      <c r="O1152" s="357"/>
      <c r="P1152" s="357"/>
      <c r="Q1152" s="390"/>
      <c r="R1152" s="390"/>
      <c r="S1152" s="657">
        <f>SUM(F1152:R1152)</f>
        <v>-12588429.958333334</v>
      </c>
      <c r="T1152" s="357"/>
      <c r="U1152" s="657">
        <f>SUM(S1152:S1152)</f>
        <v>-12588429.958333334</v>
      </c>
      <c r="V1152" s="657">
        <f>+U1152-'ROR-Model'!G1172</f>
        <v>0</v>
      </c>
    </row>
    <row r="1153" spans="1:22">
      <c r="A1153" s="679"/>
      <c r="B1153" s="662"/>
      <c r="C1153" s="662" t="s">
        <v>584</v>
      </c>
      <c r="D1153" s="662"/>
      <c r="E1153" s="2"/>
      <c r="F1153" s="357">
        <f>'Rate Base'!$AD$221*$F$1</f>
        <v>0</v>
      </c>
      <c r="G1153" s="357"/>
      <c r="H1153" s="357"/>
      <c r="I1153" s="357"/>
      <c r="J1153" s="390"/>
      <c r="K1153" s="390"/>
      <c r="L1153" s="357"/>
      <c r="M1153" s="357"/>
      <c r="N1153" s="357"/>
      <c r="O1153" s="357"/>
      <c r="P1153" s="357"/>
      <c r="Q1153" s="390"/>
      <c r="R1153" s="390"/>
      <c r="S1153" s="657">
        <f>SUM(F1153:R1153)</f>
        <v>0</v>
      </c>
      <c r="T1153" s="357"/>
      <c r="U1153" s="657">
        <f>SUM(S1153:S1153)</f>
        <v>0</v>
      </c>
      <c r="V1153" s="657">
        <f>+U1153-'ROR-Model'!G1173</f>
        <v>0</v>
      </c>
    </row>
    <row r="1154" spans="1:22">
      <c r="A1154" s="679"/>
      <c r="B1154" s="662"/>
      <c r="C1154" s="662" t="s">
        <v>160</v>
      </c>
      <c r="D1154" s="662"/>
      <c r="E1154" s="2"/>
      <c r="F1154" s="388">
        <f>SUM(F1150:F1153)</f>
        <v>-12588429.958333334</v>
      </c>
      <c r="G1154" s="388">
        <f>G1*SUM(G1150:G1153)</f>
        <v>0</v>
      </c>
      <c r="H1154" s="388">
        <f>SUM(H1150:H1153)</f>
        <v>0</v>
      </c>
      <c r="I1154" s="388">
        <f t="shared" ref="I1154:P1154" si="241">SUM(I1150:I1153)</f>
        <v>0</v>
      </c>
      <c r="J1154" s="585">
        <f>SUM(J1150:J1153)</f>
        <v>0</v>
      </c>
      <c r="K1154" s="585">
        <f>SUM(K1150:K1153)</f>
        <v>0</v>
      </c>
      <c r="L1154" s="388">
        <f t="shared" si="241"/>
        <v>0</v>
      </c>
      <c r="M1154" s="388">
        <f t="shared" si="241"/>
        <v>0</v>
      </c>
      <c r="N1154" s="388">
        <f t="shared" si="241"/>
        <v>0</v>
      </c>
      <c r="O1154" s="388">
        <f t="shared" si="241"/>
        <v>0</v>
      </c>
      <c r="P1154" s="388">
        <f t="shared" si="241"/>
        <v>0</v>
      </c>
      <c r="Q1154" s="585">
        <f>SUM(Q1150:Q1153)</f>
        <v>0</v>
      </c>
      <c r="R1154" s="585">
        <f>SUM(R1150:R1153)</f>
        <v>0</v>
      </c>
      <c r="S1154" s="661">
        <f>SUM(S1150:S1153)</f>
        <v>-12588429.958333334</v>
      </c>
      <c r="T1154" s="388"/>
      <c r="U1154" s="661">
        <f>SUM(U1150:U1153)</f>
        <v>-12588429.958333334</v>
      </c>
      <c r="V1154" s="661">
        <f>+U1154-'ROR-Model'!G1174</f>
        <v>0</v>
      </c>
    </row>
    <row r="1155" spans="1:22">
      <c r="A1155" s="668"/>
      <c r="B1155" s="659"/>
      <c r="C1155" s="659"/>
      <c r="D1155" s="659"/>
      <c r="E1155" s="2"/>
      <c r="F1155" s="357"/>
      <c r="G1155" s="357"/>
      <c r="H1155" s="357"/>
      <c r="I1155" s="357"/>
      <c r="J1155" s="390"/>
      <c r="K1155" s="390"/>
      <c r="L1155" s="357"/>
      <c r="M1155" s="357"/>
      <c r="N1155" s="357"/>
      <c r="O1155" s="357"/>
      <c r="P1155" s="357"/>
      <c r="Q1155" s="390"/>
      <c r="R1155" s="390"/>
      <c r="S1155" s="657"/>
      <c r="T1155" s="357"/>
      <c r="U1155" s="657"/>
      <c r="V1155" s="657">
        <f>+U1155-'ROR-Model'!G1175</f>
        <v>0</v>
      </c>
    </row>
    <row r="1156" spans="1:22">
      <c r="A1156" s="391">
        <v>2351</v>
      </c>
      <c r="B1156" s="355" t="s">
        <v>297</v>
      </c>
      <c r="C1156" s="323"/>
      <c r="D1156" s="659"/>
      <c r="E1156" s="2"/>
      <c r="F1156" s="357"/>
      <c r="G1156" s="357"/>
      <c r="H1156" s="357"/>
      <c r="I1156" s="357"/>
      <c r="J1156" s="390"/>
      <c r="K1156" s="390"/>
      <c r="L1156" s="357"/>
      <c r="M1156" s="357"/>
      <c r="N1156" s="357"/>
      <c r="O1156" s="357"/>
      <c r="P1156" s="357"/>
      <c r="Q1156" s="390"/>
      <c r="R1156" s="390"/>
      <c r="S1156" s="657"/>
      <c r="T1156" s="357"/>
      <c r="U1156" s="657"/>
      <c r="V1156" s="657">
        <f>+U1156-'ROR-Model'!G1176</f>
        <v>0</v>
      </c>
    </row>
    <row r="1157" spans="1:22">
      <c r="A1157" s="391"/>
      <c r="B1157" s="323"/>
      <c r="C1157" s="323" t="s">
        <v>581</v>
      </c>
      <c r="D1157" s="659"/>
      <c r="E1157" s="2"/>
      <c r="F1157" s="357">
        <f>'Rate Base'!$AD$225*F1</f>
        <v>-15891.307083333289</v>
      </c>
      <c r="G1157" s="357"/>
      <c r="H1157" s="357"/>
      <c r="I1157" s="357"/>
      <c r="J1157" s="390"/>
      <c r="K1157" s="390"/>
      <c r="L1157" s="357"/>
      <c r="M1157" s="357"/>
      <c r="N1157" s="357"/>
      <c r="O1157" s="357"/>
      <c r="P1157" s="357"/>
      <c r="Q1157" s="390"/>
      <c r="R1157" s="390"/>
      <c r="S1157" s="657">
        <f>SUM(F1157:R1157)</f>
        <v>-15891.307083333289</v>
      </c>
      <c r="T1157" s="357"/>
      <c r="U1157" s="657">
        <f>SUM(S1157:S1157)</f>
        <v>-15891.307083333289</v>
      </c>
      <c r="V1157" s="657">
        <f>+U1157-'ROR-Model'!G1177</f>
        <v>0</v>
      </c>
    </row>
    <row r="1158" spans="1:22">
      <c r="A1158" s="391"/>
      <c r="B1158" s="323"/>
      <c r="C1158" s="323" t="s">
        <v>582</v>
      </c>
      <c r="D1158" s="659"/>
      <c r="E1158" s="2"/>
      <c r="F1158" s="357">
        <f>'Rate Base'!$AD$226*F1</f>
        <v>-1147626.9724999992</v>
      </c>
      <c r="G1158" s="357"/>
      <c r="H1158" s="357"/>
      <c r="I1158" s="357"/>
      <c r="J1158" s="390"/>
      <c r="K1158" s="390"/>
      <c r="L1158" s="357"/>
      <c r="M1158" s="357"/>
      <c r="N1158" s="357"/>
      <c r="O1158" s="357"/>
      <c r="P1158" s="357"/>
      <c r="Q1158" s="390"/>
      <c r="R1158" s="390"/>
      <c r="S1158" s="657">
        <f>SUM(F1158:R1158)</f>
        <v>-1147626.9724999992</v>
      </c>
      <c r="T1158" s="357"/>
      <c r="U1158" s="657">
        <f>SUM(S1158:S1158)</f>
        <v>-1147626.9724999992</v>
      </c>
      <c r="V1158" s="657">
        <f>+U1158-'ROR-Model'!G1178</f>
        <v>0</v>
      </c>
    </row>
    <row r="1159" spans="1:22">
      <c r="A1159" s="391"/>
      <c r="B1159" s="323"/>
      <c r="C1159" s="323" t="s">
        <v>160</v>
      </c>
      <c r="D1159" s="659"/>
      <c r="E1159" s="2"/>
      <c r="F1159" s="388">
        <f>SUM(F1157:F1158)</f>
        <v>-1163518.2795833326</v>
      </c>
      <c r="G1159" s="388">
        <f>G1*SUM(G1157:G1158)</f>
        <v>0</v>
      </c>
      <c r="H1159" s="388">
        <f>SUM(H1157:H1158)</f>
        <v>0</v>
      </c>
      <c r="I1159" s="388">
        <f t="shared" ref="I1159:P1159" si="242">SUM(I1157:I1158)</f>
        <v>0</v>
      </c>
      <c r="J1159" s="585">
        <f>SUM(J1157:J1158)</f>
        <v>0</v>
      </c>
      <c r="K1159" s="585">
        <f>SUM(K1157:K1158)</f>
        <v>0</v>
      </c>
      <c r="L1159" s="388">
        <f t="shared" si="242"/>
        <v>0</v>
      </c>
      <c r="M1159" s="388">
        <f t="shared" si="242"/>
        <v>0</v>
      </c>
      <c r="N1159" s="388">
        <f t="shared" si="242"/>
        <v>0</v>
      </c>
      <c r="O1159" s="388">
        <f t="shared" si="242"/>
        <v>0</v>
      </c>
      <c r="P1159" s="388">
        <f t="shared" si="242"/>
        <v>0</v>
      </c>
      <c r="Q1159" s="585">
        <f>SUM(Q1157:Q1158)</f>
        <v>0</v>
      </c>
      <c r="R1159" s="585">
        <f>SUM(R1157:R1158)</f>
        <v>0</v>
      </c>
      <c r="S1159" s="661">
        <f>SUM(S1157:S1158)</f>
        <v>-1163518.2795833326</v>
      </c>
      <c r="T1159" s="388"/>
      <c r="U1159" s="661">
        <f>SUM(U1157:U1158)</f>
        <v>-1163518.2795833326</v>
      </c>
      <c r="V1159" s="661">
        <f>+U1159-'ROR-Model'!G1179</f>
        <v>0</v>
      </c>
    </row>
    <row r="1160" spans="1:22">
      <c r="A1160" s="668"/>
      <c r="B1160" s="659"/>
      <c r="C1160" s="659"/>
      <c r="D1160" s="659"/>
      <c r="E1160" s="2"/>
      <c r="F1160" s="357"/>
      <c r="G1160" s="357"/>
      <c r="H1160" s="357"/>
      <c r="I1160" s="357"/>
      <c r="J1160" s="390"/>
      <c r="K1160" s="390"/>
      <c r="L1160" s="357"/>
      <c r="M1160" s="357"/>
      <c r="N1160" s="357"/>
      <c r="O1160" s="357"/>
      <c r="P1160" s="357"/>
      <c r="Q1160" s="390"/>
      <c r="R1160" s="390"/>
      <c r="S1160" s="657"/>
      <c r="T1160" s="357"/>
      <c r="U1160" s="657"/>
      <c r="V1160" s="657">
        <f>+U1160-'ROR-Model'!G1180</f>
        <v>0</v>
      </c>
    </row>
    <row r="1161" spans="1:22">
      <c r="A1161" s="680">
        <v>252</v>
      </c>
      <c r="B1161" s="666" t="s">
        <v>480</v>
      </c>
      <c r="C1161" s="662"/>
      <c r="D1161" s="662"/>
      <c r="E1161" s="2"/>
      <c r="F1161" s="357"/>
      <c r="G1161" s="357"/>
      <c r="H1161" s="357"/>
      <c r="I1161" s="357"/>
      <c r="J1161" s="390"/>
      <c r="K1161" s="390"/>
      <c r="L1161" s="357"/>
      <c r="M1161" s="357"/>
      <c r="N1161" s="357"/>
      <c r="O1161" s="357"/>
      <c r="P1161" s="357"/>
      <c r="Q1161" s="390"/>
      <c r="R1161" s="390"/>
      <c r="S1161" s="657"/>
      <c r="T1161" s="357"/>
      <c r="U1161" s="657"/>
      <c r="V1161" s="657">
        <f>+U1161-'ROR-Model'!G1181</f>
        <v>0</v>
      </c>
    </row>
    <row r="1162" spans="1:22">
      <c r="A1162" s="518"/>
      <c r="B1162" s="355"/>
      <c r="C1162" s="323" t="s">
        <v>581</v>
      </c>
      <c r="D1162" s="309"/>
      <c r="E1162" s="2"/>
      <c r="F1162" s="357">
        <f>+'Rate Base'!AD230*F1</f>
        <v>-75867.867083333433</v>
      </c>
      <c r="G1162" s="357"/>
      <c r="H1162" s="357"/>
      <c r="I1162" s="357"/>
      <c r="J1162" s="390"/>
      <c r="K1162" s="390"/>
      <c r="L1162" s="357"/>
      <c r="M1162" s="357"/>
      <c r="N1162" s="357"/>
      <c r="O1162" s="357"/>
      <c r="P1162" s="357"/>
      <c r="Q1162" s="390"/>
      <c r="R1162" s="390"/>
      <c r="S1162" s="390">
        <f>SUM(F1162:R1162)</f>
        <v>-75867.867083333433</v>
      </c>
      <c r="T1162" s="357"/>
      <c r="U1162" s="390">
        <f>SUM(S1162:S1162)</f>
        <v>-75867.867083333433</v>
      </c>
      <c r="V1162" s="390">
        <f>+U1162-'ROR-Model'!G1182</f>
        <v>0</v>
      </c>
    </row>
    <row r="1163" spans="1:22">
      <c r="A1163" s="518"/>
      <c r="B1163" s="309"/>
      <c r="C1163" s="323" t="s">
        <v>582</v>
      </c>
      <c r="D1163" s="309"/>
      <c r="E1163" s="2"/>
      <c r="F1163" s="357">
        <f>+'Rate Base'!AD231*F1</f>
        <v>-5287294.8050000034</v>
      </c>
      <c r="G1163" s="357"/>
      <c r="H1163" s="357"/>
      <c r="I1163" s="357"/>
      <c r="J1163" s="390"/>
      <c r="K1163" s="390"/>
      <c r="L1163" s="357"/>
      <c r="M1163" s="357"/>
      <c r="N1163" s="357"/>
      <c r="O1163" s="357"/>
      <c r="P1163" s="357"/>
      <c r="Q1163" s="390"/>
      <c r="R1163" s="390"/>
      <c r="S1163" s="390">
        <f>SUM(F1163:R1163)</f>
        <v>-5287294.8050000034</v>
      </c>
      <c r="T1163" s="357"/>
      <c r="U1163" s="390">
        <f>SUM(S1163:S1163)</f>
        <v>-5287294.8050000034</v>
      </c>
      <c r="V1163" s="390">
        <f>+U1163-'ROR-Model'!G1183</f>
        <v>0</v>
      </c>
    </row>
    <row r="1164" spans="1:22">
      <c r="A1164" s="518"/>
      <c r="B1164" s="309"/>
      <c r="C1164" s="309" t="s">
        <v>160</v>
      </c>
      <c r="D1164" s="309"/>
      <c r="E1164" s="2"/>
      <c r="F1164" s="357">
        <f>SUM(F1162:F1163)</f>
        <v>-5363162.6720833369</v>
      </c>
      <c r="G1164" s="357"/>
      <c r="H1164" s="357"/>
      <c r="I1164" s="357"/>
      <c r="J1164" s="390"/>
      <c r="K1164" s="390"/>
      <c r="L1164" s="357"/>
      <c r="M1164" s="357"/>
      <c r="N1164" s="357"/>
      <c r="O1164" s="357"/>
      <c r="P1164" s="357"/>
      <c r="Q1164" s="390"/>
      <c r="R1164" s="390"/>
      <c r="S1164" s="390">
        <f>SUM(S1162:S1163)</f>
        <v>-5363162.6720833369</v>
      </c>
      <c r="T1164" s="357"/>
      <c r="U1164" s="390">
        <f>SUM(U1162:U1163)</f>
        <v>-5363162.6720833369</v>
      </c>
      <c r="V1164" s="390">
        <f>+U1164-'ROR-Model'!G1184</f>
        <v>0</v>
      </c>
    </row>
    <row r="1165" spans="1:22">
      <c r="A1165" s="680"/>
      <c r="B1165" s="662"/>
      <c r="C1165" s="662"/>
      <c r="D1165" s="662"/>
      <c r="E1165" s="2"/>
      <c r="F1165" s="357"/>
      <c r="G1165" s="357"/>
      <c r="H1165" s="357"/>
      <c r="I1165" s="357"/>
      <c r="J1165" s="390"/>
      <c r="K1165" s="390"/>
      <c r="L1165" s="357"/>
      <c r="M1165" s="357"/>
      <c r="N1165" s="357"/>
      <c r="O1165" s="357"/>
      <c r="P1165" s="357"/>
      <c r="Q1165" s="390"/>
      <c r="R1165" s="390"/>
      <c r="S1165" s="657"/>
      <c r="T1165" s="357"/>
      <c r="U1165" s="657"/>
      <c r="V1165" s="657">
        <f>+U1165-'ROR-Model'!G1185</f>
        <v>0</v>
      </c>
    </row>
    <row r="1166" spans="1:22">
      <c r="A1166" s="391">
        <v>2531</v>
      </c>
      <c r="B1166" s="323" t="s">
        <v>298</v>
      </c>
      <c r="C1166" s="323"/>
      <c r="D1166" s="659"/>
      <c r="E1166" s="2"/>
      <c r="F1166" s="357"/>
      <c r="G1166" s="357"/>
      <c r="H1166" s="357"/>
      <c r="I1166" s="357"/>
      <c r="J1166" s="390"/>
      <c r="K1166" s="390"/>
      <c r="L1166" s="357"/>
      <c r="M1166" s="357"/>
      <c r="N1166" s="357"/>
      <c r="O1166" s="357"/>
      <c r="P1166" s="357"/>
      <c r="Q1166" s="390"/>
      <c r="R1166" s="390"/>
      <c r="S1166" s="657"/>
      <c r="T1166" s="357"/>
      <c r="U1166" s="657"/>
      <c r="V1166" s="657">
        <f>+U1166-'ROR-Model'!G1186</f>
        <v>0</v>
      </c>
    </row>
    <row r="1167" spans="1:22">
      <c r="A1167" s="391"/>
      <c r="B1167" s="323"/>
      <c r="C1167" s="323" t="s">
        <v>584</v>
      </c>
      <c r="D1167" s="659"/>
      <c r="E1167" s="2"/>
      <c r="F1167" s="357">
        <f>'Rate Base'!$AD$235*F1</f>
        <v>-7421.0112499999959</v>
      </c>
      <c r="G1167" s="357"/>
      <c r="H1167" s="357"/>
      <c r="I1167" s="357"/>
      <c r="J1167" s="390"/>
      <c r="K1167" s="390"/>
      <c r="L1167" s="357"/>
      <c r="M1167" s="357"/>
      <c r="N1167" s="357"/>
      <c r="O1167" s="357"/>
      <c r="P1167" s="357"/>
      <c r="Q1167" s="390"/>
      <c r="R1167" s="390"/>
      <c r="S1167" s="657">
        <f>SUM(F1167:R1167)</f>
        <v>-7421.0112499999959</v>
      </c>
      <c r="T1167" s="357"/>
      <c r="U1167" s="657">
        <f>SUM(S1167:S1167)</f>
        <v>-7421.0112499999959</v>
      </c>
      <c r="V1167" s="657">
        <f>+U1167-'ROR-Model'!G1187</f>
        <v>0</v>
      </c>
    </row>
    <row r="1168" spans="1:22">
      <c r="A1168" s="391"/>
      <c r="B1168" s="323"/>
      <c r="C1168" s="323" t="s">
        <v>160</v>
      </c>
      <c r="D1168" s="659"/>
      <c r="E1168" s="2"/>
      <c r="F1168" s="388">
        <f>SUM(F1167)</f>
        <v>-7421.0112499999959</v>
      </c>
      <c r="G1168" s="388">
        <f>G1*SUM(G1167)</f>
        <v>0</v>
      </c>
      <c r="H1168" s="388">
        <f>SUM(H1167)</f>
        <v>0</v>
      </c>
      <c r="I1168" s="388">
        <f t="shared" ref="I1168:Q1168" si="243">SUM(I1167)</f>
        <v>0</v>
      </c>
      <c r="J1168" s="585">
        <f>SUM(J1167)</f>
        <v>0</v>
      </c>
      <c r="K1168" s="585">
        <f>SUM(K1167)</f>
        <v>0</v>
      </c>
      <c r="L1168" s="388">
        <f t="shared" si="243"/>
        <v>0</v>
      </c>
      <c r="M1168" s="388">
        <f t="shared" si="243"/>
        <v>0</v>
      </c>
      <c r="N1168" s="388">
        <f t="shared" si="243"/>
        <v>0</v>
      </c>
      <c r="O1168" s="388">
        <f t="shared" si="243"/>
        <v>0</v>
      </c>
      <c r="P1168" s="388">
        <f t="shared" si="243"/>
        <v>0</v>
      </c>
      <c r="Q1168" s="585">
        <f t="shared" si="243"/>
        <v>0</v>
      </c>
      <c r="R1168" s="585">
        <f>SUM(R1167)</f>
        <v>0</v>
      </c>
      <c r="S1168" s="661">
        <f>SUM(S1167)</f>
        <v>-7421.0112499999959</v>
      </c>
      <c r="T1168" s="388"/>
      <c r="U1168" s="661">
        <f>SUM(U1167)</f>
        <v>-7421.0112499999959</v>
      </c>
      <c r="V1168" s="661">
        <f>+U1168-'ROR-Model'!G1188</f>
        <v>0</v>
      </c>
    </row>
    <row r="1169" spans="1:22">
      <c r="A1169" s="668"/>
      <c r="B1169" s="659"/>
      <c r="C1169" s="659"/>
      <c r="D1169" s="659"/>
      <c r="E1169" s="2"/>
      <c r="F1169" s="357"/>
      <c r="G1169" s="357"/>
      <c r="H1169" s="357"/>
      <c r="I1169" s="357"/>
      <c r="J1169" s="390"/>
      <c r="K1169" s="390"/>
      <c r="L1169" s="357"/>
      <c r="M1169" s="357"/>
      <c r="N1169" s="357"/>
      <c r="O1169" s="357"/>
      <c r="P1169" s="357"/>
      <c r="Q1169" s="390"/>
      <c r="R1169" s="390"/>
      <c r="S1169" s="657"/>
      <c r="T1169" s="357"/>
      <c r="U1169" s="657"/>
      <c r="V1169" s="657">
        <f>+U1169-'ROR-Model'!G1189</f>
        <v>0</v>
      </c>
    </row>
    <row r="1170" spans="1:22">
      <c r="A1170" s="668">
        <v>255</v>
      </c>
      <c r="B1170" s="659" t="s">
        <v>299</v>
      </c>
      <c r="C1170" s="659"/>
      <c r="D1170" s="659"/>
      <c r="E1170" s="2"/>
      <c r="F1170" s="357"/>
      <c r="G1170" s="357"/>
      <c r="H1170" s="357"/>
      <c r="I1170" s="357"/>
      <c r="J1170" s="390"/>
      <c r="K1170" s="390"/>
      <c r="L1170" s="357"/>
      <c r="M1170" s="357"/>
      <c r="N1170" s="357"/>
      <c r="O1170" s="357"/>
      <c r="P1170" s="357"/>
      <c r="Q1170" s="390"/>
      <c r="R1170" s="390"/>
      <c r="S1170" s="657"/>
      <c r="T1170" s="357"/>
      <c r="U1170" s="657"/>
      <c r="V1170" s="657">
        <f>+U1170-'ROR-Model'!G1190</f>
        <v>0</v>
      </c>
    </row>
    <row r="1171" spans="1:22">
      <c r="A1171" s="668"/>
      <c r="B1171" s="659"/>
      <c r="C1171" s="659" t="s">
        <v>427</v>
      </c>
      <c r="D1171" s="659"/>
      <c r="E1171" s="2"/>
      <c r="F1171" s="357">
        <f>'Rate Base'!$AD$239*F1</f>
        <v>92.999999999999773</v>
      </c>
      <c r="G1171" s="357"/>
      <c r="H1171" s="357"/>
      <c r="I1171" s="357"/>
      <c r="J1171" s="390"/>
      <c r="K1171" s="390"/>
      <c r="L1171" s="357"/>
      <c r="M1171" s="357"/>
      <c r="N1171" s="357"/>
      <c r="O1171" s="357"/>
      <c r="P1171" s="357"/>
      <c r="Q1171" s="390"/>
      <c r="R1171" s="390"/>
      <c r="S1171" s="657">
        <f>SUM(F1171:R1171)</f>
        <v>92.999999999999773</v>
      </c>
      <c r="T1171" s="357"/>
      <c r="U1171" s="657">
        <f>SUM(S1171:S1171)</f>
        <v>92.999999999999773</v>
      </c>
      <c r="V1171" s="657">
        <f>+U1171-'ROR-Model'!G1191</f>
        <v>0</v>
      </c>
    </row>
    <row r="1172" spans="1:22">
      <c r="A1172" s="668"/>
      <c r="B1172" s="659"/>
      <c r="C1172" s="659" t="s">
        <v>581</v>
      </c>
      <c r="D1172" s="659"/>
      <c r="E1172" s="2"/>
      <c r="F1172" s="357">
        <f>'Rate Base'!$AD$240*F1</f>
        <v>-1159.1044344499414</v>
      </c>
      <c r="G1172" s="357"/>
      <c r="H1172" s="357"/>
      <c r="I1172" s="357"/>
      <c r="J1172" s="390"/>
      <c r="K1172" s="390"/>
      <c r="L1172" s="357"/>
      <c r="M1172" s="357"/>
      <c r="N1172" s="357"/>
      <c r="O1172" s="357"/>
      <c r="P1172" s="357"/>
      <c r="Q1172" s="390"/>
      <c r="R1172" s="390"/>
      <c r="S1172" s="657">
        <f>SUM(F1172:R1172)</f>
        <v>-1159.1044344499414</v>
      </c>
      <c r="T1172" s="357"/>
      <c r="U1172" s="657">
        <f>SUM(S1172:S1172)</f>
        <v>-1159.1044344499414</v>
      </c>
      <c r="V1172" s="657">
        <f>+U1172-'ROR-Model'!G1192</f>
        <v>0</v>
      </c>
    </row>
    <row r="1173" spans="1:22">
      <c r="A1173" s="668"/>
      <c r="B1173" s="659"/>
      <c r="C1173" s="659" t="s">
        <v>582</v>
      </c>
      <c r="D1173" s="659"/>
      <c r="E1173" s="2"/>
      <c r="F1173" s="357">
        <f>'Rate Base'!$AD$241*F1</f>
        <v>-35240.226815550064</v>
      </c>
      <c r="G1173" s="357"/>
      <c r="H1173" s="357"/>
      <c r="I1173" s="357"/>
      <c r="J1173" s="390"/>
      <c r="K1173" s="390"/>
      <c r="L1173" s="357"/>
      <c r="M1173" s="357"/>
      <c r="N1173" s="357"/>
      <c r="O1173" s="357"/>
      <c r="P1173" s="357"/>
      <c r="Q1173" s="390"/>
      <c r="R1173" s="390"/>
      <c r="S1173" s="657">
        <f>SUM(F1173:R1173)</f>
        <v>-35240.226815550064</v>
      </c>
      <c r="T1173" s="357"/>
      <c r="U1173" s="657">
        <f>SUM(S1173:S1173)</f>
        <v>-35240.226815550064</v>
      </c>
      <c r="V1173" s="657">
        <f>+U1173-'ROR-Model'!G1193</f>
        <v>0</v>
      </c>
    </row>
    <row r="1174" spans="1:22">
      <c r="A1174" s="668"/>
      <c r="B1174" s="659"/>
      <c r="C1174" s="659" t="s">
        <v>584</v>
      </c>
      <c r="D1174" s="659"/>
      <c r="E1174" s="2"/>
      <c r="F1174" s="357">
        <f>'Rate Base'!$AD$242*F1</f>
        <v>-93</v>
      </c>
      <c r="G1174" s="357"/>
      <c r="H1174" s="357"/>
      <c r="I1174" s="357"/>
      <c r="J1174" s="390"/>
      <c r="K1174" s="390"/>
      <c r="L1174" s="357"/>
      <c r="M1174" s="357"/>
      <c r="N1174" s="357"/>
      <c r="O1174" s="357"/>
      <c r="P1174" s="357"/>
      <c r="Q1174" s="390"/>
      <c r="R1174" s="390"/>
      <c r="S1174" s="657">
        <f>SUM(F1174:R1174)</f>
        <v>-93</v>
      </c>
      <c r="T1174" s="357"/>
      <c r="U1174" s="657">
        <f>SUM(S1174:S1174)</f>
        <v>-93</v>
      </c>
      <c r="V1174" s="657">
        <f>+U1174-'ROR-Model'!G1194</f>
        <v>0</v>
      </c>
    </row>
    <row r="1175" spans="1:22">
      <c r="A1175" s="668"/>
      <c r="B1175" s="659"/>
      <c r="C1175" s="659" t="s">
        <v>160</v>
      </c>
      <c r="D1175" s="659"/>
      <c r="E1175" s="2"/>
      <c r="F1175" s="388">
        <f>SUM(F1171:F1174)</f>
        <v>-36399.331250000003</v>
      </c>
      <c r="G1175" s="388">
        <f>G1*SUM(G1171:G1174)</f>
        <v>0</v>
      </c>
      <c r="H1175" s="388">
        <f>SUM(H1171:H1174)</f>
        <v>0</v>
      </c>
      <c r="I1175" s="388">
        <f t="shared" ref="I1175:P1175" si="244">SUM(I1171:I1174)</f>
        <v>0</v>
      </c>
      <c r="J1175" s="585">
        <f>SUM(J1171:J1174)</f>
        <v>0</v>
      </c>
      <c r="K1175" s="585">
        <f>SUM(K1171:K1174)</f>
        <v>0</v>
      </c>
      <c r="L1175" s="388">
        <f t="shared" si="244"/>
        <v>0</v>
      </c>
      <c r="M1175" s="388">
        <f t="shared" si="244"/>
        <v>0</v>
      </c>
      <c r="N1175" s="388">
        <f t="shared" si="244"/>
        <v>0</v>
      </c>
      <c r="O1175" s="388">
        <f t="shared" si="244"/>
        <v>0</v>
      </c>
      <c r="P1175" s="388">
        <f t="shared" si="244"/>
        <v>0</v>
      </c>
      <c r="Q1175" s="585">
        <f>SUM(Q1171:Q1174)</f>
        <v>0</v>
      </c>
      <c r="R1175" s="585">
        <f>SUM(R1171:R1174)</f>
        <v>0</v>
      </c>
      <c r="S1175" s="661">
        <f>SUM(S1171:S1174)</f>
        <v>-36399.331250000003</v>
      </c>
      <c r="T1175" s="388"/>
      <c r="U1175" s="661">
        <f>SUM(U1171:U1174)</f>
        <v>-36399.331250000003</v>
      </c>
      <c r="V1175" s="661">
        <f>+U1175-'ROR-Model'!G1195</f>
        <v>0</v>
      </c>
    </row>
    <row r="1176" spans="1:22">
      <c r="A1176" s="668"/>
      <c r="B1176" s="659"/>
      <c r="C1176" s="659"/>
      <c r="D1176" s="659"/>
      <c r="E1176" s="2"/>
      <c r="F1176" s="357"/>
      <c r="G1176" s="357"/>
      <c r="H1176" s="357"/>
      <c r="I1176" s="357"/>
      <c r="J1176" s="390"/>
      <c r="K1176" s="390"/>
      <c r="L1176" s="357"/>
      <c r="M1176" s="357"/>
      <c r="N1176" s="357"/>
      <c r="O1176" s="357"/>
      <c r="P1176" s="357"/>
      <c r="Q1176" s="390"/>
      <c r="R1176" s="390"/>
      <c r="S1176" s="657"/>
      <c r="T1176" s="357"/>
      <c r="U1176" s="657"/>
      <c r="V1176" s="657">
        <f>+U1176-'ROR-Model'!G1196</f>
        <v>0</v>
      </c>
    </row>
    <row r="1177" spans="1:22">
      <c r="A1177" s="668">
        <v>2820</v>
      </c>
      <c r="B1177" s="659" t="s">
        <v>464</v>
      </c>
      <c r="C1177" s="659"/>
      <c r="D1177" s="659"/>
      <c r="E1177" s="2"/>
      <c r="F1177" s="357"/>
      <c r="G1177" s="357"/>
      <c r="H1177" s="357"/>
      <c r="I1177" s="357"/>
      <c r="J1177" s="390"/>
      <c r="K1177" s="390"/>
      <c r="L1177" s="357"/>
      <c r="M1177" s="357"/>
      <c r="N1177" s="357"/>
      <c r="O1177" s="357"/>
      <c r="P1177" s="357"/>
      <c r="Q1177" s="390"/>
      <c r="R1177" s="390"/>
      <c r="S1177" s="657"/>
      <c r="T1177" s="357"/>
      <c r="U1177" s="657"/>
      <c r="V1177" s="657">
        <f>+U1177-'ROR-Model'!G1197</f>
        <v>0</v>
      </c>
    </row>
    <row r="1178" spans="1:22">
      <c r="A1178" s="668"/>
      <c r="B1178" s="659"/>
      <c r="C1178" s="659" t="s">
        <v>427</v>
      </c>
      <c r="D1178" s="659"/>
      <c r="E1178" s="2"/>
      <c r="F1178" s="357">
        <f>'Rate Base'!$AD$246*F1</f>
        <v>-180049.70666666664</v>
      </c>
      <c r="G1178" s="743"/>
      <c r="H1178" s="357"/>
      <c r="I1178" s="357"/>
      <c r="J1178" s="390"/>
      <c r="K1178" s="390"/>
      <c r="L1178" s="357"/>
      <c r="M1178" s="357"/>
      <c r="N1178" s="357"/>
      <c r="O1178" s="357"/>
      <c r="P1178" s="357"/>
      <c r="Q1178" s="390"/>
      <c r="R1178" s="390"/>
      <c r="S1178" s="657">
        <f>SUM(F1178:R1178)</f>
        <v>-180049.70666666664</v>
      </c>
      <c r="T1178" s="357"/>
      <c r="U1178" s="657">
        <f>SUM(S1178:S1178)</f>
        <v>-180049.70666666664</v>
      </c>
      <c r="V1178" s="657">
        <f>+U1178-'ROR-Model'!G1198</f>
        <v>0</v>
      </c>
    </row>
    <row r="1179" spans="1:22">
      <c r="A1179" s="668"/>
      <c r="B1179" s="659"/>
      <c r="C1179" s="659" t="s">
        <v>581</v>
      </c>
      <c r="D1179" s="659"/>
      <c r="E1179" s="2"/>
      <c r="F1179" s="357">
        <f>'Rate Base'!$AD$247*F1</f>
        <v>-4866424.0731295533</v>
      </c>
      <c r="G1179" s="743"/>
      <c r="H1179" s="357"/>
      <c r="I1179" s="357"/>
      <c r="J1179" s="390"/>
      <c r="K1179" s="390"/>
      <c r="L1179" s="357"/>
      <c r="M1179" s="357"/>
      <c r="N1179" s="357"/>
      <c r="O1179" s="357"/>
      <c r="P1179" s="357"/>
      <c r="Q1179" s="390"/>
      <c r="R1179" s="390"/>
      <c r="S1179" s="657">
        <f>SUM(F1179:R1179)</f>
        <v>-4866424.0731295533</v>
      </c>
      <c r="T1179" s="357"/>
      <c r="U1179" s="657">
        <f>SUM(S1179:S1179)</f>
        <v>-4866424.0731295533</v>
      </c>
      <c r="V1179" s="657">
        <f>+U1179-'ROR-Model'!G1199</f>
        <v>0</v>
      </c>
    </row>
    <row r="1180" spans="1:22">
      <c r="A1180" s="668"/>
      <c r="B1180" s="659"/>
      <c r="C1180" s="659" t="s">
        <v>582</v>
      </c>
      <c r="D1180" s="659"/>
      <c r="E1180" s="2"/>
      <c r="F1180" s="357">
        <f>'Rate Base'!$AD$248*F1</f>
        <v>-147819035.968537</v>
      </c>
      <c r="G1180" s="743"/>
      <c r="H1180" s="357"/>
      <c r="I1180" s="357"/>
      <c r="J1180" s="390"/>
      <c r="K1180" s="390"/>
      <c r="L1180" s="357"/>
      <c r="M1180" s="357"/>
      <c r="N1180" s="357"/>
      <c r="O1180" s="357"/>
      <c r="P1180" s="357"/>
      <c r="Q1180" s="390"/>
      <c r="R1180" s="390"/>
      <c r="S1180" s="657">
        <f>SUM(F1180:R1180)</f>
        <v>-147819035.968537</v>
      </c>
      <c r="T1180" s="357"/>
      <c r="U1180" s="657">
        <f>SUM(S1180:S1180)</f>
        <v>-147819035.968537</v>
      </c>
      <c r="V1180" s="657">
        <f>+U1180-'ROR-Model'!G1200</f>
        <v>0</v>
      </c>
    </row>
    <row r="1181" spans="1:22">
      <c r="A1181" s="668"/>
      <c r="B1181" s="659"/>
      <c r="C1181" s="659" t="s">
        <v>584</v>
      </c>
      <c r="D1181" s="659"/>
      <c r="E1181" s="2"/>
      <c r="F1181" s="357">
        <f>'Rate Base'!$AD$249*F1</f>
        <v>-270074.54583333433</v>
      </c>
      <c r="G1181" s="743"/>
      <c r="H1181" s="357"/>
      <c r="I1181" s="357"/>
      <c r="J1181" s="390"/>
      <c r="K1181" s="390"/>
      <c r="L1181" s="357"/>
      <c r="M1181" s="357"/>
      <c r="N1181" s="357"/>
      <c r="O1181" s="357"/>
      <c r="P1181" s="357"/>
      <c r="Q1181" s="390"/>
      <c r="R1181" s="390"/>
      <c r="S1181" s="657">
        <f>SUM(F1181:R1181)</f>
        <v>-270074.54583333433</v>
      </c>
      <c r="T1181" s="357"/>
      <c r="U1181" s="657">
        <f>SUM(S1181:S1181)</f>
        <v>-270074.54583333433</v>
      </c>
      <c r="V1181" s="657">
        <f>+U1181-'ROR-Model'!G1201</f>
        <v>0</v>
      </c>
    </row>
    <row r="1182" spans="1:22">
      <c r="A1182" s="668"/>
      <c r="B1182" s="659"/>
      <c r="C1182" s="659" t="s">
        <v>160</v>
      </c>
      <c r="D1182" s="659"/>
      <c r="E1182" s="2"/>
      <c r="F1182" s="388">
        <f>SUM(F1178:F1181)</f>
        <v>-153135584.29416656</v>
      </c>
      <c r="G1182" s="388">
        <f>G1*SUM(G1178:G1181)</f>
        <v>0</v>
      </c>
      <c r="H1182" s="388">
        <f>SUM(H1178:H1181)</f>
        <v>0</v>
      </c>
      <c r="I1182" s="388">
        <f t="shared" ref="I1182:P1182" si="245">SUM(I1178:I1181)</f>
        <v>0</v>
      </c>
      <c r="J1182" s="585">
        <f>SUM(J1178:J1181)</f>
        <v>0</v>
      </c>
      <c r="K1182" s="585">
        <f>SUM(K1178:K1181)</f>
        <v>0</v>
      </c>
      <c r="L1182" s="388">
        <f t="shared" si="245"/>
        <v>0</v>
      </c>
      <c r="M1182" s="388">
        <f t="shared" si="245"/>
        <v>0</v>
      </c>
      <c r="N1182" s="388">
        <f t="shared" si="245"/>
        <v>0</v>
      </c>
      <c r="O1182" s="388">
        <f t="shared" si="245"/>
        <v>0</v>
      </c>
      <c r="P1182" s="388">
        <f t="shared" si="245"/>
        <v>0</v>
      </c>
      <c r="Q1182" s="585">
        <f>SUM(Q1178:Q1181)</f>
        <v>0</v>
      </c>
      <c r="R1182" s="585">
        <f>SUM(R1178:R1181)</f>
        <v>0</v>
      </c>
      <c r="S1182" s="661">
        <f>SUM(S1178:S1181)</f>
        <v>-153135584.29416656</v>
      </c>
      <c r="T1182" s="388"/>
      <c r="U1182" s="661">
        <f>SUM(U1178:U1181)</f>
        <v>-153135584.29416656</v>
      </c>
      <c r="V1182" s="661">
        <f>+U1182-'ROR-Model'!G1202</f>
        <v>0</v>
      </c>
    </row>
    <row r="1183" spans="1:22">
      <c r="A1183" s="668"/>
      <c r="B1183" s="659"/>
      <c r="C1183" s="659"/>
      <c r="D1183" s="659"/>
      <c r="E1183" s="2"/>
      <c r="F1183" s="357"/>
      <c r="G1183" s="357"/>
      <c r="H1183" s="357"/>
      <c r="I1183" s="357"/>
      <c r="J1183" s="390"/>
      <c r="K1183" s="390"/>
      <c r="L1183" s="357"/>
      <c r="M1183" s="357"/>
      <c r="N1183" s="357"/>
      <c r="O1183" s="357"/>
      <c r="P1183" s="357"/>
      <c r="Q1183" s="390"/>
      <c r="R1183" s="390"/>
      <c r="S1183" s="657"/>
      <c r="T1183" s="357"/>
      <c r="U1183" s="657"/>
      <c r="V1183" s="657">
        <f>+U1183-'ROR-Model'!G1203</f>
        <v>0</v>
      </c>
    </row>
    <row r="1184" spans="1:22">
      <c r="A1184" s="668">
        <v>2821</v>
      </c>
      <c r="B1184" s="659" t="s">
        <v>465</v>
      </c>
      <c r="C1184" s="659"/>
      <c r="D1184" s="659"/>
      <c r="E1184" s="2"/>
      <c r="F1184" s="357"/>
      <c r="G1184" s="357"/>
      <c r="H1184" s="357"/>
      <c r="I1184" s="357"/>
      <c r="J1184" s="390"/>
      <c r="K1184" s="390"/>
      <c r="L1184" s="357"/>
      <c r="M1184" s="357"/>
      <c r="N1184" s="357"/>
      <c r="O1184" s="357"/>
      <c r="P1184" s="357"/>
      <c r="Q1184" s="390"/>
      <c r="R1184" s="390"/>
      <c r="S1184" s="657"/>
      <c r="T1184" s="357"/>
      <c r="U1184" s="657"/>
      <c r="V1184" s="657">
        <f>+U1184-'ROR-Model'!G1204</f>
        <v>0</v>
      </c>
    </row>
    <row r="1185" spans="1:22">
      <c r="A1185" s="668"/>
      <c r="B1185" s="659"/>
      <c r="C1185" s="659" t="s">
        <v>427</v>
      </c>
      <c r="D1185" s="659"/>
      <c r="E1185" s="2"/>
      <c r="F1185" s="357">
        <f>'Rate Base'!$AD$253*F1</f>
        <v>0</v>
      </c>
      <c r="H1185" s="357"/>
      <c r="I1185" s="357"/>
      <c r="J1185" s="390"/>
      <c r="K1185" s="390"/>
      <c r="L1185" s="357"/>
      <c r="M1185" s="357"/>
      <c r="N1185" s="357"/>
      <c r="O1185" s="357"/>
      <c r="P1185" s="357"/>
      <c r="Q1185" s="390"/>
      <c r="R1185" s="390"/>
      <c r="S1185" s="657">
        <f>SUM(F1185:R1185)</f>
        <v>0</v>
      </c>
      <c r="T1185" s="357"/>
      <c r="U1185" s="657">
        <f>SUM(S1185:S1185)</f>
        <v>0</v>
      </c>
      <c r="V1185" s="657">
        <f>+U1185-'ROR-Model'!G1205</f>
        <v>0</v>
      </c>
    </row>
    <row r="1186" spans="1:22">
      <c r="A1186" s="668"/>
      <c r="B1186" s="659"/>
      <c r="C1186" s="659" t="s">
        <v>581</v>
      </c>
      <c r="D1186" s="659"/>
      <c r="E1186" s="2"/>
      <c r="F1186" s="357">
        <f>'Rate Base'!$AD$254*F1</f>
        <v>0</v>
      </c>
      <c r="H1186" s="357"/>
      <c r="I1186" s="357"/>
      <c r="J1186" s="390"/>
      <c r="K1186" s="390"/>
      <c r="L1186" s="357"/>
      <c r="M1186" s="357"/>
      <c r="N1186" s="357"/>
      <c r="O1186" s="357"/>
      <c r="P1186" s="357"/>
      <c r="Q1186" s="390"/>
      <c r="R1186" s="390"/>
      <c r="S1186" s="657">
        <f>SUM(F1186:R1186)</f>
        <v>0</v>
      </c>
      <c r="T1186" s="357"/>
      <c r="U1186" s="657">
        <f>SUM(S1186:S1186)</f>
        <v>0</v>
      </c>
      <c r="V1186" s="657">
        <f>+U1186-'ROR-Model'!G1206</f>
        <v>0</v>
      </c>
    </row>
    <row r="1187" spans="1:22">
      <c r="A1187" s="668"/>
      <c r="B1187" s="659"/>
      <c r="C1187" s="659" t="s">
        <v>582</v>
      </c>
      <c r="D1187" s="659"/>
      <c r="E1187" s="2"/>
      <c r="F1187" s="357">
        <f>'Rate Base'!$AD$255*F1</f>
        <v>2756149.8029166833</v>
      </c>
      <c r="H1187" s="357"/>
      <c r="I1187" s="357"/>
      <c r="J1187" s="390"/>
      <c r="K1187" s="390"/>
      <c r="L1187" s="357"/>
      <c r="M1187" s="357"/>
      <c r="N1187" s="357"/>
      <c r="O1187" s="357"/>
      <c r="P1187" s="357"/>
      <c r="Q1187" s="390"/>
      <c r="R1187" s="390"/>
      <c r="S1187" s="657">
        <f>SUM(F1187:R1187)</f>
        <v>2756149.8029166833</v>
      </c>
      <c r="T1187" s="357"/>
      <c r="U1187" s="657">
        <f>SUM(S1187:S1187)</f>
        <v>2756149.8029166833</v>
      </c>
      <c r="V1187" s="657">
        <f>+U1187-'ROR-Model'!G1207</f>
        <v>0</v>
      </c>
    </row>
    <row r="1188" spans="1:22">
      <c r="A1188" s="668"/>
      <c r="B1188" s="659"/>
      <c r="C1188" s="659" t="s">
        <v>584</v>
      </c>
      <c r="D1188" s="659"/>
      <c r="E1188" s="2"/>
      <c r="F1188" s="357">
        <f>'Rate Base'!$AD$256*F1</f>
        <v>0</v>
      </c>
      <c r="H1188" s="357"/>
      <c r="I1188" s="357"/>
      <c r="J1188" s="390"/>
      <c r="K1188" s="390"/>
      <c r="L1188" s="357"/>
      <c r="M1188" s="357"/>
      <c r="N1188" s="357"/>
      <c r="O1188" s="357"/>
      <c r="P1188" s="357"/>
      <c r="Q1188" s="390"/>
      <c r="R1188" s="390"/>
      <c r="S1188" s="657">
        <f>SUM(F1188:R1188)</f>
        <v>0</v>
      </c>
      <c r="T1188" s="357"/>
      <c r="U1188" s="657">
        <f>SUM(S1188:S1188)</f>
        <v>0</v>
      </c>
      <c r="V1188" s="657">
        <f>+U1188-'ROR-Model'!G1208</f>
        <v>0</v>
      </c>
    </row>
    <row r="1189" spans="1:22">
      <c r="A1189" s="668"/>
      <c r="B1189" s="659"/>
      <c r="C1189" s="659" t="s">
        <v>160</v>
      </c>
      <c r="D1189" s="659"/>
      <c r="E1189" s="2"/>
      <c r="F1189" s="388">
        <f>SUM(F1185:F1188)</f>
        <v>2756149.8029166833</v>
      </c>
      <c r="G1189" s="388">
        <f>G1*SUM(G1185:G1188)</f>
        <v>0</v>
      </c>
      <c r="H1189" s="388">
        <f>SUM(H1185:H1188)</f>
        <v>0</v>
      </c>
      <c r="I1189" s="388">
        <f t="shared" ref="I1189:P1189" si="246">SUM(I1185:I1188)</f>
        <v>0</v>
      </c>
      <c r="J1189" s="585">
        <f>SUM(J1185:J1188)</f>
        <v>0</v>
      </c>
      <c r="K1189" s="585">
        <f>SUM(K1185:K1188)</f>
        <v>0</v>
      </c>
      <c r="L1189" s="388">
        <f t="shared" si="246"/>
        <v>0</v>
      </c>
      <c r="M1189" s="388">
        <f t="shared" si="246"/>
        <v>0</v>
      </c>
      <c r="N1189" s="388">
        <f t="shared" si="246"/>
        <v>0</v>
      </c>
      <c r="O1189" s="388">
        <f t="shared" si="246"/>
        <v>0</v>
      </c>
      <c r="P1189" s="388">
        <f t="shared" si="246"/>
        <v>0</v>
      </c>
      <c r="Q1189" s="585">
        <f>SUM(Q1185:Q1188)</f>
        <v>0</v>
      </c>
      <c r="R1189" s="585">
        <f>SUM(R1185:R1188)</f>
        <v>0</v>
      </c>
      <c r="S1189" s="661">
        <f>SUM(S1185:S1188)</f>
        <v>2756149.8029166833</v>
      </c>
      <c r="T1189" s="388"/>
      <c r="U1189" s="661">
        <f>SUM(U1185:U1188)</f>
        <v>2756149.8029166833</v>
      </c>
      <c r="V1189" s="661">
        <f>+U1189-'ROR-Model'!G1209</f>
        <v>0</v>
      </c>
    </row>
    <row r="1190" spans="1:22">
      <c r="A1190" s="668"/>
      <c r="B1190" s="659"/>
      <c r="C1190" s="659"/>
      <c r="D1190" s="659"/>
      <c r="E1190" s="2"/>
      <c r="F1190" s="357"/>
      <c r="G1190" s="357"/>
      <c r="H1190" s="357"/>
      <c r="I1190" s="357"/>
      <c r="J1190" s="390"/>
      <c r="K1190" s="390"/>
      <c r="L1190" s="357"/>
      <c r="M1190" s="357"/>
      <c r="N1190" s="357"/>
      <c r="O1190" s="357"/>
      <c r="P1190" s="357"/>
      <c r="Q1190" s="390"/>
      <c r="R1190" s="390"/>
      <c r="S1190" s="657"/>
      <c r="T1190" s="357"/>
      <c r="U1190" s="657"/>
      <c r="V1190" s="657">
        <f>+U1190-'ROR-Model'!G1210</f>
        <v>0</v>
      </c>
    </row>
    <row r="1191" spans="1:22">
      <c r="A1191" s="681" t="s">
        <v>147</v>
      </c>
      <c r="B1191" s="671" t="s">
        <v>146</v>
      </c>
      <c r="C1191" s="659"/>
      <c r="D1191" s="659"/>
      <c r="E1191" s="2"/>
      <c r="F1191" s="357"/>
      <c r="G1191" s="357"/>
      <c r="H1191" s="357"/>
      <c r="I1191" s="357"/>
      <c r="J1191" s="390"/>
      <c r="K1191" s="390"/>
      <c r="L1191" s="357"/>
      <c r="M1191" s="357"/>
      <c r="N1191" s="357"/>
      <c r="O1191" s="357"/>
      <c r="P1191" s="357"/>
      <c r="Q1191" s="390"/>
      <c r="R1191" s="390"/>
      <c r="S1191" s="657"/>
      <c r="T1191" s="357"/>
      <c r="U1191" s="657"/>
      <c r="V1191" s="657">
        <f>+U1191-'ROR-Model'!G1211</f>
        <v>0</v>
      </c>
    </row>
    <row r="1192" spans="1:22">
      <c r="A1192" s="660"/>
      <c r="B1192" s="659" t="s">
        <v>584</v>
      </c>
      <c r="C1192" s="659"/>
      <c r="D1192" s="659"/>
      <c r="E1192" s="2"/>
      <c r="F1192" s="357">
        <f>'Rate Base'!$AD$260*F1</f>
        <v>0</v>
      </c>
      <c r="G1192" s="357"/>
      <c r="H1192" s="357"/>
      <c r="I1192" s="357"/>
      <c r="J1192" s="390"/>
      <c r="K1192" s="390"/>
      <c r="L1192" s="357"/>
      <c r="M1192" s="357"/>
      <c r="N1192" s="357"/>
      <c r="O1192" s="357"/>
      <c r="P1192" s="357"/>
      <c r="Q1192" s="390"/>
      <c r="R1192" s="390"/>
      <c r="S1192" s="657">
        <f>SUM(F1192:R1192)</f>
        <v>0</v>
      </c>
      <c r="T1192" s="357"/>
      <c r="U1192" s="657">
        <f>SUM(S1192:S1192)</f>
        <v>0</v>
      </c>
      <c r="V1192" s="657">
        <f>+U1192-'ROR-Model'!G1212</f>
        <v>0</v>
      </c>
    </row>
    <row r="1193" spans="1:22">
      <c r="A1193" s="660"/>
      <c r="B1193" s="659" t="s">
        <v>160</v>
      </c>
      <c r="C1193" s="659"/>
      <c r="D1193" s="659"/>
      <c r="E1193" s="2"/>
      <c r="F1193" s="388">
        <f>SUM(F1192)</f>
        <v>0</v>
      </c>
      <c r="G1193" s="388">
        <f>G1*SUM(G1192)</f>
        <v>0</v>
      </c>
      <c r="H1193" s="388">
        <f>SUM(H1192)</f>
        <v>0</v>
      </c>
      <c r="I1193" s="388">
        <f t="shared" ref="I1193:Q1193" si="247">SUM(I1192)</f>
        <v>0</v>
      </c>
      <c r="J1193" s="585">
        <f>SUM(J1192)</f>
        <v>0</v>
      </c>
      <c r="K1193" s="585">
        <f>SUM(K1192)</f>
        <v>0</v>
      </c>
      <c r="L1193" s="388">
        <f t="shared" si="247"/>
        <v>0</v>
      </c>
      <c r="M1193" s="388">
        <f t="shared" si="247"/>
        <v>0</v>
      </c>
      <c r="N1193" s="388">
        <f t="shared" si="247"/>
        <v>0</v>
      </c>
      <c r="O1193" s="388">
        <f t="shared" si="247"/>
        <v>0</v>
      </c>
      <c r="P1193" s="388">
        <f t="shared" si="247"/>
        <v>0</v>
      </c>
      <c r="Q1193" s="585">
        <f t="shared" si="247"/>
        <v>0</v>
      </c>
      <c r="R1193" s="585">
        <f>SUM(R1192)</f>
        <v>0</v>
      </c>
      <c r="S1193" s="661">
        <f>SUM(S1192)</f>
        <v>0</v>
      </c>
      <c r="T1193" s="388"/>
      <c r="U1193" s="661">
        <f>SUM(U1192)</f>
        <v>0</v>
      </c>
      <c r="V1193" s="661">
        <f>+U1193-'ROR-Model'!G1213</f>
        <v>0</v>
      </c>
    </row>
    <row r="1194" spans="1:22" ht="13.5" thickBot="1">
      <c r="A1194" s="660"/>
      <c r="B1194" s="659"/>
      <c r="C1194" s="659"/>
      <c r="D1194" s="659"/>
      <c r="E1194" s="2"/>
      <c r="F1194" s="579"/>
      <c r="G1194" s="579"/>
      <c r="H1194" s="579"/>
      <c r="I1194" s="579"/>
      <c r="J1194" s="586"/>
      <c r="K1194" s="586"/>
      <c r="L1194" s="579"/>
      <c r="M1194" s="579"/>
      <c r="N1194" s="579"/>
      <c r="O1194" s="579"/>
      <c r="P1194" s="579"/>
      <c r="Q1194" s="586"/>
      <c r="R1194" s="586"/>
      <c r="S1194" s="663"/>
      <c r="T1194" s="579"/>
      <c r="U1194" s="663"/>
      <c r="V1194" s="663">
        <f>+U1194-'ROR-Model'!G1214</f>
        <v>0</v>
      </c>
    </row>
    <row r="1195" spans="1:22" ht="13.5" thickTop="1">
      <c r="A1195" s="189" t="s">
        <v>652</v>
      </c>
      <c r="B1195" s="659"/>
      <c r="C1195" s="659"/>
      <c r="D1195" s="659"/>
      <c r="E1195" s="2"/>
      <c r="F1195" s="357"/>
      <c r="G1195" s="357"/>
      <c r="H1195" s="357"/>
      <c r="I1195" s="357"/>
      <c r="J1195" s="390"/>
      <c r="K1195" s="390"/>
      <c r="L1195" s="357"/>
      <c r="M1195" s="357"/>
      <c r="N1195" s="357"/>
      <c r="O1195" s="357"/>
      <c r="P1195" s="357"/>
      <c r="Q1195" s="390"/>
      <c r="R1195" s="390"/>
      <c r="S1195" s="657"/>
      <c r="T1195" s="357"/>
      <c r="U1195" s="657"/>
      <c r="V1195" s="657">
        <f>+U1195-'ROR-Model'!G1215</f>
        <v>0</v>
      </c>
    </row>
    <row r="1196" spans="1:22">
      <c r="A1196" s="660"/>
      <c r="B1196" s="659" t="s">
        <v>427</v>
      </c>
      <c r="C1196" s="659"/>
      <c r="D1196" s="659"/>
      <c r="E1196" s="2"/>
      <c r="F1196" s="323">
        <f>F1135+F1143+F1150+F1171+F1178+F1185</f>
        <v>-179956.70666666664</v>
      </c>
      <c r="G1196" s="323">
        <f t="shared" ref="G1196:Q1196" si="248">G1135+G1143+G1150+G1171+G1178+G1185</f>
        <v>0</v>
      </c>
      <c r="H1196" s="323">
        <f>H1135+H1143+H1150+H1171+H1178+H1185</f>
        <v>-52891066.75</v>
      </c>
      <c r="I1196" s="323">
        <f t="shared" si="248"/>
        <v>0</v>
      </c>
      <c r="J1196" s="323">
        <f>J1135+J1143+J1150+J1171+J1178+J1185</f>
        <v>0</v>
      </c>
      <c r="K1196" s="323">
        <f>K1135+K1143+K1150+K1171+K1178+K1185</f>
        <v>0</v>
      </c>
      <c r="L1196" s="323">
        <f t="shared" si="248"/>
        <v>0</v>
      </c>
      <c r="M1196" s="323">
        <f t="shared" si="248"/>
        <v>0</v>
      </c>
      <c r="N1196" s="323">
        <f t="shared" si="248"/>
        <v>0</v>
      </c>
      <c r="O1196" s="323">
        <f t="shared" si="248"/>
        <v>0</v>
      </c>
      <c r="P1196" s="323">
        <f t="shared" si="248"/>
        <v>0</v>
      </c>
      <c r="Q1196" s="323">
        <f t="shared" si="248"/>
        <v>0</v>
      </c>
      <c r="R1196" s="323">
        <f>R1135+R1143+R1150+R1171+R1178+R1185</f>
        <v>0</v>
      </c>
      <c r="S1196" s="323">
        <f>S1135+S1143+S1150+S1171+S1178+S1185</f>
        <v>-53071023.456666663</v>
      </c>
      <c r="T1196" s="323"/>
      <c r="U1196" s="323">
        <f>U1135+U1143+U1150+U1171+U1178+U1185</f>
        <v>-53071023.456666663</v>
      </c>
      <c r="V1196" s="323">
        <f>+U1196-'ROR-Model'!G1216</f>
        <v>0</v>
      </c>
    </row>
    <row r="1197" spans="1:22">
      <c r="A1197" s="660"/>
      <c r="B1197" s="659" t="s">
        <v>581</v>
      </c>
      <c r="C1197" s="659"/>
      <c r="D1197" s="659"/>
      <c r="E1197" s="2"/>
      <c r="F1197" s="323">
        <f>F1130+F1144+F1151+F1157+F1172+F1179+F1186+F1162</f>
        <v>-6691088.4604723742</v>
      </c>
      <c r="G1197" s="323">
        <f t="shared" ref="G1197:Q1198" si="249">G1130+G1144+G1151+G1157+G1172+G1179+G1186+G1162</f>
        <v>0</v>
      </c>
      <c r="H1197" s="323">
        <f>H1130+H1144+H1151+H1157+H1172+H1179+H1186+H1162</f>
        <v>0</v>
      </c>
      <c r="I1197" s="323">
        <f t="shared" si="249"/>
        <v>0</v>
      </c>
      <c r="J1197" s="323">
        <f>J1130+J1144+J1151+J1157+J1172+J1179+J1186+J1162</f>
        <v>0</v>
      </c>
      <c r="K1197" s="323">
        <f>K1130+K1144+K1151+K1157+K1172+K1179+K1186+K1162</f>
        <v>0</v>
      </c>
      <c r="L1197" s="323">
        <f t="shared" si="249"/>
        <v>0</v>
      </c>
      <c r="M1197" s="323">
        <f t="shared" si="249"/>
        <v>0</v>
      </c>
      <c r="N1197" s="323">
        <f t="shared" si="249"/>
        <v>0</v>
      </c>
      <c r="O1197" s="323">
        <f t="shared" si="249"/>
        <v>0</v>
      </c>
      <c r="P1197" s="323">
        <f t="shared" si="249"/>
        <v>0</v>
      </c>
      <c r="Q1197" s="323">
        <f t="shared" si="249"/>
        <v>0</v>
      </c>
      <c r="R1197" s="323">
        <f t="shared" ref="R1197:S1198" si="250">R1130+R1144+R1151+R1157+R1172+R1179+R1186+R1162</f>
        <v>0</v>
      </c>
      <c r="S1197" s="323">
        <f t="shared" si="250"/>
        <v>-6691088.4604723742</v>
      </c>
      <c r="T1197" s="323"/>
      <c r="U1197" s="323">
        <f>U1130+U1144+U1151+U1157+U1172+U1179+U1186+U1162</f>
        <v>-6691088.4604723742</v>
      </c>
      <c r="V1197" s="323">
        <f>+U1197-'ROR-Model'!G1217</f>
        <v>0</v>
      </c>
    </row>
    <row r="1198" spans="1:22">
      <c r="A1198" s="660"/>
      <c r="B1198" s="659" t="s">
        <v>582</v>
      </c>
      <c r="C1198" s="659"/>
      <c r="D1198" s="659"/>
      <c r="E1198" s="2"/>
      <c r="F1198" s="323">
        <f>F1131+F1145+F1152+F1158+F1173+F1180+F1187+F1163</f>
        <v>-216693083.02702752</v>
      </c>
      <c r="G1198" s="323">
        <f t="shared" si="249"/>
        <v>0</v>
      </c>
      <c r="H1198" s="323">
        <f>H1131+H1145+H1152+H1158+H1173+H1180+H1187+H1163</f>
        <v>0</v>
      </c>
      <c r="I1198" s="323">
        <f t="shared" si="249"/>
        <v>0</v>
      </c>
      <c r="J1198" s="323">
        <f>J1131+J1145+J1152+J1158+J1173+J1180+J1187+J1163</f>
        <v>0</v>
      </c>
      <c r="K1198" s="323">
        <f>K1131+K1145+K1152+K1158+K1173+K1180+K1187+K1163</f>
        <v>0</v>
      </c>
      <c r="L1198" s="323">
        <f t="shared" si="249"/>
        <v>0</v>
      </c>
      <c r="M1198" s="323">
        <f t="shared" si="249"/>
        <v>0</v>
      </c>
      <c r="N1198" s="323">
        <f t="shared" si="249"/>
        <v>0</v>
      </c>
      <c r="O1198" s="323">
        <f t="shared" si="249"/>
        <v>0</v>
      </c>
      <c r="P1198" s="323">
        <f t="shared" si="249"/>
        <v>0</v>
      </c>
      <c r="Q1198" s="323">
        <f t="shared" si="249"/>
        <v>0</v>
      </c>
      <c r="R1198" s="323">
        <f t="shared" si="250"/>
        <v>0</v>
      </c>
      <c r="S1198" s="323">
        <f t="shared" si="250"/>
        <v>-216693083.02702752</v>
      </c>
      <c r="T1198" s="323"/>
      <c r="U1198" s="323">
        <f>U1131+U1145+U1152+U1158+U1173+U1180+U1187+U1163</f>
        <v>-216693083.02702752</v>
      </c>
      <c r="V1198" s="323">
        <f>+U1198-'ROR-Model'!G1218</f>
        <v>0</v>
      </c>
    </row>
    <row r="1199" spans="1:22">
      <c r="A1199" s="660"/>
      <c r="B1199" s="659" t="s">
        <v>584</v>
      </c>
      <c r="C1199" s="659"/>
      <c r="D1199" s="659"/>
      <c r="E1199" s="2"/>
      <c r="F1199" s="323">
        <f>F1139+F1146+F1153+F1167+F1174+F1181+F1188+F1192</f>
        <v>-553592.26208333438</v>
      </c>
      <c r="G1199" s="323">
        <f t="shared" ref="G1199:Q1199" si="251">G1139+G1146+G1153+G1167+G1174+G1181+G1188+G1192</f>
        <v>0</v>
      </c>
      <c r="H1199" s="323">
        <f>H1139+H1146+H1153+H1167+H1174+H1181+H1188+H1192</f>
        <v>0</v>
      </c>
      <c r="I1199" s="323">
        <f t="shared" si="251"/>
        <v>0</v>
      </c>
      <c r="J1199" s="323">
        <f>J1139+J1146+J1153+J1167+J1174+J1181+J1188+J1192</f>
        <v>0</v>
      </c>
      <c r="K1199" s="323">
        <f>K1139+K1146+K1153+K1167+K1174+K1181+K1188+K1192</f>
        <v>0</v>
      </c>
      <c r="L1199" s="323">
        <f t="shared" si="251"/>
        <v>0</v>
      </c>
      <c r="M1199" s="323">
        <f t="shared" si="251"/>
        <v>0</v>
      </c>
      <c r="N1199" s="323">
        <f t="shared" si="251"/>
        <v>0</v>
      </c>
      <c r="O1199" s="323">
        <f t="shared" si="251"/>
        <v>0</v>
      </c>
      <c r="P1199" s="323">
        <f t="shared" si="251"/>
        <v>0</v>
      </c>
      <c r="Q1199" s="323">
        <f t="shared" si="251"/>
        <v>0</v>
      </c>
      <c r="R1199" s="323">
        <f>R1139+R1146+R1153+R1167+R1174+R1181+R1188+R1192</f>
        <v>0</v>
      </c>
      <c r="S1199" s="323">
        <f>S1139+S1146+S1153+S1167+S1174+S1181+S1188+S1192</f>
        <v>-553592.26208333438</v>
      </c>
      <c r="T1199" s="323"/>
      <c r="U1199" s="323">
        <f>U1139+U1146+U1153+U1167+U1174+U1181+U1188+U1192</f>
        <v>-553592.26208333438</v>
      </c>
      <c r="V1199" s="323">
        <f>+U1199-'ROR-Model'!G1219</f>
        <v>0</v>
      </c>
    </row>
    <row r="1200" spans="1:22" ht="13.5" thickBot="1">
      <c r="A1200" s="660"/>
      <c r="B1200" s="659"/>
      <c r="C1200" s="659"/>
      <c r="D1200" s="659"/>
      <c r="E1200" s="2"/>
      <c r="F1200" s="517"/>
      <c r="G1200" s="517"/>
      <c r="H1200" s="517"/>
      <c r="I1200" s="517"/>
      <c r="J1200" s="682"/>
      <c r="K1200" s="682"/>
      <c r="L1200" s="517"/>
      <c r="M1200" s="517"/>
      <c r="N1200" s="517"/>
      <c r="O1200" s="517"/>
      <c r="P1200" s="517"/>
      <c r="Q1200" s="682"/>
      <c r="R1200" s="682"/>
      <c r="S1200" s="683"/>
      <c r="T1200" s="517"/>
      <c r="U1200" s="683"/>
      <c r="V1200" s="683">
        <f>+U1200-'ROR-Model'!G1220</f>
        <v>0</v>
      </c>
    </row>
    <row r="1201" spans="1:22" ht="13.5" thickTop="1">
      <c r="A1201" s="660"/>
      <c r="B1201" s="659"/>
      <c r="C1201" s="659"/>
      <c r="D1201" s="659"/>
      <c r="E1201" s="2"/>
      <c r="F1201" s="323"/>
      <c r="G1201" s="323"/>
      <c r="H1201" s="323"/>
      <c r="I1201" s="323"/>
      <c r="J1201" s="587"/>
      <c r="K1201" s="587"/>
      <c r="L1201" s="323"/>
      <c r="M1201" s="323"/>
      <c r="N1201" s="323"/>
      <c r="O1201" s="323"/>
      <c r="P1201" s="323"/>
      <c r="Q1201" s="587"/>
      <c r="R1201" s="587"/>
      <c r="S1201" s="667"/>
      <c r="T1201" s="323"/>
      <c r="U1201" s="667"/>
      <c r="V1201" s="667">
        <f>+U1201-'ROR-Model'!G1221</f>
        <v>0</v>
      </c>
    </row>
    <row r="1202" spans="1:22">
      <c r="A1202" s="660"/>
      <c r="B1202" s="197" t="s">
        <v>652</v>
      </c>
      <c r="C1202" s="659"/>
      <c r="D1202" s="659"/>
      <c r="E1202" s="2"/>
      <c r="F1202" s="323">
        <f t="shared" ref="F1202:Q1202" si="252">+F1132+F1136+F1140+F1147+F1154+F1159+F1164+F1168+F1175+F1182+F1189+F1193</f>
        <v>-224117720.45624989</v>
      </c>
      <c r="G1202" s="323">
        <f t="shared" si="252"/>
        <v>0</v>
      </c>
      <c r="H1202" s="323">
        <f>+H1132+H1136+H1140+H1147+H1154+H1159+H1164+H1168+H1175+H1182+H1189+H1193</f>
        <v>-52891066.75</v>
      </c>
      <c r="I1202" s="323">
        <f t="shared" si="252"/>
        <v>0</v>
      </c>
      <c r="J1202" s="587">
        <f>+J1132+J1136+J1140+J1147+J1154+J1159+J1164+J1168+J1175+J1182+J1189+J1193</f>
        <v>0</v>
      </c>
      <c r="K1202" s="587">
        <f>+K1132+K1136+K1140+K1147+K1154+K1159+K1164+K1168+K1175+K1182+K1189+K1193</f>
        <v>0</v>
      </c>
      <c r="L1202" s="323">
        <f t="shared" si="252"/>
        <v>0</v>
      </c>
      <c r="M1202" s="323">
        <f t="shared" si="252"/>
        <v>0</v>
      </c>
      <c r="N1202" s="323">
        <f t="shared" si="252"/>
        <v>0</v>
      </c>
      <c r="O1202" s="323">
        <f t="shared" si="252"/>
        <v>0</v>
      </c>
      <c r="P1202" s="323">
        <f t="shared" si="252"/>
        <v>0</v>
      </c>
      <c r="Q1202" s="587">
        <f t="shared" si="252"/>
        <v>0</v>
      </c>
      <c r="R1202" s="587">
        <f>+R1132+R1136+R1140+R1147+R1154+R1159+R1164+R1168+R1175+R1182+R1189+R1193</f>
        <v>0</v>
      </c>
      <c r="S1202" s="925">
        <f>+S1132+S1136+S1140+S1147+S1154+S1159+S1164+S1168+S1175+S1182+S1189+S1193</f>
        <v>-277008787.20624989</v>
      </c>
      <c r="T1202" s="323"/>
      <c r="U1202" s="667">
        <f>+U1132+U1136+U1140+U1147+U1154+U1159+U1164+U1168+U1175+U1182+U1189+U1193</f>
        <v>-277008787.20624989</v>
      </c>
      <c r="V1202" s="667">
        <f>+U1202-'ROR-Model'!G1222</f>
        <v>0</v>
      </c>
    </row>
    <row r="1203" spans="1:22">
      <c r="A1203" s="660"/>
      <c r="B1203" s="659"/>
      <c r="C1203" s="659"/>
      <c r="D1203" s="659"/>
      <c r="E1203" s="2"/>
      <c r="F1203" s="357"/>
      <c r="G1203" s="357"/>
      <c r="H1203" s="357"/>
      <c r="I1203" s="357"/>
      <c r="J1203" s="390"/>
      <c r="K1203" s="390"/>
      <c r="L1203" s="357"/>
      <c r="M1203" s="357"/>
      <c r="N1203" s="357"/>
      <c r="O1203" s="357"/>
      <c r="P1203" s="357"/>
      <c r="Q1203" s="390"/>
      <c r="R1203" s="390"/>
      <c r="S1203" s="657"/>
      <c r="T1203" s="357"/>
      <c r="U1203" s="657"/>
      <c r="V1203" s="657">
        <f>+U1203-'ROR-Model'!G1223</f>
        <v>0</v>
      </c>
    </row>
    <row r="1204" spans="1:22">
      <c r="A1204" s="197" t="s">
        <v>673</v>
      </c>
      <c r="B1204" s="659"/>
      <c r="C1204" s="659"/>
      <c r="D1204" s="659"/>
      <c r="E1204" s="2"/>
      <c r="F1204" s="323"/>
      <c r="G1204" s="323"/>
      <c r="H1204" s="323"/>
      <c r="I1204" s="323"/>
      <c r="J1204" s="587"/>
      <c r="K1204" s="587"/>
      <c r="L1204" s="323"/>
      <c r="M1204" s="323"/>
      <c r="N1204" s="323"/>
      <c r="O1204" s="323"/>
      <c r="P1204" s="323"/>
      <c r="Q1204" s="587"/>
      <c r="R1204" s="587"/>
      <c r="S1204" s="667"/>
      <c r="T1204" s="323"/>
      <c r="U1204" s="667"/>
      <c r="V1204" s="667">
        <f>+U1204-'ROR-Model'!G1224</f>
        <v>0</v>
      </c>
    </row>
    <row r="1205" spans="1:22">
      <c r="A1205" s="197"/>
      <c r="B1205" s="659" t="s">
        <v>427</v>
      </c>
      <c r="C1205" s="659"/>
      <c r="D1205" s="659"/>
      <c r="E1205" s="2"/>
      <c r="F1205" s="357">
        <f t="shared" ref="F1205:F1208" si="253">F1118+F1196</f>
        <v>147100.12124998533</v>
      </c>
      <c r="G1205" s="357">
        <f>G1*G1118+G1196</f>
        <v>0</v>
      </c>
      <c r="H1205" s="357">
        <f>H1118+H1196</f>
        <v>-52891066.75</v>
      </c>
      <c r="I1205" s="357">
        <f t="shared" ref="I1205:Q1208" si="254">I1118+I1196</f>
        <v>-287796.48394874961</v>
      </c>
      <c r="J1205" s="390">
        <f t="shared" ref="J1205:K1208" si="255">J1118+J1196</f>
        <v>0</v>
      </c>
      <c r="K1205" s="390">
        <f t="shared" si="255"/>
        <v>0</v>
      </c>
      <c r="L1205" s="357">
        <f t="shared" si="254"/>
        <v>0</v>
      </c>
      <c r="M1205" s="357">
        <f t="shared" si="254"/>
        <v>0</v>
      </c>
      <c r="N1205" s="357">
        <f t="shared" si="254"/>
        <v>0</v>
      </c>
      <c r="O1205" s="357">
        <f t="shared" si="254"/>
        <v>0</v>
      </c>
      <c r="P1205" s="357">
        <f t="shared" si="254"/>
        <v>0</v>
      </c>
      <c r="Q1205" s="390">
        <f t="shared" si="254"/>
        <v>0</v>
      </c>
      <c r="R1205" s="390">
        <f t="shared" ref="R1205:R1208" si="256">R1118+R1196</f>
        <v>0</v>
      </c>
      <c r="S1205" s="657">
        <f>S1118+S1196</f>
        <v>-53031763.112698764</v>
      </c>
      <c r="T1205" s="357"/>
      <c r="U1205" s="657">
        <f>U1118+U1196</f>
        <v>-53031763.112698764</v>
      </c>
      <c r="V1205" s="657">
        <f>+U1205-'ROR-Model'!G1225</f>
        <v>0</v>
      </c>
    </row>
    <row r="1206" spans="1:22">
      <c r="A1206" s="197"/>
      <c r="B1206" s="659" t="s">
        <v>581</v>
      </c>
      <c r="C1206" s="659"/>
      <c r="D1206" s="659"/>
      <c r="E1206" s="2"/>
      <c r="F1206" s="357">
        <f t="shared" si="253"/>
        <v>-3679349.0336390394</v>
      </c>
      <c r="G1206" s="357">
        <f>G1*G1119+G1197</f>
        <v>0</v>
      </c>
      <c r="H1206" s="357">
        <f>H1119+H1197</f>
        <v>0</v>
      </c>
      <c r="I1206" s="357">
        <f t="shared" si="254"/>
        <v>0</v>
      </c>
      <c r="J1206" s="390">
        <f t="shared" si="255"/>
        <v>0</v>
      </c>
      <c r="K1206" s="390">
        <f t="shared" si="255"/>
        <v>0</v>
      </c>
      <c r="L1206" s="357">
        <f t="shared" si="254"/>
        <v>0</v>
      </c>
      <c r="M1206" s="357">
        <f t="shared" si="254"/>
        <v>0</v>
      </c>
      <c r="N1206" s="357">
        <f t="shared" si="254"/>
        <v>0</v>
      </c>
      <c r="O1206" s="357">
        <f t="shared" si="254"/>
        <v>0</v>
      </c>
      <c r="P1206" s="357">
        <f t="shared" si="254"/>
        <v>0</v>
      </c>
      <c r="Q1206" s="390">
        <f>Q1119+Q1197</f>
        <v>0</v>
      </c>
      <c r="R1206" s="390">
        <f t="shared" si="256"/>
        <v>0</v>
      </c>
      <c r="S1206" s="657">
        <f>S1119+S1197</f>
        <v>-3679349.0336390394</v>
      </c>
      <c r="T1206" s="357"/>
      <c r="U1206" s="657">
        <f>U1119+U1197</f>
        <v>-3679349.0336390394</v>
      </c>
      <c r="V1206" s="657">
        <f>+U1206-'ROR-Model'!G1226</f>
        <v>0</v>
      </c>
    </row>
    <row r="1207" spans="1:22">
      <c r="A1207" s="197"/>
      <c r="B1207" s="659" t="s">
        <v>582</v>
      </c>
      <c r="C1207" s="659"/>
      <c r="D1207" s="659"/>
      <c r="E1207" s="2"/>
      <c r="F1207" s="357">
        <f t="shared" si="253"/>
        <v>-307245842.72736096</v>
      </c>
      <c r="G1207" s="357">
        <f>G1*G1120+G1198</f>
        <v>0</v>
      </c>
      <c r="H1207" s="357">
        <f>H1120+H1198</f>
        <v>0</v>
      </c>
      <c r="I1207" s="357">
        <f t="shared" si="254"/>
        <v>0</v>
      </c>
      <c r="J1207" s="390">
        <f t="shared" si="255"/>
        <v>0</v>
      </c>
      <c r="K1207" s="390">
        <f t="shared" si="255"/>
        <v>0</v>
      </c>
      <c r="L1207" s="357">
        <f t="shared" si="254"/>
        <v>0</v>
      </c>
      <c r="M1207" s="357">
        <f t="shared" si="254"/>
        <v>0</v>
      </c>
      <c r="N1207" s="357">
        <f t="shared" si="254"/>
        <v>0</v>
      </c>
      <c r="O1207" s="357">
        <f t="shared" si="254"/>
        <v>0</v>
      </c>
      <c r="P1207" s="357">
        <f t="shared" si="254"/>
        <v>0</v>
      </c>
      <c r="Q1207" s="390">
        <f>Q1120+Q1198</f>
        <v>0</v>
      </c>
      <c r="R1207" s="390">
        <f t="shared" si="256"/>
        <v>0</v>
      </c>
      <c r="S1207" s="657">
        <f>S1120+S1198</f>
        <v>-307245842.72736096</v>
      </c>
      <c r="T1207" s="357"/>
      <c r="U1207" s="657">
        <f>U1120+U1198</f>
        <v>-307245842.72736096</v>
      </c>
      <c r="V1207" s="657">
        <f>+U1207-'ROR-Model'!G1227</f>
        <v>0</v>
      </c>
    </row>
    <row r="1208" spans="1:22">
      <c r="A1208" s="197"/>
      <c r="B1208" s="659" t="s">
        <v>584</v>
      </c>
      <c r="C1208" s="659"/>
      <c r="D1208" s="659"/>
      <c r="E1208" s="2"/>
      <c r="F1208" s="357">
        <f t="shared" si="253"/>
        <v>230596227.81541663</v>
      </c>
      <c r="G1208" s="357">
        <f>G1*G1121+G1199</f>
        <v>0</v>
      </c>
      <c r="H1208" s="357">
        <f>H1121+H1199</f>
        <v>0</v>
      </c>
      <c r="I1208" s="357">
        <f t="shared" si="254"/>
        <v>0</v>
      </c>
      <c r="J1208" s="390">
        <f t="shared" si="255"/>
        <v>0</v>
      </c>
      <c r="K1208" s="390">
        <f t="shared" si="255"/>
        <v>0</v>
      </c>
      <c r="L1208" s="357">
        <f t="shared" si="254"/>
        <v>0</v>
      </c>
      <c r="M1208" s="357">
        <f t="shared" si="254"/>
        <v>0</v>
      </c>
      <c r="N1208" s="357">
        <f t="shared" si="254"/>
        <v>0</v>
      </c>
      <c r="O1208" s="357">
        <f t="shared" si="254"/>
        <v>0</v>
      </c>
      <c r="P1208" s="357">
        <f t="shared" si="254"/>
        <v>0</v>
      </c>
      <c r="Q1208" s="390">
        <f>Q1121+Q1199</f>
        <v>0</v>
      </c>
      <c r="R1208" s="390">
        <f t="shared" si="256"/>
        <v>0</v>
      </c>
      <c r="S1208" s="657">
        <f>S1121+S1199</f>
        <v>230596227.81541663</v>
      </c>
      <c r="T1208" s="357"/>
      <c r="U1208" s="657">
        <f>U1121+U1199</f>
        <v>230596227.81541663</v>
      </c>
      <c r="V1208" s="657">
        <f>+U1208-'ROR-Model'!G1228</f>
        <v>0</v>
      </c>
    </row>
    <row r="1209" spans="1:22" ht="13.5" thickBot="1">
      <c r="A1209" s="197"/>
      <c r="B1209" s="659"/>
      <c r="C1209" s="659"/>
      <c r="D1209" s="659"/>
      <c r="E1209" s="2"/>
      <c r="F1209" s="579"/>
      <c r="G1209" s="579"/>
      <c r="H1209" s="579"/>
      <c r="I1209" s="579"/>
      <c r="J1209" s="586"/>
      <c r="K1209" s="586"/>
      <c r="L1209" s="579"/>
      <c r="M1209" s="579"/>
      <c r="N1209" s="579"/>
      <c r="O1209" s="579"/>
      <c r="P1209" s="579"/>
      <c r="Q1209" s="586"/>
      <c r="R1209" s="586"/>
      <c r="S1209" s="663"/>
      <c r="T1209" s="579"/>
      <c r="U1209" s="663"/>
      <c r="V1209" s="663">
        <f>+U1209-'ROR-Model'!G1229</f>
        <v>0</v>
      </c>
    </row>
    <row r="1210" spans="1:22" ht="13.5" thickTop="1">
      <c r="A1210" s="197"/>
      <c r="B1210" s="659"/>
      <c r="C1210" s="659"/>
      <c r="D1210" s="659"/>
      <c r="E1210" s="2"/>
      <c r="F1210" s="357"/>
      <c r="G1210" s="357"/>
      <c r="H1210" s="357"/>
      <c r="I1210" s="357"/>
      <c r="J1210" s="390"/>
      <c r="K1210" s="390"/>
      <c r="L1210" s="357"/>
      <c r="M1210" s="357"/>
      <c r="N1210" s="357"/>
      <c r="O1210" s="357"/>
      <c r="P1210" s="357"/>
      <c r="Q1210" s="390"/>
      <c r="R1210" s="390"/>
      <c r="S1210" s="657"/>
      <c r="T1210" s="357"/>
      <c r="U1210" s="657"/>
      <c r="V1210" s="657">
        <f>+U1210-'ROR-Model'!G1230</f>
        <v>0</v>
      </c>
    </row>
    <row r="1211" spans="1:22">
      <c r="A1211" s="684"/>
      <c r="B1211" s="197" t="s">
        <v>673</v>
      </c>
      <c r="C1211" s="659"/>
      <c r="D1211" s="659"/>
      <c r="E1211" s="2"/>
      <c r="F1211" s="357">
        <f>F1124+F1202</f>
        <v>-80181863.82433337</v>
      </c>
      <c r="G1211" s="357">
        <f>G1*G1124+G1202</f>
        <v>0</v>
      </c>
      <c r="H1211" s="357">
        <f>H1124+H1202</f>
        <v>-52891066.75</v>
      </c>
      <c r="I1211" s="357">
        <f>I1124+I1202</f>
        <v>-287796.48394874961</v>
      </c>
      <c r="J1211" s="390">
        <f>J1124+J1202</f>
        <v>0</v>
      </c>
      <c r="K1211" s="390">
        <f>K1124+K1202</f>
        <v>0</v>
      </c>
      <c r="L1211" s="357">
        <f t="shared" ref="L1211:Q1211" si="257">L1124+L1202</f>
        <v>0</v>
      </c>
      <c r="M1211" s="357">
        <f t="shared" si="257"/>
        <v>0</v>
      </c>
      <c r="N1211" s="357">
        <f t="shared" si="257"/>
        <v>0</v>
      </c>
      <c r="O1211" s="357">
        <f t="shared" si="257"/>
        <v>0</v>
      </c>
      <c r="P1211" s="357">
        <f t="shared" si="257"/>
        <v>0</v>
      </c>
      <c r="Q1211" s="390">
        <f t="shared" si="257"/>
        <v>0</v>
      </c>
      <c r="R1211" s="390">
        <f>R1124+R1202</f>
        <v>0</v>
      </c>
      <c r="S1211" s="748">
        <f>S1124+S1202</f>
        <v>-133360727.05828214</v>
      </c>
      <c r="T1211" s="357"/>
      <c r="U1211" s="657">
        <f>U1124+U1202</f>
        <v>-133360727.05828214</v>
      </c>
      <c r="V1211" s="657">
        <f>+U1211-'ROR-Model'!G1231</f>
        <v>0</v>
      </c>
    </row>
    <row r="1212" spans="1:22">
      <c r="A1212" s="2"/>
      <c r="B1212" s="2"/>
      <c r="C1212" s="2"/>
      <c r="D1212" s="2"/>
      <c r="E1212" s="2"/>
      <c r="F1212" s="2"/>
      <c r="G1212" s="2"/>
      <c r="H1212" s="2"/>
      <c r="I1212" s="2"/>
      <c r="J1212" s="84"/>
      <c r="K1212" s="84"/>
      <c r="L1212" s="2"/>
      <c r="M1212" s="2"/>
      <c r="N1212" s="2"/>
      <c r="O1212" s="2"/>
      <c r="P1212" s="2"/>
      <c r="Q1212" s="84"/>
      <c r="R1212" s="84"/>
      <c r="S1212" s="84"/>
      <c r="T1212" s="2"/>
      <c r="U1212" s="84"/>
      <c r="V1212" s="84">
        <f>+U1212-'ROR-Model'!G1232</f>
        <v>0</v>
      </c>
    </row>
    <row r="1213" spans="1:22">
      <c r="A1213" s="197" t="s">
        <v>677</v>
      </c>
      <c r="B1213" s="659"/>
      <c r="C1213" s="659"/>
      <c r="D1213" s="659"/>
      <c r="E1213" s="2"/>
      <c r="F1213" s="357"/>
      <c r="G1213" s="357"/>
      <c r="H1213" s="357"/>
      <c r="I1213" s="357"/>
      <c r="J1213" s="390"/>
      <c r="K1213" s="390"/>
      <c r="L1213" s="357"/>
      <c r="M1213" s="357"/>
      <c r="N1213" s="357"/>
      <c r="O1213" s="357"/>
      <c r="P1213" s="357"/>
      <c r="Q1213" s="390"/>
      <c r="R1213" s="390"/>
      <c r="S1213" s="657"/>
      <c r="T1213" s="357"/>
      <c r="U1213" s="657"/>
      <c r="V1213" s="657">
        <f>+U1213-'ROR-Model'!G1233</f>
        <v>0</v>
      </c>
    </row>
    <row r="1214" spans="1:22">
      <c r="A1214" s="684"/>
      <c r="B1214" s="659"/>
      <c r="C1214" s="659"/>
      <c r="D1214" s="659"/>
      <c r="E1214" s="2"/>
      <c r="F1214" s="357"/>
      <c r="G1214" s="357"/>
      <c r="H1214" s="357"/>
      <c r="I1214" s="357"/>
      <c r="J1214" s="390"/>
      <c r="K1214" s="390"/>
      <c r="L1214" s="357"/>
      <c r="M1214" s="357"/>
      <c r="N1214" s="357"/>
      <c r="O1214" s="357"/>
      <c r="P1214" s="357"/>
      <c r="Q1214" s="390"/>
      <c r="R1214" s="390"/>
      <c r="S1214" s="657"/>
      <c r="T1214" s="357"/>
      <c r="U1214" s="657"/>
      <c r="V1214" s="657">
        <f>+U1214-'ROR-Model'!G1234</f>
        <v>0</v>
      </c>
    </row>
    <row r="1215" spans="1:22">
      <c r="A1215" s="684"/>
      <c r="B1215" s="119" t="s">
        <v>467</v>
      </c>
      <c r="C1215" s="659"/>
      <c r="D1215" s="659"/>
      <c r="E1215" s="2"/>
      <c r="F1215" s="357"/>
      <c r="G1215" s="357"/>
      <c r="H1215" s="357"/>
      <c r="I1215" s="357"/>
      <c r="J1215" s="390"/>
      <c r="K1215" s="390"/>
      <c r="L1215" s="357"/>
      <c r="M1215" s="357"/>
      <c r="N1215" s="357"/>
      <c r="O1215" s="357"/>
      <c r="P1215" s="357"/>
      <c r="Q1215" s="390"/>
      <c r="R1215" s="390"/>
      <c r="S1215" s="657"/>
      <c r="T1215" s="357"/>
      <c r="U1215" s="657"/>
      <c r="V1215" s="657">
        <f>+U1215-'ROR-Model'!G1235</f>
        <v>0</v>
      </c>
    </row>
    <row r="1216" spans="1:22">
      <c r="A1216" s="684"/>
      <c r="B1216" s="659"/>
      <c r="C1216" s="659" t="s">
        <v>468</v>
      </c>
      <c r="D1216" s="659"/>
      <c r="E1216" s="2"/>
      <c r="F1216" s="357">
        <f>F639</f>
        <v>0</v>
      </c>
      <c r="G1216" s="357">
        <f>G1*G639</f>
        <v>0</v>
      </c>
      <c r="H1216" s="357">
        <f t="shared" ref="H1216:R1216" si="258">H639</f>
        <v>0</v>
      </c>
      <c r="I1216" s="357">
        <f t="shared" si="258"/>
        <v>0</v>
      </c>
      <c r="J1216" s="390">
        <f>J639</f>
        <v>0</v>
      </c>
      <c r="K1216" s="390">
        <f t="shared" ref="K1216" si="259">K639</f>
        <v>0</v>
      </c>
      <c r="L1216" s="357">
        <f t="shared" si="258"/>
        <v>0</v>
      </c>
      <c r="M1216" s="357">
        <f t="shared" si="258"/>
        <v>0</v>
      </c>
      <c r="N1216" s="357">
        <f t="shared" si="258"/>
        <v>0</v>
      </c>
      <c r="O1216" s="357">
        <f t="shared" si="258"/>
        <v>0</v>
      </c>
      <c r="P1216" s="357">
        <f t="shared" si="258"/>
        <v>0</v>
      </c>
      <c r="Q1216" s="390">
        <f t="shared" si="258"/>
        <v>0</v>
      </c>
      <c r="R1216" s="390">
        <f t="shared" si="258"/>
        <v>0</v>
      </c>
      <c r="S1216" s="657">
        <f t="shared" ref="S1216:S1224" si="260">SUM(F1216:R1216)</f>
        <v>0</v>
      </c>
      <c r="T1216" s="357"/>
      <c r="U1216" s="657">
        <f t="shared" ref="U1216:U1224" si="261">SUM(S1216:S1216)</f>
        <v>0</v>
      </c>
      <c r="V1216" s="657">
        <f>+U1216-'ROR-Model'!G1236</f>
        <v>0</v>
      </c>
    </row>
    <row r="1217" spans="1:22">
      <c r="A1217" s="684"/>
      <c r="B1217" s="659"/>
      <c r="C1217" s="659" t="s">
        <v>469</v>
      </c>
      <c r="D1217" s="659"/>
      <c r="E1217" s="2"/>
      <c r="F1217" s="357">
        <f>F892</f>
        <v>0</v>
      </c>
      <c r="G1217" s="357">
        <f>G1*G892</f>
        <v>-20972049.120000001</v>
      </c>
      <c r="H1217" s="357">
        <f t="shared" ref="H1217:R1217" si="262">H892</f>
        <v>0</v>
      </c>
      <c r="I1217" s="357">
        <f t="shared" si="262"/>
        <v>0</v>
      </c>
      <c r="J1217" s="390">
        <f>J892</f>
        <v>7601327</v>
      </c>
      <c r="K1217" s="390">
        <f t="shared" ref="K1217" si="263">K892</f>
        <v>19706988.559999999</v>
      </c>
      <c r="L1217" s="357">
        <f t="shared" si="262"/>
        <v>-1000511.2476272971</v>
      </c>
      <c r="M1217" s="357">
        <f t="shared" si="262"/>
        <v>-1085729.9009643851</v>
      </c>
      <c r="N1217" s="357">
        <f t="shared" si="262"/>
        <v>0</v>
      </c>
      <c r="O1217" s="357">
        <f t="shared" si="262"/>
        <v>-5896.3974999999991</v>
      </c>
      <c r="P1217" s="357">
        <f t="shared" ca="1" si="262"/>
        <v>-186415.64848199999</v>
      </c>
      <c r="Q1217" s="390">
        <f t="shared" si="262"/>
        <v>-4667</v>
      </c>
      <c r="R1217" s="390">
        <f t="shared" si="262"/>
        <v>2669523.4140752926</v>
      </c>
      <c r="S1217" s="926">
        <f t="shared" ca="1" si="260"/>
        <v>6722569.6595016085</v>
      </c>
      <c r="T1217" s="357"/>
      <c r="U1217" s="657">
        <f t="shared" ca="1" si="261"/>
        <v>6722569.6595016085</v>
      </c>
      <c r="V1217" s="657">
        <f ca="1">+U1217-'ROR-Model'!G1237</f>
        <v>0</v>
      </c>
    </row>
    <row r="1218" spans="1:22">
      <c r="A1218" s="684"/>
      <c r="B1218" s="659"/>
      <c r="C1218" s="659" t="s">
        <v>653</v>
      </c>
      <c r="D1218" s="659"/>
      <c r="E1218" s="2"/>
      <c r="F1218" s="357">
        <v>0</v>
      </c>
      <c r="G1218" s="357">
        <v>0</v>
      </c>
      <c r="H1218" s="357">
        <v>0</v>
      </c>
      <c r="I1218" s="357">
        <v>0</v>
      </c>
      <c r="J1218" s="390">
        <v>0</v>
      </c>
      <c r="K1218" s="390">
        <v>0</v>
      </c>
      <c r="L1218" s="357">
        <v>0</v>
      </c>
      <c r="M1218" s="357">
        <v>0</v>
      </c>
      <c r="N1218" s="357">
        <v>0</v>
      </c>
      <c r="O1218" s="357">
        <v>0</v>
      </c>
      <c r="P1218" s="357">
        <v>0</v>
      </c>
      <c r="Q1218" s="390">
        <v>0</v>
      </c>
      <c r="R1218" s="390">
        <v>0</v>
      </c>
      <c r="S1218" s="657">
        <f t="shared" si="260"/>
        <v>0</v>
      </c>
      <c r="T1218" s="357"/>
      <c r="U1218" s="657">
        <f t="shared" si="261"/>
        <v>0</v>
      </c>
      <c r="V1218" s="657">
        <f>+U1218-'ROR-Model'!G1238</f>
        <v>0</v>
      </c>
    </row>
    <row r="1219" spans="1:22">
      <c r="A1219" s="684"/>
      <c r="B1219" s="659"/>
      <c r="C1219" s="659" t="s">
        <v>470</v>
      </c>
      <c r="D1219" s="659"/>
      <c r="E1219" s="2"/>
      <c r="F1219" s="357">
        <f>F921</f>
        <v>0</v>
      </c>
      <c r="G1219" s="357">
        <f>G1*G921</f>
        <v>0</v>
      </c>
      <c r="H1219" s="357">
        <f t="shared" ref="H1219:R1219" si="264">H921</f>
        <v>0</v>
      </c>
      <c r="I1219" s="357">
        <f t="shared" si="264"/>
        <v>0</v>
      </c>
      <c r="J1219" s="390">
        <f>J921</f>
        <v>0</v>
      </c>
      <c r="K1219" s="390">
        <f t="shared" ref="K1219" si="265">K921</f>
        <v>0</v>
      </c>
      <c r="L1219" s="357">
        <f t="shared" si="264"/>
        <v>0</v>
      </c>
      <c r="M1219" s="357">
        <f t="shared" si="264"/>
        <v>0</v>
      </c>
      <c r="N1219" s="357">
        <f t="shared" si="264"/>
        <v>0</v>
      </c>
      <c r="O1219" s="357">
        <f t="shared" si="264"/>
        <v>0</v>
      </c>
      <c r="P1219" s="357">
        <f t="shared" si="264"/>
        <v>0</v>
      </c>
      <c r="Q1219" s="390">
        <f t="shared" si="264"/>
        <v>0</v>
      </c>
      <c r="R1219" s="390">
        <f t="shared" si="264"/>
        <v>0</v>
      </c>
      <c r="S1219" s="657">
        <f t="shared" si="260"/>
        <v>0</v>
      </c>
      <c r="T1219" s="357"/>
      <c r="U1219" s="657">
        <f t="shared" si="261"/>
        <v>0</v>
      </c>
      <c r="V1219" s="657">
        <f>+U1219-'ROR-Model'!G1239</f>
        <v>0</v>
      </c>
    </row>
    <row r="1220" spans="1:22">
      <c r="A1220" s="684"/>
      <c r="B1220" s="659"/>
      <c r="C1220" s="659" t="s">
        <v>472</v>
      </c>
      <c r="D1220" s="659"/>
      <c r="E1220" s="2"/>
      <c r="F1220" s="357">
        <f>F923+F925+F927</f>
        <v>0</v>
      </c>
      <c r="G1220" s="357">
        <f>G1*G923+G925+G927</f>
        <v>0</v>
      </c>
      <c r="H1220" s="357">
        <f t="shared" ref="H1220:R1220" si="266">H923+H925+H927</f>
        <v>0</v>
      </c>
      <c r="I1220" s="357">
        <f t="shared" si="266"/>
        <v>0</v>
      </c>
      <c r="J1220" s="390">
        <f>J923+J925+J927</f>
        <v>-2895304.1410877551</v>
      </c>
      <c r="K1220" s="390">
        <f t="shared" ref="K1220" si="267">K923+K925+K927</f>
        <v>-7506284.8350211764</v>
      </c>
      <c r="L1220" s="357">
        <f t="shared" si="266"/>
        <v>381089.2964426066</v>
      </c>
      <c r="M1220" s="357">
        <f t="shared" si="266"/>
        <v>413548.61833532259</v>
      </c>
      <c r="N1220" s="357">
        <f t="shared" si="266"/>
        <v>0</v>
      </c>
      <c r="O1220" s="357">
        <f t="shared" si="266"/>
        <v>2245.9057608295871</v>
      </c>
      <c r="P1220" s="357">
        <f t="shared" ca="1" si="266"/>
        <v>71004.707337744301</v>
      </c>
      <c r="Q1220" s="390">
        <f t="shared" si="266"/>
        <v>1777.634934855</v>
      </c>
      <c r="R1220" s="390">
        <f t="shared" si="266"/>
        <v>-1016806.9595615235</v>
      </c>
      <c r="S1220" s="748">
        <f t="shared" ca="1" si="260"/>
        <v>-10548729.772859093</v>
      </c>
      <c r="T1220" s="357"/>
      <c r="U1220" s="657">
        <f t="shared" ca="1" si="261"/>
        <v>-10548729.772859093</v>
      </c>
      <c r="V1220" s="657">
        <f ca="1">+U1220-'ROR-Model'!G1240</f>
        <v>0</v>
      </c>
    </row>
    <row r="1221" spans="1:22">
      <c r="A1221" s="684"/>
      <c r="B1221" s="659"/>
      <c r="C1221" s="659" t="s">
        <v>594</v>
      </c>
      <c r="D1221" s="659"/>
      <c r="E1221" s="2"/>
      <c r="F1221" s="357">
        <v>0</v>
      </c>
      <c r="G1221" s="357">
        <v>0</v>
      </c>
      <c r="H1221" s="357">
        <v>0</v>
      </c>
      <c r="I1221" s="357">
        <v>0</v>
      </c>
      <c r="J1221" s="390">
        <v>0</v>
      </c>
      <c r="K1221" s="390">
        <v>0</v>
      </c>
      <c r="L1221" s="357">
        <v>0</v>
      </c>
      <c r="M1221" s="357">
        <v>0</v>
      </c>
      <c r="N1221" s="357">
        <v>0</v>
      </c>
      <c r="O1221" s="357">
        <v>0</v>
      </c>
      <c r="P1221" s="357">
        <v>0</v>
      </c>
      <c r="Q1221" s="390">
        <v>0</v>
      </c>
      <c r="R1221" s="390">
        <v>0</v>
      </c>
      <c r="S1221" s="657">
        <f t="shared" si="260"/>
        <v>0</v>
      </c>
      <c r="T1221" s="357"/>
      <c r="U1221" s="657">
        <f t="shared" si="261"/>
        <v>0</v>
      </c>
      <c r="V1221" s="657">
        <f>+U1221-'ROR-Model'!G1241</f>
        <v>0</v>
      </c>
    </row>
    <row r="1222" spans="1:22">
      <c r="A1222" s="684"/>
      <c r="B1222" s="659"/>
      <c r="C1222" s="659" t="s">
        <v>595</v>
      </c>
      <c r="D1222" s="659"/>
      <c r="E1222" s="2"/>
      <c r="F1222" s="357">
        <v>0</v>
      </c>
      <c r="G1222" s="357">
        <v>0</v>
      </c>
      <c r="H1222" s="357">
        <v>0</v>
      </c>
      <c r="I1222" s="357">
        <v>0</v>
      </c>
      <c r="J1222" s="390">
        <v>0</v>
      </c>
      <c r="K1222" s="390">
        <v>0</v>
      </c>
      <c r="L1222" s="357">
        <v>0</v>
      </c>
      <c r="M1222" s="357">
        <v>0</v>
      </c>
      <c r="N1222" s="357">
        <v>0</v>
      </c>
      <c r="O1222" s="357">
        <v>0</v>
      </c>
      <c r="P1222" s="357">
        <v>0</v>
      </c>
      <c r="Q1222" s="390">
        <v>0</v>
      </c>
      <c r="R1222" s="390">
        <v>0</v>
      </c>
      <c r="S1222" s="657">
        <f t="shared" si="260"/>
        <v>0</v>
      </c>
      <c r="T1222" s="357"/>
      <c r="U1222" s="657">
        <f t="shared" si="261"/>
        <v>0</v>
      </c>
      <c r="V1222" s="657">
        <f>+U1222-'ROR-Model'!G1242</f>
        <v>0</v>
      </c>
    </row>
    <row r="1223" spans="1:22" ht="13.5" thickBot="1">
      <c r="A1223" s="684"/>
      <c r="B1223" s="659"/>
      <c r="C1223" s="659"/>
      <c r="D1223" s="659"/>
      <c r="E1223" s="2"/>
      <c r="F1223" s="580"/>
      <c r="G1223" s="580"/>
      <c r="H1223" s="580"/>
      <c r="I1223" s="580"/>
      <c r="J1223" s="673"/>
      <c r="K1223" s="673"/>
      <c r="L1223" s="580"/>
      <c r="M1223" s="580"/>
      <c r="N1223" s="580"/>
      <c r="O1223" s="580"/>
      <c r="P1223" s="580"/>
      <c r="Q1223" s="673"/>
      <c r="R1223" s="673"/>
      <c r="S1223" s="674">
        <f t="shared" si="260"/>
        <v>0</v>
      </c>
      <c r="T1223" s="580"/>
      <c r="U1223" s="674">
        <f t="shared" si="261"/>
        <v>0</v>
      </c>
      <c r="V1223" s="674">
        <f>+U1223-'ROR-Model'!G1243</f>
        <v>0</v>
      </c>
    </row>
    <row r="1224" spans="1:22">
      <c r="A1224" s="684"/>
      <c r="B1224" s="659"/>
      <c r="C1224" s="119" t="s">
        <v>467</v>
      </c>
      <c r="D1224" s="659"/>
      <c r="E1224" s="2"/>
      <c r="F1224" s="357">
        <f>SUM(F1216:F1222)</f>
        <v>0</v>
      </c>
      <c r="G1224" s="357">
        <f>G1*SUM(G1216:G1222)</f>
        <v>-20972049.120000001</v>
      </c>
      <c r="H1224" s="357">
        <f>SUM(H1216:H1222)</f>
        <v>0</v>
      </c>
      <c r="I1224" s="357">
        <f t="shared" ref="I1224:Q1224" si="268">SUM(I1216:I1222)</f>
        <v>0</v>
      </c>
      <c r="J1224" s="390">
        <f>SUM(J1216:J1222)</f>
        <v>4706022.8589122444</v>
      </c>
      <c r="K1224" s="390">
        <f>SUM(K1216:K1222)</f>
        <v>12200703.724978823</v>
      </c>
      <c r="L1224" s="357">
        <f t="shared" si="268"/>
        <v>-619421.95118469046</v>
      </c>
      <c r="M1224" s="357">
        <f t="shared" si="268"/>
        <v>-672181.28262906254</v>
      </c>
      <c r="N1224" s="357">
        <f t="shared" si="268"/>
        <v>0</v>
      </c>
      <c r="O1224" s="357">
        <f t="shared" si="268"/>
        <v>-3650.4917391704121</v>
      </c>
      <c r="P1224" s="357">
        <f t="shared" ca="1" si="268"/>
        <v>-115410.94114425569</v>
      </c>
      <c r="Q1224" s="390">
        <f t="shared" si="268"/>
        <v>-2889.3650651449998</v>
      </c>
      <c r="R1224" s="390">
        <f>SUM(R1216:R1222)</f>
        <v>1652716.4545137691</v>
      </c>
      <c r="S1224" s="657">
        <f t="shared" ca="1" si="260"/>
        <v>-3826160.1133574885</v>
      </c>
      <c r="T1224" s="357"/>
      <c r="U1224" s="657">
        <f t="shared" ca="1" si="261"/>
        <v>-3826160.1133574885</v>
      </c>
      <c r="V1224" s="657">
        <f ca="1">+U1224-'ROR-Model'!G1246</f>
        <v>0</v>
      </c>
    </row>
    <row r="1225" spans="1:22">
      <c r="A1225" s="684"/>
      <c r="B1225" s="659"/>
      <c r="C1225" s="119"/>
      <c r="D1225" s="659"/>
      <c r="E1225" s="2"/>
      <c r="F1225" s="357"/>
      <c r="G1225" s="357"/>
      <c r="H1225" s="357"/>
      <c r="I1225" s="357"/>
      <c r="J1225" s="390"/>
      <c r="K1225" s="390"/>
      <c r="L1225" s="357"/>
      <c r="M1225" s="357"/>
      <c r="N1225" s="357"/>
      <c r="O1225" s="357"/>
      <c r="P1225" s="357"/>
      <c r="Q1225" s="390"/>
      <c r="R1225" s="390"/>
      <c r="S1225" s="657"/>
      <c r="T1225" s="357"/>
      <c r="U1225" s="657"/>
      <c r="V1225" s="657">
        <f>+U1225-'ROR-Model'!G1247</f>
        <v>0</v>
      </c>
    </row>
    <row r="1226" spans="1:22">
      <c r="A1226" s="684"/>
      <c r="B1226" s="659"/>
      <c r="C1226" s="119" t="s">
        <v>658</v>
      </c>
      <c r="D1226" s="659"/>
      <c r="E1226" s="2"/>
      <c r="F1226" s="357">
        <f>+F1224/365</f>
        <v>0</v>
      </c>
      <c r="G1226" s="357">
        <f t="shared" ref="G1226:Q1226" si="269">+G1224/365</f>
        <v>-57457.66882191781</v>
      </c>
      <c r="H1226" s="357">
        <f>+H1224/365</f>
        <v>0</v>
      </c>
      <c r="I1226" s="357">
        <f t="shared" si="269"/>
        <v>0</v>
      </c>
      <c r="J1226" s="357">
        <f>+J1224/365</f>
        <v>12893.213312088341</v>
      </c>
      <c r="K1226" s="357">
        <f>+K1224/365</f>
        <v>33426.585547887189</v>
      </c>
      <c r="L1226" s="357">
        <f t="shared" si="269"/>
        <v>-1697.0464416018917</v>
      </c>
      <c r="M1226" s="357">
        <f t="shared" si="269"/>
        <v>-1841.5925551481166</v>
      </c>
      <c r="N1226" s="357">
        <f t="shared" si="269"/>
        <v>0</v>
      </c>
      <c r="O1226" s="357">
        <f t="shared" si="269"/>
        <v>-10.001347230603869</v>
      </c>
      <c r="P1226" s="357">
        <f t="shared" ca="1" si="269"/>
        <v>-316.19435929933064</v>
      </c>
      <c r="Q1226" s="357">
        <f t="shared" si="269"/>
        <v>-7.9160686716301365</v>
      </c>
      <c r="R1226" s="357">
        <f>+R1224/365</f>
        <v>4527.9902863390935</v>
      </c>
      <c r="S1226" s="657">
        <f ca="1">SUM(F1226:R1226)</f>
        <v>-10482.630447554755</v>
      </c>
      <c r="T1226" s="357"/>
      <c r="U1226" s="657">
        <f ca="1">SUM(S1226:S1226)</f>
        <v>-10482.630447554755</v>
      </c>
      <c r="V1226" s="657">
        <f ca="1">+U1226-'ROR-Model'!G1248</f>
        <v>0</v>
      </c>
    </row>
    <row r="1227" spans="1:22">
      <c r="A1227" s="684"/>
      <c r="B1227" s="659"/>
      <c r="C1227" s="659"/>
      <c r="D1227" s="659"/>
      <c r="E1227" s="656"/>
      <c r="F1227" s="357"/>
      <c r="G1227" s="357"/>
      <c r="H1227" s="357"/>
      <c r="I1227" s="357"/>
      <c r="J1227" s="390"/>
      <c r="K1227" s="390"/>
      <c r="L1227" s="357"/>
      <c r="M1227" s="357"/>
      <c r="N1227" s="357"/>
      <c r="O1227" s="357"/>
      <c r="P1227" s="357"/>
      <c r="Q1227" s="390"/>
      <c r="R1227" s="390"/>
      <c r="S1227" s="657"/>
      <c r="T1227" s="357"/>
      <c r="U1227" s="657"/>
      <c r="V1227" s="657">
        <f>+U1227-'ROR-Model'!G1249</f>
        <v>0</v>
      </c>
    </row>
    <row r="1228" spans="1:22">
      <c r="A1228" s="684"/>
      <c r="B1228" s="119" t="s">
        <v>473</v>
      </c>
      <c r="C1228" s="659"/>
      <c r="D1228" s="659"/>
      <c r="E1228" s="656"/>
      <c r="F1228" s="588">
        <f>'Control Panel'!$F$21</f>
        <v>1.0149999999999999</v>
      </c>
      <c r="G1228" s="588">
        <f>'Control Panel'!$F$21</f>
        <v>1.0149999999999999</v>
      </c>
      <c r="H1228" s="588">
        <f>'Control Panel'!$F$21</f>
        <v>1.0149999999999999</v>
      </c>
      <c r="I1228" s="588">
        <f>'Control Panel'!$F$21</f>
        <v>1.0149999999999999</v>
      </c>
      <c r="J1228" s="588">
        <f>'Control Panel'!$F$21</f>
        <v>1.0149999999999999</v>
      </c>
      <c r="K1228" s="588">
        <f>'Control Panel'!$F$21</f>
        <v>1.0149999999999999</v>
      </c>
      <c r="L1228" s="588">
        <f>'Control Panel'!$F$21</f>
        <v>1.0149999999999999</v>
      </c>
      <c r="M1228" s="588">
        <f>'Control Panel'!$F$21</f>
        <v>1.0149999999999999</v>
      </c>
      <c r="N1228" s="588">
        <f>'Control Panel'!$F$21</f>
        <v>1.0149999999999999</v>
      </c>
      <c r="O1228" s="588">
        <f>'Control Panel'!$F$21</f>
        <v>1.0149999999999999</v>
      </c>
      <c r="P1228" s="588">
        <f>'Control Panel'!$F$21</f>
        <v>1.0149999999999999</v>
      </c>
      <c r="Q1228" s="588">
        <f>'Control Panel'!$F$21</f>
        <v>1.0149999999999999</v>
      </c>
      <c r="R1228" s="588">
        <f>'Control Panel'!$F$21</f>
        <v>1.0149999999999999</v>
      </c>
      <c r="S1228" s="588">
        <f>'Control Panel'!$F$21</f>
        <v>1.0149999999999999</v>
      </c>
      <c r="T1228" s="588"/>
      <c r="U1228" s="588">
        <f>'Control Panel'!$F$21</f>
        <v>1.0149999999999999</v>
      </c>
      <c r="V1228" s="588">
        <f>'Control Panel'!$F$21</f>
        <v>1.0149999999999999</v>
      </c>
    </row>
    <row r="1229" spans="1:22" ht="13.5" thickBot="1">
      <c r="A1229" s="684"/>
      <c r="B1229" s="659"/>
      <c r="C1229" s="659"/>
      <c r="D1229" s="659"/>
      <c r="E1229" s="656"/>
      <c r="F1229" s="579"/>
      <c r="G1229" s="579"/>
      <c r="H1229" s="579"/>
      <c r="I1229" s="579"/>
      <c r="J1229" s="586"/>
      <c r="K1229" s="586"/>
      <c r="L1229" s="579"/>
      <c r="M1229" s="579"/>
      <c r="N1229" s="579"/>
      <c r="O1229" s="579"/>
      <c r="P1229" s="579"/>
      <c r="Q1229" s="586"/>
      <c r="R1229" s="586"/>
      <c r="S1229" s="663"/>
      <c r="T1229" s="579"/>
      <c r="U1229" s="663"/>
      <c r="V1229" s="663"/>
    </row>
    <row r="1230" spans="1:22" ht="13.5" thickTop="1">
      <c r="A1230" s="684"/>
      <c r="B1230" s="659"/>
      <c r="C1230" s="659"/>
      <c r="D1230" s="659"/>
      <c r="E1230" s="171"/>
      <c r="F1230" s="357"/>
      <c r="G1230" s="357"/>
      <c r="H1230" s="357"/>
      <c r="I1230" s="357"/>
      <c r="J1230" s="390"/>
      <c r="K1230" s="390"/>
      <c r="L1230" s="357"/>
      <c r="M1230" s="357"/>
      <c r="N1230" s="357"/>
      <c r="O1230" s="357"/>
      <c r="P1230" s="357"/>
      <c r="Q1230" s="390"/>
      <c r="R1230" s="390"/>
      <c r="S1230" s="657"/>
      <c r="T1230" s="357"/>
      <c r="U1230" s="657"/>
      <c r="V1230" s="657">
        <f>+U1230-'ROR-Model'!G1252</f>
        <v>0</v>
      </c>
    </row>
    <row r="1231" spans="1:22">
      <c r="A1231" s="684"/>
      <c r="B1231" s="197" t="s">
        <v>677</v>
      </c>
      <c r="C1231" s="659"/>
      <c r="D1231" s="659"/>
      <c r="E1231" s="171"/>
      <c r="F1231" s="357">
        <f>F1226*F1228</f>
        <v>0</v>
      </c>
      <c r="G1231" s="357">
        <f>G1*G1226*G1228</f>
        <v>-58319.533854246569</v>
      </c>
      <c r="H1231" s="357">
        <f>H1226*H1228</f>
        <v>0</v>
      </c>
      <c r="I1231" s="357">
        <f>I1226*I1228</f>
        <v>0</v>
      </c>
      <c r="J1231" s="390">
        <f>J1226*J1228</f>
        <v>13086.611511769665</v>
      </c>
      <c r="K1231" s="390">
        <f>K1226*K1228</f>
        <v>33927.984331105494</v>
      </c>
      <c r="L1231" s="357">
        <f t="shared" ref="L1231:Q1231" si="270">L1226*L1228</f>
        <v>-1722.5021382259199</v>
      </c>
      <c r="M1231" s="357">
        <f t="shared" si="270"/>
        <v>-1869.2164434753381</v>
      </c>
      <c r="N1231" s="357">
        <f t="shared" si="270"/>
        <v>0</v>
      </c>
      <c r="O1231" s="357">
        <f t="shared" si="270"/>
        <v>-10.151367439062927</v>
      </c>
      <c r="P1231" s="357">
        <f t="shared" ca="1" si="270"/>
        <v>-320.93727468882059</v>
      </c>
      <c r="Q1231" s="390">
        <f t="shared" si="270"/>
        <v>-8.034809701704587</v>
      </c>
      <c r="R1231" s="390">
        <f>R1226*R1228</f>
        <v>4595.9101406341797</v>
      </c>
      <c r="S1231" s="657">
        <f ca="1">SUM(F1231:R1231)</f>
        <v>-10639.869904268073</v>
      </c>
      <c r="T1231" s="357"/>
      <c r="U1231" s="657">
        <f ca="1">SUM(S1231:S1231)</f>
        <v>-10639.869904268073</v>
      </c>
      <c r="V1231" s="657">
        <f ca="1">+U1231-'ROR-Model'!G1253</f>
        <v>0</v>
      </c>
    </row>
    <row r="1232" spans="1:22" ht="13.5" thickBot="1">
      <c r="A1232" s="684"/>
      <c r="B1232" s="659"/>
      <c r="C1232" s="659"/>
      <c r="D1232" s="659"/>
      <c r="E1232" s="171"/>
      <c r="F1232" s="579"/>
      <c r="G1232" s="579"/>
      <c r="H1232" s="579"/>
      <c r="I1232" s="579"/>
      <c r="J1232" s="586"/>
      <c r="K1232" s="586"/>
      <c r="L1232" s="579"/>
      <c r="M1232" s="579"/>
      <c r="N1232" s="579"/>
      <c r="O1232" s="579"/>
      <c r="P1232" s="579"/>
      <c r="Q1232" s="586"/>
      <c r="R1232" s="586"/>
      <c r="S1232" s="663">
        <f ca="1">S1228*S1226</f>
        <v>-10639.869904268075</v>
      </c>
      <c r="T1232" s="663"/>
      <c r="U1232" s="663">
        <f t="shared" ref="U1232" ca="1" si="271">U1228*U1226</f>
        <v>-10639.869904268075</v>
      </c>
      <c r="V1232" s="663">
        <f ca="1">+U1232-'ROR-Model'!G1254</f>
        <v>0</v>
      </c>
    </row>
    <row r="1233" spans="1:22" ht="13.5" thickTop="1">
      <c r="A1233" s="684"/>
      <c r="B1233" s="659"/>
      <c r="C1233" s="659"/>
      <c r="D1233" s="659"/>
      <c r="E1233" s="171"/>
      <c r="F1233" s="357"/>
      <c r="G1233" s="357"/>
      <c r="H1233" s="357"/>
      <c r="I1233" s="357"/>
      <c r="J1233" s="390"/>
      <c r="K1233" s="390"/>
      <c r="L1233" s="357"/>
      <c r="M1233" s="357"/>
      <c r="N1233" s="357"/>
      <c r="O1233" s="357"/>
      <c r="P1233" s="357"/>
      <c r="Q1233" s="390"/>
      <c r="R1233" s="390"/>
      <c r="S1233" s="657"/>
      <c r="T1233" s="357"/>
      <c r="U1233" s="657"/>
      <c r="V1233" s="657">
        <f>+U1233-'ROR-Model'!G1255</f>
        <v>0</v>
      </c>
    </row>
    <row r="1234" spans="1:22">
      <c r="A1234" s="197" t="s">
        <v>269</v>
      </c>
      <c r="B1234" s="659"/>
      <c r="C1234" s="659"/>
      <c r="D1234" s="659"/>
      <c r="E1234" s="171"/>
      <c r="F1234" s="357"/>
      <c r="G1234" s="357"/>
      <c r="H1234" s="357"/>
      <c r="I1234" s="357"/>
      <c r="J1234" s="390"/>
      <c r="K1234" s="390"/>
      <c r="L1234" s="357"/>
      <c r="M1234" s="357"/>
      <c r="N1234" s="357"/>
      <c r="O1234" s="357"/>
      <c r="P1234" s="357"/>
      <c r="Q1234" s="390"/>
      <c r="R1234" s="390"/>
      <c r="S1234" s="657"/>
      <c r="T1234" s="357"/>
      <c r="U1234" s="657"/>
      <c r="V1234" s="657">
        <f>+U1234-'ROR-Model'!G1256</f>
        <v>0</v>
      </c>
    </row>
    <row r="1235" spans="1:22">
      <c r="A1235" s="197"/>
      <c r="B1235" s="659" t="s">
        <v>427</v>
      </c>
      <c r="C1235" s="659"/>
      <c r="D1235" s="659"/>
      <c r="E1235" s="171"/>
      <c r="F1235" s="357">
        <f t="shared" ref="F1235:F1237" si="272">F1205</f>
        <v>147100.12124998533</v>
      </c>
      <c r="G1235" s="357">
        <f>G1*G1205</f>
        <v>0</v>
      </c>
      <c r="H1235" s="357">
        <f>H1205</f>
        <v>-52891066.75</v>
      </c>
      <c r="I1235" s="357">
        <f t="shared" ref="I1235:Q1237" si="273">I1205</f>
        <v>-287796.48394874961</v>
      </c>
      <c r="J1235" s="390">
        <f t="shared" ref="J1235:K1237" si="274">J1205</f>
        <v>0</v>
      </c>
      <c r="K1235" s="390">
        <f t="shared" si="274"/>
        <v>0</v>
      </c>
      <c r="L1235" s="357">
        <f t="shared" si="273"/>
        <v>0</v>
      </c>
      <c r="M1235" s="357">
        <f t="shared" si="273"/>
        <v>0</v>
      </c>
      <c r="N1235" s="357">
        <f t="shared" si="273"/>
        <v>0</v>
      </c>
      <c r="O1235" s="357">
        <f t="shared" si="273"/>
        <v>0</v>
      </c>
      <c r="P1235" s="357">
        <f t="shared" si="273"/>
        <v>0</v>
      </c>
      <c r="Q1235" s="390">
        <f t="shared" si="273"/>
        <v>0</v>
      </c>
      <c r="R1235" s="390">
        <f t="shared" ref="R1235:R1237" si="275">R1205</f>
        <v>0</v>
      </c>
      <c r="S1235" s="657">
        <f>SUM(F1235:R1235)</f>
        <v>-53031763.112698764</v>
      </c>
      <c r="T1235" s="357"/>
      <c r="U1235" s="657">
        <f>SUM(S1235:S1235)</f>
        <v>-53031763.112698764</v>
      </c>
      <c r="V1235" s="657">
        <f>+U1235-'ROR-Model'!G1257</f>
        <v>0</v>
      </c>
    </row>
    <row r="1236" spans="1:22">
      <c r="A1236" s="197"/>
      <c r="B1236" s="659" t="s">
        <v>581</v>
      </c>
      <c r="C1236" s="659"/>
      <c r="D1236" s="659"/>
      <c r="E1236" s="171"/>
      <c r="F1236" s="357">
        <f t="shared" si="272"/>
        <v>-3679349.0336390394</v>
      </c>
      <c r="G1236" s="357">
        <f>G1*G1206</f>
        <v>0</v>
      </c>
      <c r="H1236" s="357">
        <f>H1206</f>
        <v>0</v>
      </c>
      <c r="I1236" s="357">
        <f t="shared" si="273"/>
        <v>0</v>
      </c>
      <c r="J1236" s="390">
        <f t="shared" si="274"/>
        <v>0</v>
      </c>
      <c r="K1236" s="390">
        <f t="shared" si="274"/>
        <v>0</v>
      </c>
      <c r="L1236" s="357">
        <f t="shared" si="273"/>
        <v>0</v>
      </c>
      <c r="M1236" s="357">
        <f t="shared" si="273"/>
        <v>0</v>
      </c>
      <c r="N1236" s="357">
        <f t="shared" si="273"/>
        <v>0</v>
      </c>
      <c r="O1236" s="357">
        <f t="shared" si="273"/>
        <v>0</v>
      </c>
      <c r="P1236" s="357">
        <f t="shared" si="273"/>
        <v>0</v>
      </c>
      <c r="Q1236" s="390">
        <f t="shared" si="273"/>
        <v>0</v>
      </c>
      <c r="R1236" s="390">
        <f t="shared" si="275"/>
        <v>0</v>
      </c>
      <c r="S1236" s="657">
        <f>SUM(F1236:R1236)</f>
        <v>-3679349.0336390394</v>
      </c>
      <c r="T1236" s="357"/>
      <c r="U1236" s="657">
        <f>SUM(S1236:S1236)</f>
        <v>-3679349.0336390394</v>
      </c>
      <c r="V1236" s="657">
        <f>+U1236-'ROR-Model'!G1258</f>
        <v>0</v>
      </c>
    </row>
    <row r="1237" spans="1:22">
      <c r="A1237" s="197"/>
      <c r="B1237" s="659" t="s">
        <v>582</v>
      </c>
      <c r="C1237" s="659"/>
      <c r="D1237" s="659"/>
      <c r="E1237" s="171"/>
      <c r="F1237" s="357">
        <f t="shared" si="272"/>
        <v>-307245842.72736096</v>
      </c>
      <c r="G1237" s="357">
        <f>G1*G1207</f>
        <v>0</v>
      </c>
      <c r="H1237" s="357">
        <f>H1207</f>
        <v>0</v>
      </c>
      <c r="I1237" s="357">
        <f t="shared" si="273"/>
        <v>0</v>
      </c>
      <c r="J1237" s="390">
        <f t="shared" si="274"/>
        <v>0</v>
      </c>
      <c r="K1237" s="390">
        <f t="shared" si="274"/>
        <v>0</v>
      </c>
      <c r="L1237" s="357">
        <f t="shared" si="273"/>
        <v>0</v>
      </c>
      <c r="M1237" s="357">
        <f t="shared" si="273"/>
        <v>0</v>
      </c>
      <c r="N1237" s="357">
        <f t="shared" si="273"/>
        <v>0</v>
      </c>
      <c r="O1237" s="357">
        <f t="shared" si="273"/>
        <v>0</v>
      </c>
      <c r="P1237" s="357">
        <f t="shared" si="273"/>
        <v>0</v>
      </c>
      <c r="Q1237" s="390">
        <f t="shared" si="273"/>
        <v>0</v>
      </c>
      <c r="R1237" s="390">
        <f t="shared" si="275"/>
        <v>0</v>
      </c>
      <c r="S1237" s="657">
        <f>SUM(F1237:R1237)</f>
        <v>-307245842.72736096</v>
      </c>
      <c r="T1237" s="357"/>
      <c r="U1237" s="657">
        <f>SUM(S1237:S1237)</f>
        <v>-307245842.72736096</v>
      </c>
      <c r="V1237" s="657">
        <f>+U1237-'ROR-Model'!G1259</f>
        <v>0</v>
      </c>
    </row>
    <row r="1238" spans="1:22">
      <c r="A1238" s="197"/>
      <c r="B1238" s="659" t="s">
        <v>584</v>
      </c>
      <c r="C1238" s="659"/>
      <c r="D1238" s="659"/>
      <c r="E1238" s="171"/>
      <c r="F1238" s="357">
        <f>F1208+F1231</f>
        <v>230596227.81541663</v>
      </c>
      <c r="G1238" s="357">
        <f>G1*G1208+G1231</f>
        <v>-58319.533854246569</v>
      </c>
      <c r="H1238" s="357">
        <f>H1208+H1231</f>
        <v>0</v>
      </c>
      <c r="I1238" s="357">
        <f t="shared" ref="I1238:Q1238" si="276">I1208+I1231</f>
        <v>0</v>
      </c>
      <c r="J1238" s="390">
        <f>J1208+J1231</f>
        <v>13086.611511769665</v>
      </c>
      <c r="K1238" s="390">
        <f>K1208+K1231</f>
        <v>33927.984331105494</v>
      </c>
      <c r="L1238" s="357">
        <f t="shared" si="276"/>
        <v>-1722.5021382259199</v>
      </c>
      <c r="M1238" s="357">
        <f t="shared" si="276"/>
        <v>-1869.2164434753381</v>
      </c>
      <c r="N1238" s="357">
        <f t="shared" si="276"/>
        <v>0</v>
      </c>
      <c r="O1238" s="357">
        <f t="shared" si="276"/>
        <v>-10.151367439062927</v>
      </c>
      <c r="P1238" s="357">
        <f t="shared" ca="1" si="276"/>
        <v>-320.93727468882059</v>
      </c>
      <c r="Q1238" s="390">
        <f t="shared" si="276"/>
        <v>-8.034809701704587</v>
      </c>
      <c r="R1238" s="390">
        <f>R1208+R1231</f>
        <v>4595.9101406341797</v>
      </c>
      <c r="S1238" s="657">
        <f ca="1">S1208+S1231</f>
        <v>230585587.94551235</v>
      </c>
      <c r="T1238" s="357"/>
      <c r="U1238" s="657">
        <f ca="1">U1208+U1231</f>
        <v>230585587.94551235</v>
      </c>
      <c r="V1238" s="657">
        <f ca="1">+U1238-'ROR-Model'!G1260</f>
        <v>0</v>
      </c>
    </row>
    <row r="1239" spans="1:22" ht="13.5" thickBot="1">
      <c r="A1239" s="197"/>
      <c r="B1239" s="659"/>
      <c r="C1239" s="659"/>
      <c r="D1239" s="659"/>
      <c r="E1239" s="171"/>
      <c r="F1239" s="579"/>
      <c r="G1239" s="579"/>
      <c r="H1239" s="579"/>
      <c r="I1239" s="579"/>
      <c r="J1239" s="586"/>
      <c r="K1239" s="586"/>
      <c r="L1239" s="579"/>
      <c r="M1239" s="579"/>
      <c r="N1239" s="579"/>
      <c r="O1239" s="579"/>
      <c r="P1239" s="579"/>
      <c r="Q1239" s="586"/>
      <c r="R1239" s="586"/>
      <c r="S1239" s="663">
        <f>SUM(F1239:R1239)</f>
        <v>0</v>
      </c>
      <c r="T1239" s="579"/>
      <c r="U1239" s="663">
        <f>SUM(S1239:S1239)</f>
        <v>0</v>
      </c>
      <c r="V1239" s="663">
        <f>+U1239-'ROR-Model'!G1261</f>
        <v>0</v>
      </c>
    </row>
    <row r="1240" spans="1:22" ht="13.5" thickTop="1">
      <c r="A1240" s="197"/>
      <c r="B1240" s="659"/>
      <c r="C1240" s="659"/>
      <c r="D1240" s="659"/>
      <c r="E1240" s="171"/>
      <c r="F1240" s="357"/>
      <c r="G1240" s="357"/>
      <c r="H1240" s="357"/>
      <c r="I1240" s="357"/>
      <c r="J1240" s="390"/>
      <c r="K1240" s="390"/>
      <c r="L1240" s="357"/>
      <c r="M1240" s="357"/>
      <c r="N1240" s="357"/>
      <c r="O1240" s="357"/>
      <c r="P1240" s="357"/>
      <c r="Q1240" s="390"/>
      <c r="R1240" s="390"/>
      <c r="S1240" s="657">
        <f>SUM(F1240:R1240)</f>
        <v>0</v>
      </c>
      <c r="T1240" s="357"/>
      <c r="U1240" s="657">
        <f>SUM(S1240:S1240)</f>
        <v>0</v>
      </c>
      <c r="V1240" s="657">
        <f>+U1240-'ROR-Model'!G1262</f>
        <v>0</v>
      </c>
    </row>
    <row r="1241" spans="1:22">
      <c r="A1241" s="684"/>
      <c r="B1241" s="197" t="s">
        <v>269</v>
      </c>
      <c r="C1241" s="659"/>
      <c r="D1241" s="659"/>
      <c r="E1241" s="171"/>
      <c r="F1241" s="357">
        <f>F1211+F1231</f>
        <v>-80181863.82433337</v>
      </c>
      <c r="G1241" s="357">
        <f>G1*G1211+G1231</f>
        <v>-58319.533854246569</v>
      </c>
      <c r="H1241" s="357">
        <f>H1211+H1231</f>
        <v>-52891066.75</v>
      </c>
      <c r="I1241" s="357">
        <f t="shared" ref="I1241:Q1241" si="277">I1211+I1231</f>
        <v>-287796.48394874961</v>
      </c>
      <c r="J1241" s="390">
        <f>J1211+J1231</f>
        <v>13086.611511769665</v>
      </c>
      <c r="K1241" s="390">
        <f>K1211+K1231</f>
        <v>33927.984331105494</v>
      </c>
      <c r="L1241" s="357">
        <f t="shared" si="277"/>
        <v>-1722.5021382259199</v>
      </c>
      <c r="M1241" s="357">
        <f t="shared" si="277"/>
        <v>-1869.2164434753381</v>
      </c>
      <c r="N1241" s="357">
        <f t="shared" si="277"/>
        <v>0</v>
      </c>
      <c r="O1241" s="357">
        <f t="shared" si="277"/>
        <v>-10.151367439062927</v>
      </c>
      <c r="P1241" s="357">
        <f t="shared" ca="1" si="277"/>
        <v>-320.93727468882059</v>
      </c>
      <c r="Q1241" s="390">
        <f t="shared" si="277"/>
        <v>-8.034809701704587</v>
      </c>
      <c r="R1241" s="390">
        <f>R1211+R1231</f>
        <v>4595.9101406341797</v>
      </c>
      <c r="S1241" s="657">
        <f ca="1">SUM(F1241:R1241)</f>
        <v>-133371366.92818642</v>
      </c>
      <c r="T1241" s="357"/>
      <c r="U1241" s="657">
        <f ca="1">SUM(S1241:S1241)</f>
        <v>-133371366.92818642</v>
      </c>
      <c r="V1241" s="657">
        <f ca="1">+U1241-'ROR-Model'!G1263</f>
        <v>0</v>
      </c>
    </row>
    <row r="1763" ht="12.75" customHeight="1"/>
  </sheetData>
  <mergeCells count="3">
    <mergeCell ref="A515:E515"/>
    <mergeCell ref="C943:D943"/>
    <mergeCell ref="A945:E945"/>
  </mergeCells>
  <phoneticPr fontId="0" type="noConversion"/>
  <pageMargins left="0.2" right="0" top="0" bottom="0.22" header="0" footer="0.19"/>
  <pageSetup paperSize="5" scale="4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434" r:id="rId4" name="Button 162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2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7" r:id="rId5" name="Button 9273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1761</xdr:row>
                    <xdr:rowOff>0</xdr:rowOff>
                  </from>
                  <to>
                    <xdr:col>2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508" r:id="rId6" name="Button 10284">
              <controlPr defaultSize="0" print="0" autoFill="0" autoPict="0" macro="[0]!Macro5">
                <anchor moveWithCells="1" sizeWithCells="1">
                  <from>
                    <xdr:col>1</xdr:col>
                    <xdr:colOff>0</xdr:colOff>
                    <xdr:row>1761</xdr:row>
                    <xdr:rowOff>0</xdr:rowOff>
                  </from>
                  <to>
                    <xdr:col>2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O171"/>
  <sheetViews>
    <sheetView topLeftCell="A25" zoomScale="70" zoomScaleNormal="70" workbookViewId="0">
      <selection activeCell="J13" sqref="J13:J78"/>
    </sheetView>
  </sheetViews>
  <sheetFormatPr defaultRowHeight="12.75"/>
  <cols>
    <col min="1" max="1" width="6.5703125" customWidth="1"/>
    <col min="2" max="2" width="3.7109375" customWidth="1"/>
    <col min="3" max="3" width="6.7109375" customWidth="1"/>
    <col min="4" max="4" width="39.140625" customWidth="1"/>
    <col min="5" max="5" width="15.140625" hidden="1" customWidth="1"/>
    <col min="6" max="6" width="15.140625" customWidth="1"/>
    <col min="7" max="7" width="15.42578125" bestFit="1" customWidth="1"/>
    <col min="8" max="8" width="14.140625" bestFit="1" customWidth="1"/>
    <col min="9" max="9" width="15.42578125" bestFit="1" customWidth="1"/>
    <col min="10" max="10" width="16.28515625" bestFit="1" customWidth="1"/>
    <col min="11" max="11" width="13.7109375" customWidth="1"/>
    <col min="12" max="12" width="14.42578125" customWidth="1"/>
    <col min="13" max="13" width="14" customWidth="1"/>
    <col min="14" max="14" width="15.140625" customWidth="1"/>
    <col min="15" max="15" width="13.42578125" customWidth="1"/>
    <col min="17" max="23" width="13.7109375" customWidth="1"/>
    <col min="25" max="25" width="13.42578125" bestFit="1" customWidth="1"/>
    <col min="26" max="26" width="14" bestFit="1" customWidth="1"/>
    <col min="27" max="27" width="12.7109375" bestFit="1" customWidth="1"/>
    <col min="28" max="28" width="13.42578125" bestFit="1" customWidth="1"/>
    <col min="29" max="29" width="14.42578125" bestFit="1" customWidth="1"/>
    <col min="30" max="30" width="12" bestFit="1" customWidth="1"/>
    <col min="31" max="31" width="13.42578125" bestFit="1" customWidth="1"/>
  </cols>
  <sheetData>
    <row r="1" spans="1:15" s="2" customFormat="1">
      <c r="A1" s="912" t="str">
        <f>'Control Panel'!$B$1</f>
        <v>Dominion Energy</v>
      </c>
    </row>
    <row r="2" spans="1:15" s="2" customFormat="1">
      <c r="A2" s="912" t="str">
        <f>'Control Panel'!$B$2</f>
        <v>Utah - Dec 2017 Adjusted Avg Results</v>
      </c>
      <c r="E2" s="355"/>
      <c r="F2" s="17"/>
      <c r="G2" s="17"/>
      <c r="H2" s="17"/>
      <c r="I2" s="355"/>
      <c r="J2" s="17"/>
      <c r="K2" s="17"/>
      <c r="L2" s="17"/>
      <c r="N2" s="17"/>
    </row>
    <row r="3" spans="1:15" s="912" customFormat="1" ht="16.5" thickBot="1">
      <c r="A3" s="912" t="str">
        <f>'Control Panel'!$B$3</f>
        <v>12 Months Ended : Dec-2017</v>
      </c>
      <c r="F3" s="912" t="str">
        <f>+'Control Panel'!$B$3</f>
        <v>12 Months Ended : Dec-2017</v>
      </c>
      <c r="O3" s="927"/>
    </row>
    <row r="4" spans="1:15" s="2" customFormat="1" ht="16.5" thickBot="1">
      <c r="A4" s="131"/>
      <c r="B4" s="131"/>
      <c r="C4" s="131"/>
      <c r="D4" s="131"/>
      <c r="E4" s="457" t="str">
        <f ca="1">IF((SUM(Report!F13:H73)-SUM(Report!I13:I73))&lt;1,"0","ERROR")</f>
        <v>0</v>
      </c>
      <c r="F4" s="922"/>
      <c r="G4" s="922"/>
      <c r="H4" s="16"/>
      <c r="I4" s="923"/>
      <c r="J4" s="923"/>
      <c r="K4" s="923"/>
      <c r="L4" s="923"/>
      <c r="N4" s="923"/>
      <c r="O4" s="927"/>
    </row>
    <row r="5" spans="1:15" s="2" customFormat="1" ht="15.75">
      <c r="B5" s="1417" t="s">
        <v>406</v>
      </c>
      <c r="C5" s="1417"/>
      <c r="D5" s="1417"/>
      <c r="E5" s="921"/>
      <c r="F5" s="921" t="s">
        <v>44</v>
      </c>
      <c r="G5" s="921" t="s">
        <v>45</v>
      </c>
      <c r="H5" s="921" t="s">
        <v>674</v>
      </c>
      <c r="I5" s="921" t="s">
        <v>675</v>
      </c>
      <c r="J5" s="921" t="s">
        <v>782</v>
      </c>
      <c r="K5" s="921" t="s">
        <v>754</v>
      </c>
      <c r="L5" s="8" t="s">
        <v>880</v>
      </c>
      <c r="M5" s="55"/>
      <c r="N5" s="921"/>
      <c r="O5" s="927"/>
    </row>
    <row r="6" spans="1:15" s="2" customFormat="1">
      <c r="A6" s="912"/>
      <c r="B6" s="15"/>
      <c r="C6" s="15"/>
      <c r="D6" s="15"/>
      <c r="E6" s="922"/>
      <c r="F6" s="922" t="str">
        <f>+'ROR-Model'!F7</f>
        <v>Historical</v>
      </c>
      <c r="G6" s="922"/>
      <c r="H6" s="923" t="str">
        <f>+'ROR-Model'!H7</f>
        <v>Imputed</v>
      </c>
      <c r="I6" s="923" t="str">
        <f>+'ROR-Model'!I7</f>
        <v>Adjusted</v>
      </c>
      <c r="J6" s="922" t="str">
        <f>+'ROR-Model'!W9</f>
        <v>Utah</v>
      </c>
      <c r="K6" s="922"/>
      <c r="L6" s="922" t="str">
        <f>+J6</f>
        <v>Utah</v>
      </c>
      <c r="M6" s="923"/>
      <c r="N6" s="923"/>
    </row>
    <row r="7" spans="1:15" s="2" customFormat="1" ht="24">
      <c r="A7" s="912"/>
      <c r="B7" s="15"/>
      <c r="C7" s="15"/>
      <c r="D7" s="15"/>
      <c r="E7" s="721" t="s">
        <v>892</v>
      </c>
      <c r="F7" s="922" t="str">
        <f>+'ROR-Model'!F8</f>
        <v>12 Months</v>
      </c>
      <c r="G7" s="922" t="s">
        <v>38</v>
      </c>
      <c r="H7" s="923" t="str">
        <f>+'ROR-Model'!H8</f>
        <v>Tax</v>
      </c>
      <c r="I7" s="923" t="str">
        <f>+'ROR-Model'!I8</f>
        <v>System</v>
      </c>
      <c r="J7" s="922" t="s">
        <v>46</v>
      </c>
      <c r="K7" s="922"/>
      <c r="L7" s="922" t="s">
        <v>46</v>
      </c>
      <c r="M7" s="721" t="s">
        <v>892</v>
      </c>
      <c r="N7" s="923"/>
    </row>
    <row r="8" spans="1:15" s="2" customFormat="1" ht="13.5" thickBot="1">
      <c r="A8" s="20"/>
      <c r="B8" s="1416" t="s">
        <v>829</v>
      </c>
      <c r="C8" s="1416"/>
      <c r="D8" s="1416"/>
      <c r="E8" s="328"/>
      <c r="F8" s="328">
        <f>+'ROR-Model'!F9</f>
        <v>43100</v>
      </c>
      <c r="G8" s="22" t="s">
        <v>160</v>
      </c>
      <c r="H8" s="22" t="str">
        <f>+'ROR-Model'!H9</f>
        <v>Adjustment</v>
      </c>
      <c r="I8" s="22" t="str">
        <f>+'ROR-Model'!I9</f>
        <v>Total</v>
      </c>
      <c r="J8" s="914" t="s">
        <v>48</v>
      </c>
      <c r="K8" s="914" t="s">
        <v>47</v>
      </c>
      <c r="L8" s="914" t="s">
        <v>160</v>
      </c>
      <c r="M8" s="22"/>
      <c r="N8" s="22"/>
    </row>
    <row r="9" spans="1:15" s="2" customFormat="1">
      <c r="A9" s="20"/>
      <c r="B9" s="922"/>
      <c r="C9" s="922"/>
      <c r="D9" s="922"/>
      <c r="E9" s="56"/>
      <c r="F9" s="56"/>
      <c r="G9" s="56"/>
      <c r="H9" s="56"/>
      <c r="I9" s="56"/>
      <c r="J9" s="922"/>
      <c r="K9" s="922"/>
      <c r="L9" s="922"/>
      <c r="M9" s="922"/>
      <c r="N9" s="56"/>
    </row>
    <row r="10" spans="1:15" s="2" customFormat="1">
      <c r="A10" s="20">
        <v>1</v>
      </c>
      <c r="B10" s="920" t="s">
        <v>474</v>
      </c>
      <c r="C10" s="921"/>
      <c r="D10" s="921"/>
      <c r="E10" s="103"/>
      <c r="F10" s="103"/>
      <c r="G10" s="7"/>
      <c r="I10" s="103"/>
      <c r="J10" s="103"/>
      <c r="L10" s="17"/>
      <c r="M10" s="921"/>
      <c r="N10" s="103"/>
    </row>
    <row r="11" spans="1:15" s="2" customFormat="1">
      <c r="A11" s="20"/>
      <c r="B11" s="923"/>
      <c r="C11" s="923"/>
      <c r="D11" s="921"/>
      <c r="E11" s="923"/>
      <c r="F11" s="923"/>
      <c r="G11" s="923"/>
      <c r="H11" s="923"/>
      <c r="I11" s="923"/>
      <c r="J11" s="17"/>
      <c r="K11" s="17"/>
      <c r="L11" s="17"/>
      <c r="M11" s="921"/>
      <c r="N11" s="923"/>
      <c r="O11" s="7"/>
    </row>
    <row r="12" spans="1:15" s="2" customFormat="1">
      <c r="A12" s="20">
        <f>+A10+1</f>
        <v>2</v>
      </c>
      <c r="B12" s="15" t="s">
        <v>174</v>
      </c>
      <c r="C12" s="17"/>
      <c r="D12" s="17"/>
      <c r="E12" s="355"/>
      <c r="F12" s="17"/>
      <c r="G12" s="17"/>
      <c r="H12" s="17"/>
      <c r="I12" s="17"/>
      <c r="J12" s="17"/>
      <c r="K12" s="9"/>
      <c r="L12" s="17"/>
      <c r="M12" s="17"/>
      <c r="N12" s="17"/>
    </row>
    <row r="13" spans="1:15" s="2" customFormat="1">
      <c r="A13" s="20">
        <f t="shared" ref="A13:A18" si="0">+A12+1</f>
        <v>3</v>
      </c>
      <c r="B13" s="15"/>
      <c r="C13" s="17"/>
      <c r="D13" s="17" t="s">
        <v>475</v>
      </c>
      <c r="E13" s="577">
        <f t="shared" ref="E13:E18" si="1">+F13+G13+H13-I13</f>
        <v>0</v>
      </c>
      <c r="F13" s="24">
        <f>+'ROR-Model'!F363+'ROR-Model'!F365</f>
        <v>379555640.95652229</v>
      </c>
      <c r="G13" s="24">
        <f>+'ROR-Model'!G363+'ROR-Model'!G365</f>
        <v>-20972049.120000001</v>
      </c>
      <c r="H13" s="23">
        <f>+'ROR-Model'!H363+'ROR-Model'!H365</f>
        <v>0</v>
      </c>
      <c r="I13" s="23">
        <f>+'ROR-Model'!I363+'ROR-Model'!I365</f>
        <v>358583591.83652228</v>
      </c>
      <c r="J13" s="17">
        <f>'ROR-Model'!W368</f>
        <v>345635374.41683167</v>
      </c>
      <c r="K13" s="192">
        <f ca="1">+K44*Taxes!L29</f>
        <v>17832568.969880324</v>
      </c>
      <c r="L13" s="897">
        <f ca="1">SUM(J13:K13)</f>
        <v>363467943.38671201</v>
      </c>
      <c r="M13" s="17">
        <f>+N13-I13</f>
        <v>0</v>
      </c>
      <c r="N13" s="23">
        <f>SUM(F13:H13)</f>
        <v>358583591.83652228</v>
      </c>
      <c r="O13" s="7"/>
    </row>
    <row r="14" spans="1:15" s="2" customFormat="1">
      <c r="A14" s="20">
        <f t="shared" si="0"/>
        <v>4</v>
      </c>
      <c r="B14" s="17"/>
      <c r="C14" s="17"/>
      <c r="D14" s="17" t="s">
        <v>476</v>
      </c>
      <c r="E14" s="578">
        <f t="shared" si="1"/>
        <v>0</v>
      </c>
      <c r="F14" s="23">
        <f>+'ROR-Model'!F364</f>
        <v>104646790.0980107</v>
      </c>
      <c r="G14" s="23">
        <f>+'ROR-Model'!G364</f>
        <v>0</v>
      </c>
      <c r="H14" s="23">
        <f>+'ROR-Model'!H364</f>
        <v>0</v>
      </c>
      <c r="I14" s="23">
        <f>+'ROR-Model'!I364</f>
        <v>104646790.0980107</v>
      </c>
      <c r="J14" s="17"/>
      <c r="K14" s="9"/>
      <c r="L14" s="17">
        <f>SUM(J14:K14)</f>
        <v>0</v>
      </c>
      <c r="M14" s="17">
        <f t="shared" ref="M14:M45" si="2">+N14-I14</f>
        <v>0</v>
      </c>
      <c r="N14" s="23">
        <f t="shared" ref="N14:N44" si="3">SUM(F14:H14)</f>
        <v>104646790.0980107</v>
      </c>
      <c r="O14" s="7"/>
    </row>
    <row r="15" spans="1:15" s="2" customFormat="1">
      <c r="A15" s="20">
        <f t="shared" si="0"/>
        <v>5</v>
      </c>
      <c r="B15" s="15"/>
      <c r="C15" s="17"/>
      <c r="D15" s="17" t="s">
        <v>477</v>
      </c>
      <c r="E15" s="578">
        <f t="shared" si="1"/>
        <v>0</v>
      </c>
      <c r="F15" s="23">
        <f>+'ROR-Model'!F366</f>
        <v>431437243.065467</v>
      </c>
      <c r="G15" s="23">
        <f>+'ROR-Model'!G366</f>
        <v>0</v>
      </c>
      <c r="H15" s="23">
        <f>+'ROR-Model'!H366</f>
        <v>0</v>
      </c>
      <c r="I15" s="23">
        <f>+'ROR-Model'!I366</f>
        <v>431437243.065467</v>
      </c>
      <c r="J15" s="17"/>
      <c r="K15" s="17"/>
      <c r="L15" s="17">
        <f>SUM(J15:K15)</f>
        <v>0</v>
      </c>
      <c r="M15" s="17">
        <f t="shared" si="2"/>
        <v>0</v>
      </c>
      <c r="N15" s="23">
        <f t="shared" si="3"/>
        <v>431437243.065467</v>
      </c>
      <c r="O15" s="7"/>
    </row>
    <row r="16" spans="1:15" s="2" customFormat="1">
      <c r="A16" s="20">
        <f t="shared" si="0"/>
        <v>6</v>
      </c>
      <c r="B16" s="15"/>
      <c r="C16" s="17"/>
      <c r="D16" s="17" t="s">
        <v>478</v>
      </c>
      <c r="E16" s="577">
        <f t="shared" si="1"/>
        <v>0</v>
      </c>
      <c r="F16" s="24">
        <f>'ROR-Model'!F501+'ROR-Model'!F505</f>
        <v>19865651.402475201</v>
      </c>
      <c r="G16" s="24">
        <f>'ROR-Model'!G501+'ROR-Model'!G505</f>
        <v>0</v>
      </c>
      <c r="H16" s="24">
        <f>'ROR-Model'!H501+'ROR-Model'!H505</f>
        <v>0</v>
      </c>
      <c r="I16" s="24">
        <f>'ROR-Model'!I501+'ROR-Model'!I505</f>
        <v>19865651.402475201</v>
      </c>
      <c r="J16" s="17"/>
      <c r="K16" s="17"/>
      <c r="L16" s="17">
        <f>SUM(J16:K16)</f>
        <v>0</v>
      </c>
      <c r="M16" s="17">
        <f t="shared" si="2"/>
        <v>0</v>
      </c>
      <c r="N16" s="24">
        <f t="shared" si="3"/>
        <v>19865651.402475201</v>
      </c>
      <c r="O16" s="7"/>
    </row>
    <row r="17" spans="1:15" s="2" customFormat="1" ht="13.5" thickBot="1">
      <c r="A17" s="20">
        <f t="shared" si="0"/>
        <v>7</v>
      </c>
      <c r="B17" s="15"/>
      <c r="C17" s="17"/>
      <c r="D17" s="17" t="s">
        <v>479</v>
      </c>
      <c r="E17" s="577">
        <f t="shared" si="1"/>
        <v>0</v>
      </c>
      <c r="F17" s="24">
        <f>'ROR-Model'!F502+'ROR-Model'!F506</f>
        <v>4804540.3775247997</v>
      </c>
      <c r="G17" s="24">
        <f>'ROR-Model'!G502+'ROR-Model'!G506</f>
        <v>0</v>
      </c>
      <c r="H17" s="24">
        <f>'ROR-Model'!H502+'ROR-Model'!H506</f>
        <v>0</v>
      </c>
      <c r="I17" s="24">
        <f>'ROR-Model'!I502+'ROR-Model'!I506</f>
        <v>4804540.3775247997</v>
      </c>
      <c r="J17" s="17">
        <f>'ROR-Model'!W509</f>
        <v>4697009.42</v>
      </c>
      <c r="K17" s="17"/>
      <c r="L17" s="17">
        <f>SUM(J17:K17)</f>
        <v>4697009.42</v>
      </c>
      <c r="M17" s="17">
        <f t="shared" si="2"/>
        <v>0</v>
      </c>
      <c r="N17" s="24">
        <f t="shared" si="3"/>
        <v>4804540.3775247997</v>
      </c>
      <c r="O17" s="7"/>
    </row>
    <row r="18" spans="1:15" s="2" customFormat="1">
      <c r="A18" s="20">
        <f t="shared" si="0"/>
        <v>8</v>
      </c>
      <c r="B18" s="15"/>
      <c r="C18" s="15" t="s">
        <v>484</v>
      </c>
      <c r="D18" s="17"/>
      <c r="E18" s="393">
        <f t="shared" si="1"/>
        <v>0</v>
      </c>
      <c r="F18" s="393">
        <f t="shared" ref="F18:L18" si="4">SUM(F13:F17)</f>
        <v>940309865.9000001</v>
      </c>
      <c r="G18" s="25">
        <f t="shared" si="4"/>
        <v>-20972049.120000001</v>
      </c>
      <c r="H18" s="25">
        <f t="shared" si="4"/>
        <v>0</v>
      </c>
      <c r="I18" s="25">
        <f t="shared" si="4"/>
        <v>919337816.78000009</v>
      </c>
      <c r="J18" s="25">
        <f t="shared" si="4"/>
        <v>350332383.83683169</v>
      </c>
      <c r="K18" s="25">
        <f t="shared" ca="1" si="4"/>
        <v>17832568.969880324</v>
      </c>
      <c r="L18" s="25">
        <f t="shared" ca="1" si="4"/>
        <v>368164952.80671203</v>
      </c>
      <c r="M18" s="17">
        <f t="shared" si="2"/>
        <v>0</v>
      </c>
      <c r="N18" s="25">
        <f t="shared" si="3"/>
        <v>919337816.78000009</v>
      </c>
      <c r="O18" s="7"/>
    </row>
    <row r="19" spans="1:15" s="2" customFormat="1">
      <c r="A19" s="20"/>
      <c r="B19" s="15"/>
      <c r="C19" s="17"/>
      <c r="D19" s="17"/>
      <c r="E19" s="355"/>
      <c r="F19" s="17"/>
      <c r="G19" s="17"/>
      <c r="H19" s="17"/>
      <c r="I19" s="17"/>
      <c r="J19" s="17"/>
      <c r="K19" s="17"/>
      <c r="L19" s="17"/>
      <c r="M19" s="17">
        <f t="shared" si="2"/>
        <v>0</v>
      </c>
      <c r="N19" s="17">
        <f t="shared" si="3"/>
        <v>0</v>
      </c>
      <c r="O19" s="7"/>
    </row>
    <row r="20" spans="1:15" s="2" customFormat="1">
      <c r="A20" s="20">
        <f>+A18+1</f>
        <v>9</v>
      </c>
      <c r="B20" s="15" t="s">
        <v>175</v>
      </c>
      <c r="C20" s="17"/>
      <c r="D20" s="17"/>
      <c r="E20" s="355"/>
      <c r="F20" s="17"/>
      <c r="G20" s="17"/>
      <c r="H20" s="17"/>
      <c r="I20" s="17"/>
      <c r="J20" s="17"/>
      <c r="K20" s="17"/>
      <c r="L20" s="17"/>
      <c r="M20" s="17">
        <f t="shared" si="2"/>
        <v>0</v>
      </c>
      <c r="N20" s="17">
        <f t="shared" si="3"/>
        <v>0</v>
      </c>
      <c r="O20" s="7"/>
    </row>
    <row r="21" spans="1:15" s="2" customFormat="1">
      <c r="A21" s="20">
        <f>+A20+1</f>
        <v>10</v>
      </c>
      <c r="B21" s="15"/>
      <c r="C21" s="17" t="s">
        <v>468</v>
      </c>
      <c r="D21" s="17"/>
      <c r="E21" s="355"/>
      <c r="F21" s="17"/>
      <c r="G21" s="17"/>
      <c r="H21" s="17"/>
      <c r="I21" s="17"/>
      <c r="J21" s="17"/>
      <c r="K21" s="17"/>
      <c r="L21" s="17"/>
      <c r="M21" s="17">
        <f t="shared" si="2"/>
        <v>0</v>
      </c>
      <c r="N21" s="17">
        <f t="shared" si="3"/>
        <v>0</v>
      </c>
      <c r="O21" s="7"/>
    </row>
    <row r="22" spans="1:15" s="2" customFormat="1">
      <c r="A22" s="20">
        <f>+A21+1</f>
        <v>11</v>
      </c>
      <c r="B22" s="15"/>
      <c r="C22" s="17"/>
      <c r="D22" s="17" t="s">
        <v>13</v>
      </c>
      <c r="E22" s="355">
        <f>+F22+G22+H22-I22</f>
        <v>0</v>
      </c>
      <c r="F22" s="17">
        <f>'ROR-Model'!F633+'ROR-Model'!F636</f>
        <v>536464433.88394201</v>
      </c>
      <c r="G22" s="17">
        <f>'ROR-Model'!G633+'ROR-Model'!G636</f>
        <v>0</v>
      </c>
      <c r="H22" s="17">
        <f>'ROR-Model'!H633+'ROR-Model'!H636</f>
        <v>0</v>
      </c>
      <c r="I22" s="17">
        <f>'ROR-Model'!I633+'ROR-Model'!I636</f>
        <v>536464433.88394201</v>
      </c>
      <c r="J22" s="17"/>
      <c r="K22" s="17"/>
      <c r="L22" s="17">
        <f>SUM(J22:K22)</f>
        <v>0</v>
      </c>
      <c r="M22" s="17">
        <f t="shared" si="2"/>
        <v>0</v>
      </c>
      <c r="N22" s="17">
        <f t="shared" si="3"/>
        <v>536464433.88394201</v>
      </c>
      <c r="O22" s="7"/>
    </row>
    <row r="23" spans="1:15" s="2" customFormat="1" ht="13.5" thickBot="1">
      <c r="A23" s="20">
        <f>+A22+1</f>
        <v>12</v>
      </c>
      <c r="B23" s="15"/>
      <c r="C23" s="17"/>
      <c r="D23" s="17" t="s">
        <v>24</v>
      </c>
      <c r="E23" s="355">
        <f>+F23+G23+H23-I23</f>
        <v>0</v>
      </c>
      <c r="F23" s="17">
        <f>'ROR-Model'!F635+'ROR-Model'!F637</f>
        <v>19485250.6820109</v>
      </c>
      <c r="G23" s="17">
        <f>'ROR-Model'!G635+'ROR-Model'!G637</f>
        <v>0</v>
      </c>
      <c r="H23" s="17">
        <f>'ROR-Model'!H635+'ROR-Model'!H637</f>
        <v>0</v>
      </c>
      <c r="I23" s="17">
        <f>'ROR-Model'!I635+'ROR-Model'!I637</f>
        <v>19485250.6820109</v>
      </c>
      <c r="J23" s="17"/>
      <c r="K23" s="17"/>
      <c r="L23" s="17">
        <f>SUM(J23:K23)</f>
        <v>0</v>
      </c>
      <c r="M23" s="17">
        <f t="shared" si="2"/>
        <v>0</v>
      </c>
      <c r="N23" s="17">
        <f t="shared" si="3"/>
        <v>19485250.6820109</v>
      </c>
      <c r="O23" s="7"/>
    </row>
    <row r="24" spans="1:15" s="2" customFormat="1">
      <c r="A24" s="20">
        <f>+A23+1</f>
        <v>13</v>
      </c>
      <c r="B24" s="15"/>
      <c r="C24" s="17"/>
      <c r="D24" s="17" t="s">
        <v>160</v>
      </c>
      <c r="E24" s="393">
        <f>+F24+G24+H24-I24</f>
        <v>0</v>
      </c>
      <c r="F24" s="25">
        <f t="shared" ref="F24:L24" si="5">SUM(F22:F23)</f>
        <v>555949684.5659529</v>
      </c>
      <c r="G24" s="25">
        <f t="shared" si="5"/>
        <v>0</v>
      </c>
      <c r="H24" s="25">
        <f t="shared" si="5"/>
        <v>0</v>
      </c>
      <c r="I24" s="25">
        <f t="shared" si="5"/>
        <v>555949684.5659529</v>
      </c>
      <c r="J24" s="25">
        <f t="shared" si="5"/>
        <v>0</v>
      </c>
      <c r="K24" s="25">
        <f t="shared" si="5"/>
        <v>0</v>
      </c>
      <c r="L24" s="25">
        <f t="shared" si="5"/>
        <v>0</v>
      </c>
      <c r="M24" s="17">
        <f t="shared" si="2"/>
        <v>0</v>
      </c>
      <c r="N24" s="25">
        <f t="shared" si="3"/>
        <v>555949684.5659529</v>
      </c>
      <c r="O24" s="7"/>
    </row>
    <row r="25" spans="1:15" s="2" customFormat="1">
      <c r="A25" s="20"/>
      <c r="B25" s="15"/>
      <c r="C25" s="17"/>
      <c r="D25" s="17"/>
      <c r="E25" s="357">
        <f>+F25+G25+H25-I25</f>
        <v>0</v>
      </c>
      <c r="F25" s="9"/>
      <c r="G25" s="9"/>
      <c r="H25" s="9"/>
      <c r="I25" s="9"/>
      <c r="J25" s="9"/>
      <c r="K25" s="9"/>
      <c r="L25" s="9"/>
      <c r="M25" s="17">
        <f t="shared" si="2"/>
        <v>0</v>
      </c>
      <c r="N25" s="9">
        <f>SUM(F25:H25)</f>
        <v>0</v>
      </c>
      <c r="O25" s="7"/>
    </row>
    <row r="26" spans="1:15" s="2" customFormat="1">
      <c r="A26" s="20">
        <f>A24+1</f>
        <v>14</v>
      </c>
      <c r="B26" s="15"/>
      <c r="C26" s="17" t="s">
        <v>486</v>
      </c>
      <c r="D26" s="17"/>
      <c r="E26" s="355"/>
      <c r="F26" s="17"/>
      <c r="G26" s="17"/>
      <c r="H26" s="17"/>
      <c r="I26" s="17"/>
      <c r="J26" s="17"/>
      <c r="K26" s="17"/>
      <c r="L26" s="17"/>
      <c r="M26" s="17">
        <f t="shared" si="2"/>
        <v>0</v>
      </c>
      <c r="N26" s="17">
        <f t="shared" si="3"/>
        <v>0</v>
      </c>
      <c r="O26" s="7"/>
    </row>
    <row r="27" spans="1:15" s="2" customFormat="1">
      <c r="A27" s="20">
        <f t="shared" ref="A27:A32" si="6">+A26+1</f>
        <v>15</v>
      </c>
      <c r="B27" s="15"/>
      <c r="C27" s="17"/>
      <c r="D27" s="17" t="s">
        <v>427</v>
      </c>
      <c r="E27" s="355">
        <f t="shared" ref="E27:E32" si="7">+F27+G27+H27-I27</f>
        <v>0</v>
      </c>
      <c r="F27" s="17">
        <f>'ROR-Model'!F650</f>
        <v>-907324.92999999993</v>
      </c>
      <c r="G27" s="17">
        <f>'ROR-Model'!G650</f>
        <v>0</v>
      </c>
      <c r="H27" s="17">
        <f>'ROR-Model'!H650</f>
        <v>0</v>
      </c>
      <c r="I27" s="17">
        <f>'ROR-Model'!I650</f>
        <v>-907324.92999999993</v>
      </c>
      <c r="J27" s="17">
        <f>'ROR-Model'!W650</f>
        <v>-875386.70860528864</v>
      </c>
      <c r="K27" s="17"/>
      <c r="L27" s="17">
        <f>SUM(J27:K27)</f>
        <v>-875386.70860528864</v>
      </c>
      <c r="M27" s="17">
        <f t="shared" si="2"/>
        <v>0</v>
      </c>
      <c r="N27" s="17">
        <f t="shared" si="3"/>
        <v>-907324.92999999993</v>
      </c>
      <c r="O27" s="7"/>
    </row>
    <row r="28" spans="1:15" s="2" customFormat="1">
      <c r="A28" s="20">
        <f t="shared" si="6"/>
        <v>16</v>
      </c>
      <c r="B28" s="15"/>
      <c r="C28" s="17"/>
      <c r="D28" s="17" t="s">
        <v>487</v>
      </c>
      <c r="E28" s="355">
        <f t="shared" si="7"/>
        <v>0</v>
      </c>
      <c r="F28" s="17">
        <f>'ROR-Model'!F753</f>
        <v>54949884.13000001</v>
      </c>
      <c r="G28" s="17">
        <f>'ROR-Model'!G753</f>
        <v>0</v>
      </c>
      <c r="H28" s="17">
        <f>'ROR-Model'!H753</f>
        <v>0</v>
      </c>
      <c r="I28" s="17">
        <f>'ROR-Model'!I753</f>
        <v>54949884.13000001</v>
      </c>
      <c r="J28" s="17">
        <f>'ROR-Model'!W753</f>
        <v>52285691.609999999</v>
      </c>
      <c r="K28" s="17"/>
      <c r="L28" s="17">
        <f>SUM(J28:K28)</f>
        <v>52285691.609999999</v>
      </c>
      <c r="M28" s="17">
        <f t="shared" si="2"/>
        <v>0</v>
      </c>
      <c r="N28" s="17">
        <f t="shared" si="3"/>
        <v>54949884.13000001</v>
      </c>
      <c r="O28" s="7"/>
    </row>
    <row r="29" spans="1:15" s="2" customFormat="1">
      <c r="A29" s="20">
        <f t="shared" si="6"/>
        <v>17</v>
      </c>
      <c r="B29" s="15"/>
      <c r="C29" s="17"/>
      <c r="D29" s="17" t="s">
        <v>488</v>
      </c>
      <c r="E29" s="355">
        <f t="shared" si="7"/>
        <v>0</v>
      </c>
      <c r="F29" s="17">
        <f>'ROR-Model'!F806</f>
        <v>19085579.969999999</v>
      </c>
      <c r="G29" s="355">
        <f>'ROR-Model'!G806</f>
        <v>-1000511.2476272971</v>
      </c>
      <c r="H29" s="17">
        <f>'ROR-Model'!H806</f>
        <v>0</v>
      </c>
      <c r="I29" s="17">
        <f>'ROR-Model'!I806</f>
        <v>18085068.722372703</v>
      </c>
      <c r="J29" s="17">
        <f>'ROR-Model'!W806</f>
        <v>17378071.858103789</v>
      </c>
      <c r="K29" s="17">
        <f ca="1">+K13*'Control Panel'!F22</f>
        <v>36358.511340763049</v>
      </c>
      <c r="L29" s="17">
        <f ca="1">SUM(J29:K29)</f>
        <v>17414430.369444553</v>
      </c>
      <c r="M29" s="17">
        <f t="shared" si="2"/>
        <v>0</v>
      </c>
      <c r="N29" s="17">
        <f t="shared" si="3"/>
        <v>18085068.722372703</v>
      </c>
      <c r="O29" s="7"/>
    </row>
    <row r="30" spans="1:15" s="2" customFormat="1">
      <c r="A30" s="20">
        <f t="shared" si="6"/>
        <v>18</v>
      </c>
      <c r="B30" s="15"/>
      <c r="C30" s="17"/>
      <c r="D30" s="17" t="s">
        <v>489</v>
      </c>
      <c r="E30" s="355">
        <f t="shared" si="7"/>
        <v>0</v>
      </c>
      <c r="F30" s="17">
        <f>'ROR-Model'!F834</f>
        <v>24653125.220000003</v>
      </c>
      <c r="G30" s="355">
        <f>'ROR-Model'!G834</f>
        <v>-20977945.517500002</v>
      </c>
      <c r="H30" s="17">
        <f>'ROR-Model'!H834</f>
        <v>0</v>
      </c>
      <c r="I30" s="17">
        <f>'ROR-Model'!I834</f>
        <v>3675179.702500002</v>
      </c>
      <c r="J30" s="17">
        <f>'ROR-Model'!W834</f>
        <v>3573027.1150091891</v>
      </c>
      <c r="K30" s="17"/>
      <c r="L30" s="17">
        <f>SUM(J30:K30)</f>
        <v>3573027.1150091891</v>
      </c>
      <c r="M30" s="17">
        <f t="shared" si="2"/>
        <v>0</v>
      </c>
      <c r="N30" s="17">
        <f t="shared" si="3"/>
        <v>3675179.7025000006</v>
      </c>
      <c r="O30" s="7"/>
    </row>
    <row r="31" spans="1:15" s="2" customFormat="1" ht="13.5" thickBot="1">
      <c r="A31" s="20">
        <f t="shared" si="6"/>
        <v>19</v>
      </c>
      <c r="B31" s="15"/>
      <c r="C31" s="17"/>
      <c r="D31" s="17" t="s">
        <v>490</v>
      </c>
      <c r="E31" s="355">
        <f t="shared" ca="1" si="7"/>
        <v>0</v>
      </c>
      <c r="F31" s="17">
        <f>'ROR-Model'!F902</f>
        <v>39652833.079999998</v>
      </c>
      <c r="G31" s="355">
        <f ca="1">'ROR-Model'!G902</f>
        <v>28701026.424628902</v>
      </c>
      <c r="H31" s="17">
        <f>'ROR-Model'!H902</f>
        <v>0</v>
      </c>
      <c r="I31" s="17">
        <f ca="1">'ROR-Model'!I902</f>
        <v>68353859.504628897</v>
      </c>
      <c r="J31" s="17">
        <f ca="1">'ROR-Model'!W902</f>
        <v>65781659.66267889</v>
      </c>
      <c r="K31" s="17"/>
      <c r="L31" s="17">
        <f ca="1">SUM(J31:K31)</f>
        <v>65781659.66267889</v>
      </c>
      <c r="M31" s="17">
        <f t="shared" ca="1" si="2"/>
        <v>0</v>
      </c>
      <c r="N31" s="17">
        <f t="shared" ca="1" si="3"/>
        <v>68353859.504628897</v>
      </c>
      <c r="O31" s="7"/>
    </row>
    <row r="32" spans="1:15" s="2" customFormat="1">
      <c r="A32" s="20">
        <f t="shared" si="6"/>
        <v>20</v>
      </c>
      <c r="B32" s="15"/>
      <c r="C32" s="17"/>
      <c r="D32" s="17" t="s">
        <v>491</v>
      </c>
      <c r="E32" s="393">
        <f t="shared" ca="1" si="7"/>
        <v>0</v>
      </c>
      <c r="F32" s="393">
        <f t="shared" ref="F32:L32" si="8">SUM(F27:F31)</f>
        <v>137434097.47000003</v>
      </c>
      <c r="G32" s="25">
        <f t="shared" ca="1" si="8"/>
        <v>6722569.6595016047</v>
      </c>
      <c r="H32" s="25">
        <f t="shared" si="8"/>
        <v>0</v>
      </c>
      <c r="I32" s="25">
        <f t="shared" ca="1" si="8"/>
        <v>144156667.12950161</v>
      </c>
      <c r="J32" s="25">
        <f t="shared" ca="1" si="8"/>
        <v>138143063.53718659</v>
      </c>
      <c r="K32" s="25">
        <f t="shared" ca="1" si="8"/>
        <v>36358.511340763049</v>
      </c>
      <c r="L32" s="25">
        <f t="shared" ca="1" si="8"/>
        <v>138179422.04852733</v>
      </c>
      <c r="M32" s="17">
        <f t="shared" ca="1" si="2"/>
        <v>0</v>
      </c>
      <c r="N32" s="25">
        <f t="shared" ca="1" si="3"/>
        <v>144156667.12950164</v>
      </c>
      <c r="O32" s="7"/>
    </row>
    <row r="33" spans="1:15" s="2" customFormat="1">
      <c r="A33" s="20"/>
      <c r="B33" s="15"/>
      <c r="C33" s="17"/>
      <c r="D33" s="17"/>
      <c r="E33" s="355"/>
      <c r="F33" s="17"/>
      <c r="G33" s="17"/>
      <c r="H33" s="17"/>
      <c r="I33" s="17"/>
      <c r="J33" s="129"/>
      <c r="K33" s="512"/>
      <c r="L33" s="17"/>
      <c r="M33" s="17">
        <f t="shared" si="2"/>
        <v>0</v>
      </c>
      <c r="N33" s="17">
        <f t="shared" si="3"/>
        <v>0</v>
      </c>
      <c r="O33" s="7"/>
    </row>
    <row r="34" spans="1:15" s="2" customFormat="1">
      <c r="A34" s="20">
        <f>+A32+1</f>
        <v>21</v>
      </c>
      <c r="B34" s="15"/>
      <c r="C34" s="17" t="s">
        <v>492</v>
      </c>
      <c r="D34" s="17"/>
      <c r="E34" s="355"/>
      <c r="F34" s="17"/>
      <c r="G34" s="17"/>
      <c r="H34" s="17"/>
      <c r="I34" s="17"/>
      <c r="J34" s="17"/>
      <c r="K34" s="17"/>
      <c r="L34" s="17"/>
      <c r="M34" s="17">
        <f t="shared" si="2"/>
        <v>0</v>
      </c>
      <c r="N34" s="17">
        <f t="shared" si="3"/>
        <v>0</v>
      </c>
      <c r="O34" s="7"/>
    </row>
    <row r="35" spans="1:15" s="2" customFormat="1">
      <c r="A35" s="20">
        <f>+A34+1</f>
        <v>22</v>
      </c>
      <c r="B35" s="15"/>
      <c r="C35" s="17"/>
      <c r="D35" s="17" t="s">
        <v>270</v>
      </c>
      <c r="E35" s="355">
        <f>+F35+G35+H35-I35</f>
        <v>0</v>
      </c>
      <c r="F35" s="17">
        <f>'ROR-Model'!F926</f>
        <v>66734933.770000011</v>
      </c>
      <c r="G35" s="17">
        <f>'ROR-Model'!G926</f>
        <v>0</v>
      </c>
      <c r="H35" s="17">
        <f>'ROR-Model'!H926</f>
        <v>0</v>
      </c>
      <c r="I35" s="17">
        <f>'ROR-Model'!I926</f>
        <v>66734933.770000011</v>
      </c>
      <c r="J35" s="1195">
        <f>'ROR-Model'!W926</f>
        <v>64683222.068094969</v>
      </c>
      <c r="K35" s="17"/>
      <c r="L35" s="17">
        <f>SUM(J35:K35)</f>
        <v>64683222.068094969</v>
      </c>
      <c r="M35" s="17">
        <f t="shared" si="2"/>
        <v>0</v>
      </c>
      <c r="N35" s="17">
        <f t="shared" si="3"/>
        <v>66734933.770000011</v>
      </c>
      <c r="O35" s="7"/>
    </row>
    <row r="36" spans="1:15" s="2" customFormat="1">
      <c r="A36" s="20">
        <f>+A35+1</f>
        <v>23</v>
      </c>
      <c r="B36" s="15"/>
      <c r="C36" s="17"/>
      <c r="D36" s="17" t="s">
        <v>588</v>
      </c>
      <c r="E36" s="355">
        <f>+F36+G36+H36-I36</f>
        <v>0</v>
      </c>
      <c r="F36" s="17">
        <f>'ROR-Model'!F934</f>
        <v>22257842.259999998</v>
      </c>
      <c r="G36" s="17">
        <f>'ROR-Model'!G934</f>
        <v>0</v>
      </c>
      <c r="H36" s="17">
        <f>'ROR-Model'!H934</f>
        <v>0</v>
      </c>
      <c r="I36" s="17">
        <f>'ROR-Model'!I934</f>
        <v>22257842.259999998</v>
      </c>
      <c r="J36" s="17">
        <f>'ROR-Model'!W934</f>
        <v>21360520.07333659</v>
      </c>
      <c r="K36" s="17"/>
      <c r="L36" s="17">
        <f>SUM(J36:K36)</f>
        <v>21360520.07333659</v>
      </c>
      <c r="M36" s="17">
        <f t="shared" si="2"/>
        <v>0</v>
      </c>
      <c r="N36" s="17">
        <f t="shared" si="3"/>
        <v>22257842.259999998</v>
      </c>
      <c r="O36" s="7"/>
    </row>
    <row r="37" spans="1:15" s="2" customFormat="1" ht="13.5" thickBot="1">
      <c r="A37" s="20">
        <f>+A36+1</f>
        <v>24</v>
      </c>
      <c r="B37" s="15"/>
      <c r="C37" s="17"/>
      <c r="D37" s="17" t="s">
        <v>590</v>
      </c>
      <c r="E37" s="355">
        <f ca="1">+F37+G37+H37-I37</f>
        <v>0</v>
      </c>
      <c r="F37" s="17">
        <f>'ROR-Model'!F936+'ROR-Model'!F938+'ROR-Model'!F940+'ROR-Model'!F942</f>
        <v>47644557.899999991</v>
      </c>
      <c r="G37" s="17">
        <f ca="1">'ROR-Model'!G936+'ROR-Model'!G938+'ROR-Model'!G940+'ROR-Model'!G942</f>
        <v>-10548729.772859093</v>
      </c>
      <c r="H37" s="17">
        <f ca="1">'ROR-Model'!H936+'ROR-Model'!H938+'ROR-Model'!H940+'ROR-Model'!H942</f>
        <v>-691028.9912417978</v>
      </c>
      <c r="I37" s="17">
        <f ca="1">'ROR-Model'!I936+'ROR-Model'!I938+'ROR-Model'!I940+'ROR-Model'!I942</f>
        <v>36404799.135899104</v>
      </c>
      <c r="J37" s="720">
        <f ca="1">'ROR-Model'!W936</f>
        <v>35281639.890570097</v>
      </c>
      <c r="K37" s="17">
        <f ca="1">(K13-K29)*Taxes!L23</f>
        <v>6778479.8412538767</v>
      </c>
      <c r="L37" s="17">
        <f ca="1">SUM(J37:K37)</f>
        <v>42060119.731823973</v>
      </c>
      <c r="M37" s="17">
        <f t="shared" ca="1" si="2"/>
        <v>0</v>
      </c>
      <c r="N37" s="17">
        <f t="shared" ca="1" si="3"/>
        <v>36404799.135899097</v>
      </c>
      <c r="O37" s="7"/>
    </row>
    <row r="38" spans="1:15" s="2" customFormat="1">
      <c r="A38" s="20">
        <f>+A37+1</f>
        <v>25</v>
      </c>
      <c r="B38" s="15"/>
      <c r="C38" s="17"/>
      <c r="D38" s="17" t="s">
        <v>499</v>
      </c>
      <c r="E38" s="393">
        <f ca="1">+F38+G38+H38-I38</f>
        <v>0</v>
      </c>
      <c r="F38" s="393">
        <f t="shared" ref="F38:L38" si="9">SUM(F35:F37)</f>
        <v>136637333.93000001</v>
      </c>
      <c r="G38" s="25">
        <f t="shared" ca="1" si="9"/>
        <v>-10548729.772859093</v>
      </c>
      <c r="H38" s="25">
        <f t="shared" ca="1" si="9"/>
        <v>-691028.9912417978</v>
      </c>
      <c r="I38" s="25">
        <f t="shared" ca="1" si="9"/>
        <v>125397575.1658991</v>
      </c>
      <c r="J38" s="25">
        <f t="shared" ca="1" si="9"/>
        <v>121325382.03200164</v>
      </c>
      <c r="K38" s="25">
        <f t="shared" ca="1" si="9"/>
        <v>6778479.8412538767</v>
      </c>
      <c r="L38" s="25">
        <f t="shared" ca="1" si="9"/>
        <v>128103861.87325552</v>
      </c>
      <c r="M38" s="17">
        <f t="shared" ca="1" si="2"/>
        <v>0</v>
      </c>
      <c r="N38" s="25">
        <f t="shared" ca="1" si="3"/>
        <v>125397575.16589911</v>
      </c>
      <c r="O38" s="7"/>
    </row>
    <row r="39" spans="1:15" s="2" customFormat="1" ht="6.95" customHeight="1" thickBot="1">
      <c r="A39" s="20"/>
      <c r="B39" s="15"/>
      <c r="C39" s="17"/>
      <c r="D39" s="17"/>
      <c r="E39" s="579"/>
      <c r="F39" s="26"/>
      <c r="G39" s="26"/>
      <c r="H39" s="26"/>
      <c r="I39" s="26"/>
      <c r="J39" s="26"/>
      <c r="K39" s="26"/>
      <c r="L39" s="26"/>
      <c r="M39" s="17">
        <f t="shared" si="2"/>
        <v>0</v>
      </c>
      <c r="N39" s="26">
        <f t="shared" si="3"/>
        <v>0</v>
      </c>
      <c r="O39" s="7"/>
    </row>
    <row r="40" spans="1:15" s="2" customFormat="1" ht="6.95" customHeight="1" thickTop="1">
      <c r="A40" s="20"/>
      <c r="B40" s="15"/>
      <c r="C40" s="17"/>
      <c r="D40" s="17"/>
      <c r="E40" s="355"/>
      <c r="F40" s="17"/>
      <c r="G40" s="17"/>
      <c r="H40" s="17"/>
      <c r="I40" s="17"/>
      <c r="J40" s="17"/>
      <c r="K40" s="17"/>
      <c r="L40" s="17"/>
      <c r="M40" s="17">
        <f t="shared" si="2"/>
        <v>0</v>
      </c>
      <c r="N40" s="17">
        <f t="shared" si="3"/>
        <v>0</v>
      </c>
      <c r="O40" s="7"/>
    </row>
    <row r="41" spans="1:15" s="2" customFormat="1">
      <c r="A41" s="20">
        <f>+A38+1</f>
        <v>26</v>
      </c>
      <c r="B41" s="15"/>
      <c r="C41" s="15" t="s">
        <v>500</v>
      </c>
      <c r="D41" s="17"/>
      <c r="E41" s="355">
        <f ca="1">+F41+G41+H41-I41</f>
        <v>0</v>
      </c>
      <c r="F41" s="17">
        <f>+F24+F32+F38</f>
        <v>830021115.96595287</v>
      </c>
      <c r="G41" s="17">
        <f t="shared" ref="G41:L41" ca="1" si="10">+G24+G32+G38</f>
        <v>-3826160.1133574881</v>
      </c>
      <c r="H41" s="17">
        <f t="shared" ca="1" si="10"/>
        <v>-691028.9912417978</v>
      </c>
      <c r="I41" s="17">
        <f t="shared" ca="1" si="10"/>
        <v>825503926.86135364</v>
      </c>
      <c r="J41" s="17">
        <f t="shared" ca="1" si="10"/>
        <v>259468445.56918824</v>
      </c>
      <c r="K41" s="17">
        <f t="shared" ca="1" si="10"/>
        <v>6814838.3525946401</v>
      </c>
      <c r="L41" s="17">
        <f t="shared" ca="1" si="10"/>
        <v>266283283.92178285</v>
      </c>
      <c r="M41" s="17">
        <f t="shared" ca="1" si="2"/>
        <v>0</v>
      </c>
      <c r="N41" s="17">
        <f t="shared" ca="1" si="3"/>
        <v>825503926.86135352</v>
      </c>
      <c r="O41" s="7"/>
    </row>
    <row r="42" spans="1:15" s="2" customFormat="1" ht="6.95" customHeight="1" thickBot="1">
      <c r="A42" s="20"/>
      <c r="B42" s="15"/>
      <c r="C42" s="17"/>
      <c r="D42" s="17"/>
      <c r="E42" s="579"/>
      <c r="F42" s="26"/>
      <c r="G42" s="26"/>
      <c r="H42" s="26"/>
      <c r="I42" s="26"/>
      <c r="J42" s="26"/>
      <c r="K42" s="26"/>
      <c r="L42" s="26"/>
      <c r="M42" s="17">
        <f t="shared" si="2"/>
        <v>0</v>
      </c>
      <c r="N42" s="26">
        <f t="shared" si="3"/>
        <v>0</v>
      </c>
      <c r="O42" s="7"/>
    </row>
    <row r="43" spans="1:15" s="2" customFormat="1" ht="6.95" customHeight="1" thickTop="1">
      <c r="A43" s="20"/>
      <c r="B43" s="15"/>
      <c r="C43" s="17"/>
      <c r="D43" s="17"/>
      <c r="E43" s="355"/>
      <c r="F43" s="17"/>
      <c r="G43" s="17"/>
      <c r="H43" s="17"/>
      <c r="I43" s="17"/>
      <c r="J43" s="17"/>
      <c r="K43" s="17"/>
      <c r="L43" s="17"/>
      <c r="M43" s="17">
        <f t="shared" si="2"/>
        <v>0</v>
      </c>
      <c r="N43" s="17">
        <f t="shared" si="3"/>
        <v>0</v>
      </c>
      <c r="O43" s="7"/>
    </row>
    <row r="44" spans="1:15" s="2" customFormat="1">
      <c r="A44" s="20">
        <f>+A41+1</f>
        <v>27</v>
      </c>
      <c r="B44" s="15" t="s">
        <v>501</v>
      </c>
      <c r="C44" s="17"/>
      <c r="D44" s="17"/>
      <c r="E44" s="355">
        <f ca="1">+F44+G44+H44-I44</f>
        <v>0</v>
      </c>
      <c r="F44" s="17">
        <f>+F18-F41</f>
        <v>110288749.93404722</v>
      </c>
      <c r="G44" s="17">
        <f ca="1">+G18-G41</f>
        <v>-17145889.006642513</v>
      </c>
      <c r="H44" s="17">
        <f ca="1">+H18-H41</f>
        <v>691028.9912417978</v>
      </c>
      <c r="I44" s="17">
        <f ca="1">+I18-I41</f>
        <v>93833889.918646455</v>
      </c>
      <c r="J44" s="17">
        <f ca="1">+J18-J41</f>
        <v>90863938.267643452</v>
      </c>
      <c r="K44" s="897">
        <f ca="1">+L44-J44</f>
        <v>11017730.617285684</v>
      </c>
      <c r="L44" s="17">
        <f ca="1">L73*L76</f>
        <v>101881668.88492914</v>
      </c>
      <c r="M44" s="17">
        <f t="shared" ca="1" si="2"/>
        <v>0</v>
      </c>
      <c r="N44" s="17">
        <f t="shared" ca="1" si="3"/>
        <v>93833889.9186465</v>
      </c>
      <c r="O44" s="7"/>
    </row>
    <row r="45" spans="1:15" s="2" customFormat="1" ht="13.5" thickBot="1">
      <c r="A45" s="9"/>
      <c r="B45" s="175"/>
      <c r="C45" s="175"/>
      <c r="D45" s="175"/>
      <c r="E45" s="580"/>
      <c r="F45" s="175"/>
      <c r="G45" s="175"/>
      <c r="H45" s="175"/>
      <c r="I45" s="175"/>
      <c r="J45" s="175"/>
      <c r="K45" s="175"/>
      <c r="L45" s="175"/>
      <c r="M45" s="175">
        <f t="shared" si="2"/>
        <v>0</v>
      </c>
      <c r="N45" s="175"/>
      <c r="O45" s="7"/>
    </row>
    <row r="46" spans="1:15" s="2" customFormat="1">
      <c r="A46" s="55"/>
      <c r="E46" s="7"/>
      <c r="F46" s="7"/>
      <c r="G46" s="7"/>
      <c r="H46" s="123"/>
      <c r="I46" s="123"/>
      <c r="N46" s="123"/>
      <c r="O46" s="7"/>
    </row>
    <row r="47" spans="1:15" s="2" customFormat="1">
      <c r="A47" s="20">
        <f>+A44+1</f>
        <v>28</v>
      </c>
      <c r="B47" s="17" t="s">
        <v>171</v>
      </c>
      <c r="C47" s="17"/>
      <c r="D47" s="17"/>
      <c r="E47" s="355"/>
      <c r="F47" s="17"/>
      <c r="G47" s="17"/>
      <c r="H47" s="88"/>
      <c r="J47" s="17"/>
      <c r="L47" s="17"/>
      <c r="M47" s="17"/>
      <c r="O47" s="7"/>
    </row>
    <row r="48" spans="1:15" s="2" customFormat="1">
      <c r="A48" s="20"/>
      <c r="B48" s="921"/>
      <c r="C48" s="921"/>
      <c r="D48" s="921"/>
      <c r="E48" s="355"/>
      <c r="F48" s="17"/>
      <c r="G48" s="17"/>
      <c r="H48" s="123"/>
      <c r="J48" s="17"/>
      <c r="K48" s="7"/>
      <c r="L48" s="17"/>
      <c r="M48" s="17"/>
      <c r="O48" s="7"/>
    </row>
    <row r="49" spans="1:15" s="2" customFormat="1">
      <c r="A49" s="20">
        <f>+A47+1</f>
        <v>29</v>
      </c>
      <c r="B49" s="15" t="s">
        <v>276</v>
      </c>
      <c r="C49" s="17"/>
      <c r="D49" s="17"/>
      <c r="E49" s="355"/>
      <c r="F49" s="17"/>
      <c r="G49" s="17"/>
      <c r="H49" s="17"/>
      <c r="J49" s="17"/>
      <c r="K49" s="17"/>
      <c r="L49" s="17"/>
      <c r="M49" s="17"/>
      <c r="O49" s="7"/>
    </row>
    <row r="50" spans="1:15" s="2" customFormat="1">
      <c r="A50" s="20">
        <f t="shared" ref="A50:A56" si="11">+A49+1</f>
        <v>30</v>
      </c>
      <c r="C50" s="16">
        <v>101</v>
      </c>
      <c r="D50" s="17" t="s">
        <v>284</v>
      </c>
      <c r="E50" s="355">
        <f t="shared" ref="E50:E56" si="12">+F50+G50+H50-I50</f>
        <v>0</v>
      </c>
      <c r="F50" s="17">
        <f>'ROR-Model'!F1102</f>
        <v>2875465647.7900004</v>
      </c>
      <c r="G50" s="17">
        <f>'ROR-Model'!G1102</f>
        <v>-98127827.758000106</v>
      </c>
      <c r="H50" s="17">
        <f>'ROR-Model'!H1102</f>
        <v>0</v>
      </c>
      <c r="I50" s="17">
        <f>'ROR-Model'!I1102</f>
        <v>2777337820.0320005</v>
      </c>
      <c r="J50" s="17">
        <f>'ROR-Model'!W1102</f>
        <v>2684882107.0088673</v>
      </c>
      <c r="K50" s="17"/>
      <c r="L50" s="17">
        <f t="shared" ref="L50:L55" si="13">SUM(J50:K50)</f>
        <v>2684882107.0088673</v>
      </c>
      <c r="M50" s="17">
        <f t="shared" ref="M50:M75" si="14">+N50-I50</f>
        <v>0</v>
      </c>
      <c r="N50" s="17">
        <f t="shared" ref="N50:N56" si="15">SUM(F50:H50)</f>
        <v>2777337820.0320005</v>
      </c>
      <c r="O50" s="7"/>
    </row>
    <row r="51" spans="1:15" s="2" customFormat="1">
      <c r="A51" s="20">
        <f t="shared" si="11"/>
        <v>31</v>
      </c>
      <c r="C51" s="16">
        <v>105</v>
      </c>
      <c r="D51" s="17" t="s">
        <v>285</v>
      </c>
      <c r="E51" s="355">
        <f t="shared" si="12"/>
        <v>0</v>
      </c>
      <c r="F51" s="17">
        <f>'ROR-Model'!F1106</f>
        <v>5036.83</v>
      </c>
      <c r="G51" s="17">
        <f>'ROR-Model'!G1106</f>
        <v>0</v>
      </c>
      <c r="H51" s="17">
        <f>'ROR-Model'!H1106</f>
        <v>0</v>
      </c>
      <c r="I51" s="17">
        <f>'ROR-Model'!I1106</f>
        <v>5036.83</v>
      </c>
      <c r="J51" s="17">
        <f>'ROR-Model'!W1106</f>
        <v>5036.83</v>
      </c>
      <c r="K51" s="17"/>
      <c r="L51" s="17">
        <f t="shared" si="13"/>
        <v>5036.83</v>
      </c>
      <c r="M51" s="17">
        <f t="shared" si="14"/>
        <v>0</v>
      </c>
      <c r="N51" s="17">
        <f t="shared" si="15"/>
        <v>5036.83</v>
      </c>
      <c r="O51" s="7"/>
    </row>
    <row r="52" spans="1:15" s="2" customFormat="1">
      <c r="A52" s="20">
        <f t="shared" si="11"/>
        <v>32</v>
      </c>
      <c r="C52" s="16">
        <v>106</v>
      </c>
      <c r="D52" s="17" t="s">
        <v>503</v>
      </c>
      <c r="E52" s="355">
        <f t="shared" si="12"/>
        <v>0</v>
      </c>
      <c r="F52" s="17">
        <f>'ROR-Model'!F1113</f>
        <v>26747430.722000003</v>
      </c>
      <c r="G52" s="17">
        <f>'ROR-Model'!G1113</f>
        <v>-11186061.967666671</v>
      </c>
      <c r="H52" s="17">
        <f>'ROR-Model'!H1113</f>
        <v>0</v>
      </c>
      <c r="I52" s="17">
        <f>'ROR-Model'!I1113</f>
        <v>15561368.75433333</v>
      </c>
      <c r="J52" s="17">
        <f>'ROR-Model'!W1113</f>
        <v>14383686.339046909</v>
      </c>
      <c r="K52" s="17"/>
      <c r="L52" s="17">
        <f t="shared" si="13"/>
        <v>14383686.339046909</v>
      </c>
      <c r="M52" s="17">
        <f t="shared" si="14"/>
        <v>0</v>
      </c>
      <c r="N52" s="17">
        <f t="shared" si="15"/>
        <v>15561368.754333332</v>
      </c>
      <c r="O52" s="7"/>
    </row>
    <row r="53" spans="1:15" s="2" customFormat="1">
      <c r="A53" s="20">
        <f t="shared" si="11"/>
        <v>33</v>
      </c>
      <c r="C53" s="16">
        <v>108</v>
      </c>
      <c r="D53" s="17" t="s">
        <v>508</v>
      </c>
      <c r="E53" s="355">
        <f t="shared" si="12"/>
        <v>0</v>
      </c>
      <c r="F53" s="17">
        <f>'ROR-Model'!F1120</f>
        <v>-738706646.27999997</v>
      </c>
      <c r="G53" s="17">
        <f>'ROR-Model'!G1120</f>
        <v>17744527.192106657</v>
      </c>
      <c r="H53" s="17">
        <f>'ROR-Model'!H1120</f>
        <v>0</v>
      </c>
      <c r="I53" s="17">
        <f>'ROR-Model'!I1120</f>
        <v>-720962119.08789337</v>
      </c>
      <c r="J53" s="17">
        <f>'ROR-Model'!W1120</f>
        <v>-693085571.03103876</v>
      </c>
      <c r="K53" s="17"/>
      <c r="L53" s="17">
        <f t="shared" si="13"/>
        <v>-693085571.03103876</v>
      </c>
      <c r="M53" s="17">
        <f t="shared" si="14"/>
        <v>0</v>
      </c>
      <c r="N53" s="17">
        <f t="shared" si="15"/>
        <v>-720962119.08789337</v>
      </c>
      <c r="O53" s="7"/>
    </row>
    <row r="54" spans="1:15" s="2" customFormat="1">
      <c r="A54" s="20">
        <f t="shared" si="11"/>
        <v>34</v>
      </c>
      <c r="C54" s="16">
        <v>111</v>
      </c>
      <c r="D54" s="17" t="s">
        <v>509</v>
      </c>
      <c r="E54" s="355">
        <f t="shared" si="12"/>
        <v>0</v>
      </c>
      <c r="F54" s="17">
        <f>'ROR-Model'!F1127</f>
        <v>-6219902.6200000001</v>
      </c>
      <c r="G54" s="17">
        <f>'ROR-Model'!G1127</f>
        <v>395334.04236125003</v>
      </c>
      <c r="H54" s="17">
        <f>'ROR-Model'!H1127</f>
        <v>0</v>
      </c>
      <c r="I54" s="17">
        <f>'ROR-Model'!I1127</f>
        <v>-5824568.57763875</v>
      </c>
      <c r="J54" s="17">
        <f>'ROR-Model'!W1127</f>
        <v>-5611109.0827748859</v>
      </c>
      <c r="K54" s="17"/>
      <c r="L54" s="17">
        <f t="shared" si="13"/>
        <v>-5611109.0827748859</v>
      </c>
      <c r="M54" s="17">
        <f t="shared" si="14"/>
        <v>0</v>
      </c>
      <c r="N54" s="17">
        <f t="shared" si="15"/>
        <v>-5824568.57763875</v>
      </c>
      <c r="O54" s="7"/>
    </row>
    <row r="55" spans="1:15" s="2" customFormat="1" ht="13.5" thickBot="1">
      <c r="A55" s="20">
        <f t="shared" si="11"/>
        <v>35</v>
      </c>
      <c r="C55" s="16">
        <v>254</v>
      </c>
      <c r="D55" s="355" t="s">
        <v>1112</v>
      </c>
      <c r="E55" s="355"/>
      <c r="F55" s="17">
        <f>'ROR-Model'!F1134</f>
        <v>-437460224.57999998</v>
      </c>
      <c r="G55" s="17">
        <f>'ROR-Model'!G1134</f>
        <v>234822088.63916662</v>
      </c>
      <c r="H55" s="17">
        <f>'ROR-Model'!H1134</f>
        <v>0</v>
      </c>
      <c r="I55" s="17">
        <f>'ROR-Model'!I1134</f>
        <v>-202638135.94083339</v>
      </c>
      <c r="J55" s="17">
        <f>'ROR-Model'!W1134</f>
        <v>-196084276.55598748</v>
      </c>
      <c r="K55" s="17"/>
      <c r="L55" s="17">
        <f t="shared" si="13"/>
        <v>-196084276.55598748</v>
      </c>
      <c r="M55" s="17"/>
      <c r="N55" s="17"/>
      <c r="O55" s="7"/>
    </row>
    <row r="56" spans="1:15" s="2" customFormat="1">
      <c r="A56" s="20">
        <f t="shared" si="11"/>
        <v>36</v>
      </c>
      <c r="C56" s="920" t="s">
        <v>172</v>
      </c>
      <c r="D56" s="17"/>
      <c r="E56" s="393">
        <f t="shared" si="12"/>
        <v>0</v>
      </c>
      <c r="F56" s="25">
        <f t="shared" ref="F56:L56" si="16">SUM(F50:F55)</f>
        <v>1719831341.8620005</v>
      </c>
      <c r="G56" s="25">
        <f t="shared" si="16"/>
        <v>143648060.14796776</v>
      </c>
      <c r="H56" s="25">
        <f t="shared" si="16"/>
        <v>0</v>
      </c>
      <c r="I56" s="25">
        <f t="shared" si="16"/>
        <v>1863479402.0099683</v>
      </c>
      <c r="J56" s="25">
        <f>SUM(J50:J55)</f>
        <v>1804489873.5081129</v>
      </c>
      <c r="K56" s="25">
        <f t="shared" si="16"/>
        <v>0</v>
      </c>
      <c r="L56" s="25">
        <f t="shared" si="16"/>
        <v>1804489873.5081129</v>
      </c>
      <c r="M56" s="17">
        <f t="shared" si="14"/>
        <v>0</v>
      </c>
      <c r="N56" s="25">
        <f t="shared" si="15"/>
        <v>1863479402.0099683</v>
      </c>
      <c r="O56" s="7"/>
    </row>
    <row r="57" spans="1:15" s="2" customFormat="1">
      <c r="A57" s="20"/>
      <c r="B57" s="355"/>
      <c r="C57" s="17"/>
      <c r="D57" s="17"/>
      <c r="E57" s="355"/>
      <c r="F57" s="17"/>
      <c r="G57" s="17"/>
      <c r="H57" s="17"/>
      <c r="I57" s="17"/>
      <c r="J57" s="17"/>
      <c r="K57" s="17"/>
      <c r="L57" s="17"/>
      <c r="M57" s="17">
        <f t="shared" si="14"/>
        <v>0</v>
      </c>
      <c r="N57" s="17"/>
      <c r="O57" s="7"/>
    </row>
    <row r="58" spans="1:15" s="2" customFormat="1">
      <c r="A58" s="20">
        <f>+A56+1</f>
        <v>37</v>
      </c>
      <c r="B58" s="15" t="s">
        <v>176</v>
      </c>
      <c r="C58" s="17"/>
      <c r="D58" s="17"/>
      <c r="E58" s="355"/>
      <c r="F58" s="17"/>
      <c r="G58" s="17"/>
      <c r="H58" s="17"/>
      <c r="I58" s="17"/>
      <c r="J58" s="17"/>
      <c r="K58" s="17"/>
      <c r="L58" s="17"/>
      <c r="M58" s="17">
        <f t="shared" si="14"/>
        <v>0</v>
      </c>
      <c r="N58" s="17"/>
      <c r="O58" s="7"/>
    </row>
    <row r="59" spans="1:15" s="2" customFormat="1">
      <c r="A59" s="581">
        <f t="shared" ref="A59:A70" si="17">+A58+1</f>
        <v>38</v>
      </c>
      <c r="C59" s="354">
        <v>154</v>
      </c>
      <c r="D59" s="355" t="s">
        <v>504</v>
      </c>
      <c r="E59" s="355">
        <f t="shared" ref="E59:E68" si="18">+F59+G59+H59-I59</f>
        <v>0</v>
      </c>
      <c r="F59" s="355">
        <f>'ROR-Model'!F1152</f>
        <v>25178231.68</v>
      </c>
      <c r="G59" s="355">
        <f>'ROR-Model'!G1152</f>
        <v>738593.95083332947</v>
      </c>
      <c r="H59" s="355">
        <f>'ROR-Model'!H1152</f>
        <v>0</v>
      </c>
      <c r="I59" s="355">
        <f>'ROR-Model'!I1152</f>
        <v>25916825.630833328</v>
      </c>
      <c r="J59" s="355">
        <f>'ROR-Model'!W1152</f>
        <v>25071453.841744561</v>
      </c>
      <c r="K59" s="355"/>
      <c r="L59" s="355">
        <f t="shared" ref="L59:L68" si="19">SUM(J59:K59)</f>
        <v>25071453.841744561</v>
      </c>
      <c r="M59" s="355">
        <f t="shared" si="14"/>
        <v>0</v>
      </c>
      <c r="N59" s="355">
        <f t="shared" ref="N59:N73" si="20">SUM(F59:H59)</f>
        <v>25916825.630833328</v>
      </c>
      <c r="O59" s="7"/>
    </row>
    <row r="60" spans="1:15" s="2" customFormat="1">
      <c r="A60" s="581">
        <f t="shared" si="17"/>
        <v>39</v>
      </c>
      <c r="C60" s="354" t="s">
        <v>529</v>
      </c>
      <c r="D60" s="355" t="s">
        <v>295</v>
      </c>
      <c r="E60" s="355">
        <f t="shared" si="18"/>
        <v>0</v>
      </c>
      <c r="F60" s="355">
        <f>'ROR-Model'!F1156</f>
        <v>52891066.75</v>
      </c>
      <c r="G60" s="355">
        <f>'ROR-Model'!G1156</f>
        <v>-52891066.75</v>
      </c>
      <c r="H60" s="355">
        <f>'ROR-Model'!H1156</f>
        <v>0</v>
      </c>
      <c r="I60" s="355">
        <f>'ROR-Model'!I1156</f>
        <v>0</v>
      </c>
      <c r="J60" s="355">
        <f>'ROR-Model'!W1156</f>
        <v>0</v>
      </c>
      <c r="K60" s="355"/>
      <c r="L60" s="355">
        <f t="shared" si="19"/>
        <v>0</v>
      </c>
      <c r="M60" s="355">
        <f t="shared" si="14"/>
        <v>0</v>
      </c>
      <c r="N60" s="355">
        <f t="shared" si="20"/>
        <v>0</v>
      </c>
      <c r="O60" s="7"/>
    </row>
    <row r="61" spans="1:15" s="2" customFormat="1">
      <c r="A61" s="581">
        <f t="shared" si="17"/>
        <v>40</v>
      </c>
      <c r="C61" s="354">
        <v>165</v>
      </c>
      <c r="D61" s="355" t="s">
        <v>296</v>
      </c>
      <c r="E61" s="355">
        <f t="shared" si="18"/>
        <v>0</v>
      </c>
      <c r="F61" s="355">
        <f>'ROR-Model'!F1160</f>
        <v>3910153.76</v>
      </c>
      <c r="G61" s="355">
        <f>'ROR-Model'!G1160</f>
        <v>-276003.70500000007</v>
      </c>
      <c r="H61" s="355">
        <f>'ROR-Model'!H1160</f>
        <v>0</v>
      </c>
      <c r="I61" s="355">
        <f>'ROR-Model'!I1160</f>
        <v>3634150.0549999997</v>
      </c>
      <c r="J61" s="355">
        <f>'ROR-Model'!W1160</f>
        <v>3515608.9968637214</v>
      </c>
      <c r="K61" s="355"/>
      <c r="L61" s="355">
        <f t="shared" si="19"/>
        <v>3515608.9968637214</v>
      </c>
      <c r="M61" s="355">
        <f t="shared" si="14"/>
        <v>0</v>
      </c>
      <c r="N61" s="355">
        <f t="shared" si="20"/>
        <v>3634150.0549999997</v>
      </c>
      <c r="O61" s="7"/>
    </row>
    <row r="62" spans="1:15" s="2" customFormat="1">
      <c r="A62" s="581">
        <f t="shared" si="17"/>
        <v>41</v>
      </c>
      <c r="C62" s="582" t="s">
        <v>289</v>
      </c>
      <c r="D62" s="360" t="s">
        <v>291</v>
      </c>
      <c r="E62" s="309">
        <f t="shared" si="18"/>
        <v>5.1222741603851318E-9</v>
      </c>
      <c r="F62" s="309">
        <f>+'ROR-Model'!F1167</f>
        <v>57435073</v>
      </c>
      <c r="G62" s="355">
        <f>+'ROR-Model'!G1167</f>
        <v>-55041944.958333328</v>
      </c>
      <c r="H62" s="355">
        <f>'ROR-Model'!H1167</f>
        <v>0</v>
      </c>
      <c r="I62" s="355">
        <f>+'ROR-Model'!I1167</f>
        <v>2393128.0416666665</v>
      </c>
      <c r="J62" s="355">
        <f>+'ROR-Model'!W1167</f>
        <v>2316787.2571374997</v>
      </c>
      <c r="K62" s="355"/>
      <c r="L62" s="355">
        <f t="shared" si="19"/>
        <v>2316787.2571374997</v>
      </c>
      <c r="M62" s="355">
        <f t="shared" si="14"/>
        <v>5.1222741603851318E-9</v>
      </c>
      <c r="N62" s="355">
        <f t="shared" si="20"/>
        <v>2393128.0416666716</v>
      </c>
      <c r="O62" s="7"/>
    </row>
    <row r="63" spans="1:15" s="2" customFormat="1">
      <c r="A63" s="581">
        <f t="shared" si="17"/>
        <v>42</v>
      </c>
      <c r="C63" s="582" t="s">
        <v>290</v>
      </c>
      <c r="D63" s="360" t="s">
        <v>292</v>
      </c>
      <c r="E63" s="355">
        <f t="shared" si="18"/>
        <v>0</v>
      </c>
      <c r="F63" s="355">
        <f>+'ROR-Model'!F1174</f>
        <v>13135753</v>
      </c>
      <c r="G63" s="355">
        <f>+'ROR-Model'!G1174</f>
        <v>-12588429.958333334</v>
      </c>
      <c r="H63" s="355">
        <f>'ROR-Model'!H1174</f>
        <v>0</v>
      </c>
      <c r="I63" s="355">
        <f>+'ROR-Model'!I1174</f>
        <v>547323.04166666605</v>
      </c>
      <c r="J63" s="355">
        <f>+'ROR-Model'!W1174</f>
        <v>547323.04166666605</v>
      </c>
      <c r="K63" s="355"/>
      <c r="L63" s="355">
        <f t="shared" si="19"/>
        <v>547323.04166666605</v>
      </c>
      <c r="M63" s="355">
        <f t="shared" si="14"/>
        <v>0</v>
      </c>
      <c r="N63" s="355">
        <f t="shared" si="20"/>
        <v>547323.04166666605</v>
      </c>
      <c r="O63" s="7"/>
    </row>
    <row r="64" spans="1:15" s="2" customFormat="1">
      <c r="A64" s="20">
        <f t="shared" si="17"/>
        <v>43</v>
      </c>
      <c r="C64" s="16" t="s">
        <v>530</v>
      </c>
      <c r="D64" s="17" t="s">
        <v>297</v>
      </c>
      <c r="E64" s="355">
        <f t="shared" si="18"/>
        <v>0</v>
      </c>
      <c r="F64" s="17">
        <f>'ROR-Model'!F1179</f>
        <v>-5705689.7999999998</v>
      </c>
      <c r="G64" s="17">
        <f>'ROR-Model'!G1179</f>
        <v>-1163518.2795833326</v>
      </c>
      <c r="H64" s="17">
        <f>'ROR-Model'!H1179</f>
        <v>0</v>
      </c>
      <c r="I64" s="17">
        <f>'ROR-Model'!I1179</f>
        <v>-6869208.0795833319</v>
      </c>
      <c r="J64" s="17">
        <f>'ROR-Model'!W1179</f>
        <v>-6605173.1624999987</v>
      </c>
      <c r="K64" s="17"/>
      <c r="L64" s="17">
        <f t="shared" si="19"/>
        <v>-6605173.1624999987</v>
      </c>
      <c r="M64" s="17">
        <f t="shared" si="14"/>
        <v>0</v>
      </c>
      <c r="N64" s="17">
        <f t="shared" si="20"/>
        <v>-6869208.0795833319</v>
      </c>
      <c r="O64" s="7"/>
    </row>
    <row r="65" spans="1:15" s="2" customFormat="1">
      <c r="A65" s="20">
        <f t="shared" si="17"/>
        <v>44</v>
      </c>
      <c r="C65" s="213">
        <v>252</v>
      </c>
      <c r="D65" s="17" t="s">
        <v>264</v>
      </c>
      <c r="E65" s="355">
        <f t="shared" si="18"/>
        <v>0</v>
      </c>
      <c r="F65" s="17">
        <f>+'ROR-Model'!F1184</f>
        <v>-12128595.02</v>
      </c>
      <c r="G65" s="17">
        <f>'ROR-Model'!G1184</f>
        <v>-5363162.6720833369</v>
      </c>
      <c r="H65" s="17">
        <f>'ROR-Model'!H1184</f>
        <v>0</v>
      </c>
      <c r="I65" s="17">
        <f>'ROR-Model'!I1184</f>
        <v>-17491757.692083336</v>
      </c>
      <c r="J65" s="17">
        <f>'ROR-Model'!W1184</f>
        <v>-17011733.805000003</v>
      </c>
      <c r="K65" s="17"/>
      <c r="L65" s="17">
        <f t="shared" si="19"/>
        <v>-17011733.805000003</v>
      </c>
      <c r="M65" s="17">
        <f t="shared" si="14"/>
        <v>0</v>
      </c>
      <c r="N65" s="17">
        <f t="shared" si="20"/>
        <v>-17491757.692083336</v>
      </c>
      <c r="O65" s="7"/>
    </row>
    <row r="66" spans="1:15" s="2" customFormat="1">
      <c r="A66" s="20">
        <f t="shared" si="17"/>
        <v>45</v>
      </c>
      <c r="C66" s="16" t="s">
        <v>531</v>
      </c>
      <c r="D66" s="17" t="s">
        <v>298</v>
      </c>
      <c r="E66" s="355">
        <f t="shared" si="18"/>
        <v>0</v>
      </c>
      <c r="F66" s="17">
        <f>'ROR-Model'!F1188</f>
        <v>-29018.39</v>
      </c>
      <c r="G66" s="17">
        <f>'ROR-Model'!G1188</f>
        <v>-7421.0112499999959</v>
      </c>
      <c r="H66" s="17">
        <f>'ROR-Model'!H1188</f>
        <v>0</v>
      </c>
      <c r="I66" s="17">
        <f>'ROR-Model'!I1188</f>
        <v>-36439.401249999995</v>
      </c>
      <c r="J66" s="17">
        <f>'ROR-Model'!W1188</f>
        <v>-35250.797280253508</v>
      </c>
      <c r="K66" s="17"/>
      <c r="L66" s="17">
        <f t="shared" si="19"/>
        <v>-35250.797280253508</v>
      </c>
      <c r="M66" s="17">
        <f t="shared" si="14"/>
        <v>0</v>
      </c>
      <c r="N66" s="17">
        <f t="shared" si="20"/>
        <v>-36439.401249999995</v>
      </c>
      <c r="O66" s="7"/>
    </row>
    <row r="67" spans="1:15" s="2" customFormat="1" ht="12.75" customHeight="1">
      <c r="A67" s="20">
        <f t="shared" si="17"/>
        <v>46</v>
      </c>
      <c r="C67" s="16">
        <v>255</v>
      </c>
      <c r="D67" s="17" t="s">
        <v>299</v>
      </c>
      <c r="E67" s="355">
        <f t="shared" si="18"/>
        <v>0</v>
      </c>
      <c r="F67" s="17">
        <f>'ROR-Model'!F1195</f>
        <v>-28629.62</v>
      </c>
      <c r="G67" s="17">
        <f>'ROR-Model'!G1195</f>
        <v>-36399.331250000003</v>
      </c>
      <c r="H67" s="17">
        <f>'ROR-Model'!H1195</f>
        <v>0</v>
      </c>
      <c r="I67" s="17">
        <f>'ROR-Model'!I1195</f>
        <v>-65028.951250000006</v>
      </c>
      <c r="J67" s="17">
        <f>'ROR-Model'!W1195</f>
        <v>-62952.096974482993</v>
      </c>
      <c r="K67" s="17"/>
      <c r="L67" s="17">
        <f t="shared" si="19"/>
        <v>-62952.096974482993</v>
      </c>
      <c r="M67" s="17">
        <f t="shared" si="14"/>
        <v>0</v>
      </c>
      <c r="N67" s="17">
        <f t="shared" si="20"/>
        <v>-65028.951249999998</v>
      </c>
      <c r="O67" s="7"/>
    </row>
    <row r="68" spans="1:15" s="2" customFormat="1" ht="12.75" customHeight="1">
      <c r="A68" s="20">
        <f t="shared" si="17"/>
        <v>47</v>
      </c>
      <c r="C68" s="16">
        <v>282</v>
      </c>
      <c r="D68" s="17" t="s">
        <v>34</v>
      </c>
      <c r="E68" s="355">
        <f t="shared" si="18"/>
        <v>0</v>
      </c>
      <c r="F68" s="17">
        <f>'ROR-Model'!F1202+'ROR-Model'!F1209+'ROR-Model'!F1213</f>
        <v>-344710817.71999997</v>
      </c>
      <c r="G68" s="17">
        <f>'ROR-Model'!G1202+'ROR-Model'!G1209+'ROR-Model'!G1213</f>
        <v>-150379434.49124989</v>
      </c>
      <c r="H68" s="17">
        <f>'ROR-Model'!H1202+'ROR-Model'!H1209+'ROR-Model'!H1213</f>
        <v>0</v>
      </c>
      <c r="I68" s="17">
        <f>'ROR-Model'!I1202+'ROR-Model'!I1209+'ROR-Model'!I1213</f>
        <v>-495090252.21124983</v>
      </c>
      <c r="J68" s="17">
        <f>'ROR-Model'!W1202+'ROR-Model'!W1209+'ROR-Model'!W1213</f>
        <v>-481244094.42449021</v>
      </c>
      <c r="K68" s="17"/>
      <c r="L68" s="17">
        <f t="shared" si="19"/>
        <v>-481244094.42449021</v>
      </c>
      <c r="M68" s="17">
        <f t="shared" si="14"/>
        <v>0</v>
      </c>
      <c r="N68" s="17">
        <f t="shared" si="20"/>
        <v>-495090252.21124983</v>
      </c>
      <c r="O68" s="7"/>
    </row>
    <row r="69" spans="1:15" s="2" customFormat="1" ht="12.75" customHeight="1" thickBot="1">
      <c r="A69" s="20">
        <f t="shared" si="17"/>
        <v>48</v>
      </c>
      <c r="C69" s="17"/>
      <c r="D69" s="17" t="s">
        <v>505</v>
      </c>
      <c r="E69" s="355"/>
      <c r="F69" s="17">
        <f>'ROR-Model'!F1253</f>
        <v>2122562.945010663</v>
      </c>
      <c r="G69" s="355">
        <f ca="1">'ROR-Model'!G1253</f>
        <v>-10639.869904268073</v>
      </c>
      <c r="H69" s="17">
        <f ca="1">'ROR-Model'!H1253</f>
        <v>-1921.6285646860952</v>
      </c>
      <c r="I69" s="17">
        <f ca="1">'ROR-Model'!I1253</f>
        <v>2110001.4465417089</v>
      </c>
      <c r="J69" s="17">
        <f ca="1">'ROR-Model'!W1253</f>
        <v>2033475.0746460569</v>
      </c>
      <c r="K69" s="17"/>
      <c r="L69" s="17">
        <f ca="1">SUM(J69:K69)</f>
        <v>2033475.0746460569</v>
      </c>
      <c r="M69" s="17">
        <f t="shared" ca="1" si="14"/>
        <v>0</v>
      </c>
      <c r="N69" s="17">
        <f t="shared" ca="1" si="20"/>
        <v>2110001.4465417089</v>
      </c>
      <c r="O69" s="7"/>
    </row>
    <row r="70" spans="1:15" s="2" customFormat="1" ht="12.75" customHeight="1">
      <c r="A70" s="20">
        <f t="shared" si="17"/>
        <v>49</v>
      </c>
      <c r="C70" s="920" t="s">
        <v>173</v>
      </c>
      <c r="D70" s="17"/>
      <c r="E70" s="393"/>
      <c r="F70" s="25">
        <f t="shared" ref="F70:L70" si="21">SUM(F59:F69)</f>
        <v>-207929909.41498932</v>
      </c>
      <c r="G70" s="25">
        <f t="shared" ca="1" si="21"/>
        <v>-277019427.07615417</v>
      </c>
      <c r="H70" s="25">
        <f t="shared" ca="1" si="21"/>
        <v>-1921.6285646860952</v>
      </c>
      <c r="I70" s="25">
        <f ca="1">SUM(I59:I69)</f>
        <v>-484951258.11970812</v>
      </c>
      <c r="J70" s="25">
        <f ca="1">SUM(J59:J69)</f>
        <v>-471474556.07418644</v>
      </c>
      <c r="K70" s="25">
        <f t="shared" si="21"/>
        <v>0</v>
      </c>
      <c r="L70" s="25">
        <f t="shared" ca="1" si="21"/>
        <v>-471474556.07418644</v>
      </c>
      <c r="M70" s="17">
        <f t="shared" ca="1" si="14"/>
        <v>0</v>
      </c>
      <c r="N70" s="25">
        <f t="shared" ca="1" si="20"/>
        <v>-484951258.11970818</v>
      </c>
      <c r="O70" s="7"/>
    </row>
    <row r="71" spans="1:15" s="2" customFormat="1" ht="12.75" customHeight="1" thickBot="1">
      <c r="A71" s="20"/>
      <c r="B71" s="15"/>
      <c r="C71" s="17"/>
      <c r="D71" s="17"/>
      <c r="E71" s="579"/>
      <c r="F71" s="26"/>
      <c r="G71" s="26"/>
      <c r="H71" s="26"/>
      <c r="I71" s="26"/>
      <c r="J71" s="26"/>
      <c r="K71" s="26"/>
      <c r="L71" s="26"/>
      <c r="M71" s="17">
        <f t="shared" si="14"/>
        <v>0</v>
      </c>
      <c r="N71" s="26">
        <f t="shared" si="20"/>
        <v>0</v>
      </c>
      <c r="O71" s="7"/>
    </row>
    <row r="72" spans="1:15" s="2" customFormat="1" ht="12.75" customHeight="1" thickTop="1">
      <c r="A72" s="20"/>
      <c r="B72" s="15"/>
      <c r="C72" s="17"/>
      <c r="D72" s="17"/>
      <c r="E72" s="355"/>
      <c r="F72" s="17"/>
      <c r="G72" s="17"/>
      <c r="H72" s="17"/>
      <c r="I72" s="17"/>
      <c r="J72" s="17"/>
      <c r="K72" s="17"/>
      <c r="L72" s="17"/>
      <c r="M72" s="17">
        <f t="shared" si="14"/>
        <v>0</v>
      </c>
      <c r="N72" s="17">
        <f t="shared" si="20"/>
        <v>0</v>
      </c>
      <c r="O72" s="7"/>
    </row>
    <row r="73" spans="1:15" s="2" customFormat="1" ht="12.75" customHeight="1">
      <c r="A73" s="20">
        <f>+A70+1</f>
        <v>50</v>
      </c>
      <c r="B73" s="920" t="s">
        <v>790</v>
      </c>
      <c r="C73" s="17"/>
      <c r="D73" s="17"/>
      <c r="E73" s="355"/>
      <c r="F73" s="17">
        <f>+F56+F70</f>
        <v>1511901432.4470112</v>
      </c>
      <c r="G73" s="17">
        <f ca="1">+G56+G70</f>
        <v>-133371366.92818642</v>
      </c>
      <c r="H73" s="17">
        <f ca="1">+H56+H70</f>
        <v>-1921.6285646860952</v>
      </c>
      <c r="I73" s="17">
        <f ca="1">+I56+I70</f>
        <v>1378528143.8902602</v>
      </c>
      <c r="J73" s="17">
        <f ca="1">+J56+J70</f>
        <v>1333015317.4339266</v>
      </c>
      <c r="K73" s="17"/>
      <c r="L73" s="17">
        <f ca="1">+L56+L70</f>
        <v>1333015317.4339266</v>
      </c>
      <c r="M73" s="17">
        <f t="shared" ca="1" si="14"/>
        <v>0</v>
      </c>
      <c r="N73" s="17">
        <f t="shared" ca="1" si="20"/>
        <v>1378528143.8902602</v>
      </c>
      <c r="O73" s="7"/>
    </row>
    <row r="74" spans="1:15" s="2" customFormat="1" ht="12.75" customHeight="1" thickBot="1">
      <c r="A74" s="9"/>
      <c r="B74" s="175"/>
      <c r="C74" s="175"/>
      <c r="D74" s="175"/>
      <c r="E74" s="580"/>
      <c r="F74" s="175"/>
      <c r="G74" s="175"/>
      <c r="H74" s="175"/>
      <c r="I74" s="175"/>
      <c r="J74" s="175"/>
      <c r="K74" s="175"/>
      <c r="L74" s="175"/>
      <c r="M74" s="17">
        <f t="shared" si="14"/>
        <v>0</v>
      </c>
      <c r="N74" s="175"/>
    </row>
    <row r="75" spans="1:15" s="2" customFormat="1" ht="12.75" customHeight="1">
      <c r="A75" s="55"/>
      <c r="E75" s="7">
        <f ca="1">SUM(E13:E73)</f>
        <v>5.1222741603851318E-9</v>
      </c>
      <c r="M75" s="17">
        <f t="shared" si="14"/>
        <v>0</v>
      </c>
      <c r="N75" s="2">
        <f>SUM(F75:H75)</f>
        <v>0</v>
      </c>
    </row>
    <row r="76" spans="1:15" s="2" customFormat="1" ht="12.75" customHeight="1">
      <c r="A76" s="20">
        <f>+A73+1</f>
        <v>51</v>
      </c>
      <c r="B76" s="920" t="s">
        <v>788</v>
      </c>
      <c r="C76" s="17"/>
      <c r="D76" s="17"/>
      <c r="E76" s="29"/>
      <c r="F76" s="29">
        <f>F44/F73</f>
        <v>7.2947050361308913E-2</v>
      </c>
      <c r="G76" s="29"/>
      <c r="H76" s="209"/>
      <c r="I76" s="29">
        <f ca="1">I44/I73</f>
        <v>6.8068171356910831E-2</v>
      </c>
      <c r="J76" s="29">
        <f ca="1">J44/J73</f>
        <v>6.8164211678045691E-2</v>
      </c>
      <c r="K76" s="29"/>
      <c r="L76" s="29">
        <f>'Capital Str'!G10</f>
        <v>7.6429481006304409E-2</v>
      </c>
      <c r="M76" s="17">
        <f ca="1">+N76-I76</f>
        <v>4.8788790043980818E-3</v>
      </c>
      <c r="N76" s="29">
        <f>SUM(F76:H76)</f>
        <v>7.2947050361308913E-2</v>
      </c>
    </row>
    <row r="77" spans="1:15" s="2" customFormat="1" ht="12.75" customHeight="1">
      <c r="A77" s="20"/>
      <c r="B77" s="15"/>
      <c r="C77" s="17"/>
      <c r="D77" s="17"/>
      <c r="E77" s="210"/>
      <c r="F77" s="210"/>
      <c r="G77" s="210"/>
      <c r="H77" s="208"/>
      <c r="I77" s="29"/>
      <c r="J77" s="29"/>
      <c r="K77" s="29"/>
      <c r="L77" s="29"/>
      <c r="M77" s="17"/>
      <c r="N77" s="29">
        <f>SUM(F77:H77)</f>
        <v>0</v>
      </c>
    </row>
    <row r="78" spans="1:15" s="2" customFormat="1" ht="12.75" customHeight="1">
      <c r="A78" s="20">
        <f>+A76+1</f>
        <v>52</v>
      </c>
      <c r="B78" s="15" t="s">
        <v>37</v>
      </c>
      <c r="C78" s="17"/>
      <c r="D78" s="17"/>
      <c r="E78" s="29"/>
      <c r="F78" s="29">
        <f>(F76-'Capital Str'!$G$7)/'Capital Str'!$D$9</f>
        <v>9.1811580556412059E-2</v>
      </c>
      <c r="G78" s="29"/>
      <c r="H78" s="207"/>
      <c r="I78" s="29">
        <f ca="1">(I76-'Capital Str'!$G$7)/'Capital Str'!$D$9</f>
        <v>8.2441117071999623E-2</v>
      </c>
      <c r="J78" s="29">
        <f ca="1">(J76-'Capital Str'!$G$7)/'Capital Str'!$D$9</f>
        <v>8.2625573854267484E-2</v>
      </c>
      <c r="K78" s="29"/>
      <c r="L78" s="29">
        <f>'Capital Str'!E9</f>
        <v>9.8500000000000004E-2</v>
      </c>
      <c r="M78" s="17">
        <f ca="1">+N78-I78</f>
        <v>9.3704634844124363E-3</v>
      </c>
      <c r="N78" s="29">
        <f>SUM(F78:H78)</f>
        <v>9.1811580556412059E-2</v>
      </c>
    </row>
    <row r="79" spans="1:15" ht="12.75" customHeight="1"/>
    <row r="80" spans="1:15" ht="12.75" customHeight="1"/>
    <row r="141" ht="6.95" customHeight="1"/>
    <row r="142" ht="6.95" customHeight="1"/>
    <row r="144" ht="6.95" customHeight="1"/>
    <row r="145" ht="6.95" customHeight="1"/>
    <row r="170" ht="6.95" customHeight="1"/>
    <row r="171" ht="6.95" customHeight="1"/>
  </sheetData>
  <mergeCells count="2">
    <mergeCell ref="B8:D8"/>
    <mergeCell ref="B5:D5"/>
  </mergeCells>
  <phoneticPr fontId="0" type="noConversion"/>
  <printOptions horizontalCentered="1"/>
  <pageMargins left="0" right="0" top="0" bottom="0.5" header="1.5" footer="0.28000000000000003"/>
  <pageSetup scale="77" firstPageNumber="2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819" r:id="rId4" name="Button 13387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59" r:id="rId5" name="Button 1342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79" r:id="rId6" name="Button 13647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81</xdr:row>
                    <xdr:rowOff>19050</xdr:rowOff>
                  </from>
                  <to>
                    <xdr:col>3</xdr:col>
                    <xdr:colOff>2505075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2" r:id="rId7" name="Button 13740">
              <controlPr defaultSize="0" print="0" autoFill="0" autoPict="0" macro="[0]!Macro5">
                <anchor moveWithCells="1" sizeWithCells="1">
                  <from>
                    <xdr:col>3</xdr:col>
                    <xdr:colOff>1752600</xdr:colOff>
                    <xdr:row>0</xdr:row>
                    <xdr:rowOff>9525</xdr:rowOff>
                  </from>
                  <to>
                    <xdr:col>3</xdr:col>
                    <xdr:colOff>1752600</xdr:colOff>
                    <xdr:row>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4" r:id="rId8" name="Button 13742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34</xdr:row>
                    <xdr:rowOff>38100</xdr:rowOff>
                  </from>
                  <to>
                    <xdr:col>3</xdr:col>
                    <xdr:colOff>2505075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76" r:id="rId9" name="Button 13744">
              <controlPr defaultSize="0" print="0" autoFill="0" autoPict="0">
                <anchor moveWithCells="1" sizeWithCells="1">
                  <from>
                    <xdr:col>3</xdr:col>
                    <xdr:colOff>2505075</xdr:colOff>
                    <xdr:row>81</xdr:row>
                    <xdr:rowOff>19050</xdr:rowOff>
                  </from>
                  <to>
                    <xdr:col>3</xdr:col>
                    <xdr:colOff>2505075</xdr:colOff>
                    <xdr:row>81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E1274"/>
  <sheetViews>
    <sheetView workbookViewId="0">
      <selection activeCell="H13" sqref="H13"/>
    </sheetView>
  </sheetViews>
  <sheetFormatPr defaultColWidth="9.140625" defaultRowHeight="12.75"/>
  <cols>
    <col min="1" max="1" width="7.28515625" style="2" customWidth="1"/>
    <col min="2" max="2" width="11.28515625" style="2" customWidth="1"/>
    <col min="3" max="3" width="10.28515625" style="2" customWidth="1"/>
    <col min="4" max="4" width="25.7109375" style="2" customWidth="1"/>
    <col min="5" max="5" width="15" style="2" hidden="1" customWidth="1"/>
    <col min="6" max="6" width="31.28515625" style="2" bestFit="1" customWidth="1"/>
    <col min="7" max="8" width="13.7109375" style="2" customWidth="1"/>
    <col min="9" max="9" width="19.28515625" style="2" bestFit="1" customWidth="1"/>
    <col min="10" max="10" width="17.5703125" style="2" customWidth="1"/>
    <col min="11" max="11" width="4.5703125" style="2" bestFit="1" customWidth="1"/>
    <col min="12" max="14" width="13.7109375" style="2" customWidth="1"/>
    <col min="15" max="15" width="23.7109375" style="2" customWidth="1"/>
    <col min="16" max="16" width="4.7109375" style="2" customWidth="1"/>
    <col min="17" max="18" width="13.7109375" style="2" customWidth="1"/>
    <col min="19" max="19" width="4.7109375" style="2" customWidth="1"/>
    <col min="20" max="21" width="13.7109375" style="2" customWidth="1"/>
    <col min="22" max="22" width="1.7109375" style="2" customWidth="1"/>
    <col min="23" max="23" width="13.7109375" style="2" customWidth="1"/>
    <col min="24" max="24" width="6.42578125" style="2" customWidth="1"/>
    <col min="25" max="25" width="5.140625" style="2" bestFit="1" customWidth="1"/>
    <col min="26" max="26" width="9.140625" style="2"/>
    <col min="27" max="27" width="16.5703125" style="2" bestFit="1" customWidth="1"/>
    <col min="28" max="28" width="3.42578125" style="2" customWidth="1"/>
    <col min="29" max="29" width="15.85546875" style="88" customWidth="1"/>
    <col min="30" max="30" width="2.5703125" style="2" bestFit="1" customWidth="1"/>
    <col min="31" max="31" width="9.140625" style="2"/>
    <col min="32" max="32" width="3.28515625" style="2" bestFit="1" customWidth="1"/>
    <col min="33" max="33" width="10.7109375" style="2" bestFit="1" customWidth="1"/>
    <col min="34" max="34" width="11.7109375" style="2" bestFit="1" customWidth="1"/>
    <col min="35" max="35" width="3.28515625" style="2" bestFit="1" customWidth="1"/>
    <col min="36" max="37" width="2.5703125" style="2" bestFit="1" customWidth="1"/>
    <col min="38" max="38" width="9.140625" style="2"/>
    <col min="39" max="39" width="2.5703125" style="2" bestFit="1" customWidth="1"/>
    <col min="40" max="16384" width="9.140625" style="2"/>
  </cols>
  <sheetData>
    <row r="1" spans="1:31">
      <c r="A1" s="912" t="str">
        <f>'Control Panel'!$B$1</f>
        <v>Dominion Energy</v>
      </c>
      <c r="E1" s="119"/>
      <c r="F1" s="119"/>
      <c r="G1" s="217"/>
      <c r="H1" s="217"/>
      <c r="I1" s="119" t="s">
        <v>825</v>
      </c>
      <c r="J1" s="119"/>
      <c r="K1" s="215"/>
      <c r="L1" s="215" t="s">
        <v>731</v>
      </c>
      <c r="M1" s="215"/>
      <c r="N1" s="215"/>
      <c r="O1" s="135"/>
      <c r="P1" s="119"/>
      <c r="Q1" s="119"/>
      <c r="R1" s="119"/>
      <c r="S1" s="55"/>
      <c r="T1" s="119"/>
      <c r="U1" s="119"/>
      <c r="V1" s="58"/>
      <c r="W1" s="119"/>
      <c r="X1" s="913"/>
    </row>
    <row r="2" spans="1:31">
      <c r="A2" s="912" t="str">
        <f>'Control Panel'!$B$2</f>
        <v>Utah - Dec 2017 Adjusted Avg Results</v>
      </c>
      <c r="E2" s="9"/>
      <c r="F2" s="9"/>
      <c r="K2" s="216" t="s">
        <v>732</v>
      </c>
      <c r="L2" s="193" t="s">
        <v>458</v>
      </c>
      <c r="M2" s="313">
        <f>'Utah Allocation'!D18</f>
        <v>0.96738135290446114</v>
      </c>
      <c r="N2" s="313">
        <f>'Utah Allocation'!E18</f>
        <v>3.2618647095538737E-2</v>
      </c>
      <c r="O2" s="136"/>
      <c r="P2" s="1420"/>
      <c r="Q2" s="1420"/>
      <c r="R2" s="1420"/>
      <c r="S2" s="1420"/>
      <c r="T2" s="1420"/>
      <c r="U2" s="1420"/>
      <c r="V2" s="140"/>
      <c r="W2" s="119"/>
      <c r="X2" s="156"/>
    </row>
    <row r="3" spans="1:31">
      <c r="A3" s="912" t="str">
        <f>'Control Panel'!$B$3</f>
        <v>12 Months Ended : Dec-2017</v>
      </c>
      <c r="E3" s="9"/>
      <c r="F3" s="9"/>
      <c r="K3" s="216" t="s">
        <v>733</v>
      </c>
      <c r="L3" s="193" t="s">
        <v>730</v>
      </c>
      <c r="M3" s="313">
        <f>'Utah Allocation'!D35</f>
        <v>0.96705590047315237</v>
      </c>
      <c r="N3" s="313">
        <f>'Utah Allocation'!E35</f>
        <v>3.2944099526847598E-2</v>
      </c>
      <c r="O3" s="137"/>
      <c r="P3" s="1421"/>
      <c r="Q3" s="1420"/>
      <c r="R3" s="1420"/>
      <c r="S3" s="1420"/>
      <c r="T3" s="1420"/>
      <c r="U3" s="1420"/>
      <c r="V3" s="140"/>
      <c r="W3" s="119"/>
      <c r="X3" s="218"/>
    </row>
    <row r="4" spans="1:31">
      <c r="A4" s="256"/>
      <c r="B4" s="204"/>
      <c r="C4" s="204"/>
      <c r="D4" s="204"/>
      <c r="E4" s="573"/>
      <c r="F4" s="573"/>
      <c r="K4" s="216" t="s">
        <v>734</v>
      </c>
      <c r="L4" s="193" t="s">
        <v>679</v>
      </c>
      <c r="M4" s="313">
        <f>'Utah Allocation'!D46</f>
        <v>0.96479957693357843</v>
      </c>
      <c r="N4" s="313">
        <f>'Utah Allocation'!E46</f>
        <v>3.5200423066421481E-2</v>
      </c>
      <c r="O4" s="137"/>
      <c r="P4" s="1421"/>
      <c r="Q4" s="1420"/>
      <c r="R4" s="1420"/>
      <c r="S4" s="1420"/>
      <c r="T4" s="1420"/>
      <c r="U4" s="1420"/>
      <c r="V4" s="219"/>
      <c r="W4" s="922"/>
      <c r="X4" s="156"/>
    </row>
    <row r="5" spans="1:31" ht="12.75" customHeight="1">
      <c r="A5" s="321"/>
      <c r="B5" s="17"/>
      <c r="C5" s="17"/>
      <c r="D5" s="17"/>
      <c r="E5" s="573"/>
      <c r="F5" s="573"/>
      <c r="K5" s="216" t="s">
        <v>735</v>
      </c>
      <c r="L5" s="193" t="s">
        <v>13</v>
      </c>
      <c r="M5" s="217">
        <v>1</v>
      </c>
      <c r="N5" s="217">
        <v>0</v>
      </c>
      <c r="O5" s="137"/>
      <c r="P5" s="1422" t="s">
        <v>737</v>
      </c>
      <c r="Q5" s="1422"/>
      <c r="R5" s="1422"/>
      <c r="S5" s="1422"/>
      <c r="T5" s="1422"/>
      <c r="U5" s="1422"/>
      <c r="V5" s="140"/>
      <c r="W5" s="9"/>
      <c r="X5" s="156"/>
    </row>
    <row r="6" spans="1:31" ht="13.5" customHeight="1" thickBot="1">
      <c r="A6" s="17"/>
      <c r="B6" s="17"/>
      <c r="C6" s="17"/>
      <c r="D6" s="17"/>
      <c r="E6" s="55"/>
      <c r="F6" s="55"/>
      <c r="K6" s="220" t="s">
        <v>736</v>
      </c>
      <c r="L6" s="221" t="s">
        <v>24</v>
      </c>
      <c r="M6" s="222">
        <v>0</v>
      </c>
      <c r="N6" s="222">
        <v>1</v>
      </c>
      <c r="O6" s="136"/>
      <c r="P6" s="1420"/>
      <c r="Q6" s="1420"/>
      <c r="R6" s="1420"/>
      <c r="S6" s="52"/>
      <c r="T6" s="52"/>
      <c r="U6" s="52"/>
      <c r="V6" s="140"/>
      <c r="W6" s="52"/>
      <c r="X6" s="156"/>
    </row>
    <row r="7" spans="1:31" ht="11.25" customHeight="1">
      <c r="A7" s="130"/>
      <c r="B7" s="58"/>
      <c r="C7" s="58"/>
      <c r="D7" s="58"/>
      <c r="E7" s="8"/>
      <c r="F7" s="8" t="s">
        <v>826</v>
      </c>
      <c r="G7" s="922" t="s">
        <v>89</v>
      </c>
      <c r="H7" s="8" t="s">
        <v>39</v>
      </c>
      <c r="I7" s="8" t="s">
        <v>42</v>
      </c>
      <c r="J7"/>
      <c r="K7"/>
      <c r="L7"/>
      <c r="M7" s="177"/>
      <c r="N7" s="177"/>
      <c r="O7" s="138"/>
      <c r="P7" s="52"/>
      <c r="Q7" s="1420" t="s">
        <v>13</v>
      </c>
      <c r="R7" s="1420"/>
      <c r="S7" s="52"/>
      <c r="T7" s="1420" t="s">
        <v>24</v>
      </c>
      <c r="U7" s="1420"/>
      <c r="V7" s="140"/>
      <c r="W7" s="917" t="s">
        <v>756</v>
      </c>
      <c r="X7" s="156"/>
    </row>
    <row r="8" spans="1:31">
      <c r="A8" s="1418" t="s">
        <v>702</v>
      </c>
      <c r="B8" s="1418"/>
      <c r="C8" s="58"/>
      <c r="D8" s="58"/>
      <c r="E8" s="919"/>
      <c r="F8" s="919" t="s">
        <v>827</v>
      </c>
      <c r="G8" s="919" t="s">
        <v>38</v>
      </c>
      <c r="H8" s="919" t="s">
        <v>40</v>
      </c>
      <c r="I8" s="919" t="s">
        <v>43</v>
      </c>
      <c r="J8"/>
      <c r="K8"/>
      <c r="L8"/>
      <c r="M8" s="177"/>
      <c r="N8" s="177"/>
      <c r="O8" s="139"/>
      <c r="P8" s="1421" t="s">
        <v>741</v>
      </c>
      <c r="Q8" s="1420"/>
      <c r="R8" s="1420"/>
      <c r="S8" s="1420" t="s">
        <v>738</v>
      </c>
      <c r="T8" s="1420"/>
      <c r="U8" s="1420"/>
      <c r="V8" s="140"/>
      <c r="W8" s="922" t="s">
        <v>265</v>
      </c>
      <c r="X8" s="156"/>
    </row>
    <row r="9" spans="1:31" ht="13.5" thickBot="1">
      <c r="A9" s="1419" t="s">
        <v>7</v>
      </c>
      <c r="B9" s="1419"/>
      <c r="C9" s="1415" t="s">
        <v>829</v>
      </c>
      <c r="D9" s="1415"/>
      <c r="E9" s="224"/>
      <c r="F9" s="224">
        <f>+'Control Panel'!F12</f>
        <v>43100</v>
      </c>
      <c r="G9" s="914" t="s">
        <v>160</v>
      </c>
      <c r="H9" s="914" t="s">
        <v>41</v>
      </c>
      <c r="I9" s="914" t="s">
        <v>160</v>
      </c>
      <c r="J9" s="914"/>
      <c r="K9" s="916"/>
      <c r="L9" s="916" t="s">
        <v>748</v>
      </c>
      <c r="M9" s="916" t="s">
        <v>13</v>
      </c>
      <c r="N9" s="916" t="s">
        <v>24</v>
      </c>
      <c r="O9" s="139"/>
      <c r="P9" s="916"/>
      <c r="Q9" s="916" t="s">
        <v>584</v>
      </c>
      <c r="R9" s="916" t="s">
        <v>548</v>
      </c>
      <c r="S9" s="916"/>
      <c r="T9" s="916" t="s">
        <v>584</v>
      </c>
      <c r="U9" s="916" t="s">
        <v>548</v>
      </c>
      <c r="V9" s="574"/>
      <c r="W9" s="916" t="str">
        <f>+'Control Panel'!F11</f>
        <v>Utah</v>
      </c>
      <c r="X9" s="156"/>
      <c r="Y9" s="84"/>
      <c r="AA9" s="77">
        <v>2015</v>
      </c>
    </row>
    <row r="10" spans="1:31">
      <c r="A10" s="153"/>
      <c r="B10" s="49"/>
      <c r="C10" s="49"/>
      <c r="D10" s="49"/>
      <c r="E10" s="9"/>
      <c r="F10" s="9"/>
      <c r="G10" s="9"/>
      <c r="H10" s="9"/>
      <c r="I10" s="9"/>
      <c r="J10" s="9"/>
      <c r="K10" s="9"/>
      <c r="L10" s="49"/>
      <c r="M10" s="49"/>
      <c r="N10" s="49"/>
      <c r="O10" s="136"/>
      <c r="P10" s="52"/>
      <c r="Q10" s="216" t="s">
        <v>13</v>
      </c>
      <c r="R10" s="52"/>
      <c r="S10" s="216"/>
      <c r="T10" s="513" t="s">
        <v>24</v>
      </c>
      <c r="U10" s="52"/>
      <c r="V10" s="140"/>
      <c r="W10" s="52"/>
      <c r="X10" s="156"/>
      <c r="Y10" s="918">
        <v>1</v>
      </c>
    </row>
    <row r="11" spans="1:31">
      <c r="A11" s="1418" t="s">
        <v>830</v>
      </c>
      <c r="B11" s="1418"/>
      <c r="C11" s="1418"/>
      <c r="D11" s="1418"/>
      <c r="E11" s="55"/>
      <c r="F11" s="55"/>
      <c r="G11" s="55"/>
      <c r="H11" s="55"/>
      <c r="I11" s="55"/>
      <c r="J11" s="55"/>
      <c r="K11" s="9"/>
      <c r="L11" s="9"/>
      <c r="M11" s="9"/>
      <c r="N11" s="9"/>
      <c r="O11" s="136"/>
      <c r="P11" s="142"/>
      <c r="Q11" s="9"/>
      <c r="R11" s="9"/>
      <c r="S11" s="142"/>
      <c r="T11" s="9"/>
      <c r="U11" s="9"/>
      <c r="V11" s="140"/>
      <c r="W11" s="9"/>
      <c r="X11" s="156"/>
      <c r="Y11" s="918">
        <f>Y10+1</f>
        <v>2</v>
      </c>
    </row>
    <row r="12" spans="1:31">
      <c r="E12" s="55"/>
      <c r="F12" s="55"/>
      <c r="G12" s="55"/>
      <c r="H12" s="55"/>
      <c r="I12" s="55"/>
      <c r="J12" s="55"/>
      <c r="K12" s="9"/>
      <c r="L12" s="9"/>
      <c r="M12" s="9"/>
      <c r="N12" s="9"/>
      <c r="O12" s="136"/>
      <c r="P12" s="142"/>
      <c r="Q12" s="9"/>
      <c r="R12" s="9"/>
      <c r="S12" s="142"/>
      <c r="T12" s="9"/>
      <c r="U12" s="9"/>
      <c r="V12" s="140"/>
      <c r="W12" s="9"/>
      <c r="X12" s="156"/>
      <c r="Y12" s="918">
        <f t="shared" ref="Y12:Y75" si="0">Y11+1</f>
        <v>3</v>
      </c>
    </row>
    <row r="13" spans="1:31">
      <c r="A13" s="225" t="s">
        <v>12</v>
      </c>
      <c r="B13" s="225"/>
      <c r="C13" s="225"/>
      <c r="D13" s="225"/>
      <c r="E13" s="55"/>
      <c r="F13" s="55"/>
      <c r="G13" s="9"/>
      <c r="H13" s="9"/>
      <c r="I13" s="9"/>
      <c r="J13" s="9"/>
      <c r="K13" s="9"/>
      <c r="L13" s="9"/>
      <c r="M13" s="9"/>
      <c r="N13" s="9"/>
      <c r="O13" s="136"/>
      <c r="P13" s="142"/>
      <c r="Q13" s="9"/>
      <c r="R13" s="9"/>
      <c r="S13" s="142"/>
      <c r="T13" s="9"/>
      <c r="U13" s="9"/>
      <c r="V13" s="140"/>
      <c r="W13" s="9"/>
      <c r="X13" s="156"/>
      <c r="Y13" s="918">
        <f t="shared" si="0"/>
        <v>4</v>
      </c>
    </row>
    <row r="14" spans="1:31">
      <c r="A14" s="225"/>
      <c r="B14" s="225"/>
      <c r="C14" s="225"/>
      <c r="D14" s="225"/>
      <c r="E14" s="55"/>
      <c r="F14" s="55"/>
      <c r="G14" s="9"/>
      <c r="H14" s="9"/>
      <c r="I14" s="9"/>
      <c r="J14" s="9"/>
      <c r="K14" s="9"/>
      <c r="L14" s="9"/>
      <c r="M14" s="9"/>
      <c r="N14" s="9"/>
      <c r="O14" s="136"/>
      <c r="P14" s="142"/>
      <c r="Q14" s="9"/>
      <c r="R14" s="9"/>
      <c r="S14" s="142"/>
      <c r="T14" s="9"/>
      <c r="U14" s="9"/>
      <c r="V14" s="140"/>
      <c r="W14" s="9"/>
      <c r="X14" s="156"/>
      <c r="Y14" s="918">
        <f t="shared" si="0"/>
        <v>5</v>
      </c>
    </row>
    <row r="15" spans="1:31">
      <c r="A15" s="130" t="s">
        <v>13</v>
      </c>
      <c r="B15" s="16"/>
      <c r="C15" s="17"/>
      <c r="D15" s="49"/>
      <c r="E15" s="9"/>
      <c r="F15" s="9"/>
      <c r="G15" s="9"/>
      <c r="H15" s="9"/>
      <c r="I15" s="9"/>
      <c r="J15" s="9"/>
      <c r="K15" s="9"/>
      <c r="L15" s="9"/>
      <c r="M15" s="9"/>
      <c r="N15" s="9"/>
      <c r="O15" s="136"/>
      <c r="P15" s="142"/>
      <c r="Q15" s="9"/>
      <c r="R15" s="9"/>
      <c r="S15" s="142"/>
      <c r="T15" s="9"/>
      <c r="U15" s="9"/>
      <c r="V15" s="140"/>
      <c r="W15" s="9"/>
      <c r="X15" s="156"/>
      <c r="Y15" s="918">
        <f t="shared" si="0"/>
        <v>6</v>
      </c>
    </row>
    <row r="16" spans="1:31">
      <c r="A16" s="153"/>
      <c r="B16" s="365" t="s">
        <v>86</v>
      </c>
      <c r="C16" s="365" t="s">
        <v>15</v>
      </c>
      <c r="D16" s="49"/>
      <c r="E16" s="9">
        <f>+G16-Adjustments!G16</f>
        <v>0</v>
      </c>
      <c r="F16" s="9">
        <f>Revenue!$F$15</f>
        <v>316199223</v>
      </c>
      <c r="G16" s="9">
        <f>+Adjustments!U16</f>
        <v>0</v>
      </c>
      <c r="H16" s="9"/>
      <c r="I16" s="9">
        <f>SUM($F$16:$H$16)</f>
        <v>316199223</v>
      </c>
      <c r="J16" s="9">
        <f>+I16-'ROR-Model'!I16</f>
        <v>0</v>
      </c>
      <c r="K16" s="9"/>
      <c r="L16" s="9" t="s">
        <v>13</v>
      </c>
      <c r="M16" s="9">
        <f>VLOOKUP($L16,$L$2:$N$7,2,FALSE)*I16</f>
        <v>316199223</v>
      </c>
      <c r="N16" s="9">
        <f>VLOOKUP($L16,$L$2:$N$7,3,FALSE)*I16</f>
        <v>0</v>
      </c>
      <c r="O16" s="136">
        <f>SUM(M16:N16)-I16</f>
        <v>0</v>
      </c>
      <c r="P16" s="142" t="s">
        <v>549</v>
      </c>
      <c r="Q16" s="9">
        <f>IF(P16="G",M16,IF(P16="PT",0,ERR))</f>
        <v>316199223</v>
      </c>
      <c r="R16" s="9">
        <f>IF(P16="PT",M16,IF(P16="G",0,ERR))</f>
        <v>0</v>
      </c>
      <c r="S16" s="142" t="s">
        <v>549</v>
      </c>
      <c r="T16" s="9">
        <f>IF(S16="G",N16,IF(S16="PT",0,ERR))</f>
        <v>0</v>
      </c>
      <c r="U16" s="9">
        <f>IF(S16="PT",N16,IF(S16="G",0,ERR))</f>
        <v>0</v>
      </c>
      <c r="V16" s="140"/>
      <c r="W16" s="9">
        <f>HLOOKUP($W$9,'ROR-Model'!$Q$10:$U$1263,Y16)</f>
        <v>316199223</v>
      </c>
      <c r="X16" s="156"/>
      <c r="Y16" s="918">
        <f t="shared" si="0"/>
        <v>7</v>
      </c>
      <c r="AA16" s="9">
        <v>0</v>
      </c>
      <c r="AC16" s="9" t="str">
        <f>IF(ABS(AA16)&gt;0,W16-AA16,"")</f>
        <v/>
      </c>
      <c r="AE16" s="44" t="str">
        <f>IF(ABS(AA16)&gt;0,AC16/AA16,"")</f>
        <v/>
      </c>
    </row>
    <row r="17" spans="1:31">
      <c r="A17" s="153"/>
      <c r="B17" s="365"/>
      <c r="C17" s="365"/>
      <c r="D17" s="49"/>
      <c r="E17" s="9">
        <f>+G17-Adjustments!G17</f>
        <v>0</v>
      </c>
      <c r="F17" s="9"/>
      <c r="G17" s="9"/>
      <c r="H17" s="9"/>
      <c r="I17" s="9"/>
      <c r="J17" s="9">
        <f>+I17-'ROR-Model'!I17</f>
        <v>0</v>
      </c>
      <c r="K17" s="9"/>
      <c r="L17" s="9"/>
      <c r="M17" s="9"/>
      <c r="N17" s="9"/>
      <c r="O17" s="136"/>
      <c r="P17" s="142"/>
      <c r="Q17" s="9"/>
      <c r="R17" s="9"/>
      <c r="S17" s="142"/>
      <c r="T17" s="9"/>
      <c r="U17" s="9"/>
      <c r="V17" s="140"/>
      <c r="W17" s="9"/>
      <c r="X17" s="156"/>
      <c r="Y17" s="918">
        <f t="shared" si="0"/>
        <v>8</v>
      </c>
      <c r="AA17" s="9"/>
      <c r="AC17" s="9" t="str">
        <f t="shared" ref="AC17:AC80" si="1">IF(ABS(AA17)&gt;0,W17-AA17,"")</f>
        <v/>
      </c>
      <c r="AE17" s="44" t="str">
        <f>IF(ABS(AA17)&gt;0,AC17/AA17,"")</f>
        <v/>
      </c>
    </row>
    <row r="18" spans="1:31">
      <c r="A18" s="153"/>
      <c r="B18" s="365"/>
      <c r="C18" s="365" t="s">
        <v>16</v>
      </c>
      <c r="D18" s="49"/>
      <c r="E18" s="9">
        <f>+G18-Adjustments!G18</f>
        <v>0</v>
      </c>
      <c r="F18" s="9">
        <f>Revenue!$F$17</f>
        <v>100235379</v>
      </c>
      <c r="G18" s="9">
        <f>+Adjustments!U18</f>
        <v>0</v>
      </c>
      <c r="H18" s="9"/>
      <c r="I18" s="9">
        <f>SUM($F$18:$H$18)</f>
        <v>100235379</v>
      </c>
      <c r="J18" s="9">
        <f>+I18-'ROR-Model'!I18</f>
        <v>0</v>
      </c>
      <c r="K18" s="9"/>
      <c r="L18" s="9" t="s">
        <v>13</v>
      </c>
      <c r="M18" s="9">
        <f>VLOOKUP($L18,$L$2:$N$7,2,FALSE)*I18</f>
        <v>100235379</v>
      </c>
      <c r="N18" s="9">
        <f>VLOOKUP($L18,$L$2:$N$7,3,FALSE)*I18</f>
        <v>0</v>
      </c>
      <c r="O18" s="136"/>
      <c r="P18" s="142" t="s">
        <v>548</v>
      </c>
      <c r="Q18" s="9">
        <f>IF(P18="G",M18,IF(P18="PT",0,ERR))</f>
        <v>0</v>
      </c>
      <c r="R18" s="9">
        <f>IF(P18="PT",M18,IF(P18="G",0,ERR))</f>
        <v>100235379</v>
      </c>
      <c r="S18" s="142" t="s">
        <v>548</v>
      </c>
      <c r="T18" s="9">
        <f>IF(S18="G",N18,IF(S18="PT",0,ERR))</f>
        <v>0</v>
      </c>
      <c r="U18" s="9">
        <f>IF(S18="PT",N18,IF(S18="G",0,ERR))</f>
        <v>0</v>
      </c>
      <c r="V18" s="140"/>
      <c r="W18" s="9">
        <f>HLOOKUP($W$9,'ROR-Model'!$Q$10:$U$1263,Y18)</f>
        <v>0</v>
      </c>
      <c r="X18" s="156"/>
      <c r="Y18" s="918">
        <f t="shared" si="0"/>
        <v>9</v>
      </c>
      <c r="AA18" s="9">
        <v>0</v>
      </c>
      <c r="AC18" s="9" t="str">
        <f t="shared" si="1"/>
        <v/>
      </c>
      <c r="AE18" s="44" t="str">
        <f t="shared" ref="AE18:AE81" si="2">IF(ABS(AA18)&gt;0,AC18/AA18,"")</f>
        <v/>
      </c>
    </row>
    <row r="19" spans="1:31">
      <c r="A19" s="153"/>
      <c r="B19" s="365"/>
      <c r="C19" s="365"/>
      <c r="D19" s="49"/>
      <c r="E19" s="9">
        <f>+G19-Adjustments!G19</f>
        <v>0</v>
      </c>
      <c r="F19" s="9"/>
      <c r="G19" s="9"/>
      <c r="H19" s="9"/>
      <c r="I19" s="9"/>
      <c r="J19" s="9">
        <f>+I19-'ROR-Model'!I19</f>
        <v>0</v>
      </c>
      <c r="K19" s="9"/>
      <c r="L19" s="9"/>
      <c r="M19" s="9"/>
      <c r="N19" s="9"/>
      <c r="O19" s="136"/>
      <c r="P19" s="142"/>
      <c r="Q19" s="9"/>
      <c r="R19" s="9"/>
      <c r="S19" s="142"/>
      <c r="T19" s="9"/>
      <c r="U19" s="9"/>
      <c r="V19" s="140"/>
      <c r="W19" s="9"/>
      <c r="X19" s="156"/>
      <c r="Y19" s="918">
        <f t="shared" si="0"/>
        <v>10</v>
      </c>
      <c r="AA19" s="9"/>
      <c r="AC19" s="9" t="str">
        <f t="shared" si="1"/>
        <v/>
      </c>
      <c r="AE19" s="44" t="str">
        <f t="shared" si="2"/>
        <v/>
      </c>
    </row>
    <row r="20" spans="1:31">
      <c r="A20" s="153"/>
      <c r="B20" s="365"/>
      <c r="C20" s="365" t="s">
        <v>17</v>
      </c>
      <c r="D20" s="49"/>
      <c r="E20" s="9">
        <f>+G20-Adjustments!G20</f>
        <v>0</v>
      </c>
      <c r="F20" s="9">
        <f>Revenue!$F$19</f>
        <v>393060780</v>
      </c>
      <c r="G20" s="9">
        <f>+Adjustments!U20</f>
        <v>0</v>
      </c>
      <c r="H20" s="9"/>
      <c r="I20" s="9">
        <f>SUM($F$20:$H$20)</f>
        <v>393060780</v>
      </c>
      <c r="J20" s="9">
        <f>+I20-'ROR-Model'!I20</f>
        <v>0</v>
      </c>
      <c r="K20" s="9"/>
      <c r="L20" s="9" t="s">
        <v>13</v>
      </c>
      <c r="M20" s="9">
        <f>VLOOKUP($L20,$L$2:$N$7,2,FALSE)*I20</f>
        <v>393060780</v>
      </c>
      <c r="N20" s="9">
        <f>VLOOKUP($L20,$L$2:$N$7,3,FALSE)*I20</f>
        <v>0</v>
      </c>
      <c r="O20" s="136"/>
      <c r="P20" s="142" t="s">
        <v>548</v>
      </c>
      <c r="Q20" s="9">
        <f>IF(P20="G",M20,IF(P20="PT",0,ERR))</f>
        <v>0</v>
      </c>
      <c r="R20" s="9">
        <f>IF(P20="PT",M20,IF(P20="G",0,ERR))</f>
        <v>393060780</v>
      </c>
      <c r="S20" s="142" t="s">
        <v>548</v>
      </c>
      <c r="T20" s="9">
        <f>IF(S20="G",N20,IF(S20="PT",0,ERR))</f>
        <v>0</v>
      </c>
      <c r="U20" s="9">
        <f>IF(S20="PT",N20,IF(S20="G",0,ERR))</f>
        <v>0</v>
      </c>
      <c r="V20" s="140"/>
      <c r="W20" s="9">
        <f>HLOOKUP($W$9,'ROR-Model'!$Q$10:$U$1263,Y20)</f>
        <v>0</v>
      </c>
      <c r="X20" s="156"/>
      <c r="Y20" s="918">
        <f t="shared" si="0"/>
        <v>11</v>
      </c>
      <c r="AA20" s="9">
        <v>0</v>
      </c>
      <c r="AC20" s="9" t="str">
        <f t="shared" si="1"/>
        <v/>
      </c>
      <c r="AE20" s="44" t="str">
        <f t="shared" si="2"/>
        <v/>
      </c>
    </row>
    <row r="21" spans="1:31">
      <c r="A21" s="153"/>
      <c r="B21" s="365"/>
      <c r="C21" s="365" t="s">
        <v>18</v>
      </c>
      <c r="D21" s="49"/>
      <c r="E21" s="157">
        <f>+G21-Adjustments!G21</f>
        <v>0</v>
      </c>
      <c r="F21" s="157">
        <f>SUM(F16:F20)</f>
        <v>809495382</v>
      </c>
      <c r="G21" s="157">
        <f>SUM(G16:G20)</f>
        <v>0</v>
      </c>
      <c r="H21" s="157">
        <f>SUM(H16:H20)</f>
        <v>0</v>
      </c>
      <c r="I21" s="157">
        <f>SUM(I16:I20)</f>
        <v>809495382</v>
      </c>
      <c r="J21" s="9">
        <f>+I21-'ROR-Model'!I21</f>
        <v>0</v>
      </c>
      <c r="K21" s="9"/>
      <c r="L21" s="157"/>
      <c r="M21" s="157">
        <f>SUM(M16:M20)</f>
        <v>809495382</v>
      </c>
      <c r="N21" s="157">
        <f>SUM(N16:N20)</f>
        <v>0</v>
      </c>
      <c r="O21" s="136"/>
      <c r="P21" s="226"/>
      <c r="Q21" s="157">
        <f>SUM(Q16:Q20)</f>
        <v>316199223</v>
      </c>
      <c r="R21" s="157">
        <f>SUM(R16:R20)</f>
        <v>493296159</v>
      </c>
      <c r="S21" s="226"/>
      <c r="T21" s="157">
        <f>SUM(T16:T20)</f>
        <v>0</v>
      </c>
      <c r="U21" s="157">
        <f>SUM(U16:U20)</f>
        <v>0</v>
      </c>
      <c r="V21" s="140"/>
      <c r="W21" s="157">
        <f>HLOOKUP($W$9,'ROR-Model'!$Q$10:$U$1263,Y21)</f>
        <v>316199223</v>
      </c>
      <c r="X21" s="156"/>
      <c r="Y21" s="918">
        <f t="shared" si="0"/>
        <v>12</v>
      </c>
      <c r="AA21" s="157">
        <v>0</v>
      </c>
      <c r="AC21" s="157" t="str">
        <f t="shared" si="1"/>
        <v/>
      </c>
      <c r="AE21" s="44" t="str">
        <f t="shared" si="2"/>
        <v/>
      </c>
    </row>
    <row r="22" spans="1:31">
      <c r="A22" s="153"/>
      <c r="B22" s="365"/>
      <c r="C22" s="365"/>
      <c r="D22" s="49"/>
      <c r="E22" s="9">
        <f>+G22-Adjustments!G22</f>
        <v>0</v>
      </c>
      <c r="F22" s="9"/>
      <c r="G22" s="9"/>
      <c r="H22" s="9"/>
      <c r="I22" s="9"/>
      <c r="J22" s="9">
        <f>+I22-'ROR-Model'!I22</f>
        <v>0</v>
      </c>
      <c r="K22" s="9"/>
      <c r="L22" s="9"/>
      <c r="M22" s="9"/>
      <c r="N22" s="9"/>
      <c r="O22" s="136"/>
      <c r="P22" s="142"/>
      <c r="Q22" s="9"/>
      <c r="R22" s="9"/>
      <c r="S22" s="142"/>
      <c r="T22" s="9"/>
      <c r="U22" s="9"/>
      <c r="V22" s="140"/>
      <c r="W22" s="9"/>
      <c r="X22" s="156"/>
      <c r="Y22" s="918">
        <f t="shared" si="0"/>
        <v>13</v>
      </c>
      <c r="AA22" s="9"/>
      <c r="AC22" s="9" t="str">
        <f t="shared" si="1"/>
        <v/>
      </c>
      <c r="AE22" s="44" t="str">
        <f t="shared" si="2"/>
        <v/>
      </c>
    </row>
    <row r="23" spans="1:31">
      <c r="A23" s="153"/>
      <c r="B23" s="365"/>
      <c r="C23" s="365" t="s">
        <v>19</v>
      </c>
      <c r="D23" s="49"/>
      <c r="E23" s="9">
        <f>+G23-Adjustments!G23</f>
        <v>0</v>
      </c>
      <c r="F23" s="9">
        <f>Revenue!$F$22</f>
        <v>97193727</v>
      </c>
      <c r="G23" s="9">
        <f>+Adjustments!U23</f>
        <v>0</v>
      </c>
      <c r="H23" s="9"/>
      <c r="I23" s="645">
        <f>SUM($F$23:$H$23)</f>
        <v>97193727</v>
      </c>
      <c r="J23" s="9">
        <f>+I23-'ROR-Model'!I23</f>
        <v>0</v>
      </c>
      <c r="K23" s="9"/>
      <c r="L23" s="9" t="s">
        <v>13</v>
      </c>
      <c r="M23" s="9">
        <f>VLOOKUP($L23,$L$2:$N$7,2,FALSE)*I23</f>
        <v>97193727</v>
      </c>
      <c r="N23" s="9">
        <f>VLOOKUP($L23,$L$2:$N$7,3,FALSE)*I23</f>
        <v>0</v>
      </c>
      <c r="O23" s="136"/>
      <c r="P23" s="142" t="s">
        <v>549</v>
      </c>
      <c r="Q23" s="9">
        <f>IF(P23="G",M23,IF(P23="PT",0,ERR))</f>
        <v>97193727</v>
      </c>
      <c r="R23" s="9">
        <f>IF(P23="PT",M23,IF(P23="G",0,ERR))</f>
        <v>0</v>
      </c>
      <c r="S23" s="142" t="s">
        <v>549</v>
      </c>
      <c r="T23" s="9">
        <f>IF(S23="G",N23,IF(S23="PT",0,ERR))</f>
        <v>0</v>
      </c>
      <c r="U23" s="9">
        <f>IF(S23="PT",N23,IF(S23="G",0,ERR))</f>
        <v>0</v>
      </c>
      <c r="V23" s="140"/>
      <c r="W23" s="9">
        <f>HLOOKUP($W$9,'ROR-Model'!$Q$10:$U$1263,Y23)</f>
        <v>97193727</v>
      </c>
      <c r="X23" s="156"/>
      <c r="Y23" s="918">
        <f t="shared" si="0"/>
        <v>14</v>
      </c>
      <c r="AA23" s="9">
        <v>0</v>
      </c>
      <c r="AC23" s="9" t="str">
        <f t="shared" si="1"/>
        <v/>
      </c>
      <c r="AE23" s="44" t="str">
        <f t="shared" si="2"/>
        <v/>
      </c>
    </row>
    <row r="24" spans="1:31">
      <c r="A24" s="153"/>
      <c r="B24" s="365"/>
      <c r="C24" s="365"/>
      <c r="D24" s="49"/>
      <c r="E24" s="9">
        <f>+G24-Adjustments!G24</f>
        <v>0</v>
      </c>
      <c r="F24" s="9"/>
      <c r="G24" s="9"/>
      <c r="H24" s="9"/>
      <c r="I24" s="9"/>
      <c r="J24" s="9">
        <f>+I24-'ROR-Model'!I24</f>
        <v>0</v>
      </c>
      <c r="K24" s="9"/>
      <c r="L24" s="9"/>
      <c r="M24" s="9"/>
      <c r="N24" s="9"/>
      <c r="O24" s="136"/>
      <c r="P24" s="142"/>
      <c r="Q24" s="9"/>
      <c r="R24" s="9"/>
      <c r="S24" s="142"/>
      <c r="T24" s="9"/>
      <c r="U24" s="9"/>
      <c r="V24" s="140"/>
      <c r="W24" s="9"/>
      <c r="X24" s="156"/>
      <c r="Y24" s="918">
        <f t="shared" si="0"/>
        <v>15</v>
      </c>
      <c r="AA24" s="9"/>
      <c r="AC24" s="9" t="str">
        <f t="shared" si="1"/>
        <v/>
      </c>
      <c r="AE24" s="44" t="str">
        <f t="shared" si="2"/>
        <v/>
      </c>
    </row>
    <row r="25" spans="1:31">
      <c r="A25" s="153"/>
      <c r="B25" s="365" t="s">
        <v>87</v>
      </c>
      <c r="C25" s="365" t="s">
        <v>15</v>
      </c>
      <c r="D25" s="49"/>
      <c r="E25" s="9">
        <f>+G25-Adjustments!G25</f>
        <v>0</v>
      </c>
      <c r="F25" s="9">
        <f>Revenue!$F$24</f>
        <v>0</v>
      </c>
      <c r="G25" s="9">
        <f>+Adjustments!U25</f>
        <v>0</v>
      </c>
      <c r="H25" s="9"/>
      <c r="I25" s="9">
        <f>SUM($F$25:$H$25)</f>
        <v>0</v>
      </c>
      <c r="J25" s="9">
        <f>+I25-'ROR-Model'!I25</f>
        <v>0</v>
      </c>
      <c r="K25" s="9"/>
      <c r="L25" s="9" t="s">
        <v>13</v>
      </c>
      <c r="M25" s="9">
        <f>VLOOKUP($L25,$L$2:$N$7,2,FALSE)*I25</f>
        <v>0</v>
      </c>
      <c r="N25" s="9">
        <f>VLOOKUP($L25,$L$2:$N$7,3,FALSE)*I25</f>
        <v>0</v>
      </c>
      <c r="O25" s="136"/>
      <c r="P25" s="142" t="s">
        <v>549</v>
      </c>
      <c r="Q25" s="9">
        <f>IF(P25="G",M25,IF(P25="PT",0,ERR))</f>
        <v>0</v>
      </c>
      <c r="R25" s="9">
        <f>IF(P25="PT",M25,IF(P25="G",0,ERR))</f>
        <v>0</v>
      </c>
      <c r="S25" s="142" t="s">
        <v>549</v>
      </c>
      <c r="T25" s="9">
        <f>IF(S25="G",N25,IF(S25="PT",0,ERR))</f>
        <v>0</v>
      </c>
      <c r="U25" s="9">
        <f>IF(S25="PT",N25,IF(S25="G",0,ERR))</f>
        <v>0</v>
      </c>
      <c r="V25" s="140"/>
      <c r="W25" s="9">
        <f>HLOOKUP($W$9,'ROR-Model'!$Q$10:$U$1263,Y25)</f>
        <v>0</v>
      </c>
      <c r="X25" s="156"/>
      <c r="Y25" s="918">
        <f t="shared" si="0"/>
        <v>16</v>
      </c>
      <c r="AA25" s="9">
        <v>0</v>
      </c>
      <c r="AC25" s="9" t="str">
        <f t="shared" si="1"/>
        <v/>
      </c>
      <c r="AE25" s="44" t="str">
        <f t="shared" si="2"/>
        <v/>
      </c>
    </row>
    <row r="26" spans="1:31">
      <c r="A26" s="153"/>
      <c r="B26" s="365"/>
      <c r="C26" s="365"/>
      <c r="D26" s="49"/>
      <c r="E26" s="9">
        <f>+G26-Adjustments!G26</f>
        <v>0</v>
      </c>
      <c r="F26" s="9"/>
      <c r="G26" s="9"/>
      <c r="H26" s="9"/>
      <c r="I26" s="9"/>
      <c r="J26" s="9">
        <f>+I26-'ROR-Model'!I26</f>
        <v>0</v>
      </c>
      <c r="K26" s="9"/>
      <c r="L26" s="9"/>
      <c r="M26" s="9"/>
      <c r="N26" s="9"/>
      <c r="O26" s="136"/>
      <c r="P26" s="142"/>
      <c r="Q26" s="9"/>
      <c r="R26" s="9"/>
      <c r="S26" s="142"/>
      <c r="T26" s="9"/>
      <c r="U26" s="9"/>
      <c r="V26" s="140"/>
      <c r="W26" s="9"/>
      <c r="X26" s="156"/>
      <c r="Y26" s="918">
        <f t="shared" si="0"/>
        <v>17</v>
      </c>
      <c r="AA26" s="9"/>
      <c r="AC26" s="9" t="str">
        <f t="shared" si="1"/>
        <v/>
      </c>
      <c r="AE26" s="44" t="str">
        <f t="shared" si="2"/>
        <v/>
      </c>
    </row>
    <row r="27" spans="1:31">
      <c r="A27" s="153"/>
      <c r="B27" s="365"/>
      <c r="C27" s="365" t="s">
        <v>16</v>
      </c>
      <c r="D27" s="49"/>
      <c r="E27" s="9">
        <f>+G27-Adjustments!G27</f>
        <v>0</v>
      </c>
      <c r="F27" s="9">
        <f>Revenue!$F$26</f>
        <v>0</v>
      </c>
      <c r="G27" s="9">
        <f>+Adjustments!U27</f>
        <v>0</v>
      </c>
      <c r="H27" s="9"/>
      <c r="I27" s="9">
        <f>SUM($F$27:$H$27)</f>
        <v>0</v>
      </c>
      <c r="J27" s="9">
        <f>+I27-'ROR-Model'!I27</f>
        <v>0</v>
      </c>
      <c r="K27" s="9"/>
      <c r="L27" s="9" t="s">
        <v>13</v>
      </c>
      <c r="M27" s="9">
        <f>VLOOKUP($L27,$L$2:$N$7,2,FALSE)*I27</f>
        <v>0</v>
      </c>
      <c r="N27" s="9">
        <f>VLOOKUP($L27,$L$2:$N$7,3,FALSE)*I27</f>
        <v>0</v>
      </c>
      <c r="O27" s="136"/>
      <c r="P27" s="142" t="s">
        <v>548</v>
      </c>
      <c r="Q27" s="9">
        <f>IF(P27="G",M27,IF(P27="PT",0,ERR))</f>
        <v>0</v>
      </c>
      <c r="R27" s="9">
        <f>IF(P27="PT",M27,IF(P27="G",0,ERR))</f>
        <v>0</v>
      </c>
      <c r="S27" s="142" t="s">
        <v>548</v>
      </c>
      <c r="T27" s="9">
        <f>IF(S27="G",N27,IF(S27="PT",0,ERR))</f>
        <v>0</v>
      </c>
      <c r="U27" s="9">
        <f>IF(S27="PT",N27,IF(S27="G",0,ERR))</f>
        <v>0</v>
      </c>
      <c r="V27" s="140"/>
      <c r="W27" s="9">
        <f>HLOOKUP($W$9,'ROR-Model'!$Q$10:$U$1263,Y27)</f>
        <v>0</v>
      </c>
      <c r="X27" s="156"/>
      <c r="Y27" s="918">
        <f t="shared" si="0"/>
        <v>18</v>
      </c>
      <c r="AA27" s="9">
        <v>0</v>
      </c>
      <c r="AC27" s="9" t="str">
        <f t="shared" si="1"/>
        <v/>
      </c>
      <c r="AE27" s="44" t="str">
        <f t="shared" si="2"/>
        <v/>
      </c>
    </row>
    <row r="28" spans="1:31">
      <c r="A28" s="153"/>
      <c r="B28" s="365"/>
      <c r="C28" s="365"/>
      <c r="D28" s="49"/>
      <c r="E28" s="9">
        <f>+G28-Adjustments!G28</f>
        <v>0</v>
      </c>
      <c r="F28" s="9"/>
      <c r="G28" s="9"/>
      <c r="H28" s="9"/>
      <c r="I28" s="9"/>
      <c r="J28" s="9">
        <f>+I28-'ROR-Model'!I28</f>
        <v>0</v>
      </c>
      <c r="K28" s="9"/>
      <c r="L28" s="9"/>
      <c r="M28" s="9"/>
      <c r="N28" s="9"/>
      <c r="O28" s="136"/>
      <c r="P28" s="142"/>
      <c r="Q28" s="9"/>
      <c r="R28" s="9"/>
      <c r="S28" s="142"/>
      <c r="T28" s="9"/>
      <c r="U28" s="9"/>
      <c r="V28" s="140"/>
      <c r="W28" s="9"/>
      <c r="X28" s="156"/>
      <c r="Y28" s="918">
        <f t="shared" si="0"/>
        <v>19</v>
      </c>
      <c r="AA28" s="9"/>
      <c r="AC28" s="9" t="str">
        <f t="shared" si="1"/>
        <v/>
      </c>
      <c r="AE28" s="44" t="str">
        <f t="shared" si="2"/>
        <v/>
      </c>
    </row>
    <row r="29" spans="1:31">
      <c r="A29" s="153"/>
      <c r="B29" s="365"/>
      <c r="C29" s="365" t="s">
        <v>17</v>
      </c>
      <c r="D29" s="49"/>
      <c r="E29" s="9">
        <f>+G29-Adjustments!G29</f>
        <v>0</v>
      </c>
      <c r="F29" s="9">
        <f>Revenue!$F$28</f>
        <v>0</v>
      </c>
      <c r="G29" s="9">
        <f>+Adjustments!U29</f>
        <v>0</v>
      </c>
      <c r="H29" s="9"/>
      <c r="I29" s="9">
        <f>SUM($F$29:$H$29)</f>
        <v>0</v>
      </c>
      <c r="J29" s="9">
        <f>+I29-'ROR-Model'!I29</f>
        <v>0</v>
      </c>
      <c r="K29" s="9"/>
      <c r="L29" s="9" t="s">
        <v>13</v>
      </c>
      <c r="M29" s="9">
        <f>VLOOKUP($L29,$L$2:$N$7,2,FALSE)*I29</f>
        <v>0</v>
      </c>
      <c r="N29" s="9">
        <f>VLOOKUP($L29,$L$2:$N$7,3,FALSE)*I29</f>
        <v>0</v>
      </c>
      <c r="O29" s="136"/>
      <c r="P29" s="142" t="s">
        <v>548</v>
      </c>
      <c r="Q29" s="9">
        <f>IF(P29="G",M29,IF(P29="PT",0,ERR))</f>
        <v>0</v>
      </c>
      <c r="R29" s="9">
        <f>IF(P29="PT",M29,IF(P29="G",0,ERR))</f>
        <v>0</v>
      </c>
      <c r="S29" s="142" t="s">
        <v>548</v>
      </c>
      <c r="T29" s="9">
        <f>IF(S29="G",N29,IF(S29="PT",0,ERR))</f>
        <v>0</v>
      </c>
      <c r="U29" s="9">
        <f>IF(S29="PT",N29,IF(S29="G",0,ERR))</f>
        <v>0</v>
      </c>
      <c r="V29" s="140"/>
      <c r="W29" s="9">
        <f>HLOOKUP($W$9,'ROR-Model'!$Q$10:$U$1263,Y29)</f>
        <v>0</v>
      </c>
      <c r="X29" s="156"/>
      <c r="Y29" s="918">
        <f t="shared" si="0"/>
        <v>20</v>
      </c>
      <c r="AA29" s="9">
        <v>0</v>
      </c>
      <c r="AC29" s="9" t="str">
        <f t="shared" si="1"/>
        <v/>
      </c>
      <c r="AE29" s="44" t="str">
        <f t="shared" si="2"/>
        <v/>
      </c>
    </row>
    <row r="30" spans="1:31">
      <c r="A30" s="153"/>
      <c r="B30" s="365"/>
      <c r="C30" s="365" t="s">
        <v>18</v>
      </c>
      <c r="D30" s="49"/>
      <c r="E30" s="157">
        <f>+G30-Adjustments!G30</f>
        <v>0</v>
      </c>
      <c r="F30" s="157">
        <f>SUM(F25:F29)</f>
        <v>0</v>
      </c>
      <c r="G30" s="157">
        <f>SUM(G25:G29)</f>
        <v>0</v>
      </c>
      <c r="H30" s="157">
        <f>SUM(H25:H29)</f>
        <v>0</v>
      </c>
      <c r="I30" s="157">
        <f>SUM(I25:I29)</f>
        <v>0</v>
      </c>
      <c r="J30" s="9">
        <f>+I30-'ROR-Model'!I30</f>
        <v>0</v>
      </c>
      <c r="K30" s="9"/>
      <c r="L30" s="157"/>
      <c r="M30" s="157">
        <f>SUM(M25:M29)</f>
        <v>0</v>
      </c>
      <c r="N30" s="157">
        <f>SUM(N25:N29)</f>
        <v>0</v>
      </c>
      <c r="O30" s="136"/>
      <c r="P30" s="226"/>
      <c r="Q30" s="157">
        <f>SUM(Q25:Q29)</f>
        <v>0</v>
      </c>
      <c r="R30" s="157">
        <f>SUM(R25:R29)</f>
        <v>0</v>
      </c>
      <c r="S30" s="226"/>
      <c r="T30" s="157">
        <f>SUM(T25:T29)</f>
        <v>0</v>
      </c>
      <c r="U30" s="157">
        <f>SUM(U25:U29)</f>
        <v>0</v>
      </c>
      <c r="V30" s="140"/>
      <c r="W30" s="157">
        <f>HLOOKUP($W$9,'ROR-Model'!$Q$10:$U$1263,Y30)</f>
        <v>0</v>
      </c>
      <c r="X30" s="156"/>
      <c r="Y30" s="918">
        <f t="shared" si="0"/>
        <v>21</v>
      </c>
      <c r="AA30" s="157">
        <v>0</v>
      </c>
      <c r="AC30" s="157" t="str">
        <f t="shared" si="1"/>
        <v/>
      </c>
      <c r="AE30" s="44" t="str">
        <f t="shared" si="2"/>
        <v/>
      </c>
    </row>
    <row r="31" spans="1:31">
      <c r="A31" s="153"/>
      <c r="B31" s="365"/>
      <c r="C31" s="365"/>
      <c r="D31" s="49"/>
      <c r="E31" s="9">
        <f>+G31-Adjustments!G31</f>
        <v>0</v>
      </c>
      <c r="F31" s="9"/>
      <c r="G31" s="9"/>
      <c r="H31" s="9"/>
      <c r="I31" s="9"/>
      <c r="J31" s="9">
        <f>+I31-'ROR-Model'!I31</f>
        <v>0</v>
      </c>
      <c r="K31" s="9"/>
      <c r="L31" s="9"/>
      <c r="M31" s="9"/>
      <c r="N31" s="9"/>
      <c r="O31" s="136"/>
      <c r="P31" s="142"/>
      <c r="Q31" s="9"/>
      <c r="R31" s="9"/>
      <c r="S31" s="142"/>
      <c r="T31" s="9"/>
      <c r="U31" s="9"/>
      <c r="V31" s="140"/>
      <c r="W31" s="9"/>
      <c r="X31" s="156"/>
      <c r="Y31" s="918">
        <f t="shared" si="0"/>
        <v>22</v>
      </c>
      <c r="AA31" s="9"/>
      <c r="AC31" s="9" t="str">
        <f t="shared" si="1"/>
        <v/>
      </c>
      <c r="AE31" s="44" t="str">
        <f t="shared" si="2"/>
        <v/>
      </c>
    </row>
    <row r="32" spans="1:31">
      <c r="A32" s="153"/>
      <c r="B32" s="365"/>
      <c r="C32" s="365" t="s">
        <v>19</v>
      </c>
      <c r="D32" s="49"/>
      <c r="E32" s="9">
        <f>+G32-Adjustments!G32</f>
        <v>0</v>
      </c>
      <c r="F32" s="9">
        <f>Revenue!$F$31</f>
        <v>0</v>
      </c>
      <c r="G32" s="9">
        <f>+Adjustments!U32</f>
        <v>0</v>
      </c>
      <c r="H32" s="9"/>
      <c r="I32" s="645">
        <f>SUM(F32:H32)</f>
        <v>0</v>
      </c>
      <c r="J32" s="9">
        <f>+I32-'ROR-Model'!I32</f>
        <v>0</v>
      </c>
      <c r="K32" s="9"/>
      <c r="L32" s="9" t="s">
        <v>13</v>
      </c>
      <c r="M32" s="9">
        <f>VLOOKUP($L32,$L$2:$N$7,2,FALSE)*I32</f>
        <v>0</v>
      </c>
      <c r="N32" s="9">
        <f>VLOOKUP($L32,$L$2:$N$7,3,FALSE)*I32</f>
        <v>0</v>
      </c>
      <c r="O32" s="136"/>
      <c r="P32" s="142" t="s">
        <v>549</v>
      </c>
      <c r="Q32" s="9">
        <f>IF(P32="G",M32,IF(P32="PT",0,ERR))</f>
        <v>0</v>
      </c>
      <c r="R32" s="9">
        <f>IF(P32="PT",M32,IF(P32="G",0,ERR))</f>
        <v>0</v>
      </c>
      <c r="S32" s="142" t="s">
        <v>549</v>
      </c>
      <c r="T32" s="9">
        <f>IF(S32="G",N32,IF(S32="PT",0,ERR))</f>
        <v>0</v>
      </c>
      <c r="U32" s="9">
        <f>IF(S32="PT",N32,IF(S32="G",0,ERR))</f>
        <v>0</v>
      </c>
      <c r="V32" s="140"/>
      <c r="W32" s="9">
        <f>HLOOKUP($W$9,'ROR-Model'!$Q$10:$U$1263,Y32)</f>
        <v>0</v>
      </c>
      <c r="X32" s="156"/>
      <c r="Y32" s="918">
        <f t="shared" si="0"/>
        <v>23</v>
      </c>
      <c r="AA32" s="9">
        <v>0</v>
      </c>
      <c r="AC32" s="9" t="str">
        <f t="shared" si="1"/>
        <v/>
      </c>
      <c r="AE32" s="44" t="str">
        <f t="shared" si="2"/>
        <v/>
      </c>
    </row>
    <row r="33" spans="1:31">
      <c r="A33" s="153"/>
      <c r="B33" s="63"/>
      <c r="C33" s="365"/>
      <c r="E33" s="55">
        <f>+G33-Adjustments!G33</f>
        <v>0</v>
      </c>
      <c r="F33" s="55"/>
      <c r="G33" s="55"/>
      <c r="H33" s="55"/>
      <c r="I33" s="55"/>
      <c r="J33" s="9">
        <f>+I33-'ROR-Model'!I33</f>
        <v>0</v>
      </c>
      <c r="K33" s="9"/>
      <c r="N33" s="9"/>
      <c r="O33" s="136"/>
      <c r="P33" s="142"/>
      <c r="Q33" s="55"/>
      <c r="R33" s="55"/>
      <c r="S33" s="55"/>
      <c r="T33" s="55"/>
      <c r="U33" s="9"/>
      <c r="V33" s="140"/>
      <c r="W33" s="9"/>
      <c r="X33" s="156"/>
      <c r="Y33" s="918">
        <f t="shared" si="0"/>
        <v>24</v>
      </c>
      <c r="AA33" s="9"/>
      <c r="AC33" s="9" t="str">
        <f t="shared" si="1"/>
        <v/>
      </c>
      <c r="AE33" s="44" t="str">
        <f t="shared" si="2"/>
        <v/>
      </c>
    </row>
    <row r="34" spans="1:31">
      <c r="A34" s="153"/>
      <c r="B34" s="365" t="s">
        <v>796</v>
      </c>
      <c r="C34" s="365" t="s">
        <v>15</v>
      </c>
      <c r="D34" s="49"/>
      <c r="E34" s="9">
        <f>+G34-Adjustments!G34</f>
        <v>0</v>
      </c>
      <c r="F34" s="9">
        <f>Revenue!$F$33</f>
        <v>0</v>
      </c>
      <c r="G34" s="9">
        <f>+Adjustments!U34</f>
        <v>0</v>
      </c>
      <c r="H34" s="9"/>
      <c r="I34" s="9">
        <f>SUM(F34:H34)</f>
        <v>0</v>
      </c>
      <c r="J34" s="9">
        <f>+I34-'ROR-Model'!I34</f>
        <v>0</v>
      </c>
      <c r="K34" s="9"/>
      <c r="L34" s="9" t="s">
        <v>13</v>
      </c>
      <c r="M34" s="9">
        <f>VLOOKUP($L34,$L$2:$N$7,2,FALSE)*I34</f>
        <v>0</v>
      </c>
      <c r="N34" s="9">
        <f>VLOOKUP($L34,$L$2:$N$7,3,FALSE)*I34</f>
        <v>0</v>
      </c>
      <c r="O34" s="136"/>
      <c r="P34" s="142" t="s">
        <v>549</v>
      </c>
      <c r="Q34" s="9">
        <f>IF(P34="G",M34,IF(P34="PT",0,ERR))</f>
        <v>0</v>
      </c>
      <c r="R34" s="9">
        <f>IF(P34="PT",M34,IF(P34="G",0,ERR))</f>
        <v>0</v>
      </c>
      <c r="S34" s="142" t="s">
        <v>549</v>
      </c>
      <c r="T34" s="9">
        <f>IF(S34="G",N34,IF(S34="PT",0,ERR))</f>
        <v>0</v>
      </c>
      <c r="U34" s="9">
        <f>IF(S34="PT",N34,IF(S34="G",0,ERR))</f>
        <v>0</v>
      </c>
      <c r="V34" s="140"/>
      <c r="W34" s="9">
        <f>HLOOKUP($W$9,'ROR-Model'!$Q$10:$U$1263,Y34)</f>
        <v>0</v>
      </c>
      <c r="X34" s="156"/>
      <c r="Y34" s="918">
        <f t="shared" si="0"/>
        <v>25</v>
      </c>
      <c r="AA34" s="9">
        <v>0</v>
      </c>
      <c r="AC34" s="9" t="str">
        <f t="shared" si="1"/>
        <v/>
      </c>
      <c r="AE34" s="44" t="str">
        <f t="shared" si="2"/>
        <v/>
      </c>
    </row>
    <row r="35" spans="1:31">
      <c r="A35" s="153"/>
      <c r="B35" s="365"/>
      <c r="C35" s="365"/>
      <c r="D35" s="49"/>
      <c r="E35" s="9">
        <f>+G35-Adjustments!G35</f>
        <v>0</v>
      </c>
      <c r="F35" s="9"/>
      <c r="G35" s="9"/>
      <c r="H35" s="9"/>
      <c r="I35" s="9"/>
      <c r="J35" s="9">
        <f>+I35-'ROR-Model'!I35</f>
        <v>0</v>
      </c>
      <c r="K35" s="9"/>
      <c r="L35" s="9"/>
      <c r="M35" s="9"/>
      <c r="N35" s="9"/>
      <c r="O35" s="136"/>
      <c r="P35" s="142"/>
      <c r="Q35" s="9"/>
      <c r="R35" s="9"/>
      <c r="S35" s="142"/>
      <c r="T35" s="9"/>
      <c r="U35" s="9"/>
      <c r="V35" s="140"/>
      <c r="W35" s="9"/>
      <c r="X35" s="156"/>
      <c r="Y35" s="918">
        <f t="shared" si="0"/>
        <v>26</v>
      </c>
      <c r="AA35" s="9"/>
      <c r="AC35" s="9" t="str">
        <f t="shared" si="1"/>
        <v/>
      </c>
      <c r="AE35" s="44" t="str">
        <f t="shared" si="2"/>
        <v/>
      </c>
    </row>
    <row r="36" spans="1:31">
      <c r="A36" s="153"/>
      <c r="B36" s="365"/>
      <c r="C36" s="365" t="s">
        <v>16</v>
      </c>
      <c r="D36" s="49"/>
      <c r="E36" s="9">
        <f>+G36-Adjustments!G36</f>
        <v>0</v>
      </c>
      <c r="F36" s="9">
        <f>Revenue!$F$35</f>
        <v>0</v>
      </c>
      <c r="G36" s="9">
        <f>+Adjustments!U36</f>
        <v>0</v>
      </c>
      <c r="H36" s="9"/>
      <c r="I36" s="9">
        <f>SUM($F$36:$H$36)</f>
        <v>0</v>
      </c>
      <c r="J36" s="9">
        <f>+I36-'ROR-Model'!I36</f>
        <v>0</v>
      </c>
      <c r="K36" s="9"/>
      <c r="L36" s="9" t="s">
        <v>13</v>
      </c>
      <c r="M36" s="9">
        <f>VLOOKUP($L36,$L$2:$N$7,2,FALSE)*I36</f>
        <v>0</v>
      </c>
      <c r="N36" s="9">
        <f>VLOOKUP($L36,$L$2:$N$7,3,FALSE)*I36</f>
        <v>0</v>
      </c>
      <c r="O36" s="136"/>
      <c r="P36" s="142" t="s">
        <v>548</v>
      </c>
      <c r="Q36" s="9">
        <f>IF(P36="G",M36,IF(P36="PT",0,ERR))</f>
        <v>0</v>
      </c>
      <c r="R36" s="9">
        <f>IF(P36="PT",M36,IF(P36="G",0,ERR))</f>
        <v>0</v>
      </c>
      <c r="S36" s="142" t="s">
        <v>548</v>
      </c>
      <c r="T36" s="9">
        <f>IF(S36="G",N36,IF(S36="PT",0,ERR))</f>
        <v>0</v>
      </c>
      <c r="U36" s="9">
        <f>IF(S36="PT",N36,IF(S36="G",0,ERR))</f>
        <v>0</v>
      </c>
      <c r="V36" s="140"/>
      <c r="W36" s="9">
        <f>HLOOKUP($W$9,'ROR-Model'!$Q$10:$U$1263,Y36)</f>
        <v>0</v>
      </c>
      <c r="X36" s="156"/>
      <c r="Y36" s="918">
        <f t="shared" si="0"/>
        <v>27</v>
      </c>
      <c r="AA36" s="9">
        <v>0</v>
      </c>
      <c r="AC36" s="9" t="str">
        <f t="shared" si="1"/>
        <v/>
      </c>
      <c r="AE36" s="44" t="str">
        <f t="shared" si="2"/>
        <v/>
      </c>
    </row>
    <row r="37" spans="1:31">
      <c r="A37" s="153"/>
      <c r="B37" s="365"/>
      <c r="C37" s="365"/>
      <c r="D37" s="49"/>
      <c r="E37" s="9">
        <f>+G37-Adjustments!G37</f>
        <v>0</v>
      </c>
      <c r="F37" s="9"/>
      <c r="G37" s="9"/>
      <c r="H37" s="9"/>
      <c r="I37" s="9"/>
      <c r="J37" s="9">
        <f>+I37-'ROR-Model'!I37</f>
        <v>0</v>
      </c>
      <c r="K37" s="9"/>
      <c r="L37" s="9"/>
      <c r="M37" s="9"/>
      <c r="N37" s="9"/>
      <c r="O37" s="136"/>
      <c r="P37" s="142"/>
      <c r="Q37" s="9"/>
      <c r="R37" s="9"/>
      <c r="S37" s="142"/>
      <c r="T37" s="9"/>
      <c r="U37" s="9"/>
      <c r="V37" s="140"/>
      <c r="W37" s="9"/>
      <c r="X37" s="156"/>
      <c r="Y37" s="918">
        <f t="shared" si="0"/>
        <v>28</v>
      </c>
      <c r="AA37" s="9"/>
      <c r="AC37" s="9" t="str">
        <f t="shared" si="1"/>
        <v/>
      </c>
      <c r="AE37" s="44" t="str">
        <f t="shared" si="2"/>
        <v/>
      </c>
    </row>
    <row r="38" spans="1:31">
      <c r="A38" s="153"/>
      <c r="B38" s="365"/>
      <c r="C38" s="365" t="s">
        <v>17</v>
      </c>
      <c r="D38" s="49"/>
      <c r="E38" s="9">
        <f>+G38-Adjustments!G38</f>
        <v>0</v>
      </c>
      <c r="F38" s="9">
        <f>Revenue!$F$37</f>
        <v>0</v>
      </c>
      <c r="G38" s="9">
        <f>+Adjustments!U38</f>
        <v>0</v>
      </c>
      <c r="H38" s="9"/>
      <c r="I38" s="9">
        <f>SUM($F$38:$H$38)</f>
        <v>0</v>
      </c>
      <c r="J38" s="9">
        <f>+I38-'ROR-Model'!I38</f>
        <v>0</v>
      </c>
      <c r="K38" s="9"/>
      <c r="L38" s="9" t="s">
        <v>13</v>
      </c>
      <c r="M38" s="9">
        <f>VLOOKUP($L38,$L$2:$N$7,2,FALSE)*I38</f>
        <v>0</v>
      </c>
      <c r="N38" s="9">
        <f>VLOOKUP($L38,$L$2:$N$7,3,FALSE)*I38</f>
        <v>0</v>
      </c>
      <c r="O38" s="136"/>
      <c r="P38" s="142" t="s">
        <v>548</v>
      </c>
      <c r="Q38" s="9">
        <f>IF(P38="G",M38,IF(P38="PT",0,ERR))</f>
        <v>0</v>
      </c>
      <c r="R38" s="9">
        <f>IF(P38="PT",M38,IF(P38="G",0,ERR))</f>
        <v>0</v>
      </c>
      <c r="S38" s="142" t="s">
        <v>548</v>
      </c>
      <c r="T38" s="9">
        <f>IF(S38="G",N38,IF(S38="PT",0,ERR))</f>
        <v>0</v>
      </c>
      <c r="U38" s="9">
        <f>IF(S38="PT",N38,IF(S38="G",0,ERR))</f>
        <v>0</v>
      </c>
      <c r="V38" s="140"/>
      <c r="W38" s="9">
        <f>HLOOKUP($W$9,'ROR-Model'!$Q$10:$U$1263,Y38)</f>
        <v>0</v>
      </c>
      <c r="X38" s="156"/>
      <c r="Y38" s="918">
        <f t="shared" si="0"/>
        <v>29</v>
      </c>
      <c r="AA38" s="9">
        <v>0</v>
      </c>
      <c r="AC38" s="9" t="str">
        <f t="shared" si="1"/>
        <v/>
      </c>
      <c r="AE38" s="44" t="str">
        <f t="shared" si="2"/>
        <v/>
      </c>
    </row>
    <row r="39" spans="1:31">
      <c r="A39" s="153"/>
      <c r="B39" s="365"/>
      <c r="C39" s="365" t="s">
        <v>18</v>
      </c>
      <c r="D39" s="49"/>
      <c r="E39" s="157">
        <f>+G39-Adjustments!G39</f>
        <v>0</v>
      </c>
      <c r="F39" s="157">
        <f>SUM(F34:F38)</f>
        <v>0</v>
      </c>
      <c r="G39" s="157">
        <f>SUM(G34:G38)</f>
        <v>0</v>
      </c>
      <c r="H39" s="157">
        <f>SUM(H34:H38)</f>
        <v>0</v>
      </c>
      <c r="I39" s="157">
        <f>SUM(I34:I38)</f>
        <v>0</v>
      </c>
      <c r="J39" s="9">
        <f>+I39-'ROR-Model'!I39</f>
        <v>0</v>
      </c>
      <c r="K39" s="9"/>
      <c r="L39" s="157"/>
      <c r="M39" s="157">
        <f>SUM(M34:M38)</f>
        <v>0</v>
      </c>
      <c r="N39" s="157">
        <f>SUM(N34:N38)</f>
        <v>0</v>
      </c>
      <c r="O39" s="136"/>
      <c r="P39" s="226"/>
      <c r="Q39" s="157">
        <f>SUM(Q34:Q38)</f>
        <v>0</v>
      </c>
      <c r="R39" s="157">
        <f>SUM(R34:R38)</f>
        <v>0</v>
      </c>
      <c r="S39" s="226"/>
      <c r="T39" s="157">
        <f>SUM(T34:T38)</f>
        <v>0</v>
      </c>
      <c r="U39" s="157">
        <f>SUM(U34:U38)</f>
        <v>0</v>
      </c>
      <c r="V39" s="140"/>
      <c r="W39" s="157">
        <f>HLOOKUP($W$9,'ROR-Model'!$Q$10:$U$1263,Y39)</f>
        <v>0</v>
      </c>
      <c r="X39" s="156"/>
      <c r="Y39" s="918">
        <f t="shared" si="0"/>
        <v>30</v>
      </c>
      <c r="AA39" s="157">
        <v>0</v>
      </c>
      <c r="AC39" s="157" t="str">
        <f t="shared" si="1"/>
        <v/>
      </c>
      <c r="AE39" s="44" t="str">
        <f t="shared" si="2"/>
        <v/>
      </c>
    </row>
    <row r="40" spans="1:31">
      <c r="A40" s="153"/>
      <c r="B40" s="365"/>
      <c r="C40" s="365"/>
      <c r="D40" s="49"/>
      <c r="E40" s="9">
        <f>+G40-Adjustments!G40</f>
        <v>0</v>
      </c>
      <c r="F40" s="9"/>
      <c r="G40" s="9"/>
      <c r="H40" s="9"/>
      <c r="I40" s="9"/>
      <c r="J40" s="9">
        <f>+I40-'ROR-Model'!I40</f>
        <v>0</v>
      </c>
      <c r="K40" s="9"/>
      <c r="L40" s="9"/>
      <c r="M40" s="9"/>
      <c r="N40" s="9"/>
      <c r="O40" s="136"/>
      <c r="P40" s="142"/>
      <c r="Q40" s="9"/>
      <c r="R40" s="9"/>
      <c r="S40" s="142"/>
      <c r="T40" s="9"/>
      <c r="U40" s="9"/>
      <c r="V40" s="140"/>
      <c r="W40" s="9"/>
      <c r="X40" s="156"/>
      <c r="Y40" s="918">
        <f t="shared" si="0"/>
        <v>31</v>
      </c>
      <c r="AA40" s="9"/>
      <c r="AC40" s="9" t="str">
        <f t="shared" si="1"/>
        <v/>
      </c>
      <c r="AE40" s="44" t="str">
        <f t="shared" si="2"/>
        <v/>
      </c>
    </row>
    <row r="41" spans="1:31">
      <c r="A41" s="153"/>
      <c r="B41" s="365"/>
      <c r="C41" s="365" t="s">
        <v>19</v>
      </c>
      <c r="D41" s="49"/>
      <c r="E41" s="9">
        <f>+G41-Adjustments!G41</f>
        <v>0</v>
      </c>
      <c r="F41" s="9">
        <f>Revenue!$F$40</f>
        <v>0</v>
      </c>
      <c r="G41" s="9">
        <f>+Adjustments!U41</f>
        <v>0</v>
      </c>
      <c r="H41" s="9"/>
      <c r="I41" s="645">
        <f>SUM($F$41:$H$41)</f>
        <v>0</v>
      </c>
      <c r="J41" s="9">
        <f>+I41-'ROR-Model'!I41</f>
        <v>0</v>
      </c>
      <c r="K41" s="9"/>
      <c r="L41" s="9" t="s">
        <v>13</v>
      </c>
      <c r="M41" s="9">
        <f>VLOOKUP($L41,$L$2:$N$7,2,FALSE)*I41</f>
        <v>0</v>
      </c>
      <c r="N41" s="9">
        <f>VLOOKUP($L41,$L$2:$N$7,3,FALSE)*I41</f>
        <v>0</v>
      </c>
      <c r="O41" s="136"/>
      <c r="P41" s="142" t="s">
        <v>549</v>
      </c>
      <c r="Q41" s="9">
        <f>IF(P41="G",M41,IF(P41="PT",0,ERR))</f>
        <v>0</v>
      </c>
      <c r="R41" s="9">
        <f>IF(P41="PT",M41,IF(P41="G",0,ERR))</f>
        <v>0</v>
      </c>
      <c r="S41" s="142" t="s">
        <v>549</v>
      </c>
      <c r="T41" s="9">
        <f>IF(S41="G",N41,IF(S41="PT",0,ERR))</f>
        <v>0</v>
      </c>
      <c r="U41" s="9">
        <f>IF(S41="PT",N41,IF(S41="G",0,ERR))</f>
        <v>0</v>
      </c>
      <c r="V41" s="140"/>
      <c r="W41" s="9">
        <f>HLOOKUP($W$9,'ROR-Model'!$Q$10:$U$1263,Y41)</f>
        <v>0</v>
      </c>
      <c r="X41" s="156"/>
      <c r="Y41" s="918">
        <f t="shared" si="0"/>
        <v>32</v>
      </c>
      <c r="AA41" s="9">
        <v>0</v>
      </c>
      <c r="AC41" s="9" t="str">
        <f t="shared" si="1"/>
        <v/>
      </c>
      <c r="AE41" s="44" t="str">
        <f t="shared" si="2"/>
        <v/>
      </c>
    </row>
    <row r="42" spans="1:31">
      <c r="A42" s="153"/>
      <c r="B42" s="63"/>
      <c r="C42" s="63"/>
      <c r="D42" s="49"/>
      <c r="E42" s="9">
        <f>+G42-Adjustments!G42</f>
        <v>0</v>
      </c>
      <c r="F42" s="9"/>
      <c r="G42" s="9"/>
      <c r="H42" s="9"/>
      <c r="I42" s="9"/>
      <c r="J42" s="9">
        <f>+I42-'ROR-Model'!I42</f>
        <v>0</v>
      </c>
      <c r="K42" s="9"/>
      <c r="L42" s="9"/>
      <c r="M42" s="9"/>
      <c r="N42" s="9"/>
      <c r="O42" s="136"/>
      <c r="P42" s="142"/>
      <c r="Q42" s="9"/>
      <c r="R42" s="9"/>
      <c r="S42" s="142"/>
      <c r="T42" s="9"/>
      <c r="U42" s="9"/>
      <c r="V42" s="140"/>
      <c r="W42" s="9"/>
      <c r="X42" s="156"/>
      <c r="Y42" s="918">
        <f t="shared" si="0"/>
        <v>33</v>
      </c>
      <c r="AA42" s="9"/>
      <c r="AC42" s="9" t="str">
        <f t="shared" si="1"/>
        <v/>
      </c>
      <c r="AE42" s="44" t="str">
        <f t="shared" si="2"/>
        <v/>
      </c>
    </row>
    <row r="43" spans="1:31">
      <c r="A43" s="153"/>
      <c r="B43" s="365" t="s">
        <v>797</v>
      </c>
      <c r="C43" s="365" t="s">
        <v>15</v>
      </c>
      <c r="D43" s="49"/>
      <c r="E43" s="9">
        <f>+G43-Adjustments!G43</f>
        <v>0</v>
      </c>
      <c r="F43" s="9">
        <f>Revenue!$F$42</f>
        <v>3357867</v>
      </c>
      <c r="G43" s="9">
        <f>+Adjustments!U43</f>
        <v>0</v>
      </c>
      <c r="H43" s="9"/>
      <c r="I43" s="9">
        <f>SUM($F$43:$H$43)</f>
        <v>3357867</v>
      </c>
      <c r="J43" s="9">
        <f>+I43-'ROR-Model'!I43</f>
        <v>0</v>
      </c>
      <c r="K43" s="9"/>
      <c r="L43" s="9" t="s">
        <v>13</v>
      </c>
      <c r="M43" s="9">
        <f>VLOOKUP($L43,$L$2:$N$7,2,FALSE)*I43</f>
        <v>3357867</v>
      </c>
      <c r="N43" s="9">
        <f>VLOOKUP($L43,$L$2:$N$7,3,FALSE)*I43</f>
        <v>0</v>
      </c>
      <c r="O43" s="136"/>
      <c r="P43" s="142" t="s">
        <v>549</v>
      </c>
      <c r="Q43" s="9">
        <f>IF(P43="G",M43,IF(P43="PT",0,ERR))</f>
        <v>3357867</v>
      </c>
      <c r="R43" s="9">
        <f>IF(P43="PT",M43,IF(P43="G",0,ERR))</f>
        <v>0</v>
      </c>
      <c r="S43" s="142" t="s">
        <v>549</v>
      </c>
      <c r="T43" s="9">
        <f>IF(S43="G",N43,IF(S43="PT",0,ERR))</f>
        <v>0</v>
      </c>
      <c r="U43" s="9">
        <f>IF(S43="PT",N43,IF(S43="G",0,ERR))</f>
        <v>0</v>
      </c>
      <c r="V43" s="140"/>
      <c r="W43" s="9">
        <f>HLOOKUP($W$9,'ROR-Model'!$Q$10:$U$1263,Y43)</f>
        <v>3357867</v>
      </c>
      <c r="X43" s="156"/>
      <c r="Y43" s="918">
        <f t="shared" si="0"/>
        <v>34</v>
      </c>
      <c r="AA43" s="9">
        <v>0</v>
      </c>
      <c r="AC43" s="9" t="str">
        <f t="shared" si="1"/>
        <v/>
      </c>
      <c r="AE43" s="44" t="str">
        <f t="shared" si="2"/>
        <v/>
      </c>
    </row>
    <row r="44" spans="1:31">
      <c r="A44" s="153"/>
      <c r="B44" s="365"/>
      <c r="C44" s="365"/>
      <c r="D44" s="49"/>
      <c r="E44" s="9">
        <f>+G44-Adjustments!G44</f>
        <v>0</v>
      </c>
      <c r="F44" s="9"/>
      <c r="G44" s="9"/>
      <c r="H44" s="9"/>
      <c r="I44" s="9"/>
      <c r="J44" s="9">
        <f>+I44-'ROR-Model'!I44</f>
        <v>0</v>
      </c>
      <c r="K44" s="9"/>
      <c r="L44" s="9"/>
      <c r="M44" s="9"/>
      <c r="N44" s="9"/>
      <c r="O44" s="136"/>
      <c r="P44" s="142"/>
      <c r="Q44" s="9"/>
      <c r="R44" s="9"/>
      <c r="S44" s="142"/>
      <c r="T44" s="9"/>
      <c r="U44" s="9"/>
      <c r="V44" s="140"/>
      <c r="W44" s="9"/>
      <c r="X44" s="156"/>
      <c r="Y44" s="918">
        <f t="shared" si="0"/>
        <v>35</v>
      </c>
      <c r="AA44" s="9"/>
      <c r="AC44" s="9" t="str">
        <f t="shared" si="1"/>
        <v/>
      </c>
      <c r="AE44" s="44" t="str">
        <f t="shared" si="2"/>
        <v/>
      </c>
    </row>
    <row r="45" spans="1:31">
      <c r="A45" s="153"/>
      <c r="B45" s="365"/>
      <c r="C45" s="365" t="s">
        <v>16</v>
      </c>
      <c r="D45" s="49"/>
      <c r="E45" s="9">
        <f>+G45-Adjustments!G45</f>
        <v>0</v>
      </c>
      <c r="F45" s="9">
        <f>Revenue!$F$44</f>
        <v>3463902</v>
      </c>
      <c r="G45" s="9">
        <f>+Adjustments!U45</f>
        <v>0</v>
      </c>
      <c r="H45" s="9"/>
      <c r="I45" s="9">
        <f>SUM($F$45:$H$45)</f>
        <v>3463902</v>
      </c>
      <c r="J45" s="9">
        <f>+I45-'ROR-Model'!I45</f>
        <v>0</v>
      </c>
      <c r="K45" s="9"/>
      <c r="L45" s="9" t="s">
        <v>13</v>
      </c>
      <c r="M45" s="9">
        <f>VLOOKUP($L45,$L$2:$N$7,2,FALSE)*I45</f>
        <v>3463902</v>
      </c>
      <c r="N45" s="9">
        <f>VLOOKUP($L45,$L$2:$N$7,3,FALSE)*I45</f>
        <v>0</v>
      </c>
      <c r="O45" s="136"/>
      <c r="P45" s="142" t="s">
        <v>548</v>
      </c>
      <c r="Q45" s="9">
        <f>IF(P45="G",M45,IF(P45="PT",0,ERR))</f>
        <v>0</v>
      </c>
      <c r="R45" s="9">
        <f>IF(P45="PT",M45,IF(P45="G",0,ERR))</f>
        <v>3463902</v>
      </c>
      <c r="S45" s="142" t="s">
        <v>548</v>
      </c>
      <c r="T45" s="9">
        <f>IF(S45="G",N45,IF(S45="PT",0,ERR))</f>
        <v>0</v>
      </c>
      <c r="U45" s="9">
        <f>IF(S45="PT",N45,IF(S45="G",0,ERR))</f>
        <v>0</v>
      </c>
      <c r="V45" s="140"/>
      <c r="W45" s="9">
        <f>HLOOKUP($W$9,'ROR-Model'!$Q$10:$U$1263,Y45)</f>
        <v>0</v>
      </c>
      <c r="X45" s="156"/>
      <c r="Y45" s="918">
        <f t="shared" si="0"/>
        <v>36</v>
      </c>
      <c r="AA45" s="9">
        <v>0</v>
      </c>
      <c r="AC45" s="9" t="str">
        <f t="shared" si="1"/>
        <v/>
      </c>
      <c r="AE45" s="44" t="str">
        <f t="shared" si="2"/>
        <v/>
      </c>
    </row>
    <row r="46" spans="1:31">
      <c r="A46" s="153"/>
      <c r="B46" s="365"/>
      <c r="C46" s="365"/>
      <c r="D46" s="49"/>
      <c r="E46" s="9">
        <f>+G46-Adjustments!G46</f>
        <v>0</v>
      </c>
      <c r="F46" s="9"/>
      <c r="G46" s="9"/>
      <c r="H46" s="9"/>
      <c r="I46" s="9"/>
      <c r="J46" s="9">
        <f>+I46-'ROR-Model'!I46</f>
        <v>0</v>
      </c>
      <c r="K46" s="9"/>
      <c r="L46" s="9"/>
      <c r="M46" s="9"/>
      <c r="N46" s="9"/>
      <c r="O46" s="136"/>
      <c r="P46" s="142"/>
      <c r="Q46" s="9"/>
      <c r="R46" s="9"/>
      <c r="S46" s="142"/>
      <c r="T46" s="9"/>
      <c r="U46" s="9"/>
      <c r="V46" s="140"/>
      <c r="W46" s="9"/>
      <c r="X46" s="156"/>
      <c r="Y46" s="918">
        <f t="shared" si="0"/>
        <v>37</v>
      </c>
      <c r="AA46" s="9"/>
      <c r="AC46" s="9" t="str">
        <f t="shared" si="1"/>
        <v/>
      </c>
      <c r="AE46" s="44" t="str">
        <f t="shared" si="2"/>
        <v/>
      </c>
    </row>
    <row r="47" spans="1:31">
      <c r="A47" s="153"/>
      <c r="B47" s="365"/>
      <c r="C47" s="365" t="s">
        <v>17</v>
      </c>
      <c r="D47" s="49"/>
      <c r="E47" s="9">
        <f>+G47-Adjustments!G47</f>
        <v>0</v>
      </c>
      <c r="F47" s="9">
        <f>Revenue!$F$46</f>
        <v>15794370</v>
      </c>
      <c r="G47" s="9">
        <f>+Adjustments!U47</f>
        <v>0</v>
      </c>
      <c r="H47" s="9"/>
      <c r="I47" s="9">
        <f>SUM($F$47:$H$47)</f>
        <v>15794370</v>
      </c>
      <c r="J47" s="9">
        <f>+I47-'ROR-Model'!I47</f>
        <v>0</v>
      </c>
      <c r="K47" s="9"/>
      <c r="L47" s="9" t="s">
        <v>13</v>
      </c>
      <c r="M47" s="9">
        <f>VLOOKUP($L47,$L$2:$N$7,2,FALSE)*I47</f>
        <v>15794370</v>
      </c>
      <c r="N47" s="9">
        <f>VLOOKUP($L47,$L$2:$N$7,3,FALSE)*I47</f>
        <v>0</v>
      </c>
      <c r="O47" s="136"/>
      <c r="P47" s="142" t="s">
        <v>548</v>
      </c>
      <c r="Q47" s="9">
        <f>IF(P47="G",M47,IF(P47="PT",0,ERR))</f>
        <v>0</v>
      </c>
      <c r="R47" s="9">
        <f>IF(P47="PT",M47,IF(P47="G",0,ERR))</f>
        <v>15794370</v>
      </c>
      <c r="S47" s="142" t="s">
        <v>548</v>
      </c>
      <c r="T47" s="9">
        <f>IF(S47="G",N47,IF(S47="PT",0,ERR))</f>
        <v>0</v>
      </c>
      <c r="U47" s="9">
        <f>IF(S47="PT",N47,IF(S47="G",0,ERR))</f>
        <v>0</v>
      </c>
      <c r="V47" s="140"/>
      <c r="W47" s="9">
        <f>HLOOKUP($W$9,'ROR-Model'!$Q$10:$U$1263,Y47)</f>
        <v>0</v>
      </c>
      <c r="X47" s="156"/>
      <c r="Y47" s="918">
        <f t="shared" si="0"/>
        <v>38</v>
      </c>
      <c r="AA47" s="9">
        <v>0</v>
      </c>
      <c r="AC47" s="9" t="str">
        <f t="shared" si="1"/>
        <v/>
      </c>
      <c r="AE47" s="44" t="str">
        <f t="shared" si="2"/>
        <v/>
      </c>
    </row>
    <row r="48" spans="1:31">
      <c r="A48" s="153"/>
      <c r="B48" s="365"/>
      <c r="C48" s="365" t="s">
        <v>18</v>
      </c>
      <c r="D48" s="49"/>
      <c r="E48" s="157">
        <f>+G48-Adjustments!G48</f>
        <v>0</v>
      </c>
      <c r="F48" s="157">
        <f>SUM(F43:F47)</f>
        <v>22616139</v>
      </c>
      <c r="G48" s="157">
        <f>SUM(G43:G47)</f>
        <v>0</v>
      </c>
      <c r="H48" s="157">
        <f>SUM(H43:H47)</f>
        <v>0</v>
      </c>
      <c r="I48" s="157">
        <f>SUM(I43:I47)</f>
        <v>22616139</v>
      </c>
      <c r="J48" s="9">
        <f>+I48-'ROR-Model'!I48</f>
        <v>0</v>
      </c>
      <c r="K48" s="9"/>
      <c r="L48" s="157"/>
      <c r="M48" s="157">
        <f>SUM(M43:M47)</f>
        <v>22616139</v>
      </c>
      <c r="N48" s="157">
        <f>SUM(N43:N47)</f>
        <v>0</v>
      </c>
      <c r="O48" s="136"/>
      <c r="P48" s="226"/>
      <c r="Q48" s="157">
        <f>SUM(Q43:Q47)</f>
        <v>3357867</v>
      </c>
      <c r="R48" s="157">
        <f>SUM(R43:R47)</f>
        <v>19258272</v>
      </c>
      <c r="S48" s="226"/>
      <c r="T48" s="157">
        <f>SUM(T43:T47)</f>
        <v>0</v>
      </c>
      <c r="U48" s="157">
        <f>SUM(U43:U47)</f>
        <v>0</v>
      </c>
      <c r="V48" s="140"/>
      <c r="W48" s="157">
        <f>HLOOKUP($W$9,'ROR-Model'!$Q$10:$U$1263,Y48)</f>
        <v>3357867</v>
      </c>
      <c r="X48" s="156"/>
      <c r="Y48" s="918">
        <f t="shared" si="0"/>
        <v>39</v>
      </c>
      <c r="AA48" s="157">
        <v>0</v>
      </c>
      <c r="AC48" s="157" t="str">
        <f t="shared" si="1"/>
        <v/>
      </c>
      <c r="AE48" s="44" t="str">
        <f t="shared" si="2"/>
        <v/>
      </c>
    </row>
    <row r="49" spans="1:31">
      <c r="A49" s="153"/>
      <c r="B49" s="365"/>
      <c r="C49" s="365"/>
      <c r="D49" s="49"/>
      <c r="E49" s="9">
        <f>+G49-Adjustments!G49</f>
        <v>0</v>
      </c>
      <c r="F49" s="9"/>
      <c r="G49" s="9"/>
      <c r="H49" s="9"/>
      <c r="I49" s="9"/>
      <c r="J49" s="9">
        <f>+I49-'ROR-Model'!I49</f>
        <v>0</v>
      </c>
      <c r="K49" s="9"/>
      <c r="L49" s="9"/>
      <c r="M49" s="9"/>
      <c r="N49" s="9"/>
      <c r="O49" s="136"/>
      <c r="P49" s="142"/>
      <c r="Q49" s="9"/>
      <c r="R49" s="9"/>
      <c r="S49" s="142"/>
      <c r="T49" s="9"/>
      <c r="U49" s="9"/>
      <c r="V49" s="140"/>
      <c r="W49" s="9"/>
      <c r="X49" s="156"/>
      <c r="Y49" s="918">
        <f t="shared" si="0"/>
        <v>40</v>
      </c>
      <c r="AA49" s="9"/>
      <c r="AC49" s="9" t="str">
        <f t="shared" si="1"/>
        <v/>
      </c>
      <c r="AE49" s="44" t="str">
        <f t="shared" si="2"/>
        <v/>
      </c>
    </row>
    <row r="50" spans="1:31">
      <c r="A50" s="153"/>
      <c r="B50" s="365"/>
      <c r="C50" s="365" t="s">
        <v>19</v>
      </c>
      <c r="D50" s="49"/>
      <c r="E50" s="9">
        <f>+G50-Adjustments!G50</f>
        <v>0</v>
      </c>
      <c r="F50" s="9">
        <f>Revenue!$F$49</f>
        <v>3917177</v>
      </c>
      <c r="G50" s="9">
        <f>+Adjustments!U50</f>
        <v>0</v>
      </c>
      <c r="H50" s="9"/>
      <c r="I50" s="645">
        <f>SUM($F$50:$H$50)</f>
        <v>3917177</v>
      </c>
      <c r="J50" s="9">
        <f>+I50-'ROR-Model'!I50</f>
        <v>0</v>
      </c>
      <c r="K50" s="9"/>
      <c r="L50" s="9" t="s">
        <v>13</v>
      </c>
      <c r="M50" s="9">
        <f>VLOOKUP($L50,$L$2:$N$7,2,FALSE)*I50</f>
        <v>3917177</v>
      </c>
      <c r="N50" s="9">
        <f>VLOOKUP($L50,$L$2:$N$7,3,FALSE)*I50</f>
        <v>0</v>
      </c>
      <c r="O50" s="136"/>
      <c r="P50" s="142" t="s">
        <v>549</v>
      </c>
      <c r="Q50" s="9">
        <f>IF(P50="G",M50,IF(P50="PT",0,ERR))</f>
        <v>3917177</v>
      </c>
      <c r="R50" s="9">
        <f>IF(P50="PT",M50,IF(P50="G",0,ERR))</f>
        <v>0</v>
      </c>
      <c r="S50" s="142" t="s">
        <v>549</v>
      </c>
      <c r="T50" s="9">
        <f>IF(S50="G",N50,IF(S50="PT",0,ERR))</f>
        <v>0</v>
      </c>
      <c r="U50" s="9">
        <f>IF(S50="PT",N50,IF(S50="G",0,ERR))</f>
        <v>0</v>
      </c>
      <c r="V50" s="140"/>
      <c r="W50" s="9">
        <f>HLOOKUP($W$9,'ROR-Model'!$Q$10:$U$1263,Y50)</f>
        <v>3917177</v>
      </c>
      <c r="X50" s="156"/>
      <c r="Y50" s="918">
        <f t="shared" si="0"/>
        <v>41</v>
      </c>
      <c r="AA50" s="9">
        <v>0</v>
      </c>
      <c r="AC50" s="9" t="str">
        <f t="shared" si="1"/>
        <v/>
      </c>
      <c r="AE50" s="44" t="str">
        <f t="shared" si="2"/>
        <v/>
      </c>
    </row>
    <row r="51" spans="1:31">
      <c r="A51" s="153"/>
      <c r="B51" s="63"/>
      <c r="C51" s="63"/>
      <c r="D51" s="49"/>
      <c r="E51" s="9">
        <f>+G51-Adjustments!G51</f>
        <v>0</v>
      </c>
      <c r="F51" s="9"/>
      <c r="G51" s="9"/>
      <c r="H51" s="9"/>
      <c r="I51" s="9"/>
      <c r="J51" s="9">
        <f>+I51-'ROR-Model'!I51</f>
        <v>0</v>
      </c>
      <c r="K51" s="9"/>
      <c r="L51" s="9"/>
      <c r="M51" s="9"/>
      <c r="N51" s="9"/>
      <c r="O51" s="136"/>
      <c r="P51" s="142"/>
      <c r="Q51" s="9"/>
      <c r="R51" s="9"/>
      <c r="S51" s="142"/>
      <c r="T51" s="9"/>
      <c r="U51" s="9"/>
      <c r="V51" s="140"/>
      <c r="W51" s="9"/>
      <c r="X51" s="156"/>
      <c r="Y51" s="918">
        <f t="shared" si="0"/>
        <v>42</v>
      </c>
      <c r="AA51" s="9"/>
      <c r="AC51" s="9" t="str">
        <f t="shared" si="1"/>
        <v/>
      </c>
      <c r="AE51" s="44" t="str">
        <f t="shared" si="2"/>
        <v/>
      </c>
    </row>
    <row r="52" spans="1:31">
      <c r="A52" s="153"/>
      <c r="B52" s="365" t="s">
        <v>799</v>
      </c>
      <c r="C52" s="365" t="s">
        <v>15</v>
      </c>
      <c r="D52" s="49"/>
      <c r="E52" s="9">
        <f>+G52-Adjustments!G52</f>
        <v>0</v>
      </c>
      <c r="F52" s="9">
        <f>Revenue!$F$51</f>
        <v>0</v>
      </c>
      <c r="G52" s="9">
        <f>+Adjustments!U52</f>
        <v>0</v>
      </c>
      <c r="H52" s="9"/>
      <c r="I52" s="9">
        <f>SUM($F$52:$H$52)</f>
        <v>0</v>
      </c>
      <c r="J52" s="9">
        <f>+I52-'ROR-Model'!I52</f>
        <v>0</v>
      </c>
      <c r="K52" s="9"/>
      <c r="L52" s="9" t="s">
        <v>13</v>
      </c>
      <c r="M52" s="9">
        <f>VLOOKUP($L52,$L$2:$N$7,2,FALSE)*I52</f>
        <v>0</v>
      </c>
      <c r="N52" s="9">
        <f>VLOOKUP($L52,$L$2:$N$7,3,FALSE)*I52</f>
        <v>0</v>
      </c>
      <c r="O52" s="136"/>
      <c r="P52" s="142" t="s">
        <v>549</v>
      </c>
      <c r="Q52" s="9">
        <f>IF(P52="G",M52,IF(P52="PT",0,ERR))</f>
        <v>0</v>
      </c>
      <c r="R52" s="9">
        <f>IF(P52="PT",M52,IF(P52="G",0,ERR))</f>
        <v>0</v>
      </c>
      <c r="S52" s="142" t="s">
        <v>549</v>
      </c>
      <c r="T52" s="9">
        <f>IF(S52="G",N52,IF(S52="PT",0,ERR))</f>
        <v>0</v>
      </c>
      <c r="U52" s="9">
        <f>IF(S52="PT",N52,IF(S52="G",0,ERR))</f>
        <v>0</v>
      </c>
      <c r="V52" s="140"/>
      <c r="W52" s="9">
        <f>HLOOKUP($W$9,'ROR-Model'!$Q$10:$U$1263,Y52)</f>
        <v>0</v>
      </c>
      <c r="X52" s="156"/>
      <c r="Y52" s="918">
        <f t="shared" si="0"/>
        <v>43</v>
      </c>
      <c r="AA52" s="9">
        <v>0</v>
      </c>
      <c r="AC52" s="9" t="str">
        <f t="shared" si="1"/>
        <v/>
      </c>
      <c r="AE52" s="44" t="str">
        <f t="shared" si="2"/>
        <v/>
      </c>
    </row>
    <row r="53" spans="1:31">
      <c r="A53" s="153"/>
      <c r="B53" s="365"/>
      <c r="C53" s="365" t="s">
        <v>16</v>
      </c>
      <c r="D53" s="49"/>
      <c r="E53" s="9">
        <f>+G53-Adjustments!G53</f>
        <v>0</v>
      </c>
      <c r="F53" s="9"/>
      <c r="G53" s="9"/>
      <c r="H53" s="9"/>
      <c r="I53" s="9">
        <f>SUM($F$53:$H$53)</f>
        <v>0</v>
      </c>
      <c r="J53" s="9">
        <f>+I53-'ROR-Model'!I53</f>
        <v>0</v>
      </c>
      <c r="K53" s="9"/>
      <c r="L53" s="9" t="s">
        <v>13</v>
      </c>
      <c r="M53" s="9">
        <f>VLOOKUP($L53,$L$2:$N$7,2,FALSE)*I53</f>
        <v>0</v>
      </c>
      <c r="N53" s="9">
        <f>VLOOKUP($L53,$L$2:$N$7,3,FALSE)*I53</f>
        <v>0</v>
      </c>
      <c r="O53" s="136"/>
      <c r="P53" s="142" t="s">
        <v>548</v>
      </c>
      <c r="Q53" s="9">
        <f>IF(P53="G",M53,IF(P53="PT",0,ERR))</f>
        <v>0</v>
      </c>
      <c r="R53" s="9">
        <f>IF(P53="PT",M53,IF(P53="G",0,ERR))</f>
        <v>0</v>
      </c>
      <c r="S53" s="142" t="s">
        <v>548</v>
      </c>
      <c r="T53" s="9">
        <f>IF(S53="G",N53,IF(S53="PT",0,ERR))</f>
        <v>0</v>
      </c>
      <c r="U53" s="9">
        <f>IF(S53="PT",N53,IF(S53="G",0,ERR))</f>
        <v>0</v>
      </c>
      <c r="V53" s="140"/>
      <c r="W53" s="9">
        <f>HLOOKUP($W$9,'ROR-Model'!$Q$10:$U$1263,Y53)</f>
        <v>0</v>
      </c>
      <c r="X53" s="156"/>
      <c r="Y53" s="918">
        <f t="shared" si="0"/>
        <v>44</v>
      </c>
      <c r="AA53" s="9">
        <v>0</v>
      </c>
      <c r="AC53" s="9" t="str">
        <f t="shared" si="1"/>
        <v/>
      </c>
      <c r="AE53" s="44" t="str">
        <f t="shared" si="2"/>
        <v/>
      </c>
    </row>
    <row r="54" spans="1:31">
      <c r="A54" s="153"/>
      <c r="B54" s="63"/>
      <c r="C54" s="365" t="s">
        <v>800</v>
      </c>
      <c r="D54" s="49"/>
      <c r="E54" s="9">
        <f>+G54-Adjustments!G54</f>
        <v>0</v>
      </c>
      <c r="F54" s="9">
        <f>Revenue!$F$53</f>
        <v>0</v>
      </c>
      <c r="G54" s="9">
        <f>+Adjustments!U54</f>
        <v>0</v>
      </c>
      <c r="H54" s="9"/>
      <c r="I54" s="9">
        <f>SUM($F$54:$H$54)</f>
        <v>0</v>
      </c>
      <c r="J54" s="9">
        <f>+I54-'ROR-Model'!I54</f>
        <v>0</v>
      </c>
      <c r="K54" s="9"/>
      <c r="L54" s="9" t="s">
        <v>13</v>
      </c>
      <c r="M54" s="9">
        <f>VLOOKUP($L54,$L$2:$N$7,2,FALSE)*I54</f>
        <v>0</v>
      </c>
      <c r="N54" s="9">
        <f>VLOOKUP($L54,$L$2:$N$7,3,FALSE)*I54</f>
        <v>0</v>
      </c>
      <c r="O54" s="136"/>
      <c r="P54" s="142" t="s">
        <v>548</v>
      </c>
      <c r="Q54" s="9">
        <f>IF(P54="G",M54,IF(P54="PT",0,ERR))</f>
        <v>0</v>
      </c>
      <c r="R54" s="9">
        <f>IF(P54="PT",M54,IF(P54="G",0,ERR))</f>
        <v>0</v>
      </c>
      <c r="S54" s="142" t="s">
        <v>548</v>
      </c>
      <c r="T54" s="9">
        <f>IF(S54="G",N54,IF(S54="PT",0,ERR))</f>
        <v>0</v>
      </c>
      <c r="U54" s="9">
        <f>IF(S54="PT",N54,IF(S54="G",0,ERR))</f>
        <v>0</v>
      </c>
      <c r="V54" s="140"/>
      <c r="W54" s="9">
        <f>HLOOKUP($W$9,'ROR-Model'!$Q$10:$U$1263,Y54)</f>
        <v>0</v>
      </c>
      <c r="X54" s="156"/>
      <c r="Y54" s="918">
        <f t="shared" si="0"/>
        <v>45</v>
      </c>
      <c r="AA54" s="9">
        <v>0</v>
      </c>
      <c r="AC54" s="9" t="str">
        <f t="shared" si="1"/>
        <v/>
      </c>
      <c r="AE54" s="44" t="str">
        <f t="shared" si="2"/>
        <v/>
      </c>
    </row>
    <row r="55" spans="1:31">
      <c r="A55" s="153"/>
      <c r="B55" s="365"/>
      <c r="C55" s="365" t="s">
        <v>801</v>
      </c>
      <c r="D55" s="49"/>
      <c r="E55" s="9">
        <f>+G55-Adjustments!G55</f>
        <v>0</v>
      </c>
      <c r="F55" s="9"/>
      <c r="G55" s="9"/>
      <c r="H55" s="9"/>
      <c r="I55" s="9">
        <f>SUM($F$55:$H$55)</f>
        <v>0</v>
      </c>
      <c r="J55" s="9">
        <f>+I55-'ROR-Model'!I55</f>
        <v>0</v>
      </c>
      <c r="K55" s="9"/>
      <c r="L55" s="9" t="s">
        <v>13</v>
      </c>
      <c r="M55" s="9">
        <f>VLOOKUP($L55,$L$2:$N$7,2,FALSE)*I55</f>
        <v>0</v>
      </c>
      <c r="N55" s="9">
        <f>VLOOKUP($L55,$L$2:$N$7,3,FALSE)*I55</f>
        <v>0</v>
      </c>
      <c r="O55" s="136"/>
      <c r="P55" s="142" t="s">
        <v>548</v>
      </c>
      <c r="Q55" s="9">
        <f>IF(P55="G",M55,IF(P55="PT",0,ERR))</f>
        <v>0</v>
      </c>
      <c r="R55" s="9">
        <f>IF(P55="PT",M55,IF(P55="G",0,ERR))</f>
        <v>0</v>
      </c>
      <c r="S55" s="142" t="s">
        <v>548</v>
      </c>
      <c r="T55" s="9">
        <f>IF(S55="G",N55,IF(S55="PT",0,ERR))</f>
        <v>0</v>
      </c>
      <c r="U55" s="9">
        <f>IF(S55="PT",N55,IF(S55="G",0,ERR))</f>
        <v>0</v>
      </c>
      <c r="V55" s="140"/>
      <c r="W55" s="9">
        <f>HLOOKUP($W$9,'ROR-Model'!$Q$10:$U$1263,Y55)</f>
        <v>0</v>
      </c>
      <c r="X55" s="156"/>
      <c r="Y55" s="918">
        <f t="shared" si="0"/>
        <v>46</v>
      </c>
      <c r="AA55" s="9">
        <v>0</v>
      </c>
      <c r="AC55" s="9" t="str">
        <f t="shared" si="1"/>
        <v/>
      </c>
      <c r="AE55" s="44" t="str">
        <f t="shared" si="2"/>
        <v/>
      </c>
    </row>
    <row r="56" spans="1:31">
      <c r="A56" s="153"/>
      <c r="B56" s="63"/>
      <c r="C56" s="63" t="s">
        <v>802</v>
      </c>
      <c r="D56" s="49"/>
      <c r="E56" s="9">
        <f>+G56-Adjustments!G56</f>
        <v>0</v>
      </c>
      <c r="F56" s="9">
        <f>Revenue!$F$55</f>
        <v>0</v>
      </c>
      <c r="G56" s="9">
        <f>+Adjustments!U56</f>
        <v>0</v>
      </c>
      <c r="H56" s="9"/>
      <c r="I56" s="9">
        <f>SUM($F$56:$H$56)</f>
        <v>0</v>
      </c>
      <c r="J56" s="9">
        <f>+I56-'ROR-Model'!I56</f>
        <v>0</v>
      </c>
      <c r="K56" s="9"/>
      <c r="L56" s="9" t="s">
        <v>13</v>
      </c>
      <c r="M56" s="9">
        <f>VLOOKUP($L56,$L$2:$N$7,2,FALSE)*I56</f>
        <v>0</v>
      </c>
      <c r="N56" s="9">
        <f>VLOOKUP($L56,$L$2:$N$7,3,FALSE)*I56</f>
        <v>0</v>
      </c>
      <c r="O56" s="136"/>
      <c r="P56" s="142" t="s">
        <v>548</v>
      </c>
      <c r="Q56" s="9">
        <f>IF(P56="G",M56,IF(P56="PT",0,ERR))</f>
        <v>0</v>
      </c>
      <c r="R56" s="9">
        <f>IF(P56="PT",M56,IF(P56="G",0,ERR))</f>
        <v>0</v>
      </c>
      <c r="S56" s="142" t="s">
        <v>548</v>
      </c>
      <c r="T56" s="9">
        <f>IF(S56="G",N56,IF(S56="PT",0,ERR))</f>
        <v>0</v>
      </c>
      <c r="U56" s="9">
        <f>IF(S56="PT",N56,IF(S56="G",0,ERR))</f>
        <v>0</v>
      </c>
      <c r="V56" s="140"/>
      <c r="W56" s="9">
        <f>HLOOKUP($W$9,'ROR-Model'!$Q$10:$U$1263,Y56)</f>
        <v>0</v>
      </c>
      <c r="X56" s="156"/>
      <c r="Y56" s="918">
        <f t="shared" si="0"/>
        <v>47</v>
      </c>
      <c r="AA56" s="9">
        <v>0</v>
      </c>
      <c r="AC56" s="9" t="str">
        <f t="shared" si="1"/>
        <v/>
      </c>
      <c r="AE56" s="44" t="str">
        <f t="shared" si="2"/>
        <v/>
      </c>
    </row>
    <row r="57" spans="1:31">
      <c r="A57" s="153"/>
      <c r="B57" s="63"/>
      <c r="C57" s="365" t="s">
        <v>18</v>
      </c>
      <c r="D57" s="49"/>
      <c r="E57" s="157">
        <f>+G57-Adjustments!G57</f>
        <v>0</v>
      </c>
      <c r="F57" s="157">
        <f>SUM(F52:F56)</f>
        <v>0</v>
      </c>
      <c r="G57" s="157">
        <f>SUM(G52:G56)</f>
        <v>0</v>
      </c>
      <c r="H57" s="157">
        <f>SUM(H52:H56)</f>
        <v>0</v>
      </c>
      <c r="I57" s="157">
        <f>SUM(I52:I56)</f>
        <v>0</v>
      </c>
      <c r="J57" s="9">
        <f>+I57-'ROR-Model'!I57</f>
        <v>0</v>
      </c>
      <c r="K57" s="9"/>
      <c r="L57" s="157"/>
      <c r="M57" s="157">
        <f>SUM(M52:M56)</f>
        <v>0</v>
      </c>
      <c r="N57" s="157">
        <f>SUM(N52:N56)</f>
        <v>0</v>
      </c>
      <c r="O57" s="136"/>
      <c r="P57" s="226"/>
      <c r="Q57" s="157">
        <f>SUM(Q52:Q56)</f>
        <v>0</v>
      </c>
      <c r="R57" s="157">
        <f>SUM(R52:R56)</f>
        <v>0</v>
      </c>
      <c r="S57" s="226"/>
      <c r="T57" s="157">
        <f>SUM(T52:T56)</f>
        <v>0</v>
      </c>
      <c r="U57" s="157">
        <f>SUM(U52:U56)</f>
        <v>0</v>
      </c>
      <c r="V57" s="140"/>
      <c r="W57" s="157">
        <f>HLOOKUP($W$9,'ROR-Model'!$Q$10:$U$1263,Y57)</f>
        <v>0</v>
      </c>
      <c r="X57" s="156"/>
      <c r="Y57" s="918">
        <f t="shared" si="0"/>
        <v>48</v>
      </c>
      <c r="AA57" s="157">
        <v>0</v>
      </c>
      <c r="AC57" s="157" t="str">
        <f t="shared" si="1"/>
        <v/>
      </c>
      <c r="AE57" s="44" t="str">
        <f t="shared" si="2"/>
        <v/>
      </c>
    </row>
    <row r="58" spans="1:31">
      <c r="A58" s="153"/>
      <c r="B58" s="63"/>
      <c r="C58" s="365"/>
      <c r="D58" s="49"/>
      <c r="E58" s="9">
        <f>+G58-Adjustments!G58</f>
        <v>0</v>
      </c>
      <c r="F58" s="9"/>
      <c r="G58" s="9"/>
      <c r="H58" s="9"/>
      <c r="I58" s="9"/>
      <c r="J58" s="9">
        <f>+I58-'ROR-Model'!I58</f>
        <v>0</v>
      </c>
      <c r="K58" s="9"/>
      <c r="L58" s="9"/>
      <c r="M58" s="9"/>
      <c r="N58" s="9"/>
      <c r="O58" s="136"/>
      <c r="P58" s="142"/>
      <c r="Q58" s="9"/>
      <c r="R58" s="9"/>
      <c r="S58" s="142"/>
      <c r="T58" s="9"/>
      <c r="U58" s="9"/>
      <c r="V58" s="140"/>
      <c r="W58" s="9"/>
      <c r="X58" s="156"/>
      <c r="Y58" s="918">
        <f t="shared" si="0"/>
        <v>49</v>
      </c>
      <c r="AA58" s="9"/>
      <c r="AC58" s="9" t="str">
        <f t="shared" si="1"/>
        <v/>
      </c>
      <c r="AE58" s="44" t="str">
        <f t="shared" si="2"/>
        <v/>
      </c>
    </row>
    <row r="59" spans="1:31">
      <c r="A59" s="153"/>
      <c r="B59" s="63"/>
      <c r="C59" s="63" t="s">
        <v>75</v>
      </c>
      <c r="D59" s="49"/>
      <c r="E59" s="9">
        <f>+G59-Adjustments!G59</f>
        <v>0</v>
      </c>
      <c r="F59" s="9">
        <f>Revenue!$F$58</f>
        <v>0</v>
      </c>
      <c r="G59" s="9">
        <f>+Adjustments!U59</f>
        <v>0</v>
      </c>
      <c r="H59" s="9"/>
      <c r="I59" s="645">
        <f>SUM($F$59:$H$59)</f>
        <v>0</v>
      </c>
      <c r="J59" s="9">
        <f>+I59-'ROR-Model'!I59</f>
        <v>0</v>
      </c>
      <c r="K59" s="9"/>
      <c r="L59" s="9" t="s">
        <v>13</v>
      </c>
      <c r="M59" s="9">
        <f>VLOOKUP($L59,$L$2:$N$7,2,FALSE)*I59</f>
        <v>0</v>
      </c>
      <c r="N59" s="9">
        <f>VLOOKUP($L59,$L$2:$N$7,3,FALSE)*I59</f>
        <v>0</v>
      </c>
      <c r="O59" s="136"/>
      <c r="P59" s="142" t="s">
        <v>549</v>
      </c>
      <c r="Q59" s="9">
        <f>IF(P59="G",M59,IF(P59="PT",0,ERR))</f>
        <v>0</v>
      </c>
      <c r="R59" s="9">
        <f>IF(P59="PT",M59,IF(P59="G",0,ERR))</f>
        <v>0</v>
      </c>
      <c r="S59" s="142" t="s">
        <v>549</v>
      </c>
      <c r="T59" s="9">
        <f>IF(S59="G",N59,IF(S59="PT",0,ERR))</f>
        <v>0</v>
      </c>
      <c r="U59" s="9">
        <f>IF(S59="PT",N59,IF(S59="G",0,ERR))</f>
        <v>0</v>
      </c>
      <c r="V59" s="140"/>
      <c r="W59" s="9">
        <f>HLOOKUP($W$9,'ROR-Model'!$Q$10:$U$1263,Y59)</f>
        <v>0</v>
      </c>
      <c r="X59" s="156"/>
      <c r="Y59" s="918">
        <f t="shared" si="0"/>
        <v>50</v>
      </c>
      <c r="AA59" s="9">
        <v>0</v>
      </c>
      <c r="AC59" s="9" t="str">
        <f t="shared" si="1"/>
        <v/>
      </c>
      <c r="AE59" s="44" t="str">
        <f t="shared" si="2"/>
        <v/>
      </c>
    </row>
    <row r="60" spans="1:31">
      <c r="A60" s="153"/>
      <c r="B60" s="63"/>
      <c r="C60" s="63"/>
      <c r="D60" s="49"/>
      <c r="E60" s="9">
        <f>+G60-Adjustments!G60</f>
        <v>0</v>
      </c>
      <c r="F60" s="9"/>
      <c r="G60" s="9"/>
      <c r="H60" s="9"/>
      <c r="I60" s="9"/>
      <c r="J60" s="9">
        <f>+I60-'ROR-Model'!I60</f>
        <v>0</v>
      </c>
      <c r="K60" s="9"/>
      <c r="L60" s="9"/>
      <c r="M60" s="9"/>
      <c r="N60" s="9"/>
      <c r="O60" s="136"/>
      <c r="P60" s="142"/>
      <c r="Q60" s="9"/>
      <c r="R60" s="9"/>
      <c r="S60" s="142"/>
      <c r="T60" s="9"/>
      <c r="U60" s="9"/>
      <c r="V60" s="140"/>
      <c r="W60" s="9">
        <f>HLOOKUP($W$9,'ROR-Model'!$Q$10:$U$1263,Y60)</f>
        <v>0</v>
      </c>
      <c r="X60" s="156"/>
      <c r="Y60" s="918">
        <f t="shared" si="0"/>
        <v>51</v>
      </c>
      <c r="AA60" s="9">
        <v>0</v>
      </c>
      <c r="AC60" s="9" t="str">
        <f t="shared" si="1"/>
        <v/>
      </c>
      <c r="AE60" s="44" t="str">
        <f t="shared" si="2"/>
        <v/>
      </c>
    </row>
    <row r="61" spans="1:31">
      <c r="A61" s="644"/>
      <c r="B61" s="365" t="s">
        <v>798</v>
      </c>
      <c r="C61" s="365" t="s">
        <v>15</v>
      </c>
      <c r="D61" s="703"/>
      <c r="E61" s="645">
        <f>+G61-Adjustments!G61</f>
        <v>0</v>
      </c>
      <c r="F61" s="645">
        <f>Revenue!$F$60</f>
        <v>1777126.4168316997</v>
      </c>
      <c r="G61" s="645">
        <f>+Adjustments!U61</f>
        <v>0</v>
      </c>
      <c r="H61" s="645"/>
      <c r="I61" s="645">
        <f>SUM($F$61:$H$61)</f>
        <v>1777126.4168316997</v>
      </c>
      <c r="J61" s="9">
        <f>+I61-'ROR-Model'!I61</f>
        <v>0</v>
      </c>
      <c r="K61" s="645"/>
      <c r="L61" s="645" t="s">
        <v>13</v>
      </c>
      <c r="M61" s="645">
        <f>VLOOKUP($L61,$L$2:$N$7,2,FALSE)*I61</f>
        <v>1777126.4168316997</v>
      </c>
      <c r="N61" s="645">
        <f>VLOOKUP($L61,$L$2:$N$7,3,FALSE)*I61</f>
        <v>0</v>
      </c>
      <c r="O61" s="704"/>
      <c r="P61" s="705" t="s">
        <v>549</v>
      </c>
      <c r="Q61" s="645">
        <f>IF(P61="G",M61,IF(P61="PT",0,ERR))</f>
        <v>1777126.4168316997</v>
      </c>
      <c r="R61" s="645">
        <f>IF(P61="PT",M61,IF(P61="G",0,ERR))</f>
        <v>0</v>
      </c>
      <c r="S61" s="705" t="s">
        <v>549</v>
      </c>
      <c r="T61" s="645">
        <f>IF(S61="G",N61,IF(S61="PT",0,ERR))</f>
        <v>0</v>
      </c>
      <c r="U61" s="645">
        <f>IF(S61="PT",N61,IF(S61="G",0,ERR))</f>
        <v>0</v>
      </c>
      <c r="V61" s="706"/>
      <c r="W61" s="645">
        <f>HLOOKUP($W$9,'ROR-Model'!$Q$10:$U$1263,Y61)</f>
        <v>1777126.4168316997</v>
      </c>
      <c r="X61" s="707"/>
      <c r="Y61" s="918">
        <f t="shared" si="0"/>
        <v>52</v>
      </c>
      <c r="AA61" s="645">
        <v>0</v>
      </c>
      <c r="AC61" s="645" t="str">
        <f t="shared" si="1"/>
        <v/>
      </c>
      <c r="AE61" s="44" t="str">
        <f t="shared" si="2"/>
        <v/>
      </c>
    </row>
    <row r="62" spans="1:31">
      <c r="A62" s="644"/>
      <c r="B62" s="365"/>
      <c r="C62" s="365"/>
      <c r="D62" s="703"/>
      <c r="E62" s="645">
        <f>+G62-Adjustments!G62</f>
        <v>0</v>
      </c>
      <c r="F62" s="645">
        <f>Revenue!$F$61</f>
        <v>0</v>
      </c>
      <c r="G62" s="645"/>
      <c r="H62" s="645"/>
      <c r="I62" s="645"/>
      <c r="J62" s="9">
        <f>+I62-'ROR-Model'!I62</f>
        <v>0</v>
      </c>
      <c r="K62" s="645"/>
      <c r="L62" s="645"/>
      <c r="M62" s="645"/>
      <c r="N62" s="645"/>
      <c r="O62" s="704"/>
      <c r="P62" s="705"/>
      <c r="Q62" s="645"/>
      <c r="R62" s="645"/>
      <c r="S62" s="705"/>
      <c r="T62" s="645"/>
      <c r="U62" s="645"/>
      <c r="V62" s="706"/>
      <c r="W62" s="645">
        <f>HLOOKUP($W$9,'ROR-Model'!$Q$10:$U$1263,Y62)</f>
        <v>0</v>
      </c>
      <c r="X62" s="707"/>
      <c r="Y62" s="918">
        <f t="shared" si="0"/>
        <v>53</v>
      </c>
      <c r="AA62" s="645">
        <v>0</v>
      </c>
      <c r="AC62" s="645" t="str">
        <f t="shared" si="1"/>
        <v/>
      </c>
      <c r="AE62" s="44" t="str">
        <f t="shared" si="2"/>
        <v/>
      </c>
    </row>
    <row r="63" spans="1:31">
      <c r="A63" s="644"/>
      <c r="B63" s="365"/>
      <c r="C63" s="365" t="s">
        <v>16</v>
      </c>
      <c r="D63" s="703"/>
      <c r="E63" s="645">
        <f>+G63-Adjustments!G63</f>
        <v>0</v>
      </c>
      <c r="F63" s="645">
        <f>Revenue!$F$62</f>
        <v>265317.09801070008</v>
      </c>
      <c r="G63" s="645">
        <f>+Adjustments!U63</f>
        <v>0</v>
      </c>
      <c r="H63" s="645"/>
      <c r="I63" s="645">
        <f>SUM($F$63:$H$63)</f>
        <v>265317.09801070008</v>
      </c>
      <c r="J63" s="9">
        <f>+I63-'ROR-Model'!I63</f>
        <v>0</v>
      </c>
      <c r="K63" s="645"/>
      <c r="L63" s="645" t="s">
        <v>13</v>
      </c>
      <c r="M63" s="645">
        <f>VLOOKUP($L63,$L$2:$N$7,2,FALSE)*I63</f>
        <v>265317.09801070008</v>
      </c>
      <c r="N63" s="645">
        <f>VLOOKUP($L63,$L$2:$N$7,3,FALSE)*I63</f>
        <v>0</v>
      </c>
      <c r="O63" s="704"/>
      <c r="P63" s="705" t="s">
        <v>548</v>
      </c>
      <c r="Q63" s="645">
        <f>IF(P63="G",M63,IF(P63="PT",0,ERR))</f>
        <v>0</v>
      </c>
      <c r="R63" s="645">
        <f>IF(P63="PT",M63,IF(P63="G",0,ERR))</f>
        <v>265317.09801070008</v>
      </c>
      <c r="S63" s="705" t="s">
        <v>548</v>
      </c>
      <c r="T63" s="645">
        <f>IF(S63="G",N63,IF(S63="PT",0,ERR))</f>
        <v>0</v>
      </c>
      <c r="U63" s="645">
        <f>IF(S63="PT",N63,IF(S63="G",0,ERR))</f>
        <v>0</v>
      </c>
      <c r="V63" s="706"/>
      <c r="W63" s="645">
        <f>HLOOKUP($W$9,'ROR-Model'!$Q$10:$U$1263,Y63)</f>
        <v>0</v>
      </c>
      <c r="X63" s="707"/>
      <c r="Y63" s="918">
        <f t="shared" si="0"/>
        <v>54</v>
      </c>
      <c r="AA63" s="645">
        <v>0</v>
      </c>
      <c r="AC63" s="645" t="str">
        <f t="shared" si="1"/>
        <v/>
      </c>
      <c r="AE63" s="44" t="str">
        <f t="shared" si="2"/>
        <v/>
      </c>
    </row>
    <row r="64" spans="1:31">
      <c r="A64" s="644"/>
      <c r="B64" s="365"/>
      <c r="C64" s="365"/>
      <c r="D64" s="703"/>
      <c r="E64" s="645">
        <f>+G64-Adjustments!G64</f>
        <v>0</v>
      </c>
      <c r="F64" s="645">
        <f>Revenue!$F$63</f>
        <v>0</v>
      </c>
      <c r="G64" s="645"/>
      <c r="H64" s="645"/>
      <c r="I64" s="645"/>
      <c r="J64" s="9">
        <f>+I64-'ROR-Model'!I64</f>
        <v>0</v>
      </c>
      <c r="K64" s="645"/>
      <c r="L64" s="645"/>
      <c r="M64" s="645"/>
      <c r="N64" s="645"/>
      <c r="O64" s="704"/>
      <c r="P64" s="705"/>
      <c r="Q64" s="645"/>
      <c r="R64" s="645"/>
      <c r="S64" s="705"/>
      <c r="T64" s="645"/>
      <c r="U64" s="645"/>
      <c r="V64" s="706"/>
      <c r="W64" s="645">
        <f>HLOOKUP($W$9,'ROR-Model'!$Q$10:$U$1263,Y64)</f>
        <v>0</v>
      </c>
      <c r="X64" s="707"/>
      <c r="Y64" s="918">
        <f t="shared" si="0"/>
        <v>55</v>
      </c>
      <c r="AA64" s="645">
        <v>0</v>
      </c>
      <c r="AC64" s="645" t="str">
        <f t="shared" si="1"/>
        <v/>
      </c>
      <c r="AE64" s="44" t="str">
        <f t="shared" si="2"/>
        <v/>
      </c>
    </row>
    <row r="65" spans="1:31">
      <c r="A65" s="644"/>
      <c r="B65" s="365"/>
      <c r="C65" s="365" t="s">
        <v>17</v>
      </c>
      <c r="D65" s="703"/>
      <c r="E65" s="645">
        <f>+G65-Adjustments!G65</f>
        <v>0</v>
      </c>
      <c r="F65" s="645">
        <f>Revenue!$F$64</f>
        <v>1200610.4451576001</v>
      </c>
      <c r="G65" s="645">
        <f>+Adjustments!U65</f>
        <v>0</v>
      </c>
      <c r="H65" s="645"/>
      <c r="I65" s="645">
        <f>SUM($F$65:$H$65)</f>
        <v>1200610.4451576001</v>
      </c>
      <c r="J65" s="9">
        <f>+I65-'ROR-Model'!I65</f>
        <v>0</v>
      </c>
      <c r="K65" s="645"/>
      <c r="L65" s="645" t="s">
        <v>13</v>
      </c>
      <c r="M65" s="645">
        <f>VLOOKUP($L65,$L$2:$N$7,2,FALSE)*I65</f>
        <v>1200610.4451576001</v>
      </c>
      <c r="N65" s="645">
        <f>VLOOKUP($L65,$L$2:$N$7,3,FALSE)*I65</f>
        <v>0</v>
      </c>
      <c r="O65" s="704"/>
      <c r="P65" s="705" t="s">
        <v>548</v>
      </c>
      <c r="Q65" s="645">
        <f>IF(P65="G",M65,IF(P65="PT",0,ERR))</f>
        <v>0</v>
      </c>
      <c r="R65" s="645">
        <f>IF(P65="PT",M65,IF(P65="G",0,ERR))</f>
        <v>1200610.4451576001</v>
      </c>
      <c r="S65" s="705" t="s">
        <v>548</v>
      </c>
      <c r="T65" s="645">
        <f>IF(S65="G",N65,IF(S65="PT",0,ERR))</f>
        <v>0</v>
      </c>
      <c r="U65" s="645">
        <f>IF(S65="PT",N65,IF(S65="G",0,ERR))</f>
        <v>0</v>
      </c>
      <c r="V65" s="706"/>
      <c r="W65" s="645">
        <f>HLOOKUP($W$9,'ROR-Model'!$Q$10:$U$1263,Y65)</f>
        <v>0</v>
      </c>
      <c r="X65" s="707"/>
      <c r="Y65" s="918">
        <f t="shared" si="0"/>
        <v>56</v>
      </c>
      <c r="AA65" s="645">
        <v>0</v>
      </c>
      <c r="AC65" s="645" t="str">
        <f t="shared" si="1"/>
        <v/>
      </c>
      <c r="AE65" s="44" t="str">
        <f t="shared" si="2"/>
        <v/>
      </c>
    </row>
    <row r="66" spans="1:31">
      <c r="A66" s="644"/>
      <c r="B66" s="365"/>
      <c r="C66" s="365" t="s">
        <v>18</v>
      </c>
      <c r="D66" s="703"/>
      <c r="E66" s="646">
        <f>+G66-Adjustments!G66</f>
        <v>0</v>
      </c>
      <c r="F66" s="646">
        <f>SUM(F61:F65)</f>
        <v>3243053.96</v>
      </c>
      <c r="G66" s="646">
        <f>SUM(G61:G65)</f>
        <v>0</v>
      </c>
      <c r="H66" s="646">
        <f>SUM(H61:H65)</f>
        <v>0</v>
      </c>
      <c r="I66" s="646">
        <f>SUM(I61:I65)</f>
        <v>3243053.96</v>
      </c>
      <c r="J66" s="9">
        <f>+I66-'ROR-Model'!I66</f>
        <v>0</v>
      </c>
      <c r="K66" s="645"/>
      <c r="L66" s="646"/>
      <c r="M66" s="646">
        <f>SUM(M61:M65)</f>
        <v>3243053.96</v>
      </c>
      <c r="N66" s="646">
        <f>SUM(N61:N65)</f>
        <v>0</v>
      </c>
      <c r="O66" s="704"/>
      <c r="P66" s="708"/>
      <c r="Q66" s="646">
        <f>SUM(Q61:Q65)</f>
        <v>1777126.4168316997</v>
      </c>
      <c r="R66" s="646">
        <f>SUM(R61:R65)</f>
        <v>1465927.5431683003</v>
      </c>
      <c r="S66" s="708"/>
      <c r="T66" s="646">
        <f>SUM(T61:T65)</f>
        <v>0</v>
      </c>
      <c r="U66" s="646">
        <f>SUM(U61:U65)</f>
        <v>0</v>
      </c>
      <c r="V66" s="706"/>
      <c r="W66" s="646">
        <f>HLOOKUP($W$9,'ROR-Model'!$Q$10:$U$1263,Y66)</f>
        <v>1777126.4168316997</v>
      </c>
      <c r="X66" s="707"/>
      <c r="Y66" s="918">
        <f t="shared" si="0"/>
        <v>57</v>
      </c>
      <c r="AA66" s="646">
        <v>0</v>
      </c>
      <c r="AC66" s="646" t="str">
        <f t="shared" si="1"/>
        <v/>
      </c>
      <c r="AE66" s="44" t="str">
        <f t="shared" si="2"/>
        <v/>
      </c>
    </row>
    <row r="67" spans="1:31">
      <c r="A67" s="644"/>
      <c r="B67" s="365"/>
      <c r="C67" s="365"/>
      <c r="D67" s="703"/>
      <c r="E67" s="645">
        <f>+G67-Adjustments!G67</f>
        <v>0</v>
      </c>
      <c r="F67" s="645"/>
      <c r="G67" s="645"/>
      <c r="H67" s="645"/>
      <c r="I67" s="645"/>
      <c r="J67" s="9">
        <f>+I67-'ROR-Model'!I67</f>
        <v>0</v>
      </c>
      <c r="K67" s="645"/>
      <c r="L67" s="645"/>
      <c r="M67" s="645"/>
      <c r="N67" s="645"/>
      <c r="O67" s="704"/>
      <c r="P67" s="705"/>
      <c r="Q67" s="645"/>
      <c r="R67" s="645"/>
      <c r="S67" s="705"/>
      <c r="T67" s="645"/>
      <c r="U67" s="645"/>
      <c r="V67" s="706"/>
      <c r="W67" s="645"/>
      <c r="X67" s="707"/>
      <c r="Y67" s="918">
        <f t="shared" si="0"/>
        <v>58</v>
      </c>
      <c r="AA67" s="645"/>
      <c r="AC67" s="645" t="str">
        <f t="shared" si="1"/>
        <v/>
      </c>
      <c r="AE67" s="44" t="str">
        <f t="shared" si="2"/>
        <v/>
      </c>
    </row>
    <row r="68" spans="1:31">
      <c r="A68" s="644"/>
      <c r="B68" s="365"/>
      <c r="C68" s="365" t="s">
        <v>19</v>
      </c>
      <c r="D68" s="703"/>
      <c r="E68" s="645">
        <f>+G68-Adjustments!G68</f>
        <v>0</v>
      </c>
      <c r="F68" s="645">
        <f>Revenue!$F$67</f>
        <v>297834.61000000004</v>
      </c>
      <c r="G68" s="645">
        <f>+Adjustments!U68</f>
        <v>0</v>
      </c>
      <c r="H68" s="645"/>
      <c r="I68" s="645">
        <f>SUM($F$68:$H$68)</f>
        <v>297834.61000000004</v>
      </c>
      <c r="J68" s="9">
        <f>+I68-'ROR-Model'!I68</f>
        <v>0</v>
      </c>
      <c r="K68" s="645"/>
      <c r="L68" s="645" t="s">
        <v>13</v>
      </c>
      <c r="M68" s="645">
        <f>VLOOKUP($L68,$L$2:$N$7,2,FALSE)*I68</f>
        <v>297834.61000000004</v>
      </c>
      <c r="N68" s="645">
        <f>VLOOKUP($L68,$L$2:$N$7,3,FALSE)*I68</f>
        <v>0</v>
      </c>
      <c r="O68" s="704"/>
      <c r="P68" s="705" t="s">
        <v>549</v>
      </c>
      <c r="Q68" s="645">
        <f>IF(P68="G",M68,IF(P68="PT",0,ERR))</f>
        <v>297834.61000000004</v>
      </c>
      <c r="R68" s="645">
        <f>IF(P68="PT",M68,IF(P68="G",0,ERR))</f>
        <v>0</v>
      </c>
      <c r="S68" s="705" t="s">
        <v>549</v>
      </c>
      <c r="T68" s="645">
        <f>IF(S68="G",N68,IF(S68="PT",0,ERR))</f>
        <v>0</v>
      </c>
      <c r="U68" s="645">
        <f>IF(S68="PT",N68,IF(S68="G",0,ERR))</f>
        <v>0</v>
      </c>
      <c r="V68" s="706"/>
      <c r="W68" s="645">
        <f>HLOOKUP($W$9,'ROR-Model'!$Q$10:$U$1263,Y68)</f>
        <v>297834.61000000004</v>
      </c>
      <c r="X68" s="707"/>
      <c r="Y68" s="918">
        <f t="shared" si="0"/>
        <v>59</v>
      </c>
      <c r="AA68" s="645">
        <v>0</v>
      </c>
      <c r="AC68" s="645" t="str">
        <f t="shared" si="1"/>
        <v/>
      </c>
      <c r="AE68" s="44" t="str">
        <f t="shared" si="2"/>
        <v/>
      </c>
    </row>
    <row r="69" spans="1:31">
      <c r="A69" s="153"/>
      <c r="B69" s="63"/>
      <c r="C69" s="63"/>
      <c r="D69" s="49"/>
      <c r="E69" s="9">
        <f>+G69-Adjustments!G69</f>
        <v>0</v>
      </c>
      <c r="F69" s="9"/>
      <c r="G69" s="9"/>
      <c r="H69" s="9"/>
      <c r="I69" s="9"/>
      <c r="J69" s="9">
        <f>+I69-'ROR-Model'!I69</f>
        <v>0</v>
      </c>
      <c r="K69" s="9"/>
      <c r="L69" s="9"/>
      <c r="M69" s="9"/>
      <c r="N69" s="9"/>
      <c r="O69" s="136"/>
      <c r="P69" s="142"/>
      <c r="Q69" s="9"/>
      <c r="R69" s="9"/>
      <c r="S69" s="142"/>
      <c r="T69" s="9"/>
      <c r="U69" s="9"/>
      <c r="V69" s="140"/>
      <c r="W69" s="9"/>
      <c r="X69" s="156"/>
      <c r="Y69" s="918">
        <f t="shared" si="0"/>
        <v>60</v>
      </c>
      <c r="AA69" s="9"/>
      <c r="AC69" s="9" t="str">
        <f t="shared" si="1"/>
        <v/>
      </c>
      <c r="AE69" s="44" t="str">
        <f t="shared" si="2"/>
        <v/>
      </c>
    </row>
    <row r="70" spans="1:31">
      <c r="A70" s="153"/>
      <c r="B70" s="365" t="s">
        <v>4</v>
      </c>
      <c r="C70" s="365" t="s">
        <v>15</v>
      </c>
      <c r="D70" s="49"/>
      <c r="E70" s="9">
        <f>+G70-Adjustments!G70</f>
        <v>0</v>
      </c>
      <c r="F70" s="9">
        <f>Revenue!$F$69</f>
        <v>0</v>
      </c>
      <c r="G70" s="9">
        <f>+Adjustments!U70</f>
        <v>0</v>
      </c>
      <c r="H70" s="9"/>
      <c r="I70" s="9">
        <f>SUM($F$70:$H$70)</f>
        <v>0</v>
      </c>
      <c r="J70" s="9">
        <f>+I70-'ROR-Model'!I70</f>
        <v>0</v>
      </c>
      <c r="K70" s="9"/>
      <c r="L70" s="9" t="s">
        <v>13</v>
      </c>
      <c r="M70" s="9">
        <f>VLOOKUP($L70,$L$2:$N$7,2,FALSE)*I70</f>
        <v>0</v>
      </c>
      <c r="N70" s="9">
        <f>VLOOKUP($L70,$L$2:$N$7,3,FALSE)*I70</f>
        <v>0</v>
      </c>
      <c r="O70" s="136"/>
      <c r="P70" s="142" t="s">
        <v>549</v>
      </c>
      <c r="Q70" s="9">
        <f>IF(P70="G",M70,IF(P70="PT",0,ERR))</f>
        <v>0</v>
      </c>
      <c r="R70" s="9">
        <f>IF(P70="PT",M70,IF(P70="G",0,ERR))</f>
        <v>0</v>
      </c>
      <c r="S70" s="142" t="s">
        <v>549</v>
      </c>
      <c r="T70" s="9">
        <f>IF(S70="G",N70,IF(S70="PT",0,ERR))</f>
        <v>0</v>
      </c>
      <c r="U70" s="9">
        <f>IF(S70="PT",N70,IF(S70="G",0,ERR))</f>
        <v>0</v>
      </c>
      <c r="V70" s="140"/>
      <c r="W70" s="9">
        <f>HLOOKUP($W$9,'ROR-Model'!$Q$10:$U$1263,Y70)</f>
        <v>0</v>
      </c>
      <c r="X70" s="156"/>
      <c r="Y70" s="918">
        <f t="shared" si="0"/>
        <v>61</v>
      </c>
      <c r="AA70" s="9">
        <v>0</v>
      </c>
      <c r="AC70" s="9" t="str">
        <f t="shared" si="1"/>
        <v/>
      </c>
      <c r="AE70" s="44" t="str">
        <f t="shared" si="2"/>
        <v/>
      </c>
    </row>
    <row r="71" spans="1:31">
      <c r="A71" s="153"/>
      <c r="B71" s="365"/>
      <c r="C71" s="365"/>
      <c r="D71" s="49"/>
      <c r="E71" s="9">
        <f>+G71-Adjustments!G71</f>
        <v>0</v>
      </c>
      <c r="F71" s="9"/>
      <c r="G71" s="9"/>
      <c r="H71" s="9"/>
      <c r="I71" s="9"/>
      <c r="J71" s="9">
        <f>+I71-'ROR-Model'!I71</f>
        <v>0</v>
      </c>
      <c r="K71" s="9"/>
      <c r="L71" s="9"/>
      <c r="M71" s="9"/>
      <c r="N71" s="9"/>
      <c r="O71" s="136"/>
      <c r="P71" s="142"/>
      <c r="Q71" s="9"/>
      <c r="R71" s="9"/>
      <c r="S71" s="142"/>
      <c r="T71" s="9"/>
      <c r="U71" s="9"/>
      <c r="V71" s="140"/>
      <c r="W71" s="9"/>
      <c r="X71" s="156"/>
      <c r="Y71" s="918">
        <f t="shared" si="0"/>
        <v>62</v>
      </c>
      <c r="AA71" s="9"/>
      <c r="AC71" s="9" t="str">
        <f t="shared" si="1"/>
        <v/>
      </c>
      <c r="AE71" s="44" t="str">
        <f t="shared" si="2"/>
        <v/>
      </c>
    </row>
    <row r="72" spans="1:31">
      <c r="A72" s="153"/>
      <c r="B72" s="365"/>
      <c r="C72" s="365" t="s">
        <v>16</v>
      </c>
      <c r="D72" s="49"/>
      <c r="E72" s="9">
        <f>+G72-Adjustments!G72</f>
        <v>0</v>
      </c>
      <c r="F72" s="9">
        <f>Revenue!$F$71</f>
        <v>0</v>
      </c>
      <c r="G72" s="9">
        <f>+Adjustments!U72</f>
        <v>0</v>
      </c>
      <c r="H72" s="9"/>
      <c r="I72" s="9">
        <f>SUM($F$72:$H$72)</f>
        <v>0</v>
      </c>
      <c r="J72" s="9">
        <f>+I72-'ROR-Model'!I72</f>
        <v>0</v>
      </c>
      <c r="K72" s="9"/>
      <c r="L72" s="9" t="s">
        <v>13</v>
      </c>
      <c r="M72" s="9">
        <f>VLOOKUP($L72,$L$2:$N$7,2,FALSE)*I72</f>
        <v>0</v>
      </c>
      <c r="N72" s="9">
        <f>VLOOKUP($L72,$L$2:$N$7,3,FALSE)*I72</f>
        <v>0</v>
      </c>
      <c r="O72" s="136"/>
      <c r="P72" s="142" t="s">
        <v>548</v>
      </c>
      <c r="Q72" s="9">
        <f>IF(P72="G",M72,IF(P72="PT",0,ERR))</f>
        <v>0</v>
      </c>
      <c r="R72" s="9">
        <f>IF(P72="PT",M72,IF(P72="G",0,ERR))</f>
        <v>0</v>
      </c>
      <c r="S72" s="142" t="s">
        <v>548</v>
      </c>
      <c r="T72" s="9">
        <f>IF(S72="G",N72,IF(S72="PT",0,ERR))</f>
        <v>0</v>
      </c>
      <c r="U72" s="9">
        <f>IF(S72="PT",N72,IF(S72="G",0,ERR))</f>
        <v>0</v>
      </c>
      <c r="V72" s="140"/>
      <c r="W72" s="9">
        <f>HLOOKUP($W$9,'ROR-Model'!$Q$10:$U$1263,Y72)</f>
        <v>0</v>
      </c>
      <c r="X72" s="156"/>
      <c r="Y72" s="918">
        <f t="shared" si="0"/>
        <v>63</v>
      </c>
      <c r="AA72" s="9">
        <v>0</v>
      </c>
      <c r="AC72" s="9" t="str">
        <f t="shared" si="1"/>
        <v/>
      </c>
      <c r="AE72" s="44" t="str">
        <f t="shared" si="2"/>
        <v/>
      </c>
    </row>
    <row r="73" spans="1:31">
      <c r="A73" s="153"/>
      <c r="B73" s="365"/>
      <c r="C73" s="365"/>
      <c r="D73" s="49"/>
      <c r="E73" s="9">
        <f>+G73-Adjustments!G73</f>
        <v>0</v>
      </c>
      <c r="F73" s="9"/>
      <c r="G73" s="9"/>
      <c r="H73" s="9"/>
      <c r="I73" s="9"/>
      <c r="J73" s="9">
        <f>+I73-'ROR-Model'!I73</f>
        <v>0</v>
      </c>
      <c r="K73" s="9"/>
      <c r="L73" s="9"/>
      <c r="M73" s="9"/>
      <c r="N73" s="9"/>
      <c r="O73" s="136"/>
      <c r="P73" s="142"/>
      <c r="Q73" s="9"/>
      <c r="R73" s="9"/>
      <c r="S73" s="142"/>
      <c r="T73" s="9"/>
      <c r="U73" s="9"/>
      <c r="V73" s="140"/>
      <c r="W73" s="9"/>
      <c r="X73" s="156"/>
      <c r="Y73" s="918">
        <f t="shared" si="0"/>
        <v>64</v>
      </c>
      <c r="AA73" s="9"/>
      <c r="AC73" s="9" t="str">
        <f t="shared" si="1"/>
        <v/>
      </c>
      <c r="AE73" s="44" t="str">
        <f t="shared" si="2"/>
        <v/>
      </c>
    </row>
    <row r="74" spans="1:31">
      <c r="A74" s="153"/>
      <c r="B74" s="365"/>
      <c r="C74" s="365" t="s">
        <v>17</v>
      </c>
      <c r="D74" s="49"/>
      <c r="E74" s="9">
        <f>+G74-Adjustments!G74</f>
        <v>0</v>
      </c>
      <c r="F74" s="9">
        <f>Revenue!$F$73</f>
        <v>0</v>
      </c>
      <c r="G74" s="9">
        <f>+Adjustments!U74</f>
        <v>0</v>
      </c>
      <c r="H74" s="9"/>
      <c r="I74" s="9">
        <f>SUM($F$74:$H$74)</f>
        <v>0</v>
      </c>
      <c r="J74" s="9">
        <f>+I74-'ROR-Model'!I74</f>
        <v>0</v>
      </c>
      <c r="K74" s="9"/>
      <c r="L74" s="9" t="s">
        <v>13</v>
      </c>
      <c r="M74" s="9">
        <f>VLOOKUP($L74,$L$2:$N$7,2,FALSE)*I74</f>
        <v>0</v>
      </c>
      <c r="N74" s="9">
        <f>VLOOKUP($L74,$L$2:$N$7,3,FALSE)*I74</f>
        <v>0</v>
      </c>
      <c r="O74" s="136"/>
      <c r="P74" s="142" t="s">
        <v>548</v>
      </c>
      <c r="Q74" s="9">
        <f>IF(P74="G",M74,IF(P74="PT",0,ERR))</f>
        <v>0</v>
      </c>
      <c r="R74" s="9">
        <f>IF(P74="PT",M74,IF(P74="G",0,ERR))</f>
        <v>0</v>
      </c>
      <c r="S74" s="142" t="s">
        <v>548</v>
      </c>
      <c r="T74" s="9">
        <f>IF(S74="G",N74,IF(S74="PT",0,ERR))</f>
        <v>0</v>
      </c>
      <c r="U74" s="9">
        <f>IF(S74="PT",N74,IF(S74="G",0,ERR))</f>
        <v>0</v>
      </c>
      <c r="V74" s="140"/>
      <c r="W74" s="9">
        <f>HLOOKUP($W$9,'ROR-Model'!$Q$10:$U$1263,Y74)</f>
        <v>0</v>
      </c>
      <c r="X74" s="156"/>
      <c r="Y74" s="918">
        <f t="shared" si="0"/>
        <v>65</v>
      </c>
      <c r="AA74" s="9">
        <v>0</v>
      </c>
      <c r="AC74" s="9" t="str">
        <f t="shared" si="1"/>
        <v/>
      </c>
      <c r="AE74" s="44" t="str">
        <f t="shared" si="2"/>
        <v/>
      </c>
    </row>
    <row r="75" spans="1:31">
      <c r="A75" s="153"/>
      <c r="B75" s="365"/>
      <c r="C75" s="365" t="s">
        <v>18</v>
      </c>
      <c r="D75" s="49"/>
      <c r="E75" s="157">
        <f>+G75-Adjustments!G75</f>
        <v>0</v>
      </c>
      <c r="F75" s="157">
        <f>SUM(F70:F74)</f>
        <v>0</v>
      </c>
      <c r="G75" s="157">
        <f>SUM(G70:G74)</f>
        <v>0</v>
      </c>
      <c r="H75" s="157">
        <f>SUM(H70:H74)</f>
        <v>0</v>
      </c>
      <c r="I75" s="157">
        <f>SUM(I70:I74)</f>
        <v>0</v>
      </c>
      <c r="J75" s="9">
        <f>+I75-'ROR-Model'!I75</f>
        <v>0</v>
      </c>
      <c r="K75" s="9"/>
      <c r="L75" s="157"/>
      <c r="M75" s="157">
        <f>SUM(M70:M74)</f>
        <v>0</v>
      </c>
      <c r="N75" s="157">
        <f>SUM(N70:N74)</f>
        <v>0</v>
      </c>
      <c r="O75" s="136"/>
      <c r="P75" s="226"/>
      <c r="Q75" s="157">
        <f>SUM(Q70:Q74)</f>
        <v>0</v>
      </c>
      <c r="R75" s="157">
        <f>SUM(R70:R74)</f>
        <v>0</v>
      </c>
      <c r="S75" s="226"/>
      <c r="T75" s="157">
        <f>SUM(T70:T74)</f>
        <v>0</v>
      </c>
      <c r="U75" s="157">
        <f>SUM(U70:U74)</f>
        <v>0</v>
      </c>
      <c r="V75" s="140"/>
      <c r="W75" s="157">
        <f>HLOOKUP($W$9,'ROR-Model'!$Q$10:$U$1263,Y75)</f>
        <v>0</v>
      </c>
      <c r="X75" s="156"/>
      <c r="Y75" s="918">
        <f t="shared" si="0"/>
        <v>66</v>
      </c>
      <c r="AA75" s="157">
        <v>0</v>
      </c>
      <c r="AC75" s="157" t="str">
        <f t="shared" si="1"/>
        <v/>
      </c>
      <c r="AE75" s="44" t="str">
        <f t="shared" si="2"/>
        <v/>
      </c>
    </row>
    <row r="76" spans="1:31">
      <c r="A76" s="153"/>
      <c r="B76" s="365"/>
      <c r="C76" s="365"/>
      <c r="D76" s="49"/>
      <c r="E76" s="9">
        <f>+G76-Adjustments!G76</f>
        <v>0</v>
      </c>
      <c r="F76" s="9"/>
      <c r="G76" s="9"/>
      <c r="H76" s="9"/>
      <c r="I76" s="9"/>
      <c r="J76" s="9">
        <f>+I76-'ROR-Model'!I76</f>
        <v>0</v>
      </c>
      <c r="K76" s="9"/>
      <c r="L76" s="9"/>
      <c r="M76" s="9"/>
      <c r="N76" s="9"/>
      <c r="O76" s="136"/>
      <c r="P76" s="142"/>
      <c r="Q76" s="9"/>
      <c r="R76" s="9"/>
      <c r="S76" s="142"/>
      <c r="T76" s="9"/>
      <c r="U76" s="9"/>
      <c r="V76" s="140"/>
      <c r="W76" s="9"/>
      <c r="X76" s="156"/>
      <c r="Y76" s="918">
        <f t="shared" ref="Y76:Y139" si="3">Y75+1</f>
        <v>67</v>
      </c>
      <c r="AA76" s="9"/>
      <c r="AC76" s="9" t="str">
        <f t="shared" si="1"/>
        <v/>
      </c>
      <c r="AE76" s="44" t="str">
        <f t="shared" si="2"/>
        <v/>
      </c>
    </row>
    <row r="77" spans="1:31">
      <c r="A77" s="153"/>
      <c r="B77" s="365"/>
      <c r="C77" s="365" t="s">
        <v>19</v>
      </c>
      <c r="D77" s="49"/>
      <c r="E77" s="9">
        <f>+G77-Adjustments!G77</f>
        <v>0</v>
      </c>
      <c r="F77" s="9">
        <f>Revenue!$F$76</f>
        <v>0</v>
      </c>
      <c r="G77" s="9">
        <f>+Adjustments!U77</f>
        <v>0</v>
      </c>
      <c r="H77" s="9"/>
      <c r="I77" s="645">
        <f>SUM($F$77:$H$77)</f>
        <v>0</v>
      </c>
      <c r="J77" s="9">
        <f>+I77-'ROR-Model'!I77</f>
        <v>0</v>
      </c>
      <c r="K77" s="9"/>
      <c r="L77" s="9" t="s">
        <v>13</v>
      </c>
      <c r="M77" s="9">
        <f>VLOOKUP($L77,$L$2:$N$7,2,FALSE)*I77</f>
        <v>0</v>
      </c>
      <c r="N77" s="9">
        <f>VLOOKUP($L77,$L$2:$N$7,3,FALSE)*I77</f>
        <v>0</v>
      </c>
      <c r="O77" s="136"/>
      <c r="P77" s="142" t="s">
        <v>549</v>
      </c>
      <c r="Q77" s="9">
        <f>IF(P77="G",M77,IF(P77="PT",0,ERR))</f>
        <v>0</v>
      </c>
      <c r="R77" s="9">
        <f>IF(P77="PT",M77,IF(P77="G",0,ERR))</f>
        <v>0</v>
      </c>
      <c r="S77" s="142" t="s">
        <v>549</v>
      </c>
      <c r="T77" s="9">
        <f>IF(S77="G",N77,IF(S77="PT",0,ERR))</f>
        <v>0</v>
      </c>
      <c r="U77" s="9">
        <f>IF(S77="PT",N77,IF(S77="G",0,ERR))</f>
        <v>0</v>
      </c>
      <c r="V77" s="140"/>
      <c r="W77" s="9">
        <f>HLOOKUP($W$9,'ROR-Model'!$Q$10:$U$1263,Y77)</f>
        <v>0</v>
      </c>
      <c r="X77" s="156"/>
      <c r="Y77" s="918">
        <f t="shared" si="3"/>
        <v>68</v>
      </c>
      <c r="AA77" s="9">
        <v>0</v>
      </c>
      <c r="AC77" s="9" t="str">
        <f t="shared" si="1"/>
        <v/>
      </c>
      <c r="AE77" s="44" t="str">
        <f t="shared" si="2"/>
        <v/>
      </c>
    </row>
    <row r="78" spans="1:31">
      <c r="A78" s="153"/>
      <c r="B78" s="365"/>
      <c r="C78" s="365"/>
      <c r="D78" s="49"/>
      <c r="E78" s="9">
        <f>+G78-Adjustments!G78</f>
        <v>0</v>
      </c>
      <c r="F78" s="9"/>
      <c r="G78" s="9"/>
      <c r="H78" s="9"/>
      <c r="I78" s="9"/>
      <c r="J78" s="9">
        <f>+I78-'ROR-Model'!I78</f>
        <v>0</v>
      </c>
      <c r="K78" s="9"/>
      <c r="L78" s="9"/>
      <c r="M78" s="9"/>
      <c r="N78" s="9"/>
      <c r="O78" s="136"/>
      <c r="P78" s="142"/>
      <c r="Q78" s="9"/>
      <c r="R78" s="9"/>
      <c r="S78" s="142"/>
      <c r="T78" s="9"/>
      <c r="U78" s="9"/>
      <c r="V78" s="140"/>
      <c r="W78" s="9"/>
      <c r="X78" s="156"/>
      <c r="Y78" s="918">
        <f t="shared" si="3"/>
        <v>69</v>
      </c>
      <c r="AA78" s="9"/>
      <c r="AC78" s="9" t="str">
        <f t="shared" si="1"/>
        <v/>
      </c>
      <c r="AE78" s="44" t="str">
        <f t="shared" si="2"/>
        <v/>
      </c>
    </row>
    <row r="79" spans="1:31">
      <c r="A79" s="153"/>
      <c r="B79" s="365" t="s">
        <v>671</v>
      </c>
      <c r="C79" s="365" t="s">
        <v>15</v>
      </c>
      <c r="D79" s="49"/>
      <c r="E79" s="9">
        <f>+G79-Adjustments!G79</f>
        <v>0</v>
      </c>
      <c r="F79" s="9">
        <f>Revenue!$F$78</f>
        <v>0</v>
      </c>
      <c r="G79" s="9">
        <f>+Adjustments!U79</f>
        <v>0</v>
      </c>
      <c r="H79" s="9"/>
      <c r="I79" s="9">
        <f>SUM($F$79:$H$79)</f>
        <v>0</v>
      </c>
      <c r="J79" s="9">
        <f>+I79-'ROR-Model'!I79</f>
        <v>0</v>
      </c>
      <c r="K79" s="9"/>
      <c r="L79" s="9" t="s">
        <v>13</v>
      </c>
      <c r="M79" s="9">
        <f>VLOOKUP($L79,$L$2:$N$7,2,FALSE)*I79</f>
        <v>0</v>
      </c>
      <c r="N79" s="9">
        <f>VLOOKUP($L79,$L$2:$N$7,3,FALSE)*I79</f>
        <v>0</v>
      </c>
      <c r="O79" s="136"/>
      <c r="P79" s="142" t="s">
        <v>549</v>
      </c>
      <c r="Q79" s="9">
        <f>IF(P79="G",M79,IF(P79="PT",0,ERR))</f>
        <v>0</v>
      </c>
      <c r="R79" s="9">
        <f>IF(P79="PT",M79,IF(P79="G",0,ERR))</f>
        <v>0</v>
      </c>
      <c r="S79" s="142" t="s">
        <v>549</v>
      </c>
      <c r="T79" s="9">
        <f>IF(S79="G",N79,IF(S79="PT",0,ERR))</f>
        <v>0</v>
      </c>
      <c r="U79" s="9">
        <f>IF(S79="PT",N79,IF(S79="G",0,ERR))</f>
        <v>0</v>
      </c>
      <c r="V79" s="140"/>
      <c r="W79" s="9">
        <f>HLOOKUP($W$9,'ROR-Model'!$Q$10:$U$1263,Y79)</f>
        <v>0</v>
      </c>
      <c r="X79" s="156"/>
      <c r="Y79" s="918">
        <f t="shared" si="3"/>
        <v>70</v>
      </c>
      <c r="AA79" s="9">
        <v>0</v>
      </c>
      <c r="AC79" s="9" t="str">
        <f t="shared" si="1"/>
        <v/>
      </c>
      <c r="AE79" s="44" t="str">
        <f t="shared" si="2"/>
        <v/>
      </c>
    </row>
    <row r="80" spans="1:31">
      <c r="A80" s="153"/>
      <c r="B80" s="365"/>
      <c r="C80" s="365"/>
      <c r="D80" s="49"/>
      <c r="E80" s="9">
        <f>+G80-Adjustments!G80</f>
        <v>0</v>
      </c>
      <c r="F80" s="9"/>
      <c r="G80" s="9"/>
      <c r="H80" s="9"/>
      <c r="I80" s="9"/>
      <c r="J80" s="9">
        <f>+I80-'ROR-Model'!I80</f>
        <v>0</v>
      </c>
      <c r="K80" s="9"/>
      <c r="L80" s="9"/>
      <c r="M80" s="9"/>
      <c r="N80" s="9"/>
      <c r="O80" s="136"/>
      <c r="P80" s="142"/>
      <c r="Q80" s="9"/>
      <c r="R80" s="9"/>
      <c r="S80" s="142"/>
      <c r="T80" s="9"/>
      <c r="U80" s="9"/>
      <c r="V80" s="140"/>
      <c r="W80" s="9"/>
      <c r="X80" s="156"/>
      <c r="Y80" s="918">
        <f t="shared" si="3"/>
        <v>71</v>
      </c>
      <c r="AA80" s="9"/>
      <c r="AC80" s="9" t="str">
        <f t="shared" si="1"/>
        <v/>
      </c>
      <c r="AE80" s="44" t="str">
        <f t="shared" si="2"/>
        <v/>
      </c>
    </row>
    <row r="81" spans="1:31">
      <c r="A81" s="153"/>
      <c r="B81" s="365"/>
      <c r="C81" s="365" t="s">
        <v>16</v>
      </c>
      <c r="D81" s="49"/>
      <c r="E81" s="9">
        <f>+G81-Adjustments!G81</f>
        <v>0</v>
      </c>
      <c r="F81" s="9">
        <f>Revenue!$F$80</f>
        <v>0</v>
      </c>
      <c r="G81" s="9">
        <f>+Adjustments!U81</f>
        <v>0</v>
      </c>
      <c r="H81" s="9"/>
      <c r="I81" s="9">
        <f>SUM($F$81:$H$81)</f>
        <v>0</v>
      </c>
      <c r="J81" s="9">
        <f>+I81-'ROR-Model'!I81</f>
        <v>0</v>
      </c>
      <c r="K81" s="9"/>
      <c r="L81" s="9" t="s">
        <v>13</v>
      </c>
      <c r="M81" s="9">
        <f>VLOOKUP($L81,$L$2:$N$7,2,FALSE)*I81</f>
        <v>0</v>
      </c>
      <c r="N81" s="9">
        <f>VLOOKUP($L81,$L$2:$N$7,3,FALSE)*I81</f>
        <v>0</v>
      </c>
      <c r="O81" s="136"/>
      <c r="P81" s="142" t="s">
        <v>548</v>
      </c>
      <c r="Q81" s="9">
        <f>IF(P81="G",M81,IF(P81="PT",0,ERR))</f>
        <v>0</v>
      </c>
      <c r="R81" s="9">
        <f>IF(P81="PT",M81,IF(P81="G",0,ERR))</f>
        <v>0</v>
      </c>
      <c r="S81" s="142" t="s">
        <v>548</v>
      </c>
      <c r="T81" s="9">
        <f>IF(S81="G",N81,IF(S81="PT",0,ERR))</f>
        <v>0</v>
      </c>
      <c r="U81" s="9">
        <f>IF(S81="PT",N81,IF(S81="G",0,ERR))</f>
        <v>0</v>
      </c>
      <c r="V81" s="140"/>
      <c r="W81" s="9">
        <f>HLOOKUP($W$9,'ROR-Model'!$Q$10:$U$1263,Y81)</f>
        <v>0</v>
      </c>
      <c r="X81" s="156"/>
      <c r="Y81" s="918">
        <f t="shared" si="3"/>
        <v>72</v>
      </c>
      <c r="AA81" s="9">
        <v>0</v>
      </c>
      <c r="AC81" s="9" t="str">
        <f t="shared" ref="AC81:AC144" si="4">IF(ABS(AA81)&gt;0,W81-AA81,"")</f>
        <v/>
      </c>
      <c r="AE81" s="44" t="str">
        <f t="shared" si="2"/>
        <v/>
      </c>
    </row>
    <row r="82" spans="1:31">
      <c r="A82" s="153"/>
      <c r="B82" s="365"/>
      <c r="C82" s="365"/>
      <c r="D82" s="49"/>
      <c r="E82" s="9">
        <f>+G82-Adjustments!G82</f>
        <v>0</v>
      </c>
      <c r="F82" s="9"/>
      <c r="G82" s="9"/>
      <c r="H82" s="9"/>
      <c r="I82" s="9"/>
      <c r="J82" s="9">
        <f>+I82-'ROR-Model'!I82</f>
        <v>0</v>
      </c>
      <c r="K82" s="9"/>
      <c r="L82" s="9"/>
      <c r="M82" s="9"/>
      <c r="N82" s="9"/>
      <c r="O82" s="136"/>
      <c r="P82" s="142"/>
      <c r="Q82" s="9"/>
      <c r="R82" s="9"/>
      <c r="S82" s="142"/>
      <c r="T82" s="9"/>
      <c r="U82" s="9"/>
      <c r="V82" s="140"/>
      <c r="W82" s="9"/>
      <c r="X82" s="156"/>
      <c r="Y82" s="918">
        <f t="shared" si="3"/>
        <v>73</v>
      </c>
      <c r="AA82" s="9"/>
      <c r="AC82" s="9" t="str">
        <f t="shared" si="4"/>
        <v/>
      </c>
      <c r="AE82" s="44" t="str">
        <f t="shared" ref="AE82:AE145" si="5">IF(ABS(AA82)&gt;0,AC82/AA82,"")</f>
        <v/>
      </c>
    </row>
    <row r="83" spans="1:31">
      <c r="A83" s="153"/>
      <c r="B83" s="365"/>
      <c r="C83" s="365" t="s">
        <v>17</v>
      </c>
      <c r="D83" s="49"/>
      <c r="E83" s="9">
        <f>+G83-Adjustments!G83</f>
        <v>0</v>
      </c>
      <c r="F83" s="9">
        <f>Revenue!$F$82</f>
        <v>0</v>
      </c>
      <c r="G83" s="9">
        <f>+Adjustments!U83</f>
        <v>0</v>
      </c>
      <c r="H83" s="9"/>
      <c r="I83" s="9">
        <f>SUM($F$83:$H$83)</f>
        <v>0</v>
      </c>
      <c r="J83" s="9">
        <f>+I83-'ROR-Model'!I83</f>
        <v>0</v>
      </c>
      <c r="K83" s="9"/>
      <c r="L83" s="9" t="s">
        <v>13</v>
      </c>
      <c r="M83" s="9">
        <f>VLOOKUP($L83,$L$2:$N$7,2,FALSE)*I83</f>
        <v>0</v>
      </c>
      <c r="N83" s="9">
        <f>VLOOKUP($L83,$L$2:$N$7,3,FALSE)*I83</f>
        <v>0</v>
      </c>
      <c r="O83" s="136"/>
      <c r="P83" s="142" t="s">
        <v>548</v>
      </c>
      <c r="Q83" s="9">
        <f>IF(P83="G",M83,IF(P83="PT",0,ERR))</f>
        <v>0</v>
      </c>
      <c r="R83" s="9">
        <f>IF(P83="PT",M83,IF(P83="G",0,ERR))</f>
        <v>0</v>
      </c>
      <c r="S83" s="142" t="s">
        <v>548</v>
      </c>
      <c r="T83" s="9">
        <f>IF(S83="G",N83,IF(S83="PT",0,ERR))</f>
        <v>0</v>
      </c>
      <c r="U83" s="9">
        <f>IF(S83="PT",N83,IF(S83="G",0,ERR))</f>
        <v>0</v>
      </c>
      <c r="V83" s="140"/>
      <c r="W83" s="9">
        <f>HLOOKUP($W$9,'ROR-Model'!$Q$10:$U$1263,Y83)</f>
        <v>0</v>
      </c>
      <c r="X83" s="156"/>
      <c r="Y83" s="918">
        <f t="shared" si="3"/>
        <v>74</v>
      </c>
      <c r="AA83" s="9">
        <v>0</v>
      </c>
      <c r="AC83" s="9" t="str">
        <f t="shared" si="4"/>
        <v/>
      </c>
      <c r="AE83" s="44" t="str">
        <f t="shared" si="5"/>
        <v/>
      </c>
    </row>
    <row r="84" spans="1:31">
      <c r="A84" s="153"/>
      <c r="B84" s="365"/>
      <c r="C84" s="365" t="s">
        <v>18</v>
      </c>
      <c r="D84" s="49"/>
      <c r="E84" s="157">
        <f>+G84-Adjustments!G84</f>
        <v>0</v>
      </c>
      <c r="F84" s="157">
        <f>SUM(F79:F83)</f>
        <v>0</v>
      </c>
      <c r="G84" s="157">
        <f>SUM(G79:G83)</f>
        <v>0</v>
      </c>
      <c r="H84" s="157">
        <f>SUM(H79:H83)</f>
        <v>0</v>
      </c>
      <c r="I84" s="157">
        <f>SUM(I79:I83)</f>
        <v>0</v>
      </c>
      <c r="J84" s="9">
        <f>+I84-'ROR-Model'!I84</f>
        <v>0</v>
      </c>
      <c r="K84" s="9"/>
      <c r="L84" s="157"/>
      <c r="M84" s="157">
        <f>SUM(M79:M83)</f>
        <v>0</v>
      </c>
      <c r="N84" s="157">
        <f>SUM(N79:N83)</f>
        <v>0</v>
      </c>
      <c r="O84" s="136"/>
      <c r="P84" s="226"/>
      <c r="Q84" s="157">
        <f>SUM(Q79:Q83)</f>
        <v>0</v>
      </c>
      <c r="R84" s="157">
        <f>SUM(R79:R83)</f>
        <v>0</v>
      </c>
      <c r="S84" s="226"/>
      <c r="T84" s="157">
        <f>SUM(T79:T83)</f>
        <v>0</v>
      </c>
      <c r="U84" s="157">
        <f>SUM(U79:U83)</f>
        <v>0</v>
      </c>
      <c r="V84" s="140"/>
      <c r="W84" s="157">
        <f>HLOOKUP($W$9,'ROR-Model'!$Q$10:$U$1263,Y84)</f>
        <v>0</v>
      </c>
      <c r="X84" s="156"/>
      <c r="Y84" s="918">
        <f t="shared" si="3"/>
        <v>75</v>
      </c>
      <c r="AA84" s="157">
        <v>0</v>
      </c>
      <c r="AC84" s="157" t="str">
        <f t="shared" si="4"/>
        <v/>
      </c>
      <c r="AE84" s="44" t="str">
        <f t="shared" si="5"/>
        <v/>
      </c>
    </row>
    <row r="85" spans="1:31">
      <c r="A85" s="153"/>
      <c r="B85" s="365"/>
      <c r="C85" s="365"/>
      <c r="D85" s="49"/>
      <c r="E85" s="9">
        <f>+G85-Adjustments!G85</f>
        <v>0</v>
      </c>
      <c r="F85" s="9"/>
      <c r="G85" s="9"/>
      <c r="H85" s="9"/>
      <c r="I85" s="9"/>
      <c r="J85" s="9">
        <f>+I85-'ROR-Model'!I85</f>
        <v>0</v>
      </c>
      <c r="K85" s="9"/>
      <c r="L85" s="9"/>
      <c r="M85" s="9"/>
      <c r="N85" s="9"/>
      <c r="O85" s="136"/>
      <c r="P85" s="142"/>
      <c r="Q85" s="9"/>
      <c r="R85" s="9"/>
      <c r="S85" s="142"/>
      <c r="T85" s="9"/>
      <c r="U85" s="9"/>
      <c r="V85" s="140"/>
      <c r="W85" s="9"/>
      <c r="X85" s="156"/>
      <c r="Y85" s="918">
        <f t="shared" si="3"/>
        <v>76</v>
      </c>
      <c r="AA85" s="9"/>
      <c r="AC85" s="9" t="str">
        <f t="shared" si="4"/>
        <v/>
      </c>
      <c r="AE85" s="44" t="str">
        <f t="shared" si="5"/>
        <v/>
      </c>
    </row>
    <row r="86" spans="1:31">
      <c r="A86" s="153"/>
      <c r="B86" s="365"/>
      <c r="C86" s="365" t="s">
        <v>19</v>
      </c>
      <c r="D86" s="49"/>
      <c r="E86" s="9">
        <f>+G86-Adjustments!G86</f>
        <v>0</v>
      </c>
      <c r="F86" s="9">
        <f>Revenue!$F$85</f>
        <v>0</v>
      </c>
      <c r="G86" s="9">
        <f>+Adjustments!U86</f>
        <v>0</v>
      </c>
      <c r="H86" s="9"/>
      <c r="I86" s="645">
        <f>SUM($F$86:$H$86)</f>
        <v>0</v>
      </c>
      <c r="J86" s="9">
        <f>+I86-'ROR-Model'!I86</f>
        <v>0</v>
      </c>
      <c r="K86" s="9"/>
      <c r="L86" s="9" t="s">
        <v>13</v>
      </c>
      <c r="M86" s="9">
        <f>VLOOKUP($L86,$L$2:$N$7,2,FALSE)*I86</f>
        <v>0</v>
      </c>
      <c r="N86" s="9">
        <f>VLOOKUP($L86,$L$2:$N$7,3,FALSE)*I86</f>
        <v>0</v>
      </c>
      <c r="O86" s="136"/>
      <c r="P86" s="142" t="s">
        <v>549</v>
      </c>
      <c r="Q86" s="9">
        <f>IF(P86="G",M86,IF(P86="PT",0,ERR))</f>
        <v>0</v>
      </c>
      <c r="R86" s="9">
        <f>IF(P86="PT",M86,IF(P86="G",0,ERR))</f>
        <v>0</v>
      </c>
      <c r="S86" s="142" t="s">
        <v>549</v>
      </c>
      <c r="T86" s="9">
        <f>IF(S86="G",N86,IF(S86="PT",0,ERR))</f>
        <v>0</v>
      </c>
      <c r="U86" s="9">
        <f>IF(S86="PT",N86,IF(S86="G",0,ERR))</f>
        <v>0</v>
      </c>
      <c r="V86" s="140"/>
      <c r="W86" s="9">
        <f>HLOOKUP($W$9,'ROR-Model'!$Q$10:$U$1263,Y86)</f>
        <v>0</v>
      </c>
      <c r="X86" s="156"/>
      <c r="Y86" s="918">
        <f t="shared" si="3"/>
        <v>77</v>
      </c>
      <c r="AA86" s="9">
        <v>0</v>
      </c>
      <c r="AC86" s="9" t="str">
        <f t="shared" si="4"/>
        <v/>
      </c>
      <c r="AE86" s="44" t="str">
        <f t="shared" si="5"/>
        <v/>
      </c>
    </row>
    <row r="87" spans="1:31">
      <c r="A87" s="153"/>
      <c r="B87" s="365"/>
      <c r="C87" s="365"/>
      <c r="D87" s="49"/>
      <c r="E87" s="9">
        <f>+G87-Adjustments!G87</f>
        <v>0</v>
      </c>
      <c r="F87" s="9"/>
      <c r="G87" s="9"/>
      <c r="H87" s="9"/>
      <c r="I87" s="9"/>
      <c r="J87" s="9">
        <f>+I87-'ROR-Model'!I87</f>
        <v>0</v>
      </c>
      <c r="K87" s="9"/>
      <c r="L87" s="9"/>
      <c r="M87" s="9"/>
      <c r="N87" s="9"/>
      <c r="O87" s="136"/>
      <c r="P87" s="142"/>
      <c r="Q87" s="9"/>
      <c r="R87" s="9"/>
      <c r="S87" s="142"/>
      <c r="T87" s="9"/>
      <c r="U87" s="9"/>
      <c r="V87" s="140"/>
      <c r="W87" s="9"/>
      <c r="X87" s="156"/>
      <c r="Y87" s="918">
        <f t="shared" si="3"/>
        <v>78</v>
      </c>
      <c r="AA87" s="9"/>
      <c r="AC87" s="9" t="str">
        <f t="shared" si="4"/>
        <v/>
      </c>
      <c r="AE87" s="44" t="str">
        <f t="shared" si="5"/>
        <v/>
      </c>
    </row>
    <row r="88" spans="1:31">
      <c r="A88" s="153"/>
      <c r="B88" s="365" t="s">
        <v>81</v>
      </c>
      <c r="C88" s="365" t="s">
        <v>15</v>
      </c>
      <c r="D88" s="49"/>
      <c r="E88" s="9">
        <f>+G88-Adjustments!G88</f>
        <v>0</v>
      </c>
      <c r="F88" s="9">
        <f>Revenue!$F$87</f>
        <v>0</v>
      </c>
      <c r="G88" s="9">
        <f>+Adjustments!U88</f>
        <v>0</v>
      </c>
      <c r="H88" s="9"/>
      <c r="I88" s="9">
        <f>SUM($F$88:$H$88)</f>
        <v>0</v>
      </c>
      <c r="J88" s="9">
        <f>+I88-'ROR-Model'!I88</f>
        <v>0</v>
      </c>
      <c r="K88" s="9"/>
      <c r="L88" s="9" t="s">
        <v>13</v>
      </c>
      <c r="M88" s="9">
        <f>VLOOKUP($L88,$L$2:$N$7,2,FALSE)*I88</f>
        <v>0</v>
      </c>
      <c r="N88" s="9">
        <f>VLOOKUP($L88,$L$2:$N$7,3,FALSE)*I88</f>
        <v>0</v>
      </c>
      <c r="O88" s="136"/>
      <c r="P88" s="142" t="s">
        <v>549</v>
      </c>
      <c r="Q88" s="9">
        <f>IF(P88="G",M88,IF(P88="PT",0,ERR))</f>
        <v>0</v>
      </c>
      <c r="R88" s="9">
        <f>IF(P88="PT",M88,IF(P88="G",0,ERR))</f>
        <v>0</v>
      </c>
      <c r="S88" s="142" t="s">
        <v>549</v>
      </c>
      <c r="T88" s="9">
        <f>IF(S88="G",N88,IF(S88="PT",0,ERR))</f>
        <v>0</v>
      </c>
      <c r="U88" s="9">
        <f>IF(S88="PT",N88,IF(S88="G",0,ERR))</f>
        <v>0</v>
      </c>
      <c r="V88" s="140"/>
      <c r="W88" s="9">
        <f>HLOOKUP($W$9,'ROR-Model'!$Q$10:$U$1263,Y88)</f>
        <v>0</v>
      </c>
      <c r="X88" s="156"/>
      <c r="Y88" s="918">
        <f t="shared" si="3"/>
        <v>79</v>
      </c>
      <c r="AA88" s="9">
        <v>0</v>
      </c>
      <c r="AC88" s="9" t="str">
        <f t="shared" si="4"/>
        <v/>
      </c>
      <c r="AE88" s="44" t="str">
        <f t="shared" si="5"/>
        <v/>
      </c>
    </row>
    <row r="89" spans="1:31">
      <c r="A89" s="153"/>
      <c r="B89" s="365"/>
      <c r="C89" s="365"/>
      <c r="D89" s="49"/>
      <c r="E89" s="9">
        <f>+G89-Adjustments!G89</f>
        <v>0</v>
      </c>
      <c r="F89" s="9"/>
      <c r="G89" s="9"/>
      <c r="H89" s="9"/>
      <c r="I89" s="9"/>
      <c r="J89" s="9">
        <f>+I89-'ROR-Model'!I89</f>
        <v>0</v>
      </c>
      <c r="K89" s="9"/>
      <c r="L89" s="9"/>
      <c r="M89" s="9"/>
      <c r="N89" s="9"/>
      <c r="O89" s="136"/>
      <c r="P89" s="142"/>
      <c r="Q89" s="9"/>
      <c r="R89" s="9"/>
      <c r="S89" s="142"/>
      <c r="T89" s="9"/>
      <c r="U89" s="9"/>
      <c r="V89" s="140"/>
      <c r="W89" s="9"/>
      <c r="X89" s="156"/>
      <c r="Y89" s="918">
        <f t="shared" si="3"/>
        <v>80</v>
      </c>
      <c r="AA89" s="9"/>
      <c r="AC89" s="9" t="str">
        <f t="shared" si="4"/>
        <v/>
      </c>
      <c r="AE89" s="44" t="str">
        <f t="shared" si="5"/>
        <v/>
      </c>
    </row>
    <row r="90" spans="1:31">
      <c r="A90" s="153"/>
      <c r="B90" s="365"/>
      <c r="C90" s="365" t="s">
        <v>16</v>
      </c>
      <c r="D90" s="49"/>
      <c r="E90" s="9">
        <f>+G90-Adjustments!G90</f>
        <v>0</v>
      </c>
      <c r="F90" s="9">
        <f>Revenue!$F$89</f>
        <v>0</v>
      </c>
      <c r="G90" s="9">
        <f>+Adjustments!U90</f>
        <v>0</v>
      </c>
      <c r="H90" s="9"/>
      <c r="I90" s="9">
        <f>SUM($F$90:$H$90)</f>
        <v>0</v>
      </c>
      <c r="J90" s="9">
        <f>+I90-'ROR-Model'!I90</f>
        <v>0</v>
      </c>
      <c r="K90" s="9"/>
      <c r="L90" s="9" t="s">
        <v>13</v>
      </c>
      <c r="M90" s="9">
        <f>VLOOKUP($L90,$L$2:$N$7,2,FALSE)*I90</f>
        <v>0</v>
      </c>
      <c r="N90" s="9">
        <f>VLOOKUP($L90,$L$2:$N$7,3,FALSE)*I90</f>
        <v>0</v>
      </c>
      <c r="O90" s="136"/>
      <c r="P90" s="142" t="s">
        <v>548</v>
      </c>
      <c r="Q90" s="9">
        <f>IF(P90="G",M90,IF(P90="PT",0,ERR))</f>
        <v>0</v>
      </c>
      <c r="R90" s="9">
        <f>IF(P90="PT",M90,IF(P90="G",0,ERR))</f>
        <v>0</v>
      </c>
      <c r="S90" s="142" t="s">
        <v>548</v>
      </c>
      <c r="T90" s="9">
        <f>IF(S90="G",N90,IF(S90="PT",0,ERR))</f>
        <v>0</v>
      </c>
      <c r="U90" s="9">
        <f>IF(S90="PT",N90,IF(S90="G",0,ERR))</f>
        <v>0</v>
      </c>
      <c r="V90" s="140"/>
      <c r="W90" s="9">
        <f>HLOOKUP($W$9,'ROR-Model'!$Q$10:$U$1263,Y90)</f>
        <v>0</v>
      </c>
      <c r="X90" s="156"/>
      <c r="Y90" s="918">
        <f t="shared" si="3"/>
        <v>81</v>
      </c>
      <c r="AA90" s="9">
        <v>0</v>
      </c>
      <c r="AC90" s="9" t="str">
        <f t="shared" si="4"/>
        <v/>
      </c>
      <c r="AE90" s="44" t="str">
        <f t="shared" si="5"/>
        <v/>
      </c>
    </row>
    <row r="91" spans="1:31">
      <c r="A91" s="153"/>
      <c r="B91" s="365"/>
      <c r="C91" s="365"/>
      <c r="D91" s="49"/>
      <c r="E91" s="9">
        <f>+G91-Adjustments!G91</f>
        <v>0</v>
      </c>
      <c r="F91" s="9"/>
      <c r="G91" s="9"/>
      <c r="H91" s="9"/>
      <c r="I91" s="9"/>
      <c r="J91" s="9">
        <f>+I91-'ROR-Model'!I91</f>
        <v>0</v>
      </c>
      <c r="K91" s="9"/>
      <c r="L91" s="9"/>
      <c r="M91" s="9"/>
      <c r="N91" s="9"/>
      <c r="O91" s="136"/>
      <c r="P91" s="142"/>
      <c r="Q91" s="9"/>
      <c r="R91" s="9"/>
      <c r="S91" s="142"/>
      <c r="T91" s="9"/>
      <c r="U91" s="9"/>
      <c r="V91" s="140"/>
      <c r="W91" s="9"/>
      <c r="X91" s="156"/>
      <c r="Y91" s="918">
        <f t="shared" si="3"/>
        <v>82</v>
      </c>
      <c r="AA91" s="9"/>
      <c r="AC91" s="9" t="str">
        <f t="shared" si="4"/>
        <v/>
      </c>
      <c r="AE91" s="44" t="str">
        <f t="shared" si="5"/>
        <v/>
      </c>
    </row>
    <row r="92" spans="1:31">
      <c r="A92" s="153"/>
      <c r="B92" s="365"/>
      <c r="C92" s="365" t="s">
        <v>17</v>
      </c>
      <c r="D92" s="49"/>
      <c r="E92" s="9">
        <f>+G92-Adjustments!G92</f>
        <v>0</v>
      </c>
      <c r="F92" s="9">
        <f>Revenue!$F$91</f>
        <v>0</v>
      </c>
      <c r="G92" s="9">
        <f>+Adjustments!U92</f>
        <v>0</v>
      </c>
      <c r="H92" s="9"/>
      <c r="I92" s="9">
        <f>SUM($F$92:$H$92)</f>
        <v>0</v>
      </c>
      <c r="J92" s="9">
        <f>+I92-'ROR-Model'!I92</f>
        <v>0</v>
      </c>
      <c r="K92" s="9"/>
      <c r="L92" s="9" t="s">
        <v>13</v>
      </c>
      <c r="M92" s="9">
        <f>VLOOKUP($L92,$L$2:$N$7,2,FALSE)*I92</f>
        <v>0</v>
      </c>
      <c r="N92" s="9">
        <f>VLOOKUP($L92,$L$2:$N$7,3,FALSE)*I92</f>
        <v>0</v>
      </c>
      <c r="O92" s="136"/>
      <c r="P92" s="142" t="s">
        <v>548</v>
      </c>
      <c r="Q92" s="9">
        <f>IF(P92="G",M92,IF(P92="PT",0,ERR))</f>
        <v>0</v>
      </c>
      <c r="R92" s="9">
        <f>IF(P92="PT",M92,IF(P92="G",0,ERR))</f>
        <v>0</v>
      </c>
      <c r="S92" s="142" t="s">
        <v>548</v>
      </c>
      <c r="T92" s="9">
        <f>IF(S92="G",N92,IF(S92="PT",0,ERR))</f>
        <v>0</v>
      </c>
      <c r="U92" s="9">
        <f>IF(S92="PT",N92,IF(S92="G",0,ERR))</f>
        <v>0</v>
      </c>
      <c r="V92" s="140"/>
      <c r="W92" s="9">
        <f>HLOOKUP($W$9,'ROR-Model'!$Q$10:$U$1263,Y92)</f>
        <v>0</v>
      </c>
      <c r="X92" s="156"/>
      <c r="Y92" s="918">
        <f t="shared" si="3"/>
        <v>83</v>
      </c>
      <c r="AA92" s="9">
        <v>0</v>
      </c>
      <c r="AC92" s="9" t="str">
        <f t="shared" si="4"/>
        <v/>
      </c>
      <c r="AE92" s="44" t="str">
        <f t="shared" si="5"/>
        <v/>
      </c>
    </row>
    <row r="93" spans="1:31">
      <c r="A93" s="153"/>
      <c r="B93" s="365"/>
      <c r="C93" s="365" t="s">
        <v>18</v>
      </c>
      <c r="D93" s="49"/>
      <c r="E93" s="157">
        <f>+G93-Adjustments!G93</f>
        <v>0</v>
      </c>
      <c r="F93" s="157">
        <f>SUM(F88:F92)</f>
        <v>0</v>
      </c>
      <c r="G93" s="157">
        <f>SUM(G88:G92)</f>
        <v>0</v>
      </c>
      <c r="H93" s="157">
        <f>SUM(H88:H92)</f>
        <v>0</v>
      </c>
      <c r="I93" s="157">
        <f>SUM(I88:I92)</f>
        <v>0</v>
      </c>
      <c r="J93" s="9">
        <f>+I93-'ROR-Model'!I93</f>
        <v>0</v>
      </c>
      <c r="K93" s="9"/>
      <c r="L93" s="157"/>
      <c r="M93" s="157">
        <f>SUM(M88:M92)</f>
        <v>0</v>
      </c>
      <c r="N93" s="157">
        <f>SUM(N88:N92)</f>
        <v>0</v>
      </c>
      <c r="O93" s="136"/>
      <c r="P93" s="226"/>
      <c r="Q93" s="157">
        <f>SUM(Q88:Q92)</f>
        <v>0</v>
      </c>
      <c r="R93" s="157">
        <f>SUM(R88:R92)</f>
        <v>0</v>
      </c>
      <c r="S93" s="226"/>
      <c r="T93" s="157">
        <f>SUM(T88:T92)</f>
        <v>0</v>
      </c>
      <c r="U93" s="157">
        <f>SUM(U88:U92)</f>
        <v>0</v>
      </c>
      <c r="V93" s="140"/>
      <c r="W93" s="157">
        <f>HLOOKUP($W$9,'ROR-Model'!$Q$10:$U$1263,Y93)</f>
        <v>0</v>
      </c>
      <c r="X93" s="156"/>
      <c r="Y93" s="918">
        <f t="shared" si="3"/>
        <v>84</v>
      </c>
      <c r="AA93" s="157">
        <v>0</v>
      </c>
      <c r="AC93" s="157" t="str">
        <f t="shared" si="4"/>
        <v/>
      </c>
      <c r="AE93" s="44" t="str">
        <f t="shared" si="5"/>
        <v/>
      </c>
    </row>
    <row r="94" spans="1:31">
      <c r="A94" s="153"/>
      <c r="B94" s="365"/>
      <c r="C94" s="365"/>
      <c r="D94" s="49"/>
      <c r="E94" s="9">
        <f>+G94-Adjustments!G94</f>
        <v>0</v>
      </c>
      <c r="F94" s="9"/>
      <c r="G94" s="9"/>
      <c r="H94" s="9"/>
      <c r="I94" s="9"/>
      <c r="J94" s="9">
        <f>+I94-'ROR-Model'!I94</f>
        <v>0</v>
      </c>
      <c r="K94" s="9"/>
      <c r="L94" s="9"/>
      <c r="M94" s="9"/>
      <c r="N94" s="9"/>
      <c r="O94" s="136"/>
      <c r="P94" s="142"/>
      <c r="Q94" s="9"/>
      <c r="R94" s="9"/>
      <c r="S94" s="142"/>
      <c r="T94" s="9"/>
      <c r="U94" s="9"/>
      <c r="V94" s="140"/>
      <c r="W94" s="9"/>
      <c r="X94" s="156"/>
      <c r="Y94" s="918">
        <f t="shared" si="3"/>
        <v>85</v>
      </c>
      <c r="AA94" s="9"/>
      <c r="AC94" s="9" t="str">
        <f t="shared" si="4"/>
        <v/>
      </c>
      <c r="AE94" s="44" t="str">
        <f t="shared" si="5"/>
        <v/>
      </c>
    </row>
    <row r="95" spans="1:31">
      <c r="A95" s="153"/>
      <c r="B95" s="365"/>
      <c r="C95" s="365" t="s">
        <v>19</v>
      </c>
      <c r="D95" s="49"/>
      <c r="E95" s="9">
        <f>+G95-Adjustments!G95</f>
        <v>0</v>
      </c>
      <c r="F95" s="9">
        <f>Revenue!$F$94</f>
        <v>0</v>
      </c>
      <c r="G95" s="9">
        <f>+Adjustments!U95</f>
        <v>0</v>
      </c>
      <c r="H95" s="9"/>
      <c r="I95" s="645">
        <f>SUM($F$95:$H$95)</f>
        <v>0</v>
      </c>
      <c r="J95" s="9">
        <f>+I95-'ROR-Model'!I95</f>
        <v>0</v>
      </c>
      <c r="K95" s="9"/>
      <c r="L95" s="9" t="s">
        <v>13</v>
      </c>
      <c r="M95" s="9">
        <f>VLOOKUP($L95,$L$2:$N$7,2,FALSE)*I95</f>
        <v>0</v>
      </c>
      <c r="N95" s="9">
        <f>VLOOKUP($L95,$L$2:$N$7,3,FALSE)*I95</f>
        <v>0</v>
      </c>
      <c r="O95" s="136"/>
      <c r="P95" s="142" t="s">
        <v>549</v>
      </c>
      <c r="Q95" s="9">
        <f>IF(P95="G",M95,IF(P95="PT",0,ERR))</f>
        <v>0</v>
      </c>
      <c r="R95" s="9">
        <f>IF(P95="PT",M95,IF(P95="G",0,ERR))</f>
        <v>0</v>
      </c>
      <c r="S95" s="142" t="s">
        <v>549</v>
      </c>
      <c r="T95" s="9">
        <f>IF(S95="G",N95,IF(S95="PT",0,ERR))</f>
        <v>0</v>
      </c>
      <c r="U95" s="9">
        <f>IF(S95="PT",N95,IF(S95="G",0,ERR))</f>
        <v>0</v>
      </c>
      <c r="V95" s="140"/>
      <c r="W95" s="9">
        <f>HLOOKUP($W$9,'ROR-Model'!$Q$10:$U$1263,Y95)</f>
        <v>0</v>
      </c>
      <c r="X95" s="156"/>
      <c r="Y95" s="918">
        <f t="shared" si="3"/>
        <v>86</v>
      </c>
      <c r="AA95" s="9">
        <v>0</v>
      </c>
      <c r="AC95" s="9" t="str">
        <f t="shared" si="4"/>
        <v/>
      </c>
      <c r="AE95" s="44" t="str">
        <f t="shared" si="5"/>
        <v/>
      </c>
    </row>
    <row r="96" spans="1:31">
      <c r="A96" s="153"/>
      <c r="B96" s="365"/>
      <c r="C96" s="365"/>
      <c r="D96" s="49"/>
      <c r="E96" s="9">
        <f>+G96-Adjustments!G96</f>
        <v>0</v>
      </c>
      <c r="F96" s="9"/>
      <c r="G96" s="9"/>
      <c r="H96" s="9"/>
      <c r="I96" s="9"/>
      <c r="J96" s="9">
        <f>+I96-'ROR-Model'!I96</f>
        <v>0</v>
      </c>
      <c r="K96" s="9"/>
      <c r="L96" s="9"/>
      <c r="M96" s="9"/>
      <c r="N96" s="9"/>
      <c r="O96" s="136"/>
      <c r="P96" s="142"/>
      <c r="Q96" s="9"/>
      <c r="R96" s="9"/>
      <c r="S96" s="142"/>
      <c r="T96" s="9"/>
      <c r="U96" s="9"/>
      <c r="V96" s="140"/>
      <c r="W96" s="9"/>
      <c r="X96" s="156"/>
      <c r="Y96" s="918">
        <f t="shared" si="3"/>
        <v>87</v>
      </c>
      <c r="AA96" s="9"/>
      <c r="AC96" s="9" t="str">
        <f t="shared" si="4"/>
        <v/>
      </c>
      <c r="AE96" s="44" t="str">
        <f t="shared" si="5"/>
        <v/>
      </c>
    </row>
    <row r="97" spans="1:31">
      <c r="A97" s="153"/>
      <c r="B97" s="365" t="s">
        <v>671</v>
      </c>
      <c r="C97" s="365" t="s">
        <v>15</v>
      </c>
      <c r="D97" s="49"/>
      <c r="E97" s="9">
        <f>+G97-Adjustments!G97</f>
        <v>0</v>
      </c>
      <c r="F97" s="9">
        <f>Revenue!$F$96</f>
        <v>373983</v>
      </c>
      <c r="G97" s="9">
        <f>+Adjustments!U97</f>
        <v>0</v>
      </c>
      <c r="H97" s="9"/>
      <c r="I97" s="9">
        <f>SUM($F$97:$H$97)</f>
        <v>373983</v>
      </c>
      <c r="J97" s="9">
        <f>+I97-'ROR-Model'!I97</f>
        <v>0</v>
      </c>
      <c r="K97" s="9"/>
      <c r="L97" s="9" t="s">
        <v>13</v>
      </c>
      <c r="M97" s="9">
        <f>VLOOKUP($L97,$L$2:$N$7,2,FALSE)*I97</f>
        <v>373983</v>
      </c>
      <c r="N97" s="9">
        <f>VLOOKUP($L97,$L$2:$N$7,3,FALSE)*I97</f>
        <v>0</v>
      </c>
      <c r="O97" s="136"/>
      <c r="P97" s="142" t="s">
        <v>549</v>
      </c>
      <c r="Q97" s="9">
        <f>IF(P97="G",M97,IF(P97="PT",0,ERR))</f>
        <v>373983</v>
      </c>
      <c r="R97" s="9">
        <f>IF(P97="PT",M97,IF(P97="G",0,ERR))</f>
        <v>0</v>
      </c>
      <c r="S97" s="142" t="s">
        <v>549</v>
      </c>
      <c r="T97" s="9">
        <f>IF(S97="G",N97,IF(S97="PT",0,ERR))</f>
        <v>0</v>
      </c>
      <c r="U97" s="9">
        <f>IF(S97="PT",N97,IF(S97="G",0,ERR))</f>
        <v>0</v>
      </c>
      <c r="V97" s="140"/>
      <c r="W97" s="9">
        <f>HLOOKUP($W$9,'ROR-Model'!$Q$10:$U$1263,Y97)</f>
        <v>373983</v>
      </c>
      <c r="X97" s="156"/>
      <c r="Y97" s="918">
        <f t="shared" si="3"/>
        <v>88</v>
      </c>
      <c r="AA97" s="9">
        <v>0</v>
      </c>
      <c r="AC97" s="9" t="str">
        <f t="shared" si="4"/>
        <v/>
      </c>
      <c r="AE97" s="44" t="str">
        <f t="shared" si="5"/>
        <v/>
      </c>
    </row>
    <row r="98" spans="1:31">
      <c r="A98" s="153"/>
      <c r="B98" s="365"/>
      <c r="C98" s="365"/>
      <c r="D98" s="49"/>
      <c r="E98" s="9">
        <f>+G98-Adjustments!G98</f>
        <v>0</v>
      </c>
      <c r="F98" s="9"/>
      <c r="G98" s="9"/>
      <c r="H98" s="9"/>
      <c r="I98" s="9"/>
      <c r="J98" s="9">
        <f>+I98-'ROR-Model'!I98</f>
        <v>0</v>
      </c>
      <c r="K98" s="9"/>
      <c r="L98" s="9"/>
      <c r="M98" s="9"/>
      <c r="N98" s="9"/>
      <c r="O98" s="136"/>
      <c r="P98" s="142"/>
      <c r="Q98" s="9"/>
      <c r="R98" s="9"/>
      <c r="S98" s="142"/>
      <c r="T98" s="9"/>
      <c r="U98" s="9"/>
      <c r="V98" s="140"/>
      <c r="W98" s="9"/>
      <c r="X98" s="156"/>
      <c r="Y98" s="918">
        <f t="shared" si="3"/>
        <v>89</v>
      </c>
      <c r="AA98" s="9"/>
      <c r="AC98" s="9" t="str">
        <f t="shared" si="4"/>
        <v/>
      </c>
      <c r="AE98" s="44" t="str">
        <f t="shared" si="5"/>
        <v/>
      </c>
    </row>
    <row r="99" spans="1:31">
      <c r="A99" s="153"/>
      <c r="B99" s="365"/>
      <c r="C99" s="365" t="s">
        <v>16</v>
      </c>
      <c r="D99" s="49"/>
      <c r="E99" s="9">
        <f>+G99-Adjustments!G99</f>
        <v>0</v>
      </c>
      <c r="F99" s="9">
        <f>Revenue!$F$98</f>
        <v>111250</v>
      </c>
      <c r="G99" s="9">
        <f>+Adjustments!U99</f>
        <v>0</v>
      </c>
      <c r="H99" s="9"/>
      <c r="I99" s="9">
        <f>SUM($F$99:$H$99)</f>
        <v>111250</v>
      </c>
      <c r="J99" s="9">
        <f>+I99-'ROR-Model'!I99</f>
        <v>0</v>
      </c>
      <c r="K99" s="9"/>
      <c r="L99" s="9" t="s">
        <v>13</v>
      </c>
      <c r="M99" s="9">
        <f>VLOOKUP($L99,$L$2:$N$7,2,FALSE)*I99</f>
        <v>111250</v>
      </c>
      <c r="N99" s="9">
        <f>VLOOKUP($L99,$L$2:$N$7,3,FALSE)*I99</f>
        <v>0</v>
      </c>
      <c r="O99" s="136"/>
      <c r="P99" s="142" t="s">
        <v>548</v>
      </c>
      <c r="Q99" s="9">
        <f>IF(P99="G",M99,IF(P99="PT",0,ERR))</f>
        <v>0</v>
      </c>
      <c r="R99" s="9">
        <f>IF(P99="PT",M99,IF(P99="G",0,ERR))</f>
        <v>111250</v>
      </c>
      <c r="S99" s="142" t="s">
        <v>548</v>
      </c>
      <c r="T99" s="9">
        <f>IF(S99="G",N99,IF(S99="PT",0,ERR))</f>
        <v>0</v>
      </c>
      <c r="U99" s="9">
        <f>IF(S99="PT",N99,IF(S99="G",0,ERR))</f>
        <v>0</v>
      </c>
      <c r="V99" s="140"/>
      <c r="W99" s="9">
        <f>HLOOKUP($W$9,'ROR-Model'!$Q$10:$U$1263,Y99)</f>
        <v>0</v>
      </c>
      <c r="X99" s="156"/>
      <c r="Y99" s="918">
        <f t="shared" si="3"/>
        <v>90</v>
      </c>
      <c r="AA99" s="9">
        <v>0</v>
      </c>
      <c r="AC99" s="9" t="str">
        <f t="shared" si="4"/>
        <v/>
      </c>
      <c r="AE99" s="44" t="str">
        <f t="shared" si="5"/>
        <v/>
      </c>
    </row>
    <row r="100" spans="1:31">
      <c r="A100" s="153"/>
      <c r="B100" s="365"/>
      <c r="C100" s="365"/>
      <c r="D100" s="49"/>
      <c r="E100" s="9">
        <f>+G100-Adjustments!G100</f>
        <v>0</v>
      </c>
      <c r="F100" s="9"/>
      <c r="G100" s="9"/>
      <c r="H100" s="9"/>
      <c r="I100" s="9"/>
      <c r="J100" s="9">
        <f>+I100-'ROR-Model'!I100</f>
        <v>0</v>
      </c>
      <c r="K100" s="9"/>
      <c r="L100" s="9"/>
      <c r="M100" s="9"/>
      <c r="N100" s="9"/>
      <c r="O100" s="136"/>
      <c r="P100" s="142"/>
      <c r="Q100" s="9"/>
      <c r="R100" s="9"/>
      <c r="S100" s="142"/>
      <c r="T100" s="9"/>
      <c r="U100" s="9"/>
      <c r="V100" s="140"/>
      <c r="W100" s="9"/>
      <c r="X100" s="156"/>
      <c r="Y100" s="918">
        <f t="shared" si="3"/>
        <v>91</v>
      </c>
      <c r="AA100" s="9"/>
      <c r="AC100" s="9" t="str">
        <f t="shared" si="4"/>
        <v/>
      </c>
      <c r="AE100" s="44" t="str">
        <f t="shared" si="5"/>
        <v/>
      </c>
    </row>
    <row r="101" spans="1:31">
      <c r="A101" s="153"/>
      <c r="B101" s="365"/>
      <c r="C101" s="365" t="s">
        <v>17</v>
      </c>
      <c r="D101" s="49"/>
      <c r="E101" s="9">
        <f>+G101-Adjustments!G101</f>
        <v>0</v>
      </c>
      <c r="F101" s="9">
        <f>Revenue!$F$100</f>
        <v>2493346</v>
      </c>
      <c r="G101" s="9">
        <f>+Adjustments!U101</f>
        <v>0</v>
      </c>
      <c r="H101" s="9"/>
      <c r="I101" s="9">
        <f>SUM($F$101:$H$101)</f>
        <v>2493346</v>
      </c>
      <c r="J101" s="9">
        <f>+I101-'ROR-Model'!I101</f>
        <v>0</v>
      </c>
      <c r="K101" s="9"/>
      <c r="L101" s="9" t="s">
        <v>13</v>
      </c>
      <c r="M101" s="9">
        <f>VLOOKUP($L101,$L$2:$N$7,2,FALSE)*I101</f>
        <v>2493346</v>
      </c>
      <c r="N101" s="9">
        <f>VLOOKUP($L101,$L$2:$N$7,3,FALSE)*I101</f>
        <v>0</v>
      </c>
      <c r="O101" s="136"/>
      <c r="P101" s="142" t="s">
        <v>548</v>
      </c>
      <c r="Q101" s="9">
        <f>IF(P101="G",M101,IF(P101="PT",0,ERR))</f>
        <v>0</v>
      </c>
      <c r="R101" s="9">
        <f>IF(P101="PT",M101,IF(P101="G",0,ERR))</f>
        <v>2493346</v>
      </c>
      <c r="S101" s="142" t="s">
        <v>548</v>
      </c>
      <c r="T101" s="9">
        <f>IF(S101="G",N101,IF(S101="PT",0,ERR))</f>
        <v>0</v>
      </c>
      <c r="U101" s="9">
        <f>IF(S101="PT",N101,IF(S101="G",0,ERR))</f>
        <v>0</v>
      </c>
      <c r="V101" s="140"/>
      <c r="W101" s="9">
        <f>HLOOKUP($W$9,'ROR-Model'!$Q$10:$U$1263,Y101)</f>
        <v>0</v>
      </c>
      <c r="X101" s="156"/>
      <c r="Y101" s="918">
        <f t="shared" si="3"/>
        <v>92</v>
      </c>
      <c r="AA101" s="9">
        <v>0</v>
      </c>
      <c r="AC101" s="9" t="str">
        <f t="shared" si="4"/>
        <v/>
      </c>
      <c r="AE101" s="44" t="str">
        <f t="shared" si="5"/>
        <v/>
      </c>
    </row>
    <row r="102" spans="1:31">
      <c r="A102" s="153"/>
      <c r="B102" s="365"/>
      <c r="C102" s="365" t="s">
        <v>18</v>
      </c>
      <c r="D102" s="49"/>
      <c r="E102" s="157">
        <f>+G102-Adjustments!G102</f>
        <v>0</v>
      </c>
      <c r="F102" s="157">
        <f>SUM(F97:F101)</f>
        <v>2978579</v>
      </c>
      <c r="G102" s="157">
        <f>SUM(G97:G101)</f>
        <v>0</v>
      </c>
      <c r="H102" s="157">
        <f>SUM(H97:H101)</f>
        <v>0</v>
      </c>
      <c r="I102" s="157">
        <f>SUM(I97:I101)</f>
        <v>2978579</v>
      </c>
      <c r="J102" s="9">
        <f>+I102-'ROR-Model'!I102</f>
        <v>0</v>
      </c>
      <c r="K102" s="9"/>
      <c r="L102" s="157"/>
      <c r="M102" s="157">
        <f>SUM(M97:M101)</f>
        <v>2978579</v>
      </c>
      <c r="N102" s="157">
        <f>SUM(N97:N101)</f>
        <v>0</v>
      </c>
      <c r="O102" s="136"/>
      <c r="P102" s="226"/>
      <c r="Q102" s="157">
        <f>SUM(Q97:Q101)</f>
        <v>373983</v>
      </c>
      <c r="R102" s="157">
        <f>SUM(R97:R101)</f>
        <v>2604596</v>
      </c>
      <c r="S102" s="226"/>
      <c r="T102" s="157">
        <f>SUM(T97:T101)</f>
        <v>0</v>
      </c>
      <c r="U102" s="157">
        <f>SUM(U97:U101)</f>
        <v>0</v>
      </c>
      <c r="V102" s="140"/>
      <c r="W102" s="157">
        <f>HLOOKUP($W$9,'ROR-Model'!$Q$10:$U$1263,Y102)</f>
        <v>373983</v>
      </c>
      <c r="X102" s="156"/>
      <c r="Y102" s="918">
        <f t="shared" si="3"/>
        <v>93</v>
      </c>
      <c r="AA102" s="157">
        <v>0</v>
      </c>
      <c r="AC102" s="157" t="str">
        <f t="shared" si="4"/>
        <v/>
      </c>
      <c r="AE102" s="44" t="str">
        <f t="shared" si="5"/>
        <v/>
      </c>
    </row>
    <row r="103" spans="1:31">
      <c r="A103" s="153"/>
      <c r="B103" s="365"/>
      <c r="C103" s="365"/>
      <c r="D103" s="49"/>
      <c r="E103" s="9">
        <f>+G103-Adjustments!G103</f>
        <v>0</v>
      </c>
      <c r="F103" s="9"/>
      <c r="G103" s="9"/>
      <c r="H103" s="9"/>
      <c r="I103" s="9"/>
      <c r="J103" s="9">
        <f>+I103-'ROR-Model'!I103</f>
        <v>0</v>
      </c>
      <c r="K103" s="9"/>
      <c r="L103" s="9"/>
      <c r="M103" s="9"/>
      <c r="N103" s="9"/>
      <c r="O103" s="136"/>
      <c r="P103" s="142"/>
      <c r="Q103" s="9"/>
      <c r="R103" s="9"/>
      <c r="S103" s="142"/>
      <c r="T103" s="9"/>
      <c r="U103" s="9"/>
      <c r="V103" s="140"/>
      <c r="W103" s="9"/>
      <c r="X103" s="156"/>
      <c r="Y103" s="918">
        <f t="shared" si="3"/>
        <v>94</v>
      </c>
      <c r="AA103" s="9"/>
      <c r="AC103" s="9" t="str">
        <f t="shared" si="4"/>
        <v/>
      </c>
      <c r="AE103" s="44" t="str">
        <f t="shared" si="5"/>
        <v/>
      </c>
    </row>
    <row r="104" spans="1:31">
      <c r="A104" s="153"/>
      <c r="B104" s="365"/>
      <c r="C104" s="365" t="s">
        <v>19</v>
      </c>
      <c r="D104" s="49"/>
      <c r="E104" s="9">
        <f>+G104-Adjustments!G104</f>
        <v>0</v>
      </c>
      <c r="F104" s="9">
        <f>Revenue!$F$103</f>
        <v>619341</v>
      </c>
      <c r="G104" s="9">
        <f>+Adjustments!U104</f>
        <v>0</v>
      </c>
      <c r="H104" s="9"/>
      <c r="I104" s="645">
        <f>SUM($F$104:$H$104)</f>
        <v>619341</v>
      </c>
      <c r="J104" s="9">
        <f>+I104-'ROR-Model'!I104</f>
        <v>0</v>
      </c>
      <c r="K104" s="9"/>
      <c r="L104" s="9" t="s">
        <v>13</v>
      </c>
      <c r="M104" s="9">
        <f>VLOOKUP($L104,$L$2:$N$7,2,FALSE)*I104</f>
        <v>619341</v>
      </c>
      <c r="N104" s="9">
        <f>VLOOKUP($L104,$L$2:$N$7,3,FALSE)*I104</f>
        <v>0</v>
      </c>
      <c r="O104" s="136"/>
      <c r="P104" s="142" t="s">
        <v>549</v>
      </c>
      <c r="Q104" s="9">
        <f>IF(P104="G",M104,IF(P104="PT",0,ERR))</f>
        <v>619341</v>
      </c>
      <c r="R104" s="9">
        <f>IF(P104="PT",M104,IF(P104="G",0,ERR))</f>
        <v>0</v>
      </c>
      <c r="S104" s="142" t="s">
        <v>549</v>
      </c>
      <c r="T104" s="9">
        <f>IF(S104="G",N104,IF(S104="PT",0,ERR))</f>
        <v>0</v>
      </c>
      <c r="U104" s="9">
        <f>IF(S104="PT",N104,IF(S104="G",0,ERR))</f>
        <v>0</v>
      </c>
      <c r="V104" s="140"/>
      <c r="W104" s="9">
        <f>HLOOKUP($W$9,'ROR-Model'!$Q$10:$U$1263,Y104)</f>
        <v>619341</v>
      </c>
      <c r="X104" s="156"/>
      <c r="Y104" s="918">
        <f t="shared" si="3"/>
        <v>95</v>
      </c>
      <c r="AA104" s="9">
        <v>0</v>
      </c>
      <c r="AC104" s="9" t="str">
        <f t="shared" si="4"/>
        <v/>
      </c>
      <c r="AE104" s="44" t="str">
        <f t="shared" si="5"/>
        <v/>
      </c>
    </row>
    <row r="105" spans="1:31">
      <c r="A105" s="153"/>
      <c r="B105" s="365"/>
      <c r="C105" s="365"/>
      <c r="D105" s="49"/>
      <c r="E105" s="9">
        <f>+G105-Adjustments!G105</f>
        <v>0</v>
      </c>
      <c r="F105" s="9"/>
      <c r="G105" s="9"/>
      <c r="H105" s="9"/>
      <c r="I105" s="9"/>
      <c r="J105" s="9">
        <f>+I105-'ROR-Model'!I105</f>
        <v>0</v>
      </c>
      <c r="K105" s="9"/>
      <c r="L105" s="9"/>
      <c r="M105" s="9"/>
      <c r="N105" s="9"/>
      <c r="O105" s="136"/>
      <c r="P105" s="142"/>
      <c r="Q105" s="9"/>
      <c r="R105" s="9"/>
      <c r="S105" s="142"/>
      <c r="T105" s="9"/>
      <c r="U105" s="9"/>
      <c r="V105" s="140"/>
      <c r="W105" s="9"/>
      <c r="X105" s="156"/>
      <c r="Y105" s="918">
        <f t="shared" si="3"/>
        <v>96</v>
      </c>
      <c r="AA105" s="9"/>
      <c r="AC105" s="9" t="str">
        <f t="shared" si="4"/>
        <v/>
      </c>
      <c r="AE105" s="44" t="str">
        <f t="shared" si="5"/>
        <v/>
      </c>
    </row>
    <row r="106" spans="1:31">
      <c r="A106" s="153"/>
      <c r="B106" s="365" t="s">
        <v>79</v>
      </c>
      <c r="C106" s="365" t="s">
        <v>15</v>
      </c>
      <c r="D106" s="49"/>
      <c r="E106" s="9">
        <f>+G106-Adjustments!G106</f>
        <v>0</v>
      </c>
      <c r="F106" s="9">
        <f>Revenue!$F$105</f>
        <v>0</v>
      </c>
      <c r="G106" s="9">
        <f>+Adjustments!U106</f>
        <v>0</v>
      </c>
      <c r="H106" s="9"/>
      <c r="I106" s="9">
        <f>SUM($F$106:$H$106)</f>
        <v>0</v>
      </c>
      <c r="J106" s="9">
        <f>+I106-'ROR-Model'!I106</f>
        <v>0</v>
      </c>
      <c r="K106" s="9"/>
      <c r="L106" s="9" t="s">
        <v>13</v>
      </c>
      <c r="M106" s="9">
        <f>VLOOKUP($L106,$L$2:$N$7,2,FALSE)*I106</f>
        <v>0</v>
      </c>
      <c r="N106" s="9">
        <f>VLOOKUP($L106,$L$2:$N$7,3,FALSE)*I106</f>
        <v>0</v>
      </c>
      <c r="O106" s="136"/>
      <c r="P106" s="142" t="s">
        <v>549</v>
      </c>
      <c r="Q106" s="9">
        <f>IF(P106="G",M106,IF(P106="PT",0,ERR))</f>
        <v>0</v>
      </c>
      <c r="R106" s="9">
        <f>IF(P106="PT",M106,IF(P106="G",0,ERR))</f>
        <v>0</v>
      </c>
      <c r="S106" s="142" t="s">
        <v>549</v>
      </c>
      <c r="T106" s="9">
        <f>IF(S106="G",N106,IF(S106="PT",0,ERR))</f>
        <v>0</v>
      </c>
      <c r="U106" s="9">
        <f>IF(S106="PT",N106,IF(S106="G",0,ERR))</f>
        <v>0</v>
      </c>
      <c r="V106" s="140"/>
      <c r="W106" s="9">
        <f>HLOOKUP($W$9,'ROR-Model'!$Q$10:$U$1263,Y106)</f>
        <v>0</v>
      </c>
      <c r="X106" s="156"/>
      <c r="Y106" s="918">
        <f t="shared" si="3"/>
        <v>97</v>
      </c>
      <c r="AA106" s="9">
        <v>0</v>
      </c>
      <c r="AC106" s="9" t="str">
        <f t="shared" si="4"/>
        <v/>
      </c>
      <c r="AE106" s="44" t="str">
        <f t="shared" si="5"/>
        <v/>
      </c>
    </row>
    <row r="107" spans="1:31">
      <c r="A107" s="153"/>
      <c r="B107" s="365"/>
      <c r="C107" s="365"/>
      <c r="D107" s="49"/>
      <c r="E107" s="9">
        <f>+G107-Adjustments!G107</f>
        <v>0</v>
      </c>
      <c r="F107" s="9"/>
      <c r="G107" s="9"/>
      <c r="H107" s="9"/>
      <c r="I107" s="9"/>
      <c r="J107" s="9">
        <f>+I107-'ROR-Model'!I107</f>
        <v>0</v>
      </c>
      <c r="K107" s="9"/>
      <c r="L107" s="9"/>
      <c r="M107" s="9"/>
      <c r="N107" s="9"/>
      <c r="O107" s="136"/>
      <c r="P107" s="142"/>
      <c r="Q107" s="9"/>
      <c r="R107" s="9"/>
      <c r="S107" s="142"/>
      <c r="T107" s="9"/>
      <c r="U107" s="9"/>
      <c r="V107" s="140"/>
      <c r="W107" s="9"/>
      <c r="X107" s="156"/>
      <c r="Y107" s="918">
        <f t="shared" si="3"/>
        <v>98</v>
      </c>
      <c r="AA107" s="9"/>
      <c r="AC107" s="9" t="str">
        <f t="shared" si="4"/>
        <v/>
      </c>
      <c r="AE107" s="44" t="str">
        <f t="shared" si="5"/>
        <v/>
      </c>
    </row>
    <row r="108" spans="1:31">
      <c r="A108" s="153"/>
      <c r="B108" s="365"/>
      <c r="C108" s="365" t="s">
        <v>16</v>
      </c>
      <c r="D108" s="49"/>
      <c r="E108" s="9">
        <f>+G108-Adjustments!G108</f>
        <v>0</v>
      </c>
      <c r="F108" s="9">
        <f>Revenue!$F$107</f>
        <v>0</v>
      </c>
      <c r="G108" s="9">
        <f>+Adjustments!U108</f>
        <v>0</v>
      </c>
      <c r="H108" s="9"/>
      <c r="I108" s="9">
        <f>SUM($F$108:$H$108)</f>
        <v>0</v>
      </c>
      <c r="J108" s="9">
        <f>+I108-'ROR-Model'!I108</f>
        <v>0</v>
      </c>
      <c r="K108" s="9"/>
      <c r="L108" s="9" t="s">
        <v>13</v>
      </c>
      <c r="M108" s="9">
        <f>VLOOKUP($L108,$L$2:$N$7,2,FALSE)*I108</f>
        <v>0</v>
      </c>
      <c r="N108" s="9">
        <f>VLOOKUP($L108,$L$2:$N$7,3,FALSE)*I108</f>
        <v>0</v>
      </c>
      <c r="O108" s="136"/>
      <c r="P108" s="142" t="s">
        <v>548</v>
      </c>
      <c r="Q108" s="9">
        <f>IF(P108="G",M108,IF(P108="PT",0,ERR))</f>
        <v>0</v>
      </c>
      <c r="R108" s="9">
        <f>IF(P108="PT",M108,IF(P108="G",0,ERR))</f>
        <v>0</v>
      </c>
      <c r="S108" s="142" t="s">
        <v>548</v>
      </c>
      <c r="T108" s="9">
        <f>IF(S108="G",N108,IF(S108="PT",0,ERR))</f>
        <v>0</v>
      </c>
      <c r="U108" s="9">
        <f>IF(S108="PT",N108,IF(S108="G",0,ERR))</f>
        <v>0</v>
      </c>
      <c r="V108" s="140"/>
      <c r="W108" s="9">
        <f>HLOOKUP($W$9,'ROR-Model'!$Q$10:$U$1263,Y108)</f>
        <v>0</v>
      </c>
      <c r="X108" s="156"/>
      <c r="Y108" s="918">
        <f t="shared" si="3"/>
        <v>99</v>
      </c>
      <c r="AA108" s="9">
        <v>0</v>
      </c>
      <c r="AC108" s="9" t="str">
        <f t="shared" si="4"/>
        <v/>
      </c>
      <c r="AE108" s="44" t="str">
        <f t="shared" si="5"/>
        <v/>
      </c>
    </row>
    <row r="109" spans="1:31">
      <c r="A109" s="153"/>
      <c r="B109" s="365"/>
      <c r="C109" s="365"/>
      <c r="D109" s="49"/>
      <c r="E109" s="9">
        <f>+G109-Adjustments!G109</f>
        <v>0</v>
      </c>
      <c r="F109" s="9"/>
      <c r="G109" s="9"/>
      <c r="H109" s="9"/>
      <c r="I109" s="9"/>
      <c r="J109" s="9">
        <f>+I109-'ROR-Model'!I109</f>
        <v>0</v>
      </c>
      <c r="K109" s="9"/>
      <c r="L109" s="9"/>
      <c r="M109" s="9"/>
      <c r="N109" s="9"/>
      <c r="O109" s="136"/>
      <c r="P109" s="142"/>
      <c r="Q109" s="9"/>
      <c r="R109" s="9"/>
      <c r="S109" s="142"/>
      <c r="T109" s="9"/>
      <c r="U109" s="9"/>
      <c r="V109" s="140"/>
      <c r="W109" s="9"/>
      <c r="X109" s="156"/>
      <c r="Y109" s="918">
        <f t="shared" si="3"/>
        <v>100</v>
      </c>
      <c r="AA109" s="9"/>
      <c r="AC109" s="9" t="str">
        <f t="shared" si="4"/>
        <v/>
      </c>
      <c r="AE109" s="44" t="str">
        <f t="shared" si="5"/>
        <v/>
      </c>
    </row>
    <row r="110" spans="1:31">
      <c r="A110" s="153"/>
      <c r="B110" s="365"/>
      <c r="C110" s="365" t="s">
        <v>17</v>
      </c>
      <c r="D110" s="49"/>
      <c r="E110" s="9">
        <f>+G110-Adjustments!G110</f>
        <v>0</v>
      </c>
      <c r="F110" s="9">
        <f>Revenue!$F$109</f>
        <v>0</v>
      </c>
      <c r="G110" s="9">
        <f>+Adjustments!U110</f>
        <v>0</v>
      </c>
      <c r="H110" s="9"/>
      <c r="I110" s="9">
        <f>SUM($F$110:$H$110)</f>
        <v>0</v>
      </c>
      <c r="J110" s="9">
        <f>+I110-'ROR-Model'!I110</f>
        <v>0</v>
      </c>
      <c r="K110" s="9"/>
      <c r="L110" s="9" t="s">
        <v>13</v>
      </c>
      <c r="M110" s="9">
        <f>VLOOKUP($L110,$L$2:$N$7,2,FALSE)*I110</f>
        <v>0</v>
      </c>
      <c r="N110" s="9">
        <f>VLOOKUP($L110,$L$2:$N$7,3,FALSE)*I110</f>
        <v>0</v>
      </c>
      <c r="O110" s="136"/>
      <c r="P110" s="142" t="s">
        <v>548</v>
      </c>
      <c r="Q110" s="9">
        <f>IF(P110="G",M110,IF(P110="PT",0,ERR))</f>
        <v>0</v>
      </c>
      <c r="R110" s="9">
        <f>IF(P110="PT",M110,IF(P110="G",0,ERR))</f>
        <v>0</v>
      </c>
      <c r="S110" s="142" t="s">
        <v>548</v>
      </c>
      <c r="T110" s="9">
        <f>IF(S110="G",N110,IF(S110="PT",0,ERR))</f>
        <v>0</v>
      </c>
      <c r="U110" s="9">
        <f>IF(S110="PT",N110,IF(S110="G",0,ERR))</f>
        <v>0</v>
      </c>
      <c r="V110" s="140"/>
      <c r="W110" s="9">
        <f>HLOOKUP($W$9,'ROR-Model'!$Q$10:$U$1263,Y110)</f>
        <v>0</v>
      </c>
      <c r="X110" s="156"/>
      <c r="Y110" s="918">
        <f t="shared" si="3"/>
        <v>101</v>
      </c>
      <c r="AA110" s="9">
        <v>0</v>
      </c>
      <c r="AC110" s="9" t="str">
        <f t="shared" si="4"/>
        <v/>
      </c>
      <c r="AE110" s="44" t="str">
        <f t="shared" si="5"/>
        <v/>
      </c>
    </row>
    <row r="111" spans="1:31">
      <c r="A111" s="153"/>
      <c r="B111" s="365"/>
      <c r="C111" s="365" t="s">
        <v>18</v>
      </c>
      <c r="D111" s="49"/>
      <c r="E111" s="157">
        <f>+G111-Adjustments!G111</f>
        <v>0</v>
      </c>
      <c r="F111" s="157">
        <f>SUM(F106:F110)</f>
        <v>0</v>
      </c>
      <c r="G111" s="157">
        <f>SUM(G106:G110)</f>
        <v>0</v>
      </c>
      <c r="H111" s="157">
        <f>SUM(H106:H110)</f>
        <v>0</v>
      </c>
      <c r="I111" s="157">
        <f>SUM(I106:I110)</f>
        <v>0</v>
      </c>
      <c r="J111" s="9">
        <f>+I111-'ROR-Model'!I111</f>
        <v>0</v>
      </c>
      <c r="K111" s="9"/>
      <c r="L111" s="157"/>
      <c r="M111" s="157">
        <f>SUM(M106:M110)</f>
        <v>0</v>
      </c>
      <c r="N111" s="157">
        <f>SUM(N106:N110)</f>
        <v>0</v>
      </c>
      <c r="O111" s="136"/>
      <c r="P111" s="226"/>
      <c r="Q111" s="157">
        <f>SUM(Q106:Q110)</f>
        <v>0</v>
      </c>
      <c r="R111" s="157">
        <f>SUM(R106:R110)</f>
        <v>0</v>
      </c>
      <c r="S111" s="226"/>
      <c r="T111" s="157">
        <f>SUM(T106:T110)</f>
        <v>0</v>
      </c>
      <c r="U111" s="157">
        <f>SUM(U106:U110)</f>
        <v>0</v>
      </c>
      <c r="V111" s="140"/>
      <c r="W111" s="157">
        <f>HLOOKUP($W$9,'ROR-Model'!$Q$10:$U$1263,Y111)</f>
        <v>0</v>
      </c>
      <c r="X111" s="156"/>
      <c r="Y111" s="918">
        <f t="shared" si="3"/>
        <v>102</v>
      </c>
      <c r="AA111" s="157">
        <v>0</v>
      </c>
      <c r="AC111" s="157" t="str">
        <f t="shared" si="4"/>
        <v/>
      </c>
      <c r="AE111" s="44" t="str">
        <f t="shared" si="5"/>
        <v/>
      </c>
    </row>
    <row r="112" spans="1:31">
      <c r="A112" s="153"/>
      <c r="B112" s="365"/>
      <c r="C112" s="365"/>
      <c r="D112" s="49"/>
      <c r="E112" s="9">
        <f>+G112-Adjustments!G112</f>
        <v>0</v>
      </c>
      <c r="F112" s="9"/>
      <c r="G112" s="9"/>
      <c r="H112" s="9"/>
      <c r="I112" s="9"/>
      <c r="J112" s="9">
        <f>+I112-'ROR-Model'!I112</f>
        <v>0</v>
      </c>
      <c r="K112" s="9"/>
      <c r="L112" s="9"/>
      <c r="M112" s="9"/>
      <c r="N112" s="9"/>
      <c r="O112" s="136"/>
      <c r="P112" s="142"/>
      <c r="Q112" s="9"/>
      <c r="R112" s="9"/>
      <c r="S112" s="142"/>
      <c r="T112" s="9"/>
      <c r="U112" s="9"/>
      <c r="V112" s="140"/>
      <c r="W112" s="9"/>
      <c r="X112" s="156"/>
      <c r="Y112" s="918">
        <f t="shared" si="3"/>
        <v>103</v>
      </c>
      <c r="AA112" s="9"/>
      <c r="AC112" s="9" t="str">
        <f t="shared" si="4"/>
        <v/>
      </c>
      <c r="AE112" s="44" t="str">
        <f t="shared" si="5"/>
        <v/>
      </c>
    </row>
    <row r="113" spans="1:31">
      <c r="A113" s="153"/>
      <c r="B113" s="365"/>
      <c r="C113" s="365" t="s">
        <v>19</v>
      </c>
      <c r="D113" s="49"/>
      <c r="E113" s="9">
        <f>+G113-Adjustments!G113</f>
        <v>0</v>
      </c>
      <c r="F113" s="9">
        <f>Revenue!$F$112</f>
        <v>0</v>
      </c>
      <c r="G113" s="9">
        <f>+Adjustments!U113</f>
        <v>0</v>
      </c>
      <c r="H113" s="9"/>
      <c r="I113" s="645">
        <f>SUM($F$113:$H$113)</f>
        <v>0</v>
      </c>
      <c r="J113" s="9">
        <f>+I113-'ROR-Model'!I113</f>
        <v>0</v>
      </c>
      <c r="K113" s="9"/>
      <c r="L113" s="9" t="s">
        <v>13</v>
      </c>
      <c r="M113" s="9">
        <f>VLOOKUP($L113,$L$2:$N$7,2,FALSE)*I113</f>
        <v>0</v>
      </c>
      <c r="N113" s="9">
        <f>VLOOKUP($L113,$L$2:$N$7,3,FALSE)*I113</f>
        <v>0</v>
      </c>
      <c r="O113" s="136"/>
      <c r="P113" s="142" t="s">
        <v>549</v>
      </c>
      <c r="Q113" s="9">
        <f>IF(P113="G",M113,IF(P113="PT",0,ERR))</f>
        <v>0</v>
      </c>
      <c r="R113" s="9">
        <f>IF(P113="PT",M113,IF(P113="G",0,ERR))</f>
        <v>0</v>
      </c>
      <c r="S113" s="142" t="s">
        <v>549</v>
      </c>
      <c r="T113" s="9">
        <f>IF(S113="G",N113,IF(S113="PT",0,ERR))</f>
        <v>0</v>
      </c>
      <c r="U113" s="9">
        <f>IF(S113="PT",N113,IF(S113="G",0,ERR))</f>
        <v>0</v>
      </c>
      <c r="V113" s="140"/>
      <c r="W113" s="9">
        <f>HLOOKUP($W$9,'ROR-Model'!$Q$10:$U$1263,Y113)</f>
        <v>0</v>
      </c>
      <c r="X113" s="156"/>
      <c r="Y113" s="918">
        <f t="shared" si="3"/>
        <v>104</v>
      </c>
      <c r="AA113" s="9">
        <v>0</v>
      </c>
      <c r="AC113" s="9" t="str">
        <f t="shared" si="4"/>
        <v/>
      </c>
      <c r="AE113" s="44" t="str">
        <f t="shared" si="5"/>
        <v/>
      </c>
    </row>
    <row r="114" spans="1:31">
      <c r="A114" s="153"/>
      <c r="B114" s="365"/>
      <c r="C114" s="365"/>
      <c r="D114" s="49"/>
      <c r="E114" s="9">
        <f>+G114-Adjustments!G114</f>
        <v>0</v>
      </c>
      <c r="F114" s="9"/>
      <c r="G114" s="9"/>
      <c r="H114" s="9"/>
      <c r="I114" s="9"/>
      <c r="J114" s="9">
        <f>+I114-'ROR-Model'!I114</f>
        <v>0</v>
      </c>
      <c r="K114" s="9"/>
      <c r="L114" s="9"/>
      <c r="M114" s="9"/>
      <c r="N114" s="9"/>
      <c r="O114" s="136"/>
      <c r="P114" s="142"/>
      <c r="Q114" s="9"/>
      <c r="R114" s="9"/>
      <c r="S114" s="142"/>
      <c r="T114" s="9"/>
      <c r="U114" s="9"/>
      <c r="V114" s="140"/>
      <c r="W114" s="9"/>
      <c r="X114" s="156"/>
      <c r="Y114" s="918">
        <f t="shared" si="3"/>
        <v>105</v>
      </c>
      <c r="AA114" s="9"/>
      <c r="AC114" s="9" t="str">
        <f t="shared" si="4"/>
        <v/>
      </c>
      <c r="AE114" s="44" t="str">
        <f t="shared" si="5"/>
        <v/>
      </c>
    </row>
    <row r="115" spans="1:31">
      <c r="A115" s="153"/>
      <c r="B115" s="365" t="s">
        <v>36</v>
      </c>
      <c r="C115" s="365" t="s">
        <v>15</v>
      </c>
      <c r="D115" s="49"/>
      <c r="E115" s="9">
        <f>+G115-Adjustments!G115</f>
        <v>0</v>
      </c>
      <c r="F115" s="9">
        <f>Revenue!$F$114</f>
        <v>0</v>
      </c>
      <c r="G115" s="9">
        <f>+Adjustments!U115</f>
        <v>0</v>
      </c>
      <c r="H115" s="9"/>
      <c r="I115" s="9">
        <f>SUM($F$115:$H$115)</f>
        <v>0</v>
      </c>
      <c r="J115" s="9">
        <f>+I115-'ROR-Model'!I115</f>
        <v>0</v>
      </c>
      <c r="K115" s="9"/>
      <c r="L115" s="9" t="s">
        <v>13</v>
      </c>
      <c r="M115" s="9">
        <f>VLOOKUP($L115,$L$2:$N$7,2,FALSE)*I115</f>
        <v>0</v>
      </c>
      <c r="N115" s="9">
        <f>VLOOKUP($L115,$L$2:$N$7,3,FALSE)*I115</f>
        <v>0</v>
      </c>
      <c r="O115" s="136"/>
      <c r="P115" s="142" t="s">
        <v>549</v>
      </c>
      <c r="Q115" s="9">
        <f>IF(P115="G",M115,IF(P115="PT",0,ERR))</f>
        <v>0</v>
      </c>
      <c r="R115" s="9">
        <f>IF(P115="PT",M115,IF(P115="G",0,ERR))</f>
        <v>0</v>
      </c>
      <c r="S115" s="142" t="s">
        <v>549</v>
      </c>
      <c r="T115" s="9">
        <f>IF(S115="G",N115,IF(S115="PT",0,ERR))</f>
        <v>0</v>
      </c>
      <c r="U115" s="9">
        <f>IF(S115="PT",N115,IF(S115="G",0,ERR))</f>
        <v>0</v>
      </c>
      <c r="V115" s="140"/>
      <c r="W115" s="9">
        <f>HLOOKUP($W$9,'ROR-Model'!$Q$10:$U$1263,Y115)</f>
        <v>0</v>
      </c>
      <c r="X115" s="156"/>
      <c r="Y115" s="918">
        <f t="shared" si="3"/>
        <v>106</v>
      </c>
      <c r="AA115" s="9">
        <v>0</v>
      </c>
      <c r="AC115" s="9" t="str">
        <f t="shared" si="4"/>
        <v/>
      </c>
      <c r="AE115" s="44" t="str">
        <f t="shared" si="5"/>
        <v/>
      </c>
    </row>
    <row r="116" spans="1:31">
      <c r="A116" s="153"/>
      <c r="B116" s="365"/>
      <c r="C116" s="365"/>
      <c r="D116" s="49"/>
      <c r="E116" s="9">
        <f>+G116-Adjustments!G116</f>
        <v>0</v>
      </c>
      <c r="F116" s="9"/>
      <c r="G116" s="9"/>
      <c r="H116" s="9"/>
      <c r="I116" s="9"/>
      <c r="J116" s="9">
        <f>+I116-'ROR-Model'!I116</f>
        <v>0</v>
      </c>
      <c r="K116" s="9"/>
      <c r="L116" s="9"/>
      <c r="M116" s="9"/>
      <c r="N116" s="9"/>
      <c r="O116" s="136"/>
      <c r="P116" s="142"/>
      <c r="Q116" s="9"/>
      <c r="R116" s="9"/>
      <c r="S116" s="142"/>
      <c r="T116" s="9"/>
      <c r="U116" s="9"/>
      <c r="V116" s="140"/>
      <c r="W116" s="9"/>
      <c r="X116" s="156"/>
      <c r="Y116" s="918">
        <f t="shared" si="3"/>
        <v>107</v>
      </c>
      <c r="AA116" s="9"/>
      <c r="AC116" s="9" t="str">
        <f t="shared" si="4"/>
        <v/>
      </c>
      <c r="AE116" s="44" t="str">
        <f t="shared" si="5"/>
        <v/>
      </c>
    </row>
    <row r="117" spans="1:31">
      <c r="A117" s="153"/>
      <c r="B117" s="365"/>
      <c r="C117" s="365" t="s">
        <v>16</v>
      </c>
      <c r="D117" s="49"/>
      <c r="E117" s="9">
        <f>+G117-Adjustments!G117</f>
        <v>0</v>
      </c>
      <c r="F117" s="9">
        <f>Revenue!$F$116</f>
        <v>0</v>
      </c>
      <c r="G117" s="9">
        <f>+Adjustments!U117</f>
        <v>0</v>
      </c>
      <c r="H117" s="9"/>
      <c r="I117" s="9">
        <f>SUM($F$117:$H$117)</f>
        <v>0</v>
      </c>
      <c r="J117" s="9">
        <f>+I117-'ROR-Model'!I117</f>
        <v>0</v>
      </c>
      <c r="K117" s="9"/>
      <c r="L117" s="9" t="s">
        <v>13</v>
      </c>
      <c r="M117" s="9">
        <f>VLOOKUP($L117,$L$2:$N$7,2,FALSE)*I117</f>
        <v>0</v>
      </c>
      <c r="N117" s="9">
        <f>VLOOKUP($L117,$L$2:$N$7,3,FALSE)*I117</f>
        <v>0</v>
      </c>
      <c r="O117" s="136"/>
      <c r="P117" s="142" t="s">
        <v>548</v>
      </c>
      <c r="Q117" s="9">
        <f>IF(P117="G",M117,IF(P117="PT",0,ERR))</f>
        <v>0</v>
      </c>
      <c r="R117" s="9">
        <f>IF(P117="PT",M117,IF(P117="G",0,ERR))</f>
        <v>0</v>
      </c>
      <c r="S117" s="142" t="s">
        <v>548</v>
      </c>
      <c r="T117" s="9">
        <f>IF(S117="G",N117,IF(S117="PT",0,ERR))</f>
        <v>0</v>
      </c>
      <c r="U117" s="9">
        <f>IF(S117="PT",N117,IF(S117="G",0,ERR))</f>
        <v>0</v>
      </c>
      <c r="V117" s="140"/>
      <c r="W117" s="9">
        <f>HLOOKUP($W$9,'ROR-Model'!$Q$10:$U$1263,Y117)</f>
        <v>0</v>
      </c>
      <c r="X117" s="156"/>
      <c r="Y117" s="918">
        <f t="shared" si="3"/>
        <v>108</v>
      </c>
      <c r="AA117" s="9">
        <v>0</v>
      </c>
      <c r="AC117" s="9" t="str">
        <f t="shared" si="4"/>
        <v/>
      </c>
      <c r="AE117" s="44" t="str">
        <f t="shared" si="5"/>
        <v/>
      </c>
    </row>
    <row r="118" spans="1:31">
      <c r="A118" s="153"/>
      <c r="B118" s="365"/>
      <c r="C118" s="365"/>
      <c r="D118" s="49"/>
      <c r="E118" s="9">
        <f>+G118-Adjustments!G118</f>
        <v>0</v>
      </c>
      <c r="F118" s="9"/>
      <c r="G118" s="9"/>
      <c r="H118" s="9"/>
      <c r="I118" s="9"/>
      <c r="J118" s="9">
        <f>+I118-'ROR-Model'!I118</f>
        <v>0</v>
      </c>
      <c r="K118" s="9"/>
      <c r="L118" s="9"/>
      <c r="M118" s="9"/>
      <c r="N118" s="9"/>
      <c r="O118" s="136"/>
      <c r="P118" s="142"/>
      <c r="Q118" s="9"/>
      <c r="R118" s="9"/>
      <c r="S118" s="142"/>
      <c r="T118" s="9"/>
      <c r="U118" s="9"/>
      <c r="V118" s="140"/>
      <c r="W118" s="9"/>
      <c r="X118" s="156"/>
      <c r="Y118" s="918">
        <f t="shared" si="3"/>
        <v>109</v>
      </c>
      <c r="AA118" s="9"/>
      <c r="AC118" s="9" t="str">
        <f t="shared" si="4"/>
        <v/>
      </c>
      <c r="AE118" s="44" t="str">
        <f t="shared" si="5"/>
        <v/>
      </c>
    </row>
    <row r="119" spans="1:31">
      <c r="A119" s="153"/>
      <c r="B119" s="365"/>
      <c r="C119" s="365" t="s">
        <v>17</v>
      </c>
      <c r="D119" s="49"/>
      <c r="E119" s="9">
        <f>+G119-Adjustments!G119</f>
        <v>0</v>
      </c>
      <c r="F119" s="9">
        <f>Revenue!$F$118</f>
        <v>0</v>
      </c>
      <c r="G119" s="9">
        <f>+Adjustments!U119</f>
        <v>0</v>
      </c>
      <c r="H119" s="9"/>
      <c r="I119" s="9">
        <f>SUM($F$119:$H$119)</f>
        <v>0</v>
      </c>
      <c r="J119" s="9">
        <f>+I119-'ROR-Model'!I119</f>
        <v>0</v>
      </c>
      <c r="K119" s="9"/>
      <c r="L119" s="9" t="s">
        <v>13</v>
      </c>
      <c r="M119" s="9">
        <f>VLOOKUP($L119,$L$2:$N$7,2,FALSE)*I119</f>
        <v>0</v>
      </c>
      <c r="N119" s="9">
        <f>VLOOKUP($L119,$L$2:$N$7,3,FALSE)*I119</f>
        <v>0</v>
      </c>
      <c r="O119" s="136"/>
      <c r="P119" s="142" t="s">
        <v>548</v>
      </c>
      <c r="Q119" s="9">
        <f>IF(P119="G",M119,IF(P119="PT",0,ERR))</f>
        <v>0</v>
      </c>
      <c r="R119" s="9">
        <f>IF(P119="PT",M119,IF(P119="G",0,ERR))</f>
        <v>0</v>
      </c>
      <c r="S119" s="142" t="s">
        <v>548</v>
      </c>
      <c r="T119" s="9">
        <f>IF(S119="G",N119,IF(S119="PT",0,ERR))</f>
        <v>0</v>
      </c>
      <c r="U119" s="9">
        <f>IF(S119="PT",N119,IF(S119="G",0,ERR))</f>
        <v>0</v>
      </c>
      <c r="V119" s="140"/>
      <c r="W119" s="9">
        <f>HLOOKUP($W$9,'ROR-Model'!$Q$10:$U$1263,Y119)</f>
        <v>0</v>
      </c>
      <c r="X119" s="156"/>
      <c r="Y119" s="918">
        <f t="shared" si="3"/>
        <v>110</v>
      </c>
      <c r="AA119" s="9">
        <v>0</v>
      </c>
      <c r="AC119" s="9" t="str">
        <f t="shared" si="4"/>
        <v/>
      </c>
      <c r="AE119" s="44" t="str">
        <f t="shared" si="5"/>
        <v/>
      </c>
    </row>
    <row r="120" spans="1:31">
      <c r="A120" s="153"/>
      <c r="B120" s="365"/>
      <c r="C120" s="365" t="s">
        <v>18</v>
      </c>
      <c r="D120" s="49"/>
      <c r="E120" s="157">
        <f>+G120-Adjustments!G120</f>
        <v>0</v>
      </c>
      <c r="F120" s="157">
        <f>SUM(F115:F119)</f>
        <v>0</v>
      </c>
      <c r="G120" s="157">
        <f>SUM(G115:G119)</f>
        <v>0</v>
      </c>
      <c r="H120" s="157">
        <f>SUM(H115:H119)</f>
        <v>0</v>
      </c>
      <c r="I120" s="157">
        <f>SUM(I115:I119)</f>
        <v>0</v>
      </c>
      <c r="J120" s="9">
        <f>+I120-'ROR-Model'!I120</f>
        <v>0</v>
      </c>
      <c r="K120" s="9"/>
      <c r="L120" s="157"/>
      <c r="M120" s="157">
        <f>SUM(M115:M119)</f>
        <v>0</v>
      </c>
      <c r="N120" s="157">
        <f>SUM(N115:N119)</f>
        <v>0</v>
      </c>
      <c r="O120" s="136"/>
      <c r="P120" s="226"/>
      <c r="Q120" s="157">
        <f>SUM(Q115:Q119)</f>
        <v>0</v>
      </c>
      <c r="R120" s="157">
        <f>SUM(R115:R119)</f>
        <v>0</v>
      </c>
      <c r="S120" s="226"/>
      <c r="T120" s="157">
        <f>SUM(T115:T119)</f>
        <v>0</v>
      </c>
      <c r="U120" s="157">
        <f>SUM(U115:U119)</f>
        <v>0</v>
      </c>
      <c r="V120" s="140"/>
      <c r="W120" s="157">
        <f>HLOOKUP($W$9,'ROR-Model'!$Q$10:$U$1263,Y120)</f>
        <v>0</v>
      </c>
      <c r="X120" s="156"/>
      <c r="Y120" s="918">
        <f t="shared" si="3"/>
        <v>111</v>
      </c>
      <c r="AA120" s="157">
        <v>0</v>
      </c>
      <c r="AC120" s="157" t="str">
        <f t="shared" si="4"/>
        <v/>
      </c>
      <c r="AE120" s="44" t="str">
        <f t="shared" si="5"/>
        <v/>
      </c>
    </row>
    <row r="121" spans="1:31">
      <c r="A121" s="153"/>
      <c r="B121" s="365"/>
      <c r="C121" s="365"/>
      <c r="D121" s="49"/>
      <c r="E121" s="9">
        <f>+G121-Adjustments!G121</f>
        <v>0</v>
      </c>
      <c r="F121" s="9"/>
      <c r="G121" s="9"/>
      <c r="H121" s="9"/>
      <c r="I121" s="9"/>
      <c r="J121" s="9">
        <f>+I121-'ROR-Model'!I121</f>
        <v>0</v>
      </c>
      <c r="K121" s="9"/>
      <c r="L121" s="9"/>
      <c r="M121" s="9"/>
      <c r="N121" s="9"/>
      <c r="O121" s="136"/>
      <c r="P121" s="142"/>
      <c r="Q121" s="9"/>
      <c r="R121" s="9"/>
      <c r="S121" s="142"/>
      <c r="T121" s="9"/>
      <c r="U121" s="9"/>
      <c r="V121" s="140"/>
      <c r="W121" s="9"/>
      <c r="X121" s="156"/>
      <c r="Y121" s="918">
        <f t="shared" si="3"/>
        <v>112</v>
      </c>
      <c r="AA121" s="9"/>
      <c r="AC121" s="9" t="str">
        <f t="shared" si="4"/>
        <v/>
      </c>
      <c r="AE121" s="44" t="str">
        <f t="shared" si="5"/>
        <v/>
      </c>
    </row>
    <row r="122" spans="1:31">
      <c r="A122" s="153"/>
      <c r="B122" s="365"/>
      <c r="C122" s="365" t="s">
        <v>19</v>
      </c>
      <c r="D122" s="49"/>
      <c r="E122" s="9">
        <f>+G122-Adjustments!G122</f>
        <v>0</v>
      </c>
      <c r="F122" s="9">
        <f>Revenue!$F$121</f>
        <v>0</v>
      </c>
      <c r="G122" s="9">
        <f>+Adjustments!U122</f>
        <v>0</v>
      </c>
      <c r="H122" s="9"/>
      <c r="I122" s="645">
        <f>SUM($F$122:$H$122)</f>
        <v>0</v>
      </c>
      <c r="J122" s="9">
        <f>+I122-'ROR-Model'!I122</f>
        <v>0</v>
      </c>
      <c r="K122" s="9"/>
      <c r="L122" s="9" t="s">
        <v>13</v>
      </c>
      <c r="M122" s="9">
        <f>VLOOKUP($L122,$L$2:$N$7,2,FALSE)*I122</f>
        <v>0</v>
      </c>
      <c r="N122" s="9">
        <f>VLOOKUP($L122,$L$2:$N$7,3,FALSE)*I122</f>
        <v>0</v>
      </c>
      <c r="O122" s="136"/>
      <c r="P122" s="142" t="s">
        <v>549</v>
      </c>
      <c r="Q122" s="9">
        <f>IF(P122="G",M122,IF(P122="PT",0,ERR))</f>
        <v>0</v>
      </c>
      <c r="R122" s="9">
        <f>IF(P122="PT",M122,IF(P122="G",0,ERR))</f>
        <v>0</v>
      </c>
      <c r="S122" s="142" t="s">
        <v>549</v>
      </c>
      <c r="T122" s="9">
        <f>IF(S122="G",N122,IF(S122="PT",0,ERR))</f>
        <v>0</v>
      </c>
      <c r="U122" s="9">
        <f>IF(S122="PT",N122,IF(S122="G",0,ERR))</f>
        <v>0</v>
      </c>
      <c r="V122" s="140"/>
      <c r="W122" s="9">
        <f>HLOOKUP($W$9,'ROR-Model'!$Q$10:$U$1263,Y122)</f>
        <v>0</v>
      </c>
      <c r="X122" s="156"/>
      <c r="Y122" s="918">
        <f t="shared" si="3"/>
        <v>113</v>
      </c>
      <c r="AA122" s="9">
        <v>0</v>
      </c>
      <c r="AC122" s="9" t="str">
        <f t="shared" si="4"/>
        <v/>
      </c>
      <c r="AE122" s="44" t="str">
        <f t="shared" si="5"/>
        <v/>
      </c>
    </row>
    <row r="123" spans="1:31">
      <c r="A123" s="153"/>
      <c r="B123" s="365"/>
      <c r="C123" s="365"/>
      <c r="D123" s="49"/>
      <c r="E123" s="9">
        <f>+G123-Adjustments!G123</f>
        <v>0</v>
      </c>
      <c r="F123" s="9"/>
      <c r="G123" s="9"/>
      <c r="H123" s="9"/>
      <c r="I123" s="9"/>
      <c r="J123" s="9">
        <f>+I123-'ROR-Model'!I123</f>
        <v>0</v>
      </c>
      <c r="K123" s="9"/>
      <c r="L123" s="9"/>
      <c r="M123" s="9"/>
      <c r="N123" s="9"/>
      <c r="O123" s="136"/>
      <c r="P123" s="142"/>
      <c r="Q123" s="9"/>
      <c r="R123" s="9"/>
      <c r="S123" s="142"/>
      <c r="T123" s="9"/>
      <c r="U123" s="9"/>
      <c r="V123" s="140"/>
      <c r="W123" s="9"/>
      <c r="X123" s="156"/>
      <c r="Y123" s="918">
        <f t="shared" si="3"/>
        <v>114</v>
      </c>
      <c r="AA123" s="9"/>
      <c r="AC123" s="9" t="str">
        <f t="shared" si="4"/>
        <v/>
      </c>
      <c r="AE123" s="44" t="str">
        <f t="shared" si="5"/>
        <v/>
      </c>
    </row>
    <row r="124" spans="1:31">
      <c r="A124" s="153"/>
      <c r="B124" s="365" t="s">
        <v>84</v>
      </c>
      <c r="C124" s="365" t="s">
        <v>15</v>
      </c>
      <c r="D124" s="49"/>
      <c r="E124" s="9">
        <f>+G124-Adjustments!G124</f>
        <v>0</v>
      </c>
      <c r="F124" s="9">
        <f>Revenue!$F$123</f>
        <v>5148837</v>
      </c>
      <c r="G124" s="9">
        <f>+Adjustments!U124</f>
        <v>0</v>
      </c>
      <c r="H124" s="9"/>
      <c r="I124" s="9">
        <f>SUM($F$124:$H$124)</f>
        <v>5148837</v>
      </c>
      <c r="J124" s="9">
        <f>+I124-'ROR-Model'!I124</f>
        <v>0</v>
      </c>
      <c r="K124" s="9"/>
      <c r="L124" s="9" t="s">
        <v>13</v>
      </c>
      <c r="M124" s="9">
        <f>VLOOKUP($L124,$L$2:$N$7,2,FALSE)*I124</f>
        <v>5148837</v>
      </c>
      <c r="N124" s="9">
        <f>VLOOKUP($L124,$L$2:$N$7,3,FALSE)*I124</f>
        <v>0</v>
      </c>
      <c r="O124" s="136"/>
      <c r="P124" s="142" t="s">
        <v>549</v>
      </c>
      <c r="Q124" s="9">
        <f>IF(P124="G",M124,IF(P124="PT",0,ERR))</f>
        <v>5148837</v>
      </c>
      <c r="R124" s="9">
        <f>IF(P124="PT",M124,IF(P124="G",0,ERR))</f>
        <v>0</v>
      </c>
      <c r="S124" s="142" t="s">
        <v>549</v>
      </c>
      <c r="T124" s="9">
        <f>IF(S124="G",N124,IF(S124="PT",0,ERR))</f>
        <v>0</v>
      </c>
      <c r="U124" s="9">
        <f>IF(S124="PT",N124,IF(S124="G",0,ERR))</f>
        <v>0</v>
      </c>
      <c r="V124" s="140"/>
      <c r="W124" s="9">
        <f>HLOOKUP($W$9,'ROR-Model'!$Q$10:$U$1263,Y124)</f>
        <v>5148837</v>
      </c>
      <c r="X124" s="156"/>
      <c r="Y124" s="918">
        <f t="shared" si="3"/>
        <v>115</v>
      </c>
      <c r="AA124" s="9">
        <v>0</v>
      </c>
      <c r="AC124" s="9" t="str">
        <f t="shared" si="4"/>
        <v/>
      </c>
      <c r="AE124" s="44" t="str">
        <f t="shared" si="5"/>
        <v/>
      </c>
    </row>
    <row r="125" spans="1:31">
      <c r="A125" s="153"/>
      <c r="B125" s="365"/>
      <c r="C125" s="365"/>
      <c r="D125" s="49"/>
      <c r="E125" s="9">
        <f>+G125-Adjustments!G125</f>
        <v>0</v>
      </c>
      <c r="F125" s="9"/>
      <c r="G125" s="9"/>
      <c r="H125" s="9"/>
      <c r="I125" s="9"/>
      <c r="J125" s="9">
        <f>+I125-'ROR-Model'!I125</f>
        <v>0</v>
      </c>
      <c r="K125" s="9"/>
      <c r="L125" s="9"/>
      <c r="M125" s="9"/>
      <c r="N125" s="9"/>
      <c r="O125" s="136"/>
      <c r="P125" s="142"/>
      <c r="Q125" s="9"/>
      <c r="R125" s="9"/>
      <c r="S125" s="142"/>
      <c r="T125" s="9"/>
      <c r="U125" s="9"/>
      <c r="V125" s="140"/>
      <c r="W125" s="9"/>
      <c r="X125" s="156"/>
      <c r="Y125" s="918">
        <f t="shared" si="3"/>
        <v>116</v>
      </c>
      <c r="AA125" s="9"/>
      <c r="AC125" s="9" t="str">
        <f t="shared" si="4"/>
        <v/>
      </c>
      <c r="AE125" s="44" t="str">
        <f t="shared" si="5"/>
        <v/>
      </c>
    </row>
    <row r="126" spans="1:31">
      <c r="A126" s="153"/>
      <c r="B126" s="365"/>
      <c r="C126" s="365" t="s">
        <v>16</v>
      </c>
      <c r="D126" s="49"/>
      <c r="E126" s="9">
        <f>+G126-Adjustments!G126</f>
        <v>0</v>
      </c>
      <c r="F126" s="9">
        <f>Revenue!$F$125</f>
        <v>0</v>
      </c>
      <c r="G126" s="9">
        <f>+Adjustments!U126</f>
        <v>0</v>
      </c>
      <c r="H126" s="9"/>
      <c r="I126" s="9">
        <f>SUM($F$126:$H$126)</f>
        <v>0</v>
      </c>
      <c r="J126" s="9">
        <f>+I126-'ROR-Model'!I126</f>
        <v>0</v>
      </c>
      <c r="K126" s="9"/>
      <c r="L126" s="9" t="s">
        <v>13</v>
      </c>
      <c r="M126" s="9">
        <f>VLOOKUP($L126,$L$2:$N$7,2,FALSE)*I126</f>
        <v>0</v>
      </c>
      <c r="N126" s="9">
        <f>VLOOKUP($L126,$L$2:$N$7,3,FALSE)*I126</f>
        <v>0</v>
      </c>
      <c r="O126" s="136"/>
      <c r="P126" s="142" t="s">
        <v>548</v>
      </c>
      <c r="Q126" s="9">
        <f>IF(P126="G",M126,IF(P126="PT",0,ERR))</f>
        <v>0</v>
      </c>
      <c r="R126" s="9">
        <f>IF(P126="PT",M126,IF(P126="G",0,ERR))</f>
        <v>0</v>
      </c>
      <c r="S126" s="142" t="s">
        <v>548</v>
      </c>
      <c r="T126" s="9">
        <f>IF(S126="G",N126,IF(S126="PT",0,ERR))</f>
        <v>0</v>
      </c>
      <c r="U126" s="9">
        <f>IF(S126="PT",N126,IF(S126="G",0,ERR))</f>
        <v>0</v>
      </c>
      <c r="V126" s="140"/>
      <c r="W126" s="9">
        <f>HLOOKUP($W$9,'ROR-Model'!$Q$10:$U$1263,Y126)</f>
        <v>0</v>
      </c>
      <c r="X126" s="156"/>
      <c r="Y126" s="918">
        <f t="shared" si="3"/>
        <v>117</v>
      </c>
      <c r="AA126" s="9">
        <v>0</v>
      </c>
      <c r="AC126" s="9" t="str">
        <f t="shared" si="4"/>
        <v/>
      </c>
      <c r="AE126" s="44" t="str">
        <f t="shared" si="5"/>
        <v/>
      </c>
    </row>
    <row r="127" spans="1:31">
      <c r="A127" s="153"/>
      <c r="B127" s="365"/>
      <c r="C127" s="365"/>
      <c r="D127" s="49"/>
      <c r="E127" s="9">
        <f>+G127-Adjustments!G127</f>
        <v>0</v>
      </c>
      <c r="F127" s="9"/>
      <c r="G127" s="9"/>
      <c r="H127" s="9"/>
      <c r="I127" s="9"/>
      <c r="J127" s="9">
        <f>+I127-'ROR-Model'!I127</f>
        <v>0</v>
      </c>
      <c r="K127" s="9"/>
      <c r="L127" s="9"/>
      <c r="M127" s="9"/>
      <c r="N127" s="9"/>
      <c r="O127" s="136"/>
      <c r="P127" s="142"/>
      <c r="Q127" s="9"/>
      <c r="R127" s="9"/>
      <c r="S127" s="142"/>
      <c r="T127" s="9"/>
      <c r="U127" s="9"/>
      <c r="V127" s="140"/>
      <c r="W127" s="9"/>
      <c r="X127" s="156"/>
      <c r="Y127" s="918">
        <f t="shared" si="3"/>
        <v>118</v>
      </c>
      <c r="AA127" s="9"/>
      <c r="AC127" s="9" t="str">
        <f t="shared" si="4"/>
        <v/>
      </c>
      <c r="AE127" s="44" t="str">
        <f t="shared" si="5"/>
        <v/>
      </c>
    </row>
    <row r="128" spans="1:31">
      <c r="A128" s="153"/>
      <c r="B128" s="365"/>
      <c r="C128" s="365" t="s">
        <v>17</v>
      </c>
      <c r="D128" s="49"/>
      <c r="E128" s="9">
        <f>+G128-Adjustments!G128</f>
        <v>0</v>
      </c>
      <c r="F128" s="9">
        <f>Revenue!$F$127</f>
        <v>0</v>
      </c>
      <c r="G128" s="9">
        <f>+Adjustments!U128</f>
        <v>0</v>
      </c>
      <c r="H128" s="9"/>
      <c r="I128" s="9">
        <f>SUM($F$128:$H$128)</f>
        <v>0</v>
      </c>
      <c r="J128" s="9">
        <f>+I128-'ROR-Model'!I128</f>
        <v>0</v>
      </c>
      <c r="K128" s="9"/>
      <c r="L128" s="9" t="s">
        <v>13</v>
      </c>
      <c r="M128" s="9">
        <f>VLOOKUP($L128,$L$2:$N$7,2,FALSE)*I128</f>
        <v>0</v>
      </c>
      <c r="N128" s="9">
        <f>VLOOKUP($L128,$L$2:$N$7,3,FALSE)*I128</f>
        <v>0</v>
      </c>
      <c r="O128" s="136"/>
      <c r="P128" s="142" t="s">
        <v>548</v>
      </c>
      <c r="Q128" s="9">
        <f>IF(P128="G",M128,IF(P128="PT",0,ERR))</f>
        <v>0</v>
      </c>
      <c r="R128" s="9">
        <f>IF(P128="PT",M128,IF(P128="G",0,ERR))</f>
        <v>0</v>
      </c>
      <c r="S128" s="142" t="s">
        <v>548</v>
      </c>
      <c r="T128" s="9">
        <f>IF(S128="G",N128,IF(S128="PT",0,ERR))</f>
        <v>0</v>
      </c>
      <c r="U128" s="9">
        <f>IF(S128="PT",N128,IF(S128="G",0,ERR))</f>
        <v>0</v>
      </c>
      <c r="V128" s="140"/>
      <c r="W128" s="9">
        <f>HLOOKUP($W$9,'ROR-Model'!$Q$10:$U$1263,Y128)</f>
        <v>0</v>
      </c>
      <c r="X128" s="156"/>
      <c r="Y128" s="918">
        <f t="shared" si="3"/>
        <v>119</v>
      </c>
      <c r="AA128" s="9">
        <v>0</v>
      </c>
      <c r="AC128" s="9" t="str">
        <f t="shared" si="4"/>
        <v/>
      </c>
      <c r="AE128" s="44" t="str">
        <f t="shared" si="5"/>
        <v/>
      </c>
    </row>
    <row r="129" spans="1:31">
      <c r="A129" s="153"/>
      <c r="B129" s="365"/>
      <c r="C129" s="365" t="s">
        <v>18</v>
      </c>
      <c r="D129" s="49"/>
      <c r="E129" s="157">
        <f>+G129-Adjustments!G129</f>
        <v>0</v>
      </c>
      <c r="F129" s="157">
        <f>SUM(F124:F128)</f>
        <v>5148837</v>
      </c>
      <c r="G129" s="157">
        <f>SUM(G124:G128)</f>
        <v>0</v>
      </c>
      <c r="H129" s="157">
        <f>SUM(H124:H128)</f>
        <v>0</v>
      </c>
      <c r="I129" s="157">
        <f>SUM(I124:I128)</f>
        <v>5148837</v>
      </c>
      <c r="J129" s="9">
        <f>+I129-'ROR-Model'!I129</f>
        <v>0</v>
      </c>
      <c r="K129" s="9"/>
      <c r="L129" s="157"/>
      <c r="M129" s="157">
        <f>SUM(M124:M128)</f>
        <v>5148837</v>
      </c>
      <c r="N129" s="157">
        <f>SUM(N124:N128)</f>
        <v>0</v>
      </c>
      <c r="O129" s="136"/>
      <c r="P129" s="226"/>
      <c r="Q129" s="157">
        <f>SUM(Q124:Q128)</f>
        <v>5148837</v>
      </c>
      <c r="R129" s="157">
        <f>SUM(R124:R128)</f>
        <v>0</v>
      </c>
      <c r="S129" s="226"/>
      <c r="T129" s="157">
        <f>SUM(T124:T128)</f>
        <v>0</v>
      </c>
      <c r="U129" s="157">
        <f>SUM(U124:U128)</f>
        <v>0</v>
      </c>
      <c r="V129" s="140"/>
      <c r="W129" s="157">
        <f>HLOOKUP($W$9,'ROR-Model'!$Q$10:$U$1263,Y129)</f>
        <v>5148837</v>
      </c>
      <c r="X129" s="156"/>
      <c r="Y129" s="918">
        <f t="shared" si="3"/>
        <v>120</v>
      </c>
      <c r="AA129" s="157">
        <v>0</v>
      </c>
      <c r="AC129" s="157" t="str">
        <f t="shared" si="4"/>
        <v/>
      </c>
      <c r="AE129" s="44" t="str">
        <f t="shared" si="5"/>
        <v/>
      </c>
    </row>
    <row r="130" spans="1:31">
      <c r="A130" s="153"/>
      <c r="B130" s="365"/>
      <c r="C130" s="365"/>
      <c r="D130" s="49"/>
      <c r="E130" s="9">
        <f>+G130-Adjustments!G130</f>
        <v>0</v>
      </c>
      <c r="F130" s="9"/>
      <c r="G130" s="9"/>
      <c r="H130" s="9"/>
      <c r="I130" s="9"/>
      <c r="J130" s="9">
        <f>+I130-'ROR-Model'!I130</f>
        <v>0</v>
      </c>
      <c r="K130" s="9"/>
      <c r="L130" s="9"/>
      <c r="M130" s="9"/>
      <c r="N130" s="9"/>
      <c r="O130" s="136"/>
      <c r="P130" s="142"/>
      <c r="Q130" s="9"/>
      <c r="R130" s="9"/>
      <c r="S130" s="142"/>
      <c r="T130" s="9"/>
      <c r="U130" s="9"/>
      <c r="V130" s="140"/>
      <c r="W130" s="9"/>
      <c r="X130" s="156"/>
      <c r="Y130" s="918">
        <f t="shared" si="3"/>
        <v>121</v>
      </c>
      <c r="AA130" s="9"/>
      <c r="AC130" s="9" t="str">
        <f t="shared" si="4"/>
        <v/>
      </c>
      <c r="AE130" s="44" t="str">
        <f t="shared" si="5"/>
        <v/>
      </c>
    </row>
    <row r="131" spans="1:31">
      <c r="A131" s="153"/>
      <c r="B131" s="365"/>
      <c r="C131" s="365" t="s">
        <v>19</v>
      </c>
      <c r="D131" s="49"/>
      <c r="E131" s="9">
        <f>+G131-Adjustments!G131</f>
        <v>0</v>
      </c>
      <c r="F131" s="9">
        <f>Revenue!$F$130</f>
        <v>31275505</v>
      </c>
      <c r="G131" s="9">
        <f>+Adjustments!U131</f>
        <v>0</v>
      </c>
      <c r="H131" s="9"/>
      <c r="I131" s="645">
        <f>SUM($F$131:$H$131)</f>
        <v>31275505</v>
      </c>
      <c r="J131" s="9">
        <f>+I131-'ROR-Model'!I131</f>
        <v>0</v>
      </c>
      <c r="K131" s="9"/>
      <c r="L131" s="9" t="s">
        <v>13</v>
      </c>
      <c r="M131" s="9">
        <f>VLOOKUP($L131,$L$2:$N$7,2,FALSE)*I131</f>
        <v>31275505</v>
      </c>
      <c r="N131" s="9">
        <f>VLOOKUP($L131,$L$2:$N$7,3,FALSE)*I131</f>
        <v>0</v>
      </c>
      <c r="O131" s="136"/>
      <c r="P131" s="142" t="s">
        <v>549</v>
      </c>
      <c r="Q131" s="9">
        <f>IF(P131="G",M131,IF(P131="PT",0,ERR))</f>
        <v>31275505</v>
      </c>
      <c r="R131" s="9">
        <f>IF(P131="PT",M131,IF(P131="G",0,ERR))</f>
        <v>0</v>
      </c>
      <c r="S131" s="142" t="s">
        <v>549</v>
      </c>
      <c r="T131" s="9">
        <f>IF(S131="G",N131,IF(S131="PT",0,ERR))</f>
        <v>0</v>
      </c>
      <c r="U131" s="9">
        <f>IF(S131="PT",N131,IF(S131="G",0,ERR))</f>
        <v>0</v>
      </c>
      <c r="V131" s="140"/>
      <c r="W131" s="9">
        <f>HLOOKUP($W$9,'ROR-Model'!$Q$10:$U$1263,Y131)</f>
        <v>31275505</v>
      </c>
      <c r="X131" s="156"/>
      <c r="Y131" s="918">
        <f t="shared" si="3"/>
        <v>122</v>
      </c>
      <c r="AA131" s="9">
        <v>0</v>
      </c>
      <c r="AC131" s="9" t="str">
        <f t="shared" si="4"/>
        <v/>
      </c>
      <c r="AE131" s="44" t="str">
        <f t="shared" si="5"/>
        <v/>
      </c>
    </row>
    <row r="132" spans="1:31">
      <c r="A132" s="153"/>
      <c r="B132" s="365"/>
      <c r="C132" s="365"/>
      <c r="D132" s="49"/>
      <c r="E132" s="9">
        <f>+G132-Adjustments!G132</f>
        <v>0</v>
      </c>
      <c r="F132" s="9"/>
      <c r="G132" s="9"/>
      <c r="H132" s="9"/>
      <c r="I132" s="9"/>
      <c r="J132" s="9">
        <f>+I132-'ROR-Model'!I132</f>
        <v>0</v>
      </c>
      <c r="K132" s="9"/>
      <c r="L132" s="9"/>
      <c r="M132" s="9"/>
      <c r="N132" s="9"/>
      <c r="O132" s="136"/>
      <c r="P132" s="142"/>
      <c r="Q132" s="9"/>
      <c r="R132" s="9"/>
      <c r="S132" s="142"/>
      <c r="T132" s="9"/>
      <c r="U132" s="9"/>
      <c r="V132" s="140"/>
      <c r="W132" s="9"/>
      <c r="X132" s="156"/>
      <c r="Y132" s="918">
        <f t="shared" si="3"/>
        <v>123</v>
      </c>
      <c r="AA132" s="9"/>
      <c r="AC132" s="9" t="str">
        <f t="shared" si="4"/>
        <v/>
      </c>
      <c r="AE132" s="44" t="str">
        <f t="shared" si="5"/>
        <v/>
      </c>
    </row>
    <row r="133" spans="1:31">
      <c r="A133" s="153"/>
      <c r="B133" s="365" t="s">
        <v>85</v>
      </c>
      <c r="C133" s="365" t="s">
        <v>15</v>
      </c>
      <c r="D133" s="49"/>
      <c r="E133" s="9">
        <f>+G133-Adjustments!G133</f>
        <v>0</v>
      </c>
      <c r="F133" s="9">
        <f>Revenue!$F$132</f>
        <v>0</v>
      </c>
      <c r="G133" s="9">
        <f>+Adjustments!U133</f>
        <v>0</v>
      </c>
      <c r="H133" s="9"/>
      <c r="I133" s="9">
        <f>SUM($F$133:$H$133)</f>
        <v>0</v>
      </c>
      <c r="J133" s="9">
        <f>+I133-'ROR-Model'!I133</f>
        <v>0</v>
      </c>
      <c r="K133" s="9"/>
      <c r="L133" s="9" t="s">
        <v>13</v>
      </c>
      <c r="M133" s="9">
        <f>VLOOKUP($L133,$L$2:$N$7,2,FALSE)*I133</f>
        <v>0</v>
      </c>
      <c r="N133" s="9">
        <f>VLOOKUP($L133,$L$2:$N$7,3,FALSE)*I133</f>
        <v>0</v>
      </c>
      <c r="O133" s="136"/>
      <c r="P133" s="142" t="s">
        <v>549</v>
      </c>
      <c r="Q133" s="9">
        <f>IF(P133="G",M133,IF(P133="PT",0,ERR))</f>
        <v>0</v>
      </c>
      <c r="R133" s="9">
        <f>IF(P133="PT",M133,IF(P133="G",0,ERR))</f>
        <v>0</v>
      </c>
      <c r="S133" s="142" t="s">
        <v>549</v>
      </c>
      <c r="T133" s="9">
        <f>IF(S133="G",N133,IF(S133="PT",0,ERR))</f>
        <v>0</v>
      </c>
      <c r="U133" s="9">
        <f>IF(S133="PT",N133,IF(S133="G",0,ERR))</f>
        <v>0</v>
      </c>
      <c r="V133" s="140"/>
      <c r="W133" s="9">
        <f>HLOOKUP($W$9,'ROR-Model'!$Q$10:$U$1263,Y133)</f>
        <v>0</v>
      </c>
      <c r="X133" s="156"/>
      <c r="Y133" s="918">
        <f t="shared" si="3"/>
        <v>124</v>
      </c>
      <c r="AA133" s="9">
        <v>0</v>
      </c>
      <c r="AC133" s="9" t="str">
        <f t="shared" si="4"/>
        <v/>
      </c>
      <c r="AE133" s="44" t="str">
        <f t="shared" si="5"/>
        <v/>
      </c>
    </row>
    <row r="134" spans="1:31">
      <c r="A134" s="153"/>
      <c r="B134" s="365"/>
      <c r="C134" s="365"/>
      <c r="D134" s="49"/>
      <c r="E134" s="9">
        <f>+G134-Adjustments!G134</f>
        <v>0</v>
      </c>
      <c r="F134" s="9"/>
      <c r="G134" s="9"/>
      <c r="H134" s="9"/>
      <c r="I134" s="9"/>
      <c r="J134" s="9">
        <f>+I134-'ROR-Model'!I134</f>
        <v>0</v>
      </c>
      <c r="K134" s="9"/>
      <c r="L134" s="9"/>
      <c r="M134" s="9"/>
      <c r="N134" s="9"/>
      <c r="O134" s="136"/>
      <c r="P134" s="142"/>
      <c r="Q134" s="9"/>
      <c r="R134" s="9"/>
      <c r="S134" s="142"/>
      <c r="T134" s="9"/>
      <c r="U134" s="9"/>
      <c r="V134" s="140"/>
      <c r="W134" s="9"/>
      <c r="X134" s="156"/>
      <c r="Y134" s="918">
        <f t="shared" si="3"/>
        <v>125</v>
      </c>
      <c r="AA134" s="9"/>
      <c r="AC134" s="9" t="str">
        <f t="shared" si="4"/>
        <v/>
      </c>
      <c r="AE134" s="44" t="str">
        <f t="shared" si="5"/>
        <v/>
      </c>
    </row>
    <row r="135" spans="1:31">
      <c r="A135" s="153"/>
      <c r="B135" s="365"/>
      <c r="C135" s="365" t="s">
        <v>16</v>
      </c>
      <c r="D135" s="49"/>
      <c r="E135" s="9">
        <f>+G135-Adjustments!G135</f>
        <v>0</v>
      </c>
      <c r="F135" s="9">
        <f>Revenue!$F$134</f>
        <v>0</v>
      </c>
      <c r="G135" s="9">
        <f>+Adjustments!U135</f>
        <v>0</v>
      </c>
      <c r="H135" s="9"/>
      <c r="I135" s="9">
        <f>SUM($F$135:$H$135)</f>
        <v>0</v>
      </c>
      <c r="J135" s="9">
        <f>+I135-'ROR-Model'!I135</f>
        <v>0</v>
      </c>
      <c r="K135" s="9"/>
      <c r="L135" s="9" t="s">
        <v>13</v>
      </c>
      <c r="M135" s="9">
        <f>VLOOKUP($L135,$L$2:$N$7,2,FALSE)*I135</f>
        <v>0</v>
      </c>
      <c r="N135" s="9">
        <f>VLOOKUP($L135,$L$2:$N$7,3,FALSE)*I135</f>
        <v>0</v>
      </c>
      <c r="O135" s="136"/>
      <c r="P135" s="142" t="s">
        <v>548</v>
      </c>
      <c r="Q135" s="9">
        <f>IF(P135="G",M135,IF(P135="PT",0,ERR))</f>
        <v>0</v>
      </c>
      <c r="R135" s="9">
        <f>IF(P135="PT",M135,IF(P135="G",0,ERR))</f>
        <v>0</v>
      </c>
      <c r="S135" s="142" t="s">
        <v>548</v>
      </c>
      <c r="T135" s="9">
        <f>IF(S135="G",N135,IF(S135="PT",0,ERR))</f>
        <v>0</v>
      </c>
      <c r="U135" s="9">
        <f>IF(S135="PT",N135,IF(S135="G",0,ERR))</f>
        <v>0</v>
      </c>
      <c r="V135" s="140"/>
      <c r="W135" s="9">
        <f>HLOOKUP($W$9,'ROR-Model'!$Q$10:$U$1263,Y135)</f>
        <v>0</v>
      </c>
      <c r="X135" s="156"/>
      <c r="Y135" s="918">
        <f t="shared" si="3"/>
        <v>126</v>
      </c>
      <c r="AA135" s="9">
        <v>0</v>
      </c>
      <c r="AC135" s="9" t="str">
        <f t="shared" si="4"/>
        <v/>
      </c>
      <c r="AE135" s="44" t="str">
        <f t="shared" si="5"/>
        <v/>
      </c>
    </row>
    <row r="136" spans="1:31">
      <c r="A136" s="153"/>
      <c r="B136" s="365"/>
      <c r="C136" s="365"/>
      <c r="D136" s="49"/>
      <c r="E136" s="9">
        <f>+G136-Adjustments!G136</f>
        <v>0</v>
      </c>
      <c r="F136" s="9"/>
      <c r="G136" s="9"/>
      <c r="H136" s="9"/>
      <c r="I136" s="9"/>
      <c r="J136" s="9">
        <f>+I136-'ROR-Model'!I136</f>
        <v>0</v>
      </c>
      <c r="K136" s="9"/>
      <c r="L136" s="9"/>
      <c r="M136" s="9"/>
      <c r="N136" s="9"/>
      <c r="O136" s="136"/>
      <c r="P136" s="142"/>
      <c r="Q136" s="9"/>
      <c r="R136" s="9"/>
      <c r="S136" s="142"/>
      <c r="T136" s="9"/>
      <c r="U136" s="9"/>
      <c r="V136" s="140"/>
      <c r="W136" s="9"/>
      <c r="X136" s="156"/>
      <c r="Y136" s="918">
        <f t="shared" si="3"/>
        <v>127</v>
      </c>
      <c r="AA136" s="9"/>
      <c r="AC136" s="9" t="str">
        <f t="shared" si="4"/>
        <v/>
      </c>
      <c r="AE136" s="44" t="str">
        <f t="shared" si="5"/>
        <v/>
      </c>
    </row>
    <row r="137" spans="1:31">
      <c r="A137" s="153"/>
      <c r="B137" s="365"/>
      <c r="C137" s="365" t="s">
        <v>17</v>
      </c>
      <c r="D137" s="49"/>
      <c r="E137" s="9">
        <f>+G137-Adjustments!G137</f>
        <v>0</v>
      </c>
      <c r="F137" s="9">
        <f>Revenue!$F$136</f>
        <v>0</v>
      </c>
      <c r="G137" s="9">
        <f>+Adjustments!U137</f>
        <v>0</v>
      </c>
      <c r="H137" s="9"/>
      <c r="I137" s="9">
        <f>SUM($F$137:$H$137)</f>
        <v>0</v>
      </c>
      <c r="J137" s="9">
        <f>+I137-'ROR-Model'!I137</f>
        <v>0</v>
      </c>
      <c r="K137" s="9"/>
      <c r="L137" s="9" t="s">
        <v>13</v>
      </c>
      <c r="M137" s="9">
        <f>VLOOKUP($L137,$L$2:$N$7,2,FALSE)*I137</f>
        <v>0</v>
      </c>
      <c r="N137" s="9">
        <f>VLOOKUP($L137,$L$2:$N$7,3,FALSE)*I137</f>
        <v>0</v>
      </c>
      <c r="O137" s="136"/>
      <c r="P137" s="142" t="s">
        <v>548</v>
      </c>
      <c r="Q137" s="9">
        <f>IF(P137="G",M137,IF(P137="PT",0,ERR))</f>
        <v>0</v>
      </c>
      <c r="R137" s="9">
        <f>IF(P137="PT",M137,IF(P137="G",0,ERR))</f>
        <v>0</v>
      </c>
      <c r="S137" s="142" t="s">
        <v>548</v>
      </c>
      <c r="T137" s="9">
        <f>IF(S137="G",N137,IF(S137="PT",0,ERR))</f>
        <v>0</v>
      </c>
      <c r="U137" s="9">
        <f>IF(S137="PT",N137,IF(S137="G",0,ERR))</f>
        <v>0</v>
      </c>
      <c r="V137" s="140"/>
      <c r="W137" s="9">
        <f>HLOOKUP($W$9,'ROR-Model'!$Q$10:$U$1263,Y137)</f>
        <v>0</v>
      </c>
      <c r="X137" s="156"/>
      <c r="Y137" s="918">
        <f t="shared" si="3"/>
        <v>128</v>
      </c>
      <c r="AA137" s="9">
        <v>0</v>
      </c>
      <c r="AC137" s="9" t="str">
        <f t="shared" si="4"/>
        <v/>
      </c>
      <c r="AE137" s="44" t="str">
        <f t="shared" si="5"/>
        <v/>
      </c>
    </row>
    <row r="138" spans="1:31">
      <c r="A138" s="153"/>
      <c r="B138" s="365"/>
      <c r="C138" s="365" t="s">
        <v>18</v>
      </c>
      <c r="D138" s="49"/>
      <c r="E138" s="157">
        <f>+G138-Adjustments!G138</f>
        <v>0</v>
      </c>
      <c r="F138" s="157">
        <f>SUM(F133:F137)</f>
        <v>0</v>
      </c>
      <c r="G138" s="157">
        <f>SUM(G133:G137)</f>
        <v>0</v>
      </c>
      <c r="H138" s="157">
        <f>SUM(H133:H137)</f>
        <v>0</v>
      </c>
      <c r="I138" s="157">
        <f>SUM(I133:I137)</f>
        <v>0</v>
      </c>
      <c r="J138" s="9">
        <f>+I138-'ROR-Model'!I138</f>
        <v>0</v>
      </c>
      <c r="K138" s="9"/>
      <c r="L138" s="157"/>
      <c r="M138" s="157">
        <f>SUM(M133:M137)</f>
        <v>0</v>
      </c>
      <c r="N138" s="157">
        <f>SUM(N133:N137)</f>
        <v>0</v>
      </c>
      <c r="O138" s="136"/>
      <c r="P138" s="226"/>
      <c r="Q138" s="157">
        <f>SUM(Q133:Q137)</f>
        <v>0</v>
      </c>
      <c r="R138" s="157">
        <f>SUM(R133:R137)</f>
        <v>0</v>
      </c>
      <c r="S138" s="226"/>
      <c r="T138" s="157">
        <f>SUM(T133:T137)</f>
        <v>0</v>
      </c>
      <c r="U138" s="157">
        <f>SUM(U133:U137)</f>
        <v>0</v>
      </c>
      <c r="V138" s="140"/>
      <c r="W138" s="157">
        <f>HLOOKUP($W$9,'ROR-Model'!$Q$10:$U$1263,Y138)</f>
        <v>0</v>
      </c>
      <c r="X138" s="156"/>
      <c r="Y138" s="918">
        <f t="shared" si="3"/>
        <v>129</v>
      </c>
      <c r="AA138" s="157">
        <v>0</v>
      </c>
      <c r="AC138" s="157" t="str">
        <f t="shared" si="4"/>
        <v/>
      </c>
      <c r="AE138" s="44" t="str">
        <f t="shared" si="5"/>
        <v/>
      </c>
    </row>
    <row r="139" spans="1:31">
      <c r="A139" s="153"/>
      <c r="B139" s="365"/>
      <c r="C139" s="365"/>
      <c r="D139" s="49"/>
      <c r="E139" s="9">
        <f>+G139-Adjustments!G139</f>
        <v>0</v>
      </c>
      <c r="F139" s="9"/>
      <c r="G139" s="9"/>
      <c r="H139" s="9"/>
      <c r="I139" s="9"/>
      <c r="J139" s="9">
        <f>+I139-'ROR-Model'!I139</f>
        <v>0</v>
      </c>
      <c r="K139" s="9"/>
      <c r="L139" s="9"/>
      <c r="M139" s="9"/>
      <c r="N139" s="9"/>
      <c r="O139" s="136"/>
      <c r="P139" s="142"/>
      <c r="Q139" s="9"/>
      <c r="R139" s="9"/>
      <c r="S139" s="142"/>
      <c r="T139" s="9"/>
      <c r="U139" s="9"/>
      <c r="V139" s="140"/>
      <c r="W139" s="9"/>
      <c r="X139" s="156"/>
      <c r="Y139" s="918">
        <f t="shared" si="3"/>
        <v>130</v>
      </c>
      <c r="AA139" s="9"/>
      <c r="AC139" s="9" t="str">
        <f t="shared" si="4"/>
        <v/>
      </c>
      <c r="AE139" s="44" t="str">
        <f t="shared" si="5"/>
        <v/>
      </c>
    </row>
    <row r="140" spans="1:31">
      <c r="A140" s="153"/>
      <c r="B140" s="365"/>
      <c r="C140" s="365" t="s">
        <v>19</v>
      </c>
      <c r="D140" s="49"/>
      <c r="E140" s="9">
        <f>+G140-Adjustments!G140</f>
        <v>0</v>
      </c>
      <c r="F140" s="9">
        <f>Revenue!$F$139</f>
        <v>0</v>
      </c>
      <c r="G140" s="9">
        <f>+Adjustments!U140</f>
        <v>0</v>
      </c>
      <c r="H140" s="9"/>
      <c r="I140" s="645">
        <f>SUM($F$140:$H$140)</f>
        <v>0</v>
      </c>
      <c r="J140" s="9">
        <f>+I140-'ROR-Model'!I140</f>
        <v>0</v>
      </c>
      <c r="K140" s="9"/>
      <c r="L140" s="9" t="s">
        <v>13</v>
      </c>
      <c r="M140" s="9">
        <f>VLOOKUP($L140,$L$2:$N$7,2,FALSE)*I140</f>
        <v>0</v>
      </c>
      <c r="N140" s="9">
        <f>VLOOKUP($L140,$L$2:$N$7,3,FALSE)*I140</f>
        <v>0</v>
      </c>
      <c r="O140" s="136"/>
      <c r="P140" s="142" t="s">
        <v>549</v>
      </c>
      <c r="Q140" s="9">
        <f>IF(P140="G",M140,IF(P140="PT",0,ERR))</f>
        <v>0</v>
      </c>
      <c r="R140" s="9">
        <f>IF(P140="PT",M140,IF(P140="G",0,ERR))</f>
        <v>0</v>
      </c>
      <c r="S140" s="142" t="s">
        <v>549</v>
      </c>
      <c r="T140" s="9">
        <f>IF(S140="G",N140,IF(S140="PT",0,ERR))</f>
        <v>0</v>
      </c>
      <c r="U140" s="9">
        <f>IF(S140="PT",N140,IF(S140="G",0,ERR))</f>
        <v>0</v>
      </c>
      <c r="V140" s="140"/>
      <c r="W140" s="9">
        <f>HLOOKUP($W$9,'ROR-Model'!$Q$10:$U$1263,Y140)</f>
        <v>0</v>
      </c>
      <c r="X140" s="156"/>
      <c r="Y140" s="918">
        <f t="shared" ref="Y140:Y203" si="6">Y139+1</f>
        <v>131</v>
      </c>
      <c r="AA140" s="9">
        <v>0</v>
      </c>
      <c r="AC140" s="9" t="str">
        <f t="shared" si="4"/>
        <v/>
      </c>
      <c r="AE140" s="44" t="str">
        <f t="shared" si="5"/>
        <v/>
      </c>
    </row>
    <row r="141" spans="1:31">
      <c r="A141" s="153"/>
      <c r="B141" s="365"/>
      <c r="C141" s="365"/>
      <c r="D141" s="49"/>
      <c r="E141" s="9">
        <f>+G141-Adjustments!G141</f>
        <v>0</v>
      </c>
      <c r="F141" s="9"/>
      <c r="G141" s="9"/>
      <c r="H141" s="9"/>
      <c r="I141" s="9"/>
      <c r="J141" s="9">
        <f>+I141-'ROR-Model'!I141</f>
        <v>0</v>
      </c>
      <c r="K141" s="9"/>
      <c r="L141" s="9"/>
      <c r="M141" s="9"/>
      <c r="N141" s="9"/>
      <c r="O141" s="136"/>
      <c r="P141" s="142"/>
      <c r="Q141" s="9"/>
      <c r="R141" s="9"/>
      <c r="S141" s="142"/>
      <c r="T141" s="9"/>
      <c r="U141" s="9"/>
      <c r="V141" s="140"/>
      <c r="W141" s="9"/>
      <c r="X141" s="156"/>
      <c r="Y141" s="918">
        <f t="shared" si="6"/>
        <v>132</v>
      </c>
      <c r="AA141" s="9"/>
      <c r="AC141" s="9" t="str">
        <f t="shared" si="4"/>
        <v/>
      </c>
      <c r="AE141" s="44" t="str">
        <f t="shared" si="5"/>
        <v/>
      </c>
    </row>
    <row r="142" spans="1:31">
      <c r="A142" s="153"/>
      <c r="B142" s="365" t="s">
        <v>678</v>
      </c>
      <c r="C142" s="365" t="s">
        <v>15</v>
      </c>
      <c r="D142" s="49"/>
      <c r="E142" s="9">
        <f>+G142-Adjustments!G142</f>
        <v>0</v>
      </c>
      <c r="F142" s="9">
        <f>Revenue!$F$141</f>
        <v>24214</v>
      </c>
      <c r="G142" s="9">
        <f>+Adjustments!U142</f>
        <v>0</v>
      </c>
      <c r="H142" s="9"/>
      <c r="I142" s="9">
        <f>SUM($F$142:$H$142)</f>
        <v>24214</v>
      </c>
      <c r="J142" s="9">
        <f>+I142-'ROR-Model'!I142</f>
        <v>0</v>
      </c>
      <c r="K142" s="9"/>
      <c r="L142" s="9" t="s">
        <v>13</v>
      </c>
      <c r="M142" s="9">
        <f>VLOOKUP($L142,$L$2:$N$7,2,FALSE)*I142</f>
        <v>24214</v>
      </c>
      <c r="N142" s="9">
        <f>VLOOKUP($L142,$L$2:$N$7,3,FALSE)*I142</f>
        <v>0</v>
      </c>
      <c r="O142" s="136"/>
      <c r="P142" s="142" t="s">
        <v>549</v>
      </c>
      <c r="Q142" s="9">
        <f>IF(P142="G",M142,IF(P142="PT",0,ERR))</f>
        <v>24214</v>
      </c>
      <c r="R142" s="9">
        <f>IF(P142="PT",M142,IF(P142="G",0,ERR))</f>
        <v>0</v>
      </c>
      <c r="S142" s="142" t="s">
        <v>549</v>
      </c>
      <c r="T142" s="9">
        <f>IF(S142="G",N142,IF(S142="PT",0,ERR))</f>
        <v>0</v>
      </c>
      <c r="U142" s="9">
        <f>IF(S142="PT",N142,IF(S142="G",0,ERR))</f>
        <v>0</v>
      </c>
      <c r="V142" s="140"/>
      <c r="W142" s="9">
        <f>HLOOKUP($W$9,'ROR-Model'!$Q$10:$U$1263,Y142)</f>
        <v>24214</v>
      </c>
      <c r="X142" s="156"/>
      <c r="Y142" s="918">
        <f t="shared" si="6"/>
        <v>133</v>
      </c>
      <c r="AA142" s="9">
        <v>0</v>
      </c>
      <c r="AC142" s="9" t="str">
        <f t="shared" si="4"/>
        <v/>
      </c>
      <c r="AE142" s="44" t="str">
        <f t="shared" si="5"/>
        <v/>
      </c>
    </row>
    <row r="143" spans="1:31">
      <c r="A143" s="153"/>
      <c r="B143" s="365"/>
      <c r="C143" s="365"/>
      <c r="D143" s="49"/>
      <c r="E143" s="9">
        <f>+G143-Adjustments!G143</f>
        <v>0</v>
      </c>
      <c r="F143" s="9"/>
      <c r="G143" s="9"/>
      <c r="H143" s="9"/>
      <c r="I143" s="9"/>
      <c r="J143" s="9">
        <f>+I143-'ROR-Model'!I143</f>
        <v>0</v>
      </c>
      <c r="K143" s="9"/>
      <c r="L143" s="9"/>
      <c r="M143" s="9"/>
      <c r="N143" s="9"/>
      <c r="O143" s="136"/>
      <c r="P143" s="142"/>
      <c r="Q143" s="9"/>
      <c r="R143" s="9"/>
      <c r="S143" s="142"/>
      <c r="T143" s="9"/>
      <c r="U143" s="9"/>
      <c r="V143" s="140"/>
      <c r="W143" s="9"/>
      <c r="X143" s="156"/>
      <c r="Y143" s="918">
        <f t="shared" si="6"/>
        <v>134</v>
      </c>
      <c r="AA143" s="9"/>
      <c r="AC143" s="9" t="str">
        <f t="shared" si="4"/>
        <v/>
      </c>
      <c r="AE143" s="44" t="str">
        <f t="shared" si="5"/>
        <v/>
      </c>
    </row>
    <row r="144" spans="1:31">
      <c r="A144" s="153"/>
      <c r="B144" s="365"/>
      <c r="C144" s="365" t="s">
        <v>16</v>
      </c>
      <c r="D144" s="49"/>
      <c r="E144" s="9">
        <f>+G144-Adjustments!G144</f>
        <v>0</v>
      </c>
      <c r="F144" s="9">
        <f>Revenue!$F$143</f>
        <v>2090</v>
      </c>
      <c r="G144" s="9">
        <f>+Adjustments!U144</f>
        <v>0</v>
      </c>
      <c r="H144" s="9"/>
      <c r="I144" s="9">
        <f>SUM($F$144:$H$144)</f>
        <v>2090</v>
      </c>
      <c r="J144" s="9">
        <f>+I144-'ROR-Model'!I144</f>
        <v>0</v>
      </c>
      <c r="K144" s="9"/>
      <c r="L144" s="9" t="s">
        <v>13</v>
      </c>
      <c r="M144" s="9">
        <f>VLOOKUP($L144,$L$2:$N$7,2,FALSE)*I144</f>
        <v>2090</v>
      </c>
      <c r="N144" s="9">
        <f>VLOOKUP($L144,$L$2:$N$7,3,FALSE)*I144</f>
        <v>0</v>
      </c>
      <c r="O144" s="136"/>
      <c r="P144" s="142" t="s">
        <v>548</v>
      </c>
      <c r="Q144" s="9">
        <f>IF(P144="G",M144,IF(P144="PT",0,ERR))</f>
        <v>0</v>
      </c>
      <c r="R144" s="9">
        <f>IF(P144="PT",M144,IF(P144="G",0,ERR))</f>
        <v>2090</v>
      </c>
      <c r="S144" s="142" t="s">
        <v>548</v>
      </c>
      <c r="T144" s="9">
        <f>IF(S144="G",N144,IF(S144="PT",0,ERR))</f>
        <v>0</v>
      </c>
      <c r="U144" s="9">
        <f>IF(S144="PT",N144,IF(S144="G",0,ERR))</f>
        <v>0</v>
      </c>
      <c r="V144" s="140"/>
      <c r="W144" s="9">
        <f>HLOOKUP($W$9,'ROR-Model'!$Q$10:$U$1263,Y144)</f>
        <v>0</v>
      </c>
      <c r="X144" s="156"/>
      <c r="Y144" s="918">
        <f t="shared" si="6"/>
        <v>135</v>
      </c>
      <c r="AA144" s="9">
        <v>0</v>
      </c>
      <c r="AC144" s="9" t="str">
        <f t="shared" si="4"/>
        <v/>
      </c>
      <c r="AE144" s="44" t="str">
        <f t="shared" si="5"/>
        <v/>
      </c>
    </row>
    <row r="145" spans="1:31">
      <c r="A145" s="153"/>
      <c r="B145" s="365"/>
      <c r="C145" s="365"/>
      <c r="D145" s="49"/>
      <c r="E145" s="9">
        <f>+G145-Adjustments!G145</f>
        <v>0</v>
      </c>
      <c r="F145" s="9"/>
      <c r="G145" s="9"/>
      <c r="H145" s="9"/>
      <c r="I145" s="9"/>
      <c r="J145" s="9">
        <f>+I145-'ROR-Model'!I145</f>
        <v>0</v>
      </c>
      <c r="K145" s="9"/>
      <c r="L145" s="9"/>
      <c r="M145" s="9"/>
      <c r="N145" s="9"/>
      <c r="O145" s="136"/>
      <c r="P145" s="142"/>
      <c r="Q145" s="9"/>
      <c r="R145" s="9"/>
      <c r="S145" s="142"/>
      <c r="T145" s="9"/>
      <c r="U145" s="9"/>
      <c r="V145" s="140"/>
      <c r="W145" s="9"/>
      <c r="X145" s="156"/>
      <c r="Y145" s="918">
        <f t="shared" si="6"/>
        <v>136</v>
      </c>
      <c r="AA145" s="9"/>
      <c r="AC145" s="9" t="str">
        <f t="shared" ref="AC145:AC208" si="7">IF(ABS(AA145)&gt;0,W145-AA145,"")</f>
        <v/>
      </c>
      <c r="AE145" s="44" t="str">
        <f t="shared" si="5"/>
        <v/>
      </c>
    </row>
    <row r="146" spans="1:31">
      <c r="A146" s="153"/>
      <c r="B146" s="365"/>
      <c r="C146" s="365" t="s">
        <v>17</v>
      </c>
      <c r="D146" s="49"/>
      <c r="E146" s="9">
        <f>+G146-Adjustments!G146</f>
        <v>0</v>
      </c>
      <c r="F146" s="9">
        <f>Revenue!$F$145</f>
        <v>0</v>
      </c>
      <c r="G146" s="9">
        <f>+Adjustments!U146</f>
        <v>0</v>
      </c>
      <c r="H146" s="9"/>
      <c r="I146" s="9">
        <f>SUM($F$146:$H$146)</f>
        <v>0</v>
      </c>
      <c r="J146" s="9">
        <f>+I146-'ROR-Model'!I146</f>
        <v>0</v>
      </c>
      <c r="K146" s="9"/>
      <c r="L146" s="9" t="s">
        <v>13</v>
      </c>
      <c r="M146" s="9">
        <f>VLOOKUP($L146,$L$2:$N$7,2,FALSE)*I146</f>
        <v>0</v>
      </c>
      <c r="N146" s="9">
        <f>VLOOKUP($L146,$L$2:$N$7,3,FALSE)*I146</f>
        <v>0</v>
      </c>
      <c r="O146" s="136"/>
      <c r="P146" s="142" t="s">
        <v>548</v>
      </c>
      <c r="Q146" s="9">
        <f>IF(P146="G",M146,IF(P146="PT",0,ERR))</f>
        <v>0</v>
      </c>
      <c r="R146" s="9">
        <f>IF(P146="PT",M146,IF(P146="G",0,ERR))</f>
        <v>0</v>
      </c>
      <c r="S146" s="142" t="s">
        <v>548</v>
      </c>
      <c r="T146" s="9">
        <f>IF(S146="G",N146,IF(S146="PT",0,ERR))</f>
        <v>0</v>
      </c>
      <c r="U146" s="9">
        <f>IF(S146="PT",N146,IF(S146="G",0,ERR))</f>
        <v>0</v>
      </c>
      <c r="V146" s="140"/>
      <c r="W146" s="9">
        <f>HLOOKUP($W$9,'ROR-Model'!$Q$10:$U$1263,Y146)</f>
        <v>0</v>
      </c>
      <c r="X146" s="156"/>
      <c r="Y146" s="918">
        <f t="shared" si="6"/>
        <v>137</v>
      </c>
      <c r="AA146" s="9">
        <v>0</v>
      </c>
      <c r="AC146" s="9" t="str">
        <f t="shared" si="7"/>
        <v/>
      </c>
      <c r="AE146" s="44" t="str">
        <f t="shared" ref="AE146:AE209" si="8">IF(ABS(AA146)&gt;0,AC146/AA146,"")</f>
        <v/>
      </c>
    </row>
    <row r="147" spans="1:31">
      <c r="A147" s="153"/>
      <c r="B147" s="365"/>
      <c r="C147" s="365" t="s">
        <v>18</v>
      </c>
      <c r="D147" s="49"/>
      <c r="E147" s="157">
        <f>+G147-Adjustments!G147</f>
        <v>0</v>
      </c>
      <c r="F147" s="157">
        <f>SUM(F142:F146)</f>
        <v>26304</v>
      </c>
      <c r="G147" s="157">
        <f>SUM(G142:G146)</f>
        <v>0</v>
      </c>
      <c r="H147" s="157">
        <f>SUM(H142:H146)</f>
        <v>0</v>
      </c>
      <c r="I147" s="157">
        <f>SUM(I142:I146)</f>
        <v>26304</v>
      </c>
      <c r="J147" s="9">
        <f>+I147-'ROR-Model'!I147</f>
        <v>0</v>
      </c>
      <c r="K147" s="9"/>
      <c r="L147" s="157"/>
      <c r="M147" s="157">
        <f>SUM(M142:M146)</f>
        <v>26304</v>
      </c>
      <c r="N147" s="157">
        <f>SUM(N142:N146)</f>
        <v>0</v>
      </c>
      <c r="O147" s="136"/>
      <c r="P147" s="226"/>
      <c r="Q147" s="157">
        <f>SUM(Q142:Q146)</f>
        <v>24214</v>
      </c>
      <c r="R147" s="157">
        <f>SUM(R142:R146)</f>
        <v>2090</v>
      </c>
      <c r="S147" s="226"/>
      <c r="T147" s="157">
        <f>SUM(T142:T146)</f>
        <v>0</v>
      </c>
      <c r="U147" s="157">
        <f>SUM(U142:U146)</f>
        <v>0</v>
      </c>
      <c r="V147" s="140"/>
      <c r="W147" s="157">
        <f>HLOOKUP($W$9,'ROR-Model'!$Q$10:$U$1263,Y147)</f>
        <v>24214</v>
      </c>
      <c r="X147" s="156"/>
      <c r="Y147" s="918">
        <f t="shared" si="6"/>
        <v>138</v>
      </c>
      <c r="AA147" s="157">
        <v>0</v>
      </c>
      <c r="AC147" s="157" t="str">
        <f t="shared" si="7"/>
        <v/>
      </c>
      <c r="AE147" s="44" t="str">
        <f t="shared" si="8"/>
        <v/>
      </c>
    </row>
    <row r="148" spans="1:31">
      <c r="A148" s="153"/>
      <c r="B148" s="365"/>
      <c r="C148" s="365"/>
      <c r="D148" s="49"/>
      <c r="E148" s="9">
        <f>+G148-Adjustments!G148</f>
        <v>0</v>
      </c>
      <c r="F148" s="9"/>
      <c r="G148" s="9"/>
      <c r="H148" s="9"/>
      <c r="I148" s="9"/>
      <c r="J148" s="9">
        <f>+I148-'ROR-Model'!I148</f>
        <v>0</v>
      </c>
      <c r="K148" s="9"/>
      <c r="L148" s="9"/>
      <c r="M148" s="9"/>
      <c r="N148" s="9"/>
      <c r="O148" s="136"/>
      <c r="P148" s="142"/>
      <c r="Q148" s="9"/>
      <c r="R148" s="9"/>
      <c r="S148" s="142"/>
      <c r="T148" s="9"/>
      <c r="U148" s="9"/>
      <c r="V148" s="140"/>
      <c r="W148" s="9"/>
      <c r="X148" s="156"/>
      <c r="Y148" s="918">
        <f t="shared" si="6"/>
        <v>139</v>
      </c>
      <c r="AA148" s="9"/>
      <c r="AC148" s="9" t="str">
        <f t="shared" si="7"/>
        <v/>
      </c>
      <c r="AE148" s="44" t="str">
        <f t="shared" si="8"/>
        <v/>
      </c>
    </row>
    <row r="149" spans="1:31">
      <c r="A149" s="153"/>
      <c r="B149" s="365"/>
      <c r="C149" s="365" t="s">
        <v>19</v>
      </c>
      <c r="D149" s="49"/>
      <c r="E149" s="9">
        <f>+G149-Adjustments!G149</f>
        <v>0</v>
      </c>
      <c r="F149" s="9">
        <f>Revenue!$F$148</f>
        <v>21165</v>
      </c>
      <c r="G149" s="9">
        <f>+Adjustments!U149</f>
        <v>0</v>
      </c>
      <c r="H149" s="9"/>
      <c r="I149" s="645">
        <f>SUM($F$149:$H$149)</f>
        <v>21165</v>
      </c>
      <c r="J149" s="9">
        <f>+I149-'ROR-Model'!I149</f>
        <v>0</v>
      </c>
      <c r="K149" s="9"/>
      <c r="L149" s="9" t="s">
        <v>13</v>
      </c>
      <c r="M149" s="9">
        <f>VLOOKUP($L149,$L$2:$N$7,2,FALSE)*I149</f>
        <v>21165</v>
      </c>
      <c r="N149" s="9">
        <f>VLOOKUP($L149,$L$2:$N$7,3,FALSE)*I149</f>
        <v>0</v>
      </c>
      <c r="O149" s="136"/>
      <c r="P149" s="142" t="s">
        <v>549</v>
      </c>
      <c r="Q149" s="9">
        <f>IF(P149="G",M149,IF(P149="PT",0,ERR))</f>
        <v>21165</v>
      </c>
      <c r="R149" s="9">
        <f>IF(P149="PT",M149,IF(P149="G",0,ERR))</f>
        <v>0</v>
      </c>
      <c r="S149" s="142" t="s">
        <v>549</v>
      </c>
      <c r="T149" s="9">
        <f>IF(S149="G",N149,IF(S149="PT",0,ERR))</f>
        <v>0</v>
      </c>
      <c r="U149" s="9">
        <f>IF(S149="PT",N149,IF(S149="G",0,ERR))</f>
        <v>0</v>
      </c>
      <c r="V149" s="140"/>
      <c r="W149" s="9">
        <f>HLOOKUP($W$9,'ROR-Model'!$Q$10:$U$1263,Y149)</f>
        <v>21165</v>
      </c>
      <c r="X149" s="156"/>
      <c r="Y149" s="918">
        <f t="shared" si="6"/>
        <v>140</v>
      </c>
      <c r="AA149" s="9">
        <v>0</v>
      </c>
      <c r="AC149" s="9" t="str">
        <f t="shared" si="7"/>
        <v/>
      </c>
      <c r="AE149" s="44" t="str">
        <f t="shared" si="8"/>
        <v/>
      </c>
    </row>
    <row r="150" spans="1:31">
      <c r="A150" s="153"/>
      <c r="B150" s="365"/>
      <c r="C150" s="365"/>
      <c r="D150" s="49"/>
      <c r="E150" s="9">
        <f>+G150-Adjustments!G150</f>
        <v>0</v>
      </c>
      <c r="F150" s="9"/>
      <c r="G150" s="9"/>
      <c r="H150" s="9"/>
      <c r="I150" s="9"/>
      <c r="J150" s="9">
        <f>+I150-'ROR-Model'!I150</f>
        <v>0</v>
      </c>
      <c r="K150" s="9"/>
      <c r="L150" s="9"/>
      <c r="M150" s="9"/>
      <c r="N150" s="9"/>
      <c r="O150" s="136"/>
      <c r="P150" s="142"/>
      <c r="Q150" s="9"/>
      <c r="R150" s="9"/>
      <c r="S150" s="142"/>
      <c r="T150" s="9"/>
      <c r="U150" s="9"/>
      <c r="V150" s="140"/>
      <c r="W150" s="9"/>
      <c r="X150" s="156"/>
      <c r="Y150" s="918">
        <f t="shared" si="6"/>
        <v>141</v>
      </c>
      <c r="AA150" s="9"/>
      <c r="AC150" s="9" t="str">
        <f t="shared" si="7"/>
        <v/>
      </c>
      <c r="AE150" s="44" t="str">
        <f t="shared" si="8"/>
        <v/>
      </c>
    </row>
    <row r="151" spans="1:31">
      <c r="A151" s="153"/>
      <c r="B151" s="365" t="s">
        <v>671</v>
      </c>
      <c r="C151" s="365" t="s">
        <v>15</v>
      </c>
      <c r="D151" s="49"/>
      <c r="E151" s="9">
        <f>+G151-Adjustments!G151</f>
        <v>0</v>
      </c>
      <c r="F151" s="9">
        <f>Revenue!$F$150</f>
        <v>0</v>
      </c>
      <c r="G151" s="9">
        <f>+Adjustments!U151</f>
        <v>0</v>
      </c>
      <c r="H151" s="9"/>
      <c r="I151" s="9">
        <f>SUM($F$151:$H$151)</f>
        <v>0</v>
      </c>
      <c r="J151" s="9">
        <f>+I151-'ROR-Model'!I151</f>
        <v>0</v>
      </c>
      <c r="K151" s="9"/>
      <c r="L151" s="9" t="s">
        <v>13</v>
      </c>
      <c r="M151" s="9">
        <f>VLOOKUP($L151,$L$2:$N$7,2,FALSE)*I151</f>
        <v>0</v>
      </c>
      <c r="N151" s="9">
        <f>VLOOKUP($L151,$L$2:$N$7,3,FALSE)*I151</f>
        <v>0</v>
      </c>
      <c r="O151" s="136"/>
      <c r="P151" s="142" t="s">
        <v>549</v>
      </c>
      <c r="Q151" s="9">
        <f>IF(P151="G",M151,IF(P151="PT",0,ERR))</f>
        <v>0</v>
      </c>
      <c r="R151" s="9">
        <f>IF(P151="PT",M151,IF(P151="G",0,ERR))</f>
        <v>0</v>
      </c>
      <c r="S151" s="142" t="s">
        <v>549</v>
      </c>
      <c r="T151" s="9">
        <f>IF(S151="G",N151,IF(S151="PT",0,ERR))</f>
        <v>0</v>
      </c>
      <c r="U151" s="9">
        <f>IF(S151="PT",N151,IF(S151="G",0,ERR))</f>
        <v>0</v>
      </c>
      <c r="V151" s="140"/>
      <c r="W151" s="9">
        <f>HLOOKUP($W$9,'ROR-Model'!$Q$10:$U$1263,Y151)</f>
        <v>0</v>
      </c>
      <c r="X151" s="156"/>
      <c r="Y151" s="918">
        <f t="shared" si="6"/>
        <v>142</v>
      </c>
      <c r="AA151" s="9">
        <v>0</v>
      </c>
      <c r="AC151" s="9" t="str">
        <f t="shared" si="7"/>
        <v/>
      </c>
      <c r="AE151" s="44" t="str">
        <f t="shared" si="8"/>
        <v/>
      </c>
    </row>
    <row r="152" spans="1:31">
      <c r="A152" s="153"/>
      <c r="B152" s="365"/>
      <c r="C152" s="365"/>
      <c r="D152" s="49"/>
      <c r="E152" s="9">
        <f>+G152-Adjustments!G152</f>
        <v>0</v>
      </c>
      <c r="F152" s="9"/>
      <c r="G152" s="9"/>
      <c r="H152" s="9"/>
      <c r="I152" s="9"/>
      <c r="J152" s="9">
        <f>+I152-'ROR-Model'!I152</f>
        <v>0</v>
      </c>
      <c r="K152" s="9"/>
      <c r="L152" s="9"/>
      <c r="M152" s="9"/>
      <c r="N152" s="9"/>
      <c r="O152" s="136"/>
      <c r="P152" s="142"/>
      <c r="Q152" s="9"/>
      <c r="R152" s="9"/>
      <c r="S152" s="142"/>
      <c r="T152" s="9"/>
      <c r="U152" s="9"/>
      <c r="V152" s="140"/>
      <c r="W152" s="9"/>
      <c r="X152" s="156"/>
      <c r="Y152" s="918">
        <f t="shared" si="6"/>
        <v>143</v>
      </c>
      <c r="AA152" s="9"/>
      <c r="AC152" s="9" t="str">
        <f t="shared" si="7"/>
        <v/>
      </c>
      <c r="AE152" s="44" t="str">
        <f t="shared" si="8"/>
        <v/>
      </c>
    </row>
    <row r="153" spans="1:31">
      <c r="A153" s="153"/>
      <c r="B153" s="365"/>
      <c r="C153" s="365" t="s">
        <v>16</v>
      </c>
      <c r="D153" s="49"/>
      <c r="E153" s="9">
        <f>+G153-Adjustments!G153</f>
        <v>0</v>
      </c>
      <c r="F153" s="9">
        <f>Revenue!$F$152</f>
        <v>0</v>
      </c>
      <c r="G153" s="9">
        <f>+Adjustments!U153</f>
        <v>0</v>
      </c>
      <c r="H153" s="9"/>
      <c r="I153" s="9">
        <f>SUM($F$153:$H$153)</f>
        <v>0</v>
      </c>
      <c r="J153" s="9">
        <f>+I153-'ROR-Model'!I153</f>
        <v>0</v>
      </c>
      <c r="K153" s="9"/>
      <c r="L153" s="9" t="s">
        <v>13</v>
      </c>
      <c r="M153" s="9">
        <f>VLOOKUP($L153,$L$2:$N$7,2,FALSE)*I153</f>
        <v>0</v>
      </c>
      <c r="N153" s="9">
        <f>VLOOKUP($L153,$L$2:$N$7,3,FALSE)*I153</f>
        <v>0</v>
      </c>
      <c r="O153" s="136"/>
      <c r="P153" s="142" t="s">
        <v>548</v>
      </c>
      <c r="Q153" s="9">
        <f>IF(P153="G",M153,IF(P153="PT",0,ERR))</f>
        <v>0</v>
      </c>
      <c r="R153" s="9">
        <f>IF(P153="PT",M153,IF(P153="G",0,ERR))</f>
        <v>0</v>
      </c>
      <c r="S153" s="142" t="s">
        <v>548</v>
      </c>
      <c r="T153" s="9">
        <f>IF(S153="G",N153,IF(S153="PT",0,ERR))</f>
        <v>0</v>
      </c>
      <c r="U153" s="9">
        <f>IF(S153="PT",N153,IF(S153="G",0,ERR))</f>
        <v>0</v>
      </c>
      <c r="V153" s="140"/>
      <c r="W153" s="9">
        <f>HLOOKUP($W$9,'ROR-Model'!$Q$10:$U$1263,Y153)</f>
        <v>0</v>
      </c>
      <c r="X153" s="156"/>
      <c r="Y153" s="918">
        <f t="shared" si="6"/>
        <v>144</v>
      </c>
      <c r="AA153" s="9">
        <v>0</v>
      </c>
      <c r="AC153" s="9" t="str">
        <f t="shared" si="7"/>
        <v/>
      </c>
      <c r="AE153" s="44" t="str">
        <f t="shared" si="8"/>
        <v/>
      </c>
    </row>
    <row r="154" spans="1:31">
      <c r="A154" s="153"/>
      <c r="B154" s="365"/>
      <c r="C154" s="365"/>
      <c r="D154" s="49"/>
      <c r="E154" s="9">
        <f>+G154-Adjustments!G154</f>
        <v>0</v>
      </c>
      <c r="F154" s="9"/>
      <c r="G154" s="9"/>
      <c r="H154" s="9"/>
      <c r="I154" s="9"/>
      <c r="J154" s="9">
        <f>+I154-'ROR-Model'!I154</f>
        <v>0</v>
      </c>
      <c r="K154" s="9"/>
      <c r="L154" s="9"/>
      <c r="M154" s="9"/>
      <c r="N154" s="9"/>
      <c r="O154" s="136"/>
      <c r="P154" s="142"/>
      <c r="Q154" s="9"/>
      <c r="R154" s="9"/>
      <c r="S154" s="142"/>
      <c r="T154" s="9"/>
      <c r="U154" s="9"/>
      <c r="V154" s="140"/>
      <c r="W154" s="9"/>
      <c r="X154" s="156"/>
      <c r="Y154" s="918">
        <f t="shared" si="6"/>
        <v>145</v>
      </c>
      <c r="AA154" s="9"/>
      <c r="AC154" s="9" t="str">
        <f t="shared" si="7"/>
        <v/>
      </c>
      <c r="AE154" s="44" t="str">
        <f t="shared" si="8"/>
        <v/>
      </c>
    </row>
    <row r="155" spans="1:31">
      <c r="A155" s="153"/>
      <c r="B155" s="365"/>
      <c r="C155" s="365" t="s">
        <v>17</v>
      </c>
      <c r="D155" s="49"/>
      <c r="E155" s="9">
        <f>+G155-Adjustments!G155</f>
        <v>0</v>
      </c>
      <c r="F155" s="9">
        <f>Revenue!$F$154</f>
        <v>0</v>
      </c>
      <c r="G155" s="9">
        <f>+Adjustments!U155</f>
        <v>0</v>
      </c>
      <c r="H155" s="9"/>
      <c r="I155" s="9">
        <f>SUM($F$155:$H$155)</f>
        <v>0</v>
      </c>
      <c r="J155" s="9">
        <f>+I155-'ROR-Model'!I155</f>
        <v>0</v>
      </c>
      <c r="K155" s="9"/>
      <c r="L155" s="9" t="s">
        <v>13</v>
      </c>
      <c r="M155" s="9">
        <f>VLOOKUP($L155,$L$2:$N$7,2,FALSE)*I155</f>
        <v>0</v>
      </c>
      <c r="N155" s="9">
        <f>VLOOKUP($L155,$L$2:$N$7,3,FALSE)*I155</f>
        <v>0</v>
      </c>
      <c r="O155" s="136"/>
      <c r="P155" s="142" t="s">
        <v>548</v>
      </c>
      <c r="Q155" s="9">
        <f>IF(P155="G",M155,IF(P155="PT",0,ERR))</f>
        <v>0</v>
      </c>
      <c r="R155" s="9">
        <f>IF(P155="PT",M155,IF(P155="G",0,ERR))</f>
        <v>0</v>
      </c>
      <c r="S155" s="142" t="s">
        <v>548</v>
      </c>
      <c r="T155" s="9">
        <f>IF(S155="G",N155,IF(S155="PT",0,ERR))</f>
        <v>0</v>
      </c>
      <c r="U155" s="9">
        <f>IF(S155="PT",N155,IF(S155="G",0,ERR))</f>
        <v>0</v>
      </c>
      <c r="V155" s="140"/>
      <c r="W155" s="9">
        <f>HLOOKUP($W$9,'ROR-Model'!$Q$10:$U$1263,Y155)</f>
        <v>0</v>
      </c>
      <c r="X155" s="156"/>
      <c r="Y155" s="918">
        <f t="shared" si="6"/>
        <v>146</v>
      </c>
      <c r="AA155" s="9">
        <v>0</v>
      </c>
      <c r="AC155" s="9" t="str">
        <f t="shared" si="7"/>
        <v/>
      </c>
      <c r="AE155" s="44" t="str">
        <f t="shared" si="8"/>
        <v/>
      </c>
    </row>
    <row r="156" spans="1:31">
      <c r="A156" s="153"/>
      <c r="B156" s="365"/>
      <c r="C156" s="365" t="s">
        <v>18</v>
      </c>
      <c r="D156" s="49"/>
      <c r="E156" s="157">
        <f>+G156-Adjustments!G156</f>
        <v>0</v>
      </c>
      <c r="F156" s="157">
        <f>SUM(F151:F155)</f>
        <v>0</v>
      </c>
      <c r="G156" s="157">
        <f>SUM(G151:G155)</f>
        <v>0</v>
      </c>
      <c r="H156" s="157">
        <f>SUM(H151:H155)</f>
        <v>0</v>
      </c>
      <c r="I156" s="157">
        <f>SUM(I151:I155)</f>
        <v>0</v>
      </c>
      <c r="J156" s="9">
        <f>+I156-'ROR-Model'!I156</f>
        <v>0</v>
      </c>
      <c r="K156" s="9"/>
      <c r="L156" s="157"/>
      <c r="M156" s="157">
        <f>SUM(M151:M155)</f>
        <v>0</v>
      </c>
      <c r="N156" s="157">
        <f>SUM(N151:N155)</f>
        <v>0</v>
      </c>
      <c r="O156" s="136"/>
      <c r="P156" s="226"/>
      <c r="Q156" s="157">
        <f>SUM(Q151:Q155)</f>
        <v>0</v>
      </c>
      <c r="R156" s="157">
        <f>SUM(R151:R155)</f>
        <v>0</v>
      </c>
      <c r="S156" s="226"/>
      <c r="T156" s="157">
        <f>SUM(T151:T155)</f>
        <v>0</v>
      </c>
      <c r="U156" s="157">
        <f>SUM(U151:U155)</f>
        <v>0</v>
      </c>
      <c r="V156" s="140"/>
      <c r="W156" s="157">
        <f>HLOOKUP($W$9,'ROR-Model'!$Q$10:$U$1263,Y156)</f>
        <v>0</v>
      </c>
      <c r="X156" s="156"/>
      <c r="Y156" s="918">
        <f t="shared" si="6"/>
        <v>147</v>
      </c>
      <c r="AA156" s="157">
        <v>0</v>
      </c>
      <c r="AC156" s="157" t="str">
        <f t="shared" si="7"/>
        <v/>
      </c>
      <c r="AE156" s="44" t="str">
        <f t="shared" si="8"/>
        <v/>
      </c>
    </row>
    <row r="157" spans="1:31">
      <c r="A157" s="153"/>
      <c r="B157" s="365"/>
      <c r="C157" s="365"/>
      <c r="D157" s="49"/>
      <c r="E157" s="9">
        <f>+G157-Adjustments!G157</f>
        <v>0</v>
      </c>
      <c r="F157" s="9"/>
      <c r="G157" s="9"/>
      <c r="H157" s="9"/>
      <c r="I157" s="9"/>
      <c r="J157" s="9">
        <f>+I157-'ROR-Model'!I157</f>
        <v>0</v>
      </c>
      <c r="K157" s="9"/>
      <c r="L157" s="9"/>
      <c r="M157" s="9"/>
      <c r="N157" s="9"/>
      <c r="O157" s="136"/>
      <c r="P157" s="142"/>
      <c r="Q157" s="9"/>
      <c r="R157" s="9"/>
      <c r="S157" s="142"/>
      <c r="T157" s="9"/>
      <c r="U157" s="9"/>
      <c r="V157" s="140"/>
      <c r="W157" s="9"/>
      <c r="X157" s="156"/>
      <c r="Y157" s="918">
        <f t="shared" si="6"/>
        <v>148</v>
      </c>
      <c r="AA157" s="9"/>
      <c r="AC157" s="9" t="str">
        <f t="shared" si="7"/>
        <v/>
      </c>
      <c r="AE157" s="44" t="str">
        <f t="shared" si="8"/>
        <v/>
      </c>
    </row>
    <row r="158" spans="1:31">
      <c r="A158" s="153"/>
      <c r="B158" s="365"/>
      <c r="C158" s="365" t="s">
        <v>19</v>
      </c>
      <c r="D158" s="49"/>
      <c r="E158" s="9">
        <f>+G158-Adjustments!G158</f>
        <v>0</v>
      </c>
      <c r="F158" s="9">
        <f>Revenue!$F$157</f>
        <v>0</v>
      </c>
      <c r="G158" s="9">
        <f>+Adjustments!U158</f>
        <v>0</v>
      </c>
      <c r="H158" s="9"/>
      <c r="I158" s="645">
        <f>SUM($F$158:$H$158)</f>
        <v>0</v>
      </c>
      <c r="J158" s="9">
        <f>+I158-'ROR-Model'!I158</f>
        <v>0</v>
      </c>
      <c r="K158" s="9"/>
      <c r="L158" s="9" t="s">
        <v>13</v>
      </c>
      <c r="M158" s="9">
        <f>VLOOKUP($L158,$L$2:$N$7,2,FALSE)*I158</f>
        <v>0</v>
      </c>
      <c r="N158" s="9">
        <f>VLOOKUP($L158,$L$2:$N$7,3,FALSE)*I158</f>
        <v>0</v>
      </c>
      <c r="O158" s="136"/>
      <c r="P158" s="142" t="s">
        <v>549</v>
      </c>
      <c r="Q158" s="9">
        <f>IF(P158="G",M158,IF(P158="PT",0,ERR))</f>
        <v>0</v>
      </c>
      <c r="R158" s="9">
        <f>IF(P158="PT",M158,IF(P158="G",0,ERR))</f>
        <v>0</v>
      </c>
      <c r="S158" s="142" t="s">
        <v>549</v>
      </c>
      <c r="T158" s="9">
        <f>IF(S158="G",N158,IF(S158="PT",0,ERR))</f>
        <v>0</v>
      </c>
      <c r="U158" s="9">
        <f>IF(S158="PT",N158,IF(S158="G",0,ERR))</f>
        <v>0</v>
      </c>
      <c r="V158" s="140"/>
      <c r="W158" s="9">
        <f>HLOOKUP($W$9,'ROR-Model'!$Q$10:$U$1263,Y158)</f>
        <v>0</v>
      </c>
      <c r="X158" s="156"/>
      <c r="Y158" s="918">
        <f t="shared" si="6"/>
        <v>149</v>
      </c>
      <c r="AA158" s="9">
        <v>0</v>
      </c>
      <c r="AC158" s="9" t="str">
        <f t="shared" si="7"/>
        <v/>
      </c>
      <c r="AE158" s="44" t="str">
        <f t="shared" si="8"/>
        <v/>
      </c>
    </row>
    <row r="159" spans="1:31">
      <c r="A159" s="153"/>
      <c r="B159" s="365"/>
      <c r="C159" s="365"/>
      <c r="D159" s="49"/>
      <c r="E159" s="9">
        <f>+G159-Adjustments!G159</f>
        <v>0</v>
      </c>
      <c r="F159" s="9"/>
      <c r="G159" s="9"/>
      <c r="H159" s="9"/>
      <c r="I159" s="9"/>
      <c r="J159" s="9">
        <f>+I159-'ROR-Model'!I159</f>
        <v>0</v>
      </c>
      <c r="K159" s="9"/>
      <c r="L159" s="9"/>
      <c r="M159" s="9"/>
      <c r="N159" s="9"/>
      <c r="O159" s="136"/>
      <c r="P159" s="142"/>
      <c r="Q159" s="9"/>
      <c r="R159" s="9"/>
      <c r="S159" s="142"/>
      <c r="T159" s="9"/>
      <c r="U159" s="9"/>
      <c r="V159" s="140"/>
      <c r="W159" s="9"/>
      <c r="X159" s="156"/>
      <c r="Y159" s="918">
        <f t="shared" si="6"/>
        <v>150</v>
      </c>
      <c r="AA159" s="9"/>
      <c r="AC159" s="9" t="str">
        <f t="shared" si="7"/>
        <v/>
      </c>
      <c r="AE159" s="44" t="str">
        <f t="shared" si="8"/>
        <v/>
      </c>
    </row>
    <row r="160" spans="1:31">
      <c r="A160" s="153"/>
      <c r="B160" s="462" t="s">
        <v>82</v>
      </c>
      <c r="C160" s="365" t="s">
        <v>15</v>
      </c>
      <c r="D160" s="49"/>
      <c r="E160" s="9">
        <f>+G160-Adjustments!G160</f>
        <v>0</v>
      </c>
      <c r="F160" s="9">
        <f>Revenue!$F$159</f>
        <v>20188113</v>
      </c>
      <c r="G160" s="9">
        <f>+Adjustments!U160</f>
        <v>0</v>
      </c>
      <c r="H160" s="9"/>
      <c r="I160" s="9">
        <f>SUM($F$160:$H$160)</f>
        <v>20188113</v>
      </c>
      <c r="J160" s="9">
        <f>+I160-'ROR-Model'!I160</f>
        <v>0</v>
      </c>
      <c r="K160" s="9"/>
      <c r="L160" s="9" t="s">
        <v>13</v>
      </c>
      <c r="M160" s="9">
        <f>VLOOKUP($L160,$L$2:$N$7,2,FALSE)*I160</f>
        <v>20188113</v>
      </c>
      <c r="N160" s="9">
        <f>VLOOKUP($L160,$L$2:$N$7,3,FALSE)*I160</f>
        <v>0</v>
      </c>
      <c r="O160" s="136"/>
      <c r="P160" s="142" t="s">
        <v>549</v>
      </c>
      <c r="Q160" s="9">
        <f>IF(P160="G",M160,IF(P160="PT",0,ERR))</f>
        <v>20188113</v>
      </c>
      <c r="R160" s="9">
        <f>IF(P160="PT",M160,IF(P160="G",0,ERR))</f>
        <v>0</v>
      </c>
      <c r="S160" s="142" t="s">
        <v>549</v>
      </c>
      <c r="T160" s="9">
        <f>IF(S160="G",N160,IF(S160="PT",0,ERR))</f>
        <v>0</v>
      </c>
      <c r="U160" s="9">
        <f>IF(S160="PT",N160,IF(S160="G",0,ERR))</f>
        <v>0</v>
      </c>
      <c r="V160" s="140"/>
      <c r="W160" s="9">
        <f>HLOOKUP($W$9,'ROR-Model'!$Q$10:$U$1263,Y160)</f>
        <v>20188113</v>
      </c>
      <c r="X160" s="156"/>
      <c r="Y160" s="918">
        <f t="shared" si="6"/>
        <v>151</v>
      </c>
      <c r="AA160" s="9">
        <v>0</v>
      </c>
      <c r="AC160" s="9" t="str">
        <f t="shared" si="7"/>
        <v/>
      </c>
      <c r="AE160" s="44" t="str">
        <f t="shared" si="8"/>
        <v/>
      </c>
    </row>
    <row r="161" spans="1:31">
      <c r="A161" s="153"/>
      <c r="B161" s="365"/>
      <c r="C161" s="365"/>
      <c r="D161" s="49"/>
      <c r="E161" s="9">
        <f>+G161-Adjustments!G161</f>
        <v>0</v>
      </c>
      <c r="F161" s="9"/>
      <c r="G161" s="9"/>
      <c r="H161" s="9"/>
      <c r="I161" s="9"/>
      <c r="J161" s="9">
        <f>+I161-'ROR-Model'!I161</f>
        <v>0</v>
      </c>
      <c r="K161" s="9"/>
      <c r="L161" s="9"/>
      <c r="M161" s="9"/>
      <c r="N161" s="9"/>
      <c r="O161" s="136"/>
      <c r="P161" s="142"/>
      <c r="Q161" s="9"/>
      <c r="R161" s="9"/>
      <c r="S161" s="142"/>
      <c r="T161" s="9"/>
      <c r="U161" s="9"/>
      <c r="V161" s="140"/>
      <c r="W161" s="9"/>
      <c r="X161" s="156"/>
      <c r="Y161" s="918">
        <f t="shared" si="6"/>
        <v>152</v>
      </c>
      <c r="AA161" s="9"/>
      <c r="AC161" s="9" t="str">
        <f t="shared" si="7"/>
        <v/>
      </c>
      <c r="AE161" s="44" t="str">
        <f t="shared" si="8"/>
        <v/>
      </c>
    </row>
    <row r="162" spans="1:31">
      <c r="A162" s="153"/>
      <c r="B162" s="365"/>
      <c r="C162" s="365" t="s">
        <v>16</v>
      </c>
      <c r="D162" s="49"/>
      <c r="E162" s="9">
        <f>+G162-Adjustments!G162</f>
        <v>0</v>
      </c>
      <c r="F162" s="9">
        <f>Revenue!$F$161</f>
        <v>568888</v>
      </c>
      <c r="G162" s="9">
        <f>+Adjustments!U162</f>
        <v>0</v>
      </c>
      <c r="H162" s="9"/>
      <c r="I162" s="9">
        <f>SUM($F$162:$H$162)</f>
        <v>568888</v>
      </c>
      <c r="J162" s="9">
        <f>+I162-'ROR-Model'!I162</f>
        <v>0</v>
      </c>
      <c r="K162" s="9"/>
      <c r="L162" s="9" t="s">
        <v>13</v>
      </c>
      <c r="M162" s="9">
        <f>VLOOKUP($L162,$L$2:$N$7,2,FALSE)*I162</f>
        <v>568888</v>
      </c>
      <c r="N162" s="9">
        <f>VLOOKUP($L162,$L$2:$N$7,3,FALSE)*I162</f>
        <v>0</v>
      </c>
      <c r="O162" s="136"/>
      <c r="P162" s="142" t="s">
        <v>548</v>
      </c>
      <c r="Q162" s="9">
        <f>IF(P162="G",M162,IF(P162="PT",0,ERR))</f>
        <v>0</v>
      </c>
      <c r="R162" s="9">
        <f>IF(P162="PT",M162,IF(P162="G",0,ERR))</f>
        <v>568888</v>
      </c>
      <c r="S162" s="142" t="s">
        <v>548</v>
      </c>
      <c r="T162" s="9">
        <f>IF(S162="G",N162,IF(S162="PT",0,ERR))</f>
        <v>0</v>
      </c>
      <c r="U162" s="9">
        <f>IF(S162="PT",N162,IF(S162="G",0,ERR))</f>
        <v>0</v>
      </c>
      <c r="V162" s="140"/>
      <c r="W162" s="9">
        <f>HLOOKUP($W$9,'ROR-Model'!$Q$10:$U$1263,Y162)</f>
        <v>0</v>
      </c>
      <c r="X162" s="156"/>
      <c r="Y162" s="918">
        <f t="shared" si="6"/>
        <v>153</v>
      </c>
      <c r="AA162" s="9">
        <v>0</v>
      </c>
      <c r="AC162" s="9" t="str">
        <f t="shared" si="7"/>
        <v/>
      </c>
      <c r="AE162" s="44" t="str">
        <f t="shared" si="8"/>
        <v/>
      </c>
    </row>
    <row r="163" spans="1:31">
      <c r="A163" s="153"/>
      <c r="B163" s="365"/>
      <c r="C163" s="365"/>
      <c r="D163" s="49"/>
      <c r="E163" s="9">
        <f>+G163-Adjustments!G163</f>
        <v>0</v>
      </c>
      <c r="F163" s="9"/>
      <c r="G163" s="9"/>
      <c r="H163" s="9"/>
      <c r="I163" s="9"/>
      <c r="J163" s="9">
        <f>+I163-'ROR-Model'!I163</f>
        <v>0</v>
      </c>
      <c r="K163" s="9"/>
      <c r="L163" s="9"/>
      <c r="M163" s="9"/>
      <c r="N163" s="9"/>
      <c r="O163" s="136"/>
      <c r="P163" s="142"/>
      <c r="Q163" s="9"/>
      <c r="R163" s="9"/>
      <c r="S163" s="142"/>
      <c r="T163" s="9"/>
      <c r="U163" s="9"/>
      <c r="V163" s="140"/>
      <c r="W163" s="9"/>
      <c r="X163" s="156"/>
      <c r="Y163" s="918">
        <f t="shared" si="6"/>
        <v>154</v>
      </c>
      <c r="AA163" s="9"/>
      <c r="AC163" s="9" t="str">
        <f t="shared" si="7"/>
        <v/>
      </c>
      <c r="AE163" s="44" t="str">
        <f t="shared" si="8"/>
        <v/>
      </c>
    </row>
    <row r="164" spans="1:31">
      <c r="A164" s="153"/>
      <c r="B164" s="365"/>
      <c r="C164" s="365" t="s">
        <v>17</v>
      </c>
      <c r="D164" s="49"/>
      <c r="E164" s="9">
        <f>+G164-Adjustments!G164</f>
        <v>0</v>
      </c>
      <c r="F164" s="9">
        <f>Revenue!$F$163</f>
        <v>96363</v>
      </c>
      <c r="G164" s="9">
        <f>+Adjustments!U164</f>
        <v>0</v>
      </c>
      <c r="H164" s="9"/>
      <c r="I164" s="9">
        <f>SUM($F$164:$H$164)</f>
        <v>96363</v>
      </c>
      <c r="J164" s="9">
        <f>+I164-'ROR-Model'!I164</f>
        <v>0</v>
      </c>
      <c r="K164" s="9"/>
      <c r="L164" s="9" t="s">
        <v>13</v>
      </c>
      <c r="M164" s="9">
        <f>VLOOKUP($L164,$L$2:$N$7,2,FALSE)*I164</f>
        <v>96363</v>
      </c>
      <c r="N164" s="9">
        <f>VLOOKUP($L164,$L$2:$N$7,3,FALSE)*I164</f>
        <v>0</v>
      </c>
      <c r="O164" s="136"/>
      <c r="P164" s="142" t="s">
        <v>548</v>
      </c>
      <c r="Q164" s="9">
        <f>IF(P164="G",M164,IF(P164="PT",0,ERR))</f>
        <v>0</v>
      </c>
      <c r="R164" s="9">
        <f>IF(P164="PT",M164,IF(P164="G",0,ERR))</f>
        <v>96363</v>
      </c>
      <c r="S164" s="142" t="s">
        <v>548</v>
      </c>
      <c r="T164" s="9">
        <f>IF(S164="G",N164,IF(S164="PT",0,ERR))</f>
        <v>0</v>
      </c>
      <c r="U164" s="9">
        <f>IF(S164="PT",N164,IF(S164="G",0,ERR))</f>
        <v>0</v>
      </c>
      <c r="V164" s="140"/>
      <c r="W164" s="9">
        <f>HLOOKUP($W$9,'ROR-Model'!$Q$10:$U$1263,Y164)</f>
        <v>0</v>
      </c>
      <c r="X164" s="156"/>
      <c r="Y164" s="918">
        <f t="shared" si="6"/>
        <v>155</v>
      </c>
      <c r="AA164" s="9">
        <v>0</v>
      </c>
      <c r="AC164" s="9" t="str">
        <f t="shared" si="7"/>
        <v/>
      </c>
      <c r="AE164" s="44" t="str">
        <f t="shared" si="8"/>
        <v/>
      </c>
    </row>
    <row r="165" spans="1:31">
      <c r="A165" s="153"/>
      <c r="B165" s="365"/>
      <c r="C165" s="365" t="s">
        <v>18</v>
      </c>
      <c r="D165" s="49"/>
      <c r="E165" s="157">
        <f>+G165-Adjustments!G165</f>
        <v>0</v>
      </c>
      <c r="F165" s="157">
        <f>SUM(F160:F164)</f>
        <v>20853364</v>
      </c>
      <c r="G165" s="157">
        <f>SUM(G160:G164)</f>
        <v>0</v>
      </c>
      <c r="H165" s="157">
        <f>SUM(H160:H164)</f>
        <v>0</v>
      </c>
      <c r="I165" s="157">
        <f>SUM(I160:I164)</f>
        <v>20853364</v>
      </c>
      <c r="J165" s="9">
        <f>+I165-'ROR-Model'!I165</f>
        <v>0</v>
      </c>
      <c r="K165" s="9"/>
      <c r="L165" s="157"/>
      <c r="M165" s="157">
        <f>SUM(M160:M164)</f>
        <v>20853364</v>
      </c>
      <c r="N165" s="157">
        <f>SUM(N160:N164)</f>
        <v>0</v>
      </c>
      <c r="O165" s="136"/>
      <c r="P165" s="226"/>
      <c r="Q165" s="157">
        <f>SUM(Q160:Q164)</f>
        <v>20188113</v>
      </c>
      <c r="R165" s="157">
        <f>SUM(R160:R164)</f>
        <v>665251</v>
      </c>
      <c r="S165" s="226"/>
      <c r="T165" s="157">
        <f>SUM(T160:T164)</f>
        <v>0</v>
      </c>
      <c r="U165" s="157">
        <f>SUM(U160:U164)</f>
        <v>0</v>
      </c>
      <c r="V165" s="140"/>
      <c r="W165" s="157">
        <f>HLOOKUP($W$9,'ROR-Model'!$Q$10:$U$1263,Y165)</f>
        <v>20188113</v>
      </c>
      <c r="X165" s="156"/>
      <c r="Y165" s="918">
        <f t="shared" si="6"/>
        <v>156</v>
      </c>
      <c r="AA165" s="157">
        <v>0</v>
      </c>
      <c r="AC165" s="157" t="str">
        <f t="shared" si="7"/>
        <v/>
      </c>
      <c r="AE165" s="44" t="str">
        <f t="shared" si="8"/>
        <v/>
      </c>
    </row>
    <row r="166" spans="1:31">
      <c r="A166" s="153"/>
      <c r="B166" s="365"/>
      <c r="C166" s="365"/>
      <c r="D166" s="49"/>
      <c r="E166" s="9">
        <f>+G166-Adjustments!G166</f>
        <v>0</v>
      </c>
      <c r="F166" s="9"/>
      <c r="G166" s="9"/>
      <c r="H166" s="9"/>
      <c r="I166" s="9"/>
      <c r="J166" s="9">
        <f>+I166-'ROR-Model'!I166</f>
        <v>0</v>
      </c>
      <c r="K166" s="9"/>
      <c r="L166" s="9"/>
      <c r="M166" s="9"/>
      <c r="N166" s="9"/>
      <c r="O166" s="136"/>
      <c r="P166" s="142"/>
      <c r="Q166" s="9"/>
      <c r="R166" s="9"/>
      <c r="S166" s="142"/>
      <c r="T166" s="9"/>
      <c r="U166" s="9"/>
      <c r="V166" s="140"/>
      <c r="W166" s="9"/>
      <c r="X166" s="156"/>
      <c r="Y166" s="918">
        <f t="shared" si="6"/>
        <v>157</v>
      </c>
      <c r="AA166" s="9"/>
      <c r="AC166" s="9" t="str">
        <f t="shared" si="7"/>
        <v/>
      </c>
      <c r="AE166" s="44" t="str">
        <f t="shared" si="8"/>
        <v/>
      </c>
    </row>
    <row r="167" spans="1:31">
      <c r="A167" s="153"/>
      <c r="B167" s="365"/>
      <c r="C167" s="365" t="s">
        <v>19</v>
      </c>
      <c r="D167" s="49"/>
      <c r="E167" s="9">
        <f>+G167-Adjustments!G167</f>
        <v>0</v>
      </c>
      <c r="F167" s="9">
        <f>Revenue!$F$166</f>
        <v>44783653</v>
      </c>
      <c r="G167" s="9">
        <f>+Adjustments!U167</f>
        <v>0</v>
      </c>
      <c r="H167" s="9"/>
      <c r="I167" s="645">
        <f>SUM($F$167:$H$167)</f>
        <v>44783653</v>
      </c>
      <c r="J167" s="9">
        <f>+I167-'ROR-Model'!I167</f>
        <v>0</v>
      </c>
      <c r="K167" s="9"/>
      <c r="L167" s="9" t="s">
        <v>13</v>
      </c>
      <c r="M167" s="9">
        <f>VLOOKUP($L167,$L$2:$N$7,2,FALSE)*I167</f>
        <v>44783653</v>
      </c>
      <c r="N167" s="9">
        <f>VLOOKUP($L167,$L$2:$N$7,3,FALSE)*I167</f>
        <v>0</v>
      </c>
      <c r="O167" s="136"/>
      <c r="P167" s="142" t="s">
        <v>549</v>
      </c>
      <c r="Q167" s="9">
        <f>IF(P167="G",M167,IF(P167="PT",0,ERR))</f>
        <v>44783653</v>
      </c>
      <c r="R167" s="9">
        <f>IF(P167="PT",M167,IF(P167="G",0,ERR))</f>
        <v>0</v>
      </c>
      <c r="S167" s="142" t="s">
        <v>549</v>
      </c>
      <c r="T167" s="9">
        <f>IF(S167="G",N167,IF(S167="PT",0,ERR))</f>
        <v>0</v>
      </c>
      <c r="U167" s="9">
        <f>IF(S167="PT",N167,IF(S167="G",0,ERR))</f>
        <v>0</v>
      </c>
      <c r="V167" s="140"/>
      <c r="W167" s="9">
        <f>HLOOKUP($W$9,'ROR-Model'!$Q$10:$U$1263,Y167)</f>
        <v>44783653</v>
      </c>
      <c r="X167" s="156"/>
      <c r="Y167" s="918">
        <f t="shared" si="6"/>
        <v>158</v>
      </c>
      <c r="AA167" s="9">
        <v>0</v>
      </c>
      <c r="AC167" s="9" t="str">
        <f t="shared" si="7"/>
        <v/>
      </c>
      <c r="AE167" s="44" t="str">
        <f t="shared" si="8"/>
        <v/>
      </c>
    </row>
    <row r="168" spans="1:31">
      <c r="A168" s="153"/>
      <c r="B168" s="63"/>
      <c r="C168" s="63"/>
      <c r="D168" s="49"/>
      <c r="E168" s="9">
        <f>+G168-Adjustments!G168</f>
        <v>0</v>
      </c>
      <c r="F168" s="9"/>
      <c r="G168" s="9"/>
      <c r="H168" s="9"/>
      <c r="I168" s="9"/>
      <c r="J168" s="9">
        <f>+I168-'ROR-Model'!I168</f>
        <v>0</v>
      </c>
      <c r="K168" s="9"/>
      <c r="L168" s="9"/>
      <c r="M168" s="9"/>
      <c r="N168" s="9"/>
      <c r="O168" s="136"/>
      <c r="P168" s="142"/>
      <c r="Q168" s="9"/>
      <c r="R168" s="9"/>
      <c r="S168" s="142"/>
      <c r="T168" s="9"/>
      <c r="U168" s="9"/>
      <c r="V168" s="140"/>
      <c r="W168" s="9"/>
      <c r="X168" s="156"/>
      <c r="Y168" s="918">
        <f t="shared" si="6"/>
        <v>159</v>
      </c>
      <c r="AA168" s="9"/>
      <c r="AC168" s="9" t="str">
        <f t="shared" si="7"/>
        <v/>
      </c>
      <c r="AE168" s="44" t="str">
        <f t="shared" si="8"/>
        <v/>
      </c>
    </row>
    <row r="169" spans="1:31">
      <c r="A169" s="153"/>
      <c r="B169" s="365" t="s">
        <v>83</v>
      </c>
      <c r="C169" s="365" t="s">
        <v>15</v>
      </c>
      <c r="D169" s="49"/>
      <c r="E169" s="9">
        <f>+G169-Adjustments!G169</f>
        <v>0</v>
      </c>
      <c r="F169" s="9">
        <f>Revenue!$F$168</f>
        <v>0</v>
      </c>
      <c r="G169" s="9">
        <f>+Adjustments!U169</f>
        <v>0</v>
      </c>
      <c r="H169" s="9"/>
      <c r="I169" s="9">
        <f>SUM($F$169:$H$169)</f>
        <v>0</v>
      </c>
      <c r="J169" s="9">
        <f>+I169-'ROR-Model'!I169</f>
        <v>0</v>
      </c>
      <c r="K169" s="9"/>
      <c r="L169" s="9" t="s">
        <v>13</v>
      </c>
      <c r="M169" s="9">
        <f>VLOOKUP($L169,$L$2:$N$7,2,FALSE)*I169</f>
        <v>0</v>
      </c>
      <c r="N169" s="9">
        <f>VLOOKUP($L169,$L$2:$N$7,3,FALSE)*I169</f>
        <v>0</v>
      </c>
      <c r="O169" s="136"/>
      <c r="P169" s="142" t="s">
        <v>549</v>
      </c>
      <c r="Q169" s="9">
        <f>IF(P169="G",M169,IF(P169="PT",0,ERR))</f>
        <v>0</v>
      </c>
      <c r="R169" s="9">
        <f>IF(P169="PT",M169,IF(P169="G",0,ERR))</f>
        <v>0</v>
      </c>
      <c r="S169" s="142" t="s">
        <v>549</v>
      </c>
      <c r="T169" s="9">
        <f>IF(S169="G",N169,IF(S169="PT",0,ERR))</f>
        <v>0</v>
      </c>
      <c r="U169" s="9">
        <f>IF(S169="PT",N169,IF(S169="G",0,ERR))</f>
        <v>0</v>
      </c>
      <c r="V169" s="140"/>
      <c r="W169" s="9">
        <f>HLOOKUP($W$9,'ROR-Model'!$Q$10:$U$1263,Y169)</f>
        <v>0</v>
      </c>
      <c r="X169" s="156"/>
      <c r="Y169" s="918">
        <f t="shared" si="6"/>
        <v>160</v>
      </c>
      <c r="AA169" s="9">
        <v>0</v>
      </c>
      <c r="AC169" s="9" t="str">
        <f t="shared" si="7"/>
        <v/>
      </c>
      <c r="AE169" s="44" t="str">
        <f t="shared" si="8"/>
        <v/>
      </c>
    </row>
    <row r="170" spans="1:31">
      <c r="A170" s="153"/>
      <c r="B170" s="365"/>
      <c r="C170" s="365"/>
      <c r="D170" s="49"/>
      <c r="E170" s="9">
        <f>+G170-Adjustments!G170</f>
        <v>0</v>
      </c>
      <c r="F170" s="9"/>
      <c r="G170" s="9"/>
      <c r="H170" s="9"/>
      <c r="I170" s="9"/>
      <c r="J170" s="9">
        <f>+I170-'ROR-Model'!I170</f>
        <v>0</v>
      </c>
      <c r="K170" s="9"/>
      <c r="L170" s="9"/>
      <c r="M170" s="9"/>
      <c r="N170" s="9"/>
      <c r="O170" s="136"/>
      <c r="P170" s="142"/>
      <c r="Q170" s="9"/>
      <c r="R170" s="9"/>
      <c r="S170" s="142"/>
      <c r="T170" s="9"/>
      <c r="U170" s="9"/>
      <c r="V170" s="140"/>
      <c r="W170" s="9"/>
      <c r="X170" s="156"/>
      <c r="Y170" s="918">
        <f t="shared" si="6"/>
        <v>161</v>
      </c>
      <c r="AA170" s="9"/>
      <c r="AC170" s="9" t="str">
        <f t="shared" si="7"/>
        <v/>
      </c>
      <c r="AE170" s="44" t="str">
        <f t="shared" si="8"/>
        <v/>
      </c>
    </row>
    <row r="171" spans="1:31">
      <c r="A171" s="153"/>
      <c r="B171" s="365"/>
      <c r="C171" s="365" t="s">
        <v>16</v>
      </c>
      <c r="D171" s="49"/>
      <c r="E171" s="9">
        <f>+G171-Adjustments!G171</f>
        <v>0</v>
      </c>
      <c r="F171" s="9">
        <f>Revenue!$F$170</f>
        <v>0</v>
      </c>
      <c r="G171" s="9">
        <f>+Adjustments!U171</f>
        <v>0</v>
      </c>
      <c r="H171" s="9"/>
      <c r="I171" s="9">
        <f>SUM($F$171:$H$171)</f>
        <v>0</v>
      </c>
      <c r="J171" s="9">
        <f>+I171-'ROR-Model'!I171</f>
        <v>0</v>
      </c>
      <c r="K171" s="9"/>
      <c r="L171" s="9" t="s">
        <v>13</v>
      </c>
      <c r="M171" s="9">
        <f>VLOOKUP($L171,$L$2:$N$7,2,FALSE)*I171</f>
        <v>0</v>
      </c>
      <c r="N171" s="9">
        <f>VLOOKUP($L171,$L$2:$N$7,3,FALSE)*I171</f>
        <v>0</v>
      </c>
      <c r="O171" s="136"/>
      <c r="P171" s="142" t="s">
        <v>548</v>
      </c>
      <c r="Q171" s="9">
        <f>IF(P171="G",M171,IF(P171="PT",0,ERR))</f>
        <v>0</v>
      </c>
      <c r="R171" s="9">
        <f>IF(P171="PT",M171,IF(P171="G",0,ERR))</f>
        <v>0</v>
      </c>
      <c r="S171" s="142" t="s">
        <v>548</v>
      </c>
      <c r="T171" s="9">
        <f>IF(S171="G",N171,IF(S171="PT",0,ERR))</f>
        <v>0</v>
      </c>
      <c r="U171" s="9">
        <f>IF(S171="PT",N171,IF(S171="G",0,ERR))</f>
        <v>0</v>
      </c>
      <c r="V171" s="140"/>
      <c r="W171" s="9">
        <f>HLOOKUP($W$9,'ROR-Model'!$Q$10:$U$1263,Y171)</f>
        <v>0</v>
      </c>
      <c r="X171" s="156"/>
      <c r="Y171" s="918">
        <f t="shared" si="6"/>
        <v>162</v>
      </c>
      <c r="AA171" s="9">
        <v>0</v>
      </c>
      <c r="AC171" s="9" t="str">
        <f t="shared" si="7"/>
        <v/>
      </c>
      <c r="AE171" s="44" t="str">
        <f t="shared" si="8"/>
        <v/>
      </c>
    </row>
    <row r="172" spans="1:31">
      <c r="A172" s="153"/>
      <c r="B172" s="365"/>
      <c r="C172" s="365"/>
      <c r="D172" s="49"/>
      <c r="E172" s="9">
        <f>+G172-Adjustments!G172</f>
        <v>0</v>
      </c>
      <c r="F172" s="9"/>
      <c r="G172" s="9"/>
      <c r="H172" s="9"/>
      <c r="I172" s="9"/>
      <c r="J172" s="9">
        <f>+I172-'ROR-Model'!I172</f>
        <v>0</v>
      </c>
      <c r="K172" s="9"/>
      <c r="L172" s="9"/>
      <c r="M172" s="9"/>
      <c r="N172" s="9"/>
      <c r="O172" s="136"/>
      <c r="P172" s="142"/>
      <c r="Q172" s="9"/>
      <c r="R172" s="9"/>
      <c r="S172" s="142"/>
      <c r="T172" s="9"/>
      <c r="U172" s="9"/>
      <c r="V172" s="140"/>
      <c r="W172" s="9"/>
      <c r="X172" s="156"/>
      <c r="Y172" s="918">
        <f t="shared" si="6"/>
        <v>163</v>
      </c>
      <c r="AA172" s="9"/>
      <c r="AC172" s="9" t="str">
        <f t="shared" si="7"/>
        <v/>
      </c>
      <c r="AE172" s="44" t="str">
        <f t="shared" si="8"/>
        <v/>
      </c>
    </row>
    <row r="173" spans="1:31">
      <c r="A173" s="153"/>
      <c r="B173" s="365"/>
      <c r="C173" s="365" t="s">
        <v>17</v>
      </c>
      <c r="D173" s="49"/>
      <c r="E173" s="9">
        <f>+G173-Adjustments!G173</f>
        <v>0</v>
      </c>
      <c r="F173" s="9">
        <f>Revenue!$F$172</f>
        <v>0</v>
      </c>
      <c r="G173" s="9">
        <f>+Adjustments!U173</f>
        <v>0</v>
      </c>
      <c r="H173" s="9"/>
      <c r="I173" s="9">
        <f>SUM($F$173:$H$173)</f>
        <v>0</v>
      </c>
      <c r="J173" s="9">
        <f>+I173-'ROR-Model'!I173</f>
        <v>0</v>
      </c>
      <c r="K173" s="9"/>
      <c r="L173" s="9" t="s">
        <v>13</v>
      </c>
      <c r="M173" s="9">
        <f>VLOOKUP($L173,$L$2:$N$7,2,FALSE)*I173</f>
        <v>0</v>
      </c>
      <c r="N173" s="9">
        <f>VLOOKUP($L173,$L$2:$N$7,3,FALSE)*I173</f>
        <v>0</v>
      </c>
      <c r="O173" s="136"/>
      <c r="P173" s="142" t="s">
        <v>548</v>
      </c>
      <c r="Q173" s="9">
        <f>IF(P173="G",M173,IF(P173="PT",0,ERR))</f>
        <v>0</v>
      </c>
      <c r="R173" s="9">
        <f>IF(P173="PT",M173,IF(P173="G",0,ERR))</f>
        <v>0</v>
      </c>
      <c r="S173" s="142" t="s">
        <v>548</v>
      </c>
      <c r="T173" s="9">
        <f>IF(S173="G",N173,IF(S173="PT",0,ERR))</f>
        <v>0</v>
      </c>
      <c r="U173" s="9">
        <f>IF(S173="PT",N173,IF(S173="G",0,ERR))</f>
        <v>0</v>
      </c>
      <c r="V173" s="140"/>
      <c r="W173" s="9">
        <f>HLOOKUP($W$9,'ROR-Model'!$Q$10:$U$1263,Y173)</f>
        <v>0</v>
      </c>
      <c r="X173" s="156"/>
      <c r="Y173" s="918">
        <f t="shared" si="6"/>
        <v>164</v>
      </c>
      <c r="AA173" s="9">
        <v>0</v>
      </c>
      <c r="AC173" s="9" t="str">
        <f t="shared" si="7"/>
        <v/>
      </c>
      <c r="AE173" s="44" t="str">
        <f t="shared" si="8"/>
        <v/>
      </c>
    </row>
    <row r="174" spans="1:31">
      <c r="A174" s="153"/>
      <c r="B174" s="365"/>
      <c r="C174" s="365" t="s">
        <v>18</v>
      </c>
      <c r="D174" s="49"/>
      <c r="E174" s="157">
        <f>+G174-Adjustments!G174</f>
        <v>0</v>
      </c>
      <c r="F174" s="157">
        <f>SUM(F169:F173)</f>
        <v>0</v>
      </c>
      <c r="G174" s="157">
        <f>SUM(G169:G173)</f>
        <v>0</v>
      </c>
      <c r="H174" s="157">
        <f>SUM(H169:H173)</f>
        <v>0</v>
      </c>
      <c r="I174" s="157">
        <f>SUM(I169:I173)</f>
        <v>0</v>
      </c>
      <c r="J174" s="9">
        <f>+I174-'ROR-Model'!I174</f>
        <v>0</v>
      </c>
      <c r="K174" s="9"/>
      <c r="L174" s="157"/>
      <c r="M174" s="157">
        <f>SUM(M169:M173)</f>
        <v>0</v>
      </c>
      <c r="N174" s="157">
        <f>SUM(N169:N173)</f>
        <v>0</v>
      </c>
      <c r="O174" s="136"/>
      <c r="P174" s="226"/>
      <c r="Q174" s="157">
        <f>SUM(Q169:Q173)</f>
        <v>0</v>
      </c>
      <c r="R174" s="157">
        <f>SUM(R169:R173)</f>
        <v>0</v>
      </c>
      <c r="S174" s="226"/>
      <c r="T174" s="157">
        <f>SUM(T169:T173)</f>
        <v>0</v>
      </c>
      <c r="U174" s="157">
        <f>SUM(U169:U173)</f>
        <v>0</v>
      </c>
      <c r="V174" s="140"/>
      <c r="W174" s="157">
        <f>HLOOKUP($W$9,'ROR-Model'!$Q$10:$U$1263,Y174)</f>
        <v>0</v>
      </c>
      <c r="X174" s="156"/>
      <c r="Y174" s="918">
        <f t="shared" si="6"/>
        <v>165</v>
      </c>
      <c r="AA174" s="157">
        <v>0</v>
      </c>
      <c r="AC174" s="157" t="str">
        <f t="shared" si="7"/>
        <v/>
      </c>
      <c r="AE174" s="44" t="str">
        <f t="shared" si="8"/>
        <v/>
      </c>
    </row>
    <row r="175" spans="1:31">
      <c r="A175" s="153"/>
      <c r="B175" s="365"/>
      <c r="C175" s="365"/>
      <c r="D175" s="49"/>
      <c r="E175" s="9">
        <f>+G175-Adjustments!G175</f>
        <v>0</v>
      </c>
      <c r="F175" s="9"/>
      <c r="G175" s="9"/>
      <c r="H175" s="9"/>
      <c r="I175" s="9"/>
      <c r="J175" s="9">
        <f>+I175-'ROR-Model'!I175</f>
        <v>0</v>
      </c>
      <c r="K175" s="9"/>
      <c r="L175" s="9"/>
      <c r="M175" s="9"/>
      <c r="N175" s="9"/>
      <c r="O175" s="136"/>
      <c r="P175" s="142"/>
      <c r="Q175" s="9"/>
      <c r="R175" s="9"/>
      <c r="S175" s="142"/>
      <c r="T175" s="9"/>
      <c r="U175" s="9"/>
      <c r="V175" s="140"/>
      <c r="W175" s="9"/>
      <c r="X175" s="156"/>
      <c r="Y175" s="918">
        <f t="shared" si="6"/>
        <v>166</v>
      </c>
      <c r="AA175" s="9"/>
      <c r="AC175" s="9" t="str">
        <f t="shared" si="7"/>
        <v/>
      </c>
      <c r="AE175" s="44" t="str">
        <f t="shared" si="8"/>
        <v/>
      </c>
    </row>
    <row r="176" spans="1:31">
      <c r="A176" s="153"/>
      <c r="B176" s="365"/>
      <c r="C176" s="365" t="s">
        <v>19</v>
      </c>
      <c r="D176" s="49"/>
      <c r="E176" s="9">
        <f>+G176-Adjustments!G176</f>
        <v>0</v>
      </c>
      <c r="F176" s="9">
        <f>Revenue!$F$175</f>
        <v>0</v>
      </c>
      <c r="G176" s="9">
        <f>+Adjustments!U176</f>
        <v>0</v>
      </c>
      <c r="H176" s="9"/>
      <c r="I176" s="645">
        <f>SUM($F$176:$H$176)</f>
        <v>0</v>
      </c>
      <c r="J176" s="9">
        <f>+I176-'ROR-Model'!I176</f>
        <v>0</v>
      </c>
      <c r="K176" s="9"/>
      <c r="L176" s="9" t="s">
        <v>13</v>
      </c>
      <c r="M176" s="9">
        <f>VLOOKUP($L176,$L$2:$N$7,2,FALSE)*I176</f>
        <v>0</v>
      </c>
      <c r="N176" s="9">
        <f>VLOOKUP($L176,$L$2:$N$7,3,FALSE)*I176</f>
        <v>0</v>
      </c>
      <c r="O176" s="136"/>
      <c r="P176" s="142" t="s">
        <v>549</v>
      </c>
      <c r="Q176" s="9">
        <f>IF(P176="G",M176,IF(P176="PT",0,ERR))</f>
        <v>0</v>
      </c>
      <c r="R176" s="9">
        <f>IF(P176="PT",M176,IF(P176="G",0,ERR))</f>
        <v>0</v>
      </c>
      <c r="S176" s="142" t="s">
        <v>549</v>
      </c>
      <c r="T176" s="9">
        <f>IF(S176="G",N176,IF(S176="PT",0,ERR))</f>
        <v>0</v>
      </c>
      <c r="U176" s="9">
        <f>IF(S176="PT",N176,IF(S176="G",0,ERR))</f>
        <v>0</v>
      </c>
      <c r="V176" s="140"/>
      <c r="W176" s="9">
        <f>HLOOKUP($W$9,'ROR-Model'!$Q$10:$U$1263,Y176)</f>
        <v>0</v>
      </c>
      <c r="X176" s="156"/>
      <c r="Y176" s="918">
        <f t="shared" si="6"/>
        <v>167</v>
      </c>
      <c r="AA176" s="9">
        <v>0</v>
      </c>
      <c r="AC176" s="9" t="str">
        <f t="shared" si="7"/>
        <v/>
      </c>
      <c r="AE176" s="44" t="str">
        <f t="shared" si="8"/>
        <v/>
      </c>
    </row>
    <row r="177" spans="1:31">
      <c r="A177" s="153"/>
      <c r="B177" s="365"/>
      <c r="C177" s="365"/>
      <c r="D177" s="49"/>
      <c r="E177" s="9">
        <f>+G177-Adjustments!G177</f>
        <v>0</v>
      </c>
      <c r="F177" s="9"/>
      <c r="G177" s="9"/>
      <c r="H177" s="9"/>
      <c r="I177" s="9"/>
      <c r="J177" s="9">
        <f>+I177-'ROR-Model'!I177</f>
        <v>0</v>
      </c>
      <c r="K177" s="9"/>
      <c r="L177" s="9"/>
      <c r="M177" s="9"/>
      <c r="N177" s="9"/>
      <c r="O177" s="136"/>
      <c r="P177" s="142"/>
      <c r="Q177" s="9"/>
      <c r="R177" s="9"/>
      <c r="S177" s="142"/>
      <c r="T177" s="9"/>
      <c r="U177" s="9"/>
      <c r="V177" s="140"/>
      <c r="W177" s="9"/>
      <c r="X177" s="156"/>
      <c r="Y177" s="918">
        <f t="shared" si="6"/>
        <v>168</v>
      </c>
      <c r="AA177" s="9"/>
      <c r="AC177" s="9" t="str">
        <f t="shared" si="7"/>
        <v/>
      </c>
      <c r="AE177" s="44" t="str">
        <f t="shared" si="8"/>
        <v/>
      </c>
    </row>
    <row r="178" spans="1:31">
      <c r="A178" s="153"/>
      <c r="B178" s="365" t="s">
        <v>118</v>
      </c>
      <c r="C178" s="365" t="s">
        <v>15</v>
      </c>
      <c r="D178" s="49"/>
      <c r="E178" s="9">
        <f>+G178-Adjustments!G178</f>
        <v>0</v>
      </c>
      <c r="F178" s="9">
        <f>Revenue!$F$177</f>
        <v>0</v>
      </c>
      <c r="G178" s="9">
        <f>+Adjustments!U178</f>
        <v>0</v>
      </c>
      <c r="H178" s="9"/>
      <c r="I178" s="9">
        <f>SUM($F$178:$H$178)</f>
        <v>0</v>
      </c>
      <c r="J178" s="9">
        <f>+I178-'ROR-Model'!I178</f>
        <v>0</v>
      </c>
      <c r="K178" s="9"/>
      <c r="L178" s="9" t="s">
        <v>13</v>
      </c>
      <c r="M178" s="9">
        <f>VLOOKUP($L178,$L$2:$N$7,2,FALSE)*I178</f>
        <v>0</v>
      </c>
      <c r="N178" s="9">
        <f>VLOOKUP($L178,$L$2:$N$7,3,FALSE)*I178</f>
        <v>0</v>
      </c>
      <c r="O178" s="136"/>
      <c r="P178" s="142" t="s">
        <v>549</v>
      </c>
      <c r="Q178" s="9">
        <f>IF(P178="G",M178,IF(P178="PT",0,ERR))</f>
        <v>0</v>
      </c>
      <c r="R178" s="9">
        <f>IF(P178="PT",M178,IF(P178="G",0,ERR))</f>
        <v>0</v>
      </c>
      <c r="S178" s="142" t="s">
        <v>549</v>
      </c>
      <c r="T178" s="9">
        <f>IF(S178="G",N178,IF(S178="PT",0,ERR))</f>
        <v>0</v>
      </c>
      <c r="U178" s="9">
        <f>IF(S178="PT",N178,IF(S178="G",0,ERR))</f>
        <v>0</v>
      </c>
      <c r="V178" s="140"/>
      <c r="W178" s="9">
        <f>HLOOKUP($W$9,'ROR-Model'!$Q$10:$U$1263,Y178)</f>
        <v>0</v>
      </c>
      <c r="X178" s="156"/>
      <c r="Y178" s="918">
        <f t="shared" si="6"/>
        <v>169</v>
      </c>
      <c r="AA178" s="9">
        <v>0</v>
      </c>
      <c r="AC178" s="9" t="str">
        <f t="shared" si="7"/>
        <v/>
      </c>
      <c r="AE178" s="44" t="str">
        <f t="shared" si="8"/>
        <v/>
      </c>
    </row>
    <row r="179" spans="1:31">
      <c r="A179" s="153"/>
      <c r="B179" s="365"/>
      <c r="C179" s="365"/>
      <c r="D179" s="49"/>
      <c r="E179" s="9">
        <f>+G179-Adjustments!G179</f>
        <v>0</v>
      </c>
      <c r="F179" s="9"/>
      <c r="G179" s="9"/>
      <c r="H179" s="9"/>
      <c r="I179" s="9"/>
      <c r="J179" s="9">
        <f>+I179-'ROR-Model'!I179</f>
        <v>0</v>
      </c>
      <c r="K179" s="9"/>
      <c r="L179" s="9"/>
      <c r="M179" s="9"/>
      <c r="N179" s="9"/>
      <c r="O179" s="136"/>
      <c r="P179" s="142"/>
      <c r="Q179" s="9"/>
      <c r="R179" s="9"/>
      <c r="S179" s="142"/>
      <c r="T179" s="9"/>
      <c r="U179" s="9"/>
      <c r="V179" s="140"/>
      <c r="W179" s="9"/>
      <c r="X179" s="156"/>
      <c r="Y179" s="918">
        <f t="shared" si="6"/>
        <v>170</v>
      </c>
      <c r="AA179" s="9"/>
      <c r="AC179" s="9" t="str">
        <f t="shared" si="7"/>
        <v/>
      </c>
      <c r="AE179" s="44" t="str">
        <f t="shared" si="8"/>
        <v/>
      </c>
    </row>
    <row r="180" spans="1:31">
      <c r="A180" s="153"/>
      <c r="B180" s="365"/>
      <c r="C180" s="365" t="s">
        <v>16</v>
      </c>
      <c r="D180" s="49"/>
      <c r="E180" s="9">
        <f>+G180-Adjustments!G180</f>
        <v>0</v>
      </c>
      <c r="F180" s="9">
        <f>Revenue!$F$179</f>
        <v>0</v>
      </c>
      <c r="G180" s="9">
        <f>+Adjustments!U180</f>
        <v>0</v>
      </c>
      <c r="H180" s="9"/>
      <c r="I180" s="9">
        <f>SUM($F$180:$H$180)</f>
        <v>0</v>
      </c>
      <c r="J180" s="9">
        <f>+I180-'ROR-Model'!I180</f>
        <v>0</v>
      </c>
      <c r="K180" s="9"/>
      <c r="L180" s="9" t="s">
        <v>13</v>
      </c>
      <c r="M180" s="9">
        <f>VLOOKUP($L180,$L$2:$N$7,2,FALSE)*I180</f>
        <v>0</v>
      </c>
      <c r="N180" s="9">
        <f>VLOOKUP($L180,$L$2:$N$7,3,FALSE)*I180</f>
        <v>0</v>
      </c>
      <c r="O180" s="136"/>
      <c r="P180" s="142" t="s">
        <v>548</v>
      </c>
      <c r="Q180" s="9">
        <f>IF(P180="G",M180,IF(P180="PT",0,ERR))</f>
        <v>0</v>
      </c>
      <c r="R180" s="9">
        <f>IF(P180="PT",M180,IF(P180="G",0,ERR))</f>
        <v>0</v>
      </c>
      <c r="S180" s="142" t="s">
        <v>548</v>
      </c>
      <c r="T180" s="9">
        <f>IF(S180="G",N180,IF(S180="PT",0,ERR))</f>
        <v>0</v>
      </c>
      <c r="U180" s="9">
        <f>IF(S180="PT",N180,IF(S180="G",0,ERR))</f>
        <v>0</v>
      </c>
      <c r="V180" s="140"/>
      <c r="W180" s="9">
        <f>HLOOKUP($W$9,'ROR-Model'!$Q$10:$U$1263,Y180)</f>
        <v>0</v>
      </c>
      <c r="X180" s="156"/>
      <c r="Y180" s="918">
        <f t="shared" si="6"/>
        <v>171</v>
      </c>
      <c r="AA180" s="9">
        <v>0</v>
      </c>
      <c r="AC180" s="9" t="str">
        <f t="shared" si="7"/>
        <v/>
      </c>
      <c r="AE180" s="44" t="str">
        <f t="shared" si="8"/>
        <v/>
      </c>
    </row>
    <row r="181" spans="1:31">
      <c r="A181" s="153"/>
      <c r="B181" s="365"/>
      <c r="C181" s="365"/>
      <c r="D181" s="49"/>
      <c r="E181" s="9">
        <f>+G181-Adjustments!G181</f>
        <v>0</v>
      </c>
      <c r="F181" s="9"/>
      <c r="G181" s="9"/>
      <c r="H181" s="9"/>
      <c r="I181" s="9"/>
      <c r="J181" s="9">
        <f>+I181-'ROR-Model'!I181</f>
        <v>0</v>
      </c>
      <c r="K181" s="9"/>
      <c r="L181" s="9"/>
      <c r="M181" s="9"/>
      <c r="N181" s="9"/>
      <c r="O181" s="136"/>
      <c r="P181" s="142"/>
      <c r="Q181" s="9"/>
      <c r="R181" s="9"/>
      <c r="S181" s="142"/>
      <c r="T181" s="9"/>
      <c r="U181" s="9"/>
      <c r="V181" s="140"/>
      <c r="W181" s="9"/>
      <c r="X181" s="156"/>
      <c r="Y181" s="918">
        <f t="shared" si="6"/>
        <v>172</v>
      </c>
      <c r="AA181" s="9"/>
      <c r="AC181" s="9" t="str">
        <f t="shared" si="7"/>
        <v/>
      </c>
      <c r="AE181" s="44" t="str">
        <f t="shared" si="8"/>
        <v/>
      </c>
    </row>
    <row r="182" spans="1:31">
      <c r="A182" s="153"/>
      <c r="B182" s="365"/>
      <c r="C182" s="365" t="s">
        <v>17</v>
      </c>
      <c r="D182" s="49"/>
      <c r="E182" s="9">
        <f>+G182-Adjustments!G182</f>
        <v>0</v>
      </c>
      <c r="F182" s="9">
        <f>Revenue!$F$181</f>
        <v>0</v>
      </c>
      <c r="G182" s="9">
        <f>+Adjustments!U182</f>
        <v>0</v>
      </c>
      <c r="H182" s="9"/>
      <c r="I182" s="9">
        <f>SUM($F$182:$H$182)</f>
        <v>0</v>
      </c>
      <c r="J182" s="9">
        <f>+I182-'ROR-Model'!I182</f>
        <v>0</v>
      </c>
      <c r="K182" s="9"/>
      <c r="L182" s="9" t="s">
        <v>13</v>
      </c>
      <c r="M182" s="9">
        <f>VLOOKUP($L182,$L$2:$N$7,2,FALSE)*I182</f>
        <v>0</v>
      </c>
      <c r="N182" s="9">
        <f>VLOOKUP($L182,$L$2:$N$7,3,FALSE)*I182</f>
        <v>0</v>
      </c>
      <c r="O182" s="136"/>
      <c r="P182" s="142" t="s">
        <v>548</v>
      </c>
      <c r="Q182" s="9">
        <f>IF(P182="G",M182,IF(P182="PT",0,ERR))</f>
        <v>0</v>
      </c>
      <c r="R182" s="9">
        <f>IF(P182="PT",M182,IF(P182="G",0,ERR))</f>
        <v>0</v>
      </c>
      <c r="S182" s="142" t="s">
        <v>548</v>
      </c>
      <c r="T182" s="9">
        <f>IF(S182="G",N182,IF(S182="PT",0,ERR))</f>
        <v>0</v>
      </c>
      <c r="U182" s="9">
        <f>IF(S182="PT",N182,IF(S182="G",0,ERR))</f>
        <v>0</v>
      </c>
      <c r="V182" s="140"/>
      <c r="W182" s="9">
        <f>HLOOKUP($W$9,'ROR-Model'!$Q$10:$U$1263,Y182)</f>
        <v>0</v>
      </c>
      <c r="X182" s="156"/>
      <c r="Y182" s="918">
        <f t="shared" si="6"/>
        <v>173</v>
      </c>
      <c r="AA182" s="9">
        <v>0</v>
      </c>
      <c r="AC182" s="9" t="str">
        <f t="shared" si="7"/>
        <v/>
      </c>
      <c r="AE182" s="44" t="str">
        <f t="shared" si="8"/>
        <v/>
      </c>
    </row>
    <row r="183" spans="1:31">
      <c r="A183" s="153"/>
      <c r="B183" s="365"/>
      <c r="C183" s="365" t="s">
        <v>18</v>
      </c>
      <c r="D183" s="49"/>
      <c r="E183" s="157">
        <f>+G183-Adjustments!G183</f>
        <v>0</v>
      </c>
      <c r="F183" s="157">
        <f>SUM(F178:F182)</f>
        <v>0</v>
      </c>
      <c r="G183" s="157">
        <f>SUM(G178:G182)</f>
        <v>0</v>
      </c>
      <c r="H183" s="157">
        <f>SUM(H178:H182)</f>
        <v>0</v>
      </c>
      <c r="I183" s="157">
        <f>SUM(I178:I182)</f>
        <v>0</v>
      </c>
      <c r="J183" s="9">
        <f>+I183-'ROR-Model'!I183</f>
        <v>0</v>
      </c>
      <c r="K183" s="9"/>
      <c r="L183" s="157"/>
      <c r="M183" s="157">
        <f>SUM(M178:M182)</f>
        <v>0</v>
      </c>
      <c r="N183" s="157">
        <f>SUM(N178:N182)</f>
        <v>0</v>
      </c>
      <c r="O183" s="136"/>
      <c r="P183" s="226"/>
      <c r="Q183" s="157">
        <f>SUM(Q178:Q182)</f>
        <v>0</v>
      </c>
      <c r="R183" s="157">
        <f>SUM(R178:R182)</f>
        <v>0</v>
      </c>
      <c r="S183" s="226"/>
      <c r="T183" s="157">
        <f>SUM(T178:T182)</f>
        <v>0</v>
      </c>
      <c r="U183" s="157">
        <f>SUM(U178:U182)</f>
        <v>0</v>
      </c>
      <c r="V183" s="140"/>
      <c r="W183" s="157">
        <f>HLOOKUP($W$9,'ROR-Model'!$Q$10:$U$1263,Y183)</f>
        <v>0</v>
      </c>
      <c r="X183" s="156"/>
      <c r="Y183" s="918">
        <f t="shared" si="6"/>
        <v>174</v>
      </c>
      <c r="AA183" s="157">
        <v>0</v>
      </c>
      <c r="AC183" s="157" t="str">
        <f t="shared" si="7"/>
        <v/>
      </c>
      <c r="AE183" s="44" t="str">
        <f t="shared" si="8"/>
        <v/>
      </c>
    </row>
    <row r="184" spans="1:31">
      <c r="A184" s="153"/>
      <c r="B184" s="365"/>
      <c r="C184" s="365"/>
      <c r="D184" s="49"/>
      <c r="E184" s="9">
        <f>+G184-Adjustments!G184</f>
        <v>0</v>
      </c>
      <c r="F184" s="9"/>
      <c r="G184" s="9"/>
      <c r="H184" s="9"/>
      <c r="I184" s="9"/>
      <c r="J184" s="9">
        <f>+I184-'ROR-Model'!I184</f>
        <v>0</v>
      </c>
      <c r="K184" s="9"/>
      <c r="L184" s="9"/>
      <c r="M184" s="9"/>
      <c r="N184" s="9"/>
      <c r="O184" s="136"/>
      <c r="P184" s="142"/>
      <c r="Q184" s="9"/>
      <c r="R184" s="9"/>
      <c r="S184" s="142"/>
      <c r="T184" s="9"/>
      <c r="U184" s="9"/>
      <c r="V184" s="140"/>
      <c r="W184" s="9"/>
      <c r="X184" s="156"/>
      <c r="Y184" s="918">
        <f t="shared" si="6"/>
        <v>175</v>
      </c>
      <c r="AA184" s="9"/>
      <c r="AC184" s="9" t="str">
        <f t="shared" si="7"/>
        <v/>
      </c>
      <c r="AE184" s="44" t="str">
        <f t="shared" si="8"/>
        <v/>
      </c>
    </row>
    <row r="185" spans="1:31">
      <c r="A185" s="153"/>
      <c r="B185" s="365"/>
      <c r="C185" s="365" t="s">
        <v>19</v>
      </c>
      <c r="D185" s="49"/>
      <c r="E185" s="9">
        <f>+G185-Adjustments!G185</f>
        <v>0</v>
      </c>
      <c r="F185" s="9">
        <f>Revenue!$F$184</f>
        <v>0</v>
      </c>
      <c r="G185" s="9">
        <f>+Adjustments!U185</f>
        <v>0</v>
      </c>
      <c r="H185" s="9"/>
      <c r="I185" s="645">
        <f>SUM($F$185:$H$185)</f>
        <v>0</v>
      </c>
      <c r="J185" s="9">
        <f>+I185-'ROR-Model'!I185</f>
        <v>0</v>
      </c>
      <c r="K185" s="9"/>
      <c r="L185" s="9" t="s">
        <v>13</v>
      </c>
      <c r="M185" s="9">
        <f>VLOOKUP($L185,$L$2:$N$7,2,FALSE)*I185</f>
        <v>0</v>
      </c>
      <c r="N185" s="9">
        <f>VLOOKUP($L185,$L$2:$N$7,3,FALSE)*I185</f>
        <v>0</v>
      </c>
      <c r="O185" s="136"/>
      <c r="P185" s="142" t="s">
        <v>549</v>
      </c>
      <c r="Q185" s="9">
        <f>IF(P185="G",M185,IF(P185="PT",0,ERR))</f>
        <v>0</v>
      </c>
      <c r="R185" s="9">
        <f>IF(P185="PT",M185,IF(P185="G",0,ERR))</f>
        <v>0</v>
      </c>
      <c r="S185" s="142" t="s">
        <v>549</v>
      </c>
      <c r="T185" s="9">
        <f>IF(S185="G",N185,IF(S185="PT",0,ERR))</f>
        <v>0</v>
      </c>
      <c r="U185" s="9">
        <f>IF(S185="PT",N185,IF(S185="G",0,ERR))</f>
        <v>0</v>
      </c>
      <c r="V185" s="140"/>
      <c r="W185" s="9">
        <f>HLOOKUP($W$9,'ROR-Model'!$Q$10:$U$1263,Y185)</f>
        <v>0</v>
      </c>
      <c r="X185" s="156"/>
      <c r="Y185" s="918">
        <f t="shared" si="6"/>
        <v>176</v>
      </c>
      <c r="AA185" s="9">
        <v>0</v>
      </c>
      <c r="AC185" s="9" t="str">
        <f t="shared" si="7"/>
        <v/>
      </c>
      <c r="AE185" s="44" t="str">
        <f t="shared" si="8"/>
        <v/>
      </c>
    </row>
    <row r="186" spans="1:31">
      <c r="A186" s="153"/>
      <c r="B186" s="365"/>
      <c r="C186" s="365"/>
      <c r="D186" s="49"/>
      <c r="E186" s="9">
        <f>+G186-Adjustments!G186</f>
        <v>0</v>
      </c>
      <c r="F186" s="9"/>
      <c r="G186" s="9"/>
      <c r="H186" s="9"/>
      <c r="I186" s="9"/>
      <c r="J186" s="9">
        <f>+I186-'ROR-Model'!I186</f>
        <v>0</v>
      </c>
      <c r="K186" s="9"/>
      <c r="L186" s="9"/>
      <c r="M186" s="9"/>
      <c r="N186" s="9"/>
      <c r="O186" s="136"/>
      <c r="P186" s="142"/>
      <c r="Q186" s="9"/>
      <c r="R186" s="9"/>
      <c r="S186" s="142"/>
      <c r="T186" s="9"/>
      <c r="U186" s="9"/>
      <c r="V186" s="140"/>
      <c r="W186" s="9"/>
      <c r="X186" s="156"/>
      <c r="Y186" s="918">
        <f t="shared" si="6"/>
        <v>177</v>
      </c>
      <c r="AA186" s="9"/>
      <c r="AC186" s="9" t="str">
        <f t="shared" si="7"/>
        <v/>
      </c>
      <c r="AE186" s="44" t="str">
        <f t="shared" si="8"/>
        <v/>
      </c>
    </row>
    <row r="187" spans="1:31">
      <c r="A187" s="153"/>
      <c r="B187" s="365" t="s">
        <v>671</v>
      </c>
      <c r="C187" s="365" t="s">
        <v>15</v>
      </c>
      <c r="D187" s="49"/>
      <c r="E187" s="9">
        <f>+G187-Adjustments!G187</f>
        <v>0</v>
      </c>
      <c r="F187" s="9">
        <f>Revenue!$F$186</f>
        <v>0</v>
      </c>
      <c r="G187" s="9">
        <f>+Adjustments!U187</f>
        <v>0</v>
      </c>
      <c r="H187" s="9"/>
      <c r="I187" s="9">
        <f>SUM($F$187:$H$187)</f>
        <v>0</v>
      </c>
      <c r="J187" s="9">
        <f>+I187-'ROR-Model'!I187</f>
        <v>0</v>
      </c>
      <c r="K187" s="9"/>
      <c r="L187" s="9" t="s">
        <v>13</v>
      </c>
      <c r="M187" s="9">
        <f>VLOOKUP($L187,$L$2:$N$7,2,FALSE)*I187</f>
        <v>0</v>
      </c>
      <c r="N187" s="9">
        <f>VLOOKUP($L187,$L$2:$N$7,3,FALSE)*I187</f>
        <v>0</v>
      </c>
      <c r="O187" s="136"/>
      <c r="P187" s="142" t="s">
        <v>549</v>
      </c>
      <c r="Q187" s="9">
        <f>IF(P187="G",M187,IF(P187="PT",0,ERR))</f>
        <v>0</v>
      </c>
      <c r="R187" s="9">
        <f>IF(P187="PT",M187,IF(P187="G",0,ERR))</f>
        <v>0</v>
      </c>
      <c r="S187" s="142" t="s">
        <v>549</v>
      </c>
      <c r="T187" s="9">
        <f>IF(S187="G",N187,IF(S187="PT",0,ERR))</f>
        <v>0</v>
      </c>
      <c r="U187" s="9">
        <f>IF(S187="PT",N187,IF(S187="G",0,ERR))</f>
        <v>0</v>
      </c>
      <c r="V187" s="140"/>
      <c r="W187" s="9">
        <f>HLOOKUP($W$9,'ROR-Model'!$Q$10:$U$1263,Y187)</f>
        <v>0</v>
      </c>
      <c r="X187" s="156"/>
      <c r="Y187" s="918">
        <f t="shared" si="6"/>
        <v>178</v>
      </c>
      <c r="AA187" s="9">
        <v>0</v>
      </c>
      <c r="AC187" s="9" t="str">
        <f t="shared" si="7"/>
        <v/>
      </c>
      <c r="AE187" s="44" t="str">
        <f t="shared" si="8"/>
        <v/>
      </c>
    </row>
    <row r="188" spans="1:31">
      <c r="A188" s="153"/>
      <c r="B188" s="365"/>
      <c r="C188" s="365"/>
      <c r="D188" s="49"/>
      <c r="E188" s="9">
        <f>+G188-Adjustments!G188</f>
        <v>0</v>
      </c>
      <c r="F188" s="9"/>
      <c r="G188" s="9"/>
      <c r="H188" s="9"/>
      <c r="I188" s="9"/>
      <c r="J188" s="9">
        <f>+I188-'ROR-Model'!I188</f>
        <v>0</v>
      </c>
      <c r="K188" s="9"/>
      <c r="L188" s="9"/>
      <c r="M188" s="9"/>
      <c r="N188" s="9"/>
      <c r="O188" s="136"/>
      <c r="P188" s="142"/>
      <c r="Q188" s="9"/>
      <c r="R188" s="9"/>
      <c r="S188" s="142"/>
      <c r="T188" s="9"/>
      <c r="U188" s="9"/>
      <c r="V188" s="140"/>
      <c r="W188" s="9"/>
      <c r="X188" s="156"/>
      <c r="Y188" s="918">
        <f t="shared" si="6"/>
        <v>179</v>
      </c>
      <c r="AA188" s="9"/>
      <c r="AC188" s="9" t="str">
        <f t="shared" si="7"/>
        <v/>
      </c>
      <c r="AE188" s="44" t="str">
        <f t="shared" si="8"/>
        <v/>
      </c>
    </row>
    <row r="189" spans="1:31">
      <c r="A189" s="153"/>
      <c r="B189" s="365"/>
      <c r="C189" s="365" t="s">
        <v>16</v>
      </c>
      <c r="D189" s="49"/>
      <c r="E189" s="9">
        <f>+G189-Adjustments!G189</f>
        <v>0</v>
      </c>
      <c r="F189" s="9">
        <f>Revenue!$F$188</f>
        <v>0</v>
      </c>
      <c r="G189" s="9">
        <f>+Adjustments!U189</f>
        <v>0</v>
      </c>
      <c r="H189" s="9"/>
      <c r="I189" s="9">
        <f>SUM($F$189:$H$189)</f>
        <v>0</v>
      </c>
      <c r="J189" s="9">
        <f>+I189-'ROR-Model'!I189</f>
        <v>0</v>
      </c>
      <c r="K189" s="9"/>
      <c r="L189" s="9" t="s">
        <v>13</v>
      </c>
      <c r="M189" s="9">
        <f>VLOOKUP($L189,$L$2:$N$7,2,FALSE)*I189</f>
        <v>0</v>
      </c>
      <c r="N189" s="9">
        <f>VLOOKUP($L189,$L$2:$N$7,3,FALSE)*I189</f>
        <v>0</v>
      </c>
      <c r="O189" s="136"/>
      <c r="P189" s="142" t="s">
        <v>548</v>
      </c>
      <c r="Q189" s="9">
        <f>IF(P189="G",M189,IF(P189="PT",0,ERR))</f>
        <v>0</v>
      </c>
      <c r="R189" s="9">
        <f>IF(P189="PT",M189,IF(P189="G",0,ERR))</f>
        <v>0</v>
      </c>
      <c r="S189" s="142" t="s">
        <v>548</v>
      </c>
      <c r="T189" s="9">
        <f>IF(S189="G",N189,IF(S189="PT",0,ERR))</f>
        <v>0</v>
      </c>
      <c r="U189" s="9">
        <f>IF(S189="PT",N189,IF(S189="G",0,ERR))</f>
        <v>0</v>
      </c>
      <c r="V189" s="140"/>
      <c r="W189" s="9">
        <f>HLOOKUP($W$9,'ROR-Model'!$Q$10:$U$1263,Y189)</f>
        <v>0</v>
      </c>
      <c r="X189" s="156"/>
      <c r="Y189" s="918">
        <f t="shared" si="6"/>
        <v>180</v>
      </c>
      <c r="AA189" s="9">
        <v>0</v>
      </c>
      <c r="AC189" s="9" t="str">
        <f t="shared" si="7"/>
        <v/>
      </c>
      <c r="AE189" s="44" t="str">
        <f t="shared" si="8"/>
        <v/>
      </c>
    </row>
    <row r="190" spans="1:31">
      <c r="A190" s="153"/>
      <c r="B190" s="365"/>
      <c r="C190" s="365"/>
      <c r="D190" s="49"/>
      <c r="E190" s="9">
        <f>+G190-Adjustments!G190</f>
        <v>0</v>
      </c>
      <c r="F190" s="9"/>
      <c r="G190" s="9"/>
      <c r="H190" s="9"/>
      <c r="I190" s="9"/>
      <c r="J190" s="9">
        <f>+I190-'ROR-Model'!I190</f>
        <v>0</v>
      </c>
      <c r="K190" s="9"/>
      <c r="L190" s="9"/>
      <c r="M190" s="9"/>
      <c r="N190" s="9"/>
      <c r="O190" s="136"/>
      <c r="P190" s="142"/>
      <c r="Q190" s="9"/>
      <c r="R190" s="9"/>
      <c r="S190" s="142"/>
      <c r="T190" s="9"/>
      <c r="U190" s="9"/>
      <c r="V190" s="140"/>
      <c r="W190" s="9"/>
      <c r="X190" s="156"/>
      <c r="Y190" s="918">
        <f t="shared" si="6"/>
        <v>181</v>
      </c>
      <c r="AA190" s="9"/>
      <c r="AC190" s="9" t="str">
        <f t="shared" si="7"/>
        <v/>
      </c>
      <c r="AE190" s="44" t="str">
        <f t="shared" si="8"/>
        <v/>
      </c>
    </row>
    <row r="191" spans="1:31">
      <c r="A191" s="153"/>
      <c r="B191" s="365"/>
      <c r="C191" s="365" t="s">
        <v>17</v>
      </c>
      <c r="D191" s="49"/>
      <c r="E191" s="9">
        <f>+G191-Adjustments!G191</f>
        <v>0</v>
      </c>
      <c r="F191" s="9">
        <f>Revenue!$F$190</f>
        <v>0</v>
      </c>
      <c r="G191" s="9">
        <f>+Adjustments!U191</f>
        <v>0</v>
      </c>
      <c r="H191" s="9"/>
      <c r="I191" s="9">
        <f>SUM($F$191:$H$191)</f>
        <v>0</v>
      </c>
      <c r="J191" s="9">
        <f>+I191-'ROR-Model'!I191</f>
        <v>0</v>
      </c>
      <c r="K191" s="9"/>
      <c r="L191" s="9" t="s">
        <v>13</v>
      </c>
      <c r="M191" s="9">
        <f>VLOOKUP($L191,$L$2:$N$7,2,FALSE)*I191</f>
        <v>0</v>
      </c>
      <c r="N191" s="9">
        <f>VLOOKUP($L191,$L$2:$N$7,3,FALSE)*I191</f>
        <v>0</v>
      </c>
      <c r="O191" s="136"/>
      <c r="P191" s="142" t="s">
        <v>548</v>
      </c>
      <c r="Q191" s="9">
        <f>IF(P191="G",M191,IF(P191="PT",0,ERR))</f>
        <v>0</v>
      </c>
      <c r="R191" s="9">
        <f>IF(P191="PT",M191,IF(P191="G",0,ERR))</f>
        <v>0</v>
      </c>
      <c r="S191" s="142" t="s">
        <v>548</v>
      </c>
      <c r="T191" s="9">
        <f>IF(S191="G",N191,IF(S191="PT",0,ERR))</f>
        <v>0</v>
      </c>
      <c r="U191" s="9">
        <f>IF(S191="PT",N191,IF(S191="G",0,ERR))</f>
        <v>0</v>
      </c>
      <c r="V191" s="140"/>
      <c r="W191" s="9">
        <f>HLOOKUP($W$9,'ROR-Model'!$Q$10:$U$1263,Y191)</f>
        <v>0</v>
      </c>
      <c r="X191" s="156"/>
      <c r="Y191" s="918">
        <f t="shared" si="6"/>
        <v>182</v>
      </c>
      <c r="AA191" s="9">
        <v>0</v>
      </c>
      <c r="AC191" s="9" t="str">
        <f t="shared" si="7"/>
        <v/>
      </c>
      <c r="AE191" s="44" t="str">
        <f t="shared" si="8"/>
        <v/>
      </c>
    </row>
    <row r="192" spans="1:31">
      <c r="A192" s="153"/>
      <c r="B192" s="365"/>
      <c r="C192" s="365" t="s">
        <v>18</v>
      </c>
      <c r="D192" s="49"/>
      <c r="E192" s="157">
        <f>+G192-Adjustments!G192</f>
        <v>0</v>
      </c>
      <c r="F192" s="157">
        <f>SUM(F187:F191)</f>
        <v>0</v>
      </c>
      <c r="G192" s="157">
        <f>SUM(G187:G191)</f>
        <v>0</v>
      </c>
      <c r="H192" s="157">
        <f>SUM(H187:H191)</f>
        <v>0</v>
      </c>
      <c r="I192" s="157">
        <f>SUM(I187:I191)</f>
        <v>0</v>
      </c>
      <c r="J192" s="9">
        <f>+I192-'ROR-Model'!I192</f>
        <v>0</v>
      </c>
      <c r="K192" s="9"/>
      <c r="L192" s="157"/>
      <c r="M192" s="157">
        <f>SUM(M187:M191)</f>
        <v>0</v>
      </c>
      <c r="N192" s="157">
        <f>SUM(N187:N191)</f>
        <v>0</v>
      </c>
      <c r="O192" s="136"/>
      <c r="P192" s="226"/>
      <c r="Q192" s="157">
        <f>SUM(Q187:Q191)</f>
        <v>0</v>
      </c>
      <c r="R192" s="157">
        <f>SUM(R187:R191)</f>
        <v>0</v>
      </c>
      <c r="S192" s="226"/>
      <c r="T192" s="157">
        <f>SUM(T187:T191)</f>
        <v>0</v>
      </c>
      <c r="U192" s="157">
        <f>SUM(U187:U191)</f>
        <v>0</v>
      </c>
      <c r="V192" s="140"/>
      <c r="W192" s="157">
        <f>HLOOKUP($W$9,'ROR-Model'!$Q$10:$U$1263,Y192)</f>
        <v>0</v>
      </c>
      <c r="X192" s="156"/>
      <c r="Y192" s="918">
        <f t="shared" si="6"/>
        <v>183</v>
      </c>
      <c r="AA192" s="157">
        <v>0</v>
      </c>
      <c r="AC192" s="157" t="str">
        <f t="shared" si="7"/>
        <v/>
      </c>
      <c r="AE192" s="44" t="str">
        <f t="shared" si="8"/>
        <v/>
      </c>
    </row>
    <row r="193" spans="1:31">
      <c r="A193" s="153"/>
      <c r="B193" s="365"/>
      <c r="C193" s="365"/>
      <c r="D193" s="49"/>
      <c r="E193" s="9">
        <f>+G193-Adjustments!G193</f>
        <v>0</v>
      </c>
      <c r="F193" s="9"/>
      <c r="G193" s="9"/>
      <c r="H193" s="9"/>
      <c r="I193" s="9"/>
      <c r="J193" s="9">
        <f>+I193-'ROR-Model'!I193</f>
        <v>0</v>
      </c>
      <c r="K193" s="9"/>
      <c r="L193" s="9"/>
      <c r="M193" s="9"/>
      <c r="N193" s="9"/>
      <c r="O193" s="136"/>
      <c r="P193" s="142"/>
      <c r="Q193" s="9"/>
      <c r="R193" s="9"/>
      <c r="S193" s="142"/>
      <c r="T193" s="9"/>
      <c r="U193" s="9"/>
      <c r="V193" s="140"/>
      <c r="W193" s="9"/>
      <c r="X193" s="156"/>
      <c r="Y193" s="918">
        <f t="shared" si="6"/>
        <v>184</v>
      </c>
      <c r="AA193" s="9"/>
      <c r="AC193" s="9" t="str">
        <f t="shared" si="7"/>
        <v/>
      </c>
      <c r="AE193" s="44" t="str">
        <f t="shared" si="8"/>
        <v/>
      </c>
    </row>
    <row r="194" spans="1:31">
      <c r="A194" s="153"/>
      <c r="B194" s="365"/>
      <c r="C194" s="365" t="s">
        <v>19</v>
      </c>
      <c r="D194" s="49"/>
      <c r="E194" s="9">
        <f>+G194-Adjustments!G194</f>
        <v>0</v>
      </c>
      <c r="F194" s="9">
        <f>Revenue!$F$193</f>
        <v>0</v>
      </c>
      <c r="G194" s="9">
        <f>+Adjustments!U194</f>
        <v>0</v>
      </c>
      <c r="H194" s="9"/>
      <c r="I194" s="645">
        <f>SUM($F$194:$H$194)</f>
        <v>0</v>
      </c>
      <c r="J194" s="9">
        <f>+I194-'ROR-Model'!I194</f>
        <v>0</v>
      </c>
      <c r="K194" s="9"/>
      <c r="L194" s="9" t="s">
        <v>13</v>
      </c>
      <c r="M194" s="9">
        <f>VLOOKUP($L194,$L$2:$N$7,2,FALSE)*I194</f>
        <v>0</v>
      </c>
      <c r="N194" s="9">
        <f>VLOOKUP($L194,$L$2:$N$7,3,FALSE)*I194</f>
        <v>0</v>
      </c>
      <c r="O194" s="136"/>
      <c r="P194" s="142" t="s">
        <v>549</v>
      </c>
      <c r="Q194" s="9">
        <f>IF(P194="G",M194,IF(P194="PT",0,ERR))</f>
        <v>0</v>
      </c>
      <c r="R194" s="9">
        <f>IF(P194="PT",M194,IF(P194="G",0,ERR))</f>
        <v>0</v>
      </c>
      <c r="S194" s="142" t="s">
        <v>549</v>
      </c>
      <c r="T194" s="9">
        <f>IF(S194="G",N194,IF(S194="PT",0,ERR))</f>
        <v>0</v>
      </c>
      <c r="U194" s="9">
        <f>IF(S194="PT",N194,IF(S194="G",0,ERR))</f>
        <v>0</v>
      </c>
      <c r="V194" s="140"/>
      <c r="W194" s="9">
        <f>HLOOKUP($W$9,'ROR-Model'!$Q$10:$U$1263,Y194)</f>
        <v>0</v>
      </c>
      <c r="X194" s="156"/>
      <c r="Y194" s="918">
        <f t="shared" si="6"/>
        <v>185</v>
      </c>
      <c r="AA194" s="9">
        <v>0</v>
      </c>
      <c r="AC194" s="9" t="str">
        <f t="shared" si="7"/>
        <v/>
      </c>
      <c r="AE194" s="44" t="str">
        <f t="shared" si="8"/>
        <v/>
      </c>
    </row>
    <row r="195" spans="1:31">
      <c r="A195" s="153"/>
      <c r="B195" s="365"/>
      <c r="C195" s="365"/>
      <c r="D195" s="49"/>
      <c r="E195" s="9">
        <f>+G195-Adjustments!G195</f>
        <v>0</v>
      </c>
      <c r="F195" s="9"/>
      <c r="G195" s="9"/>
      <c r="H195" s="9"/>
      <c r="I195" s="9"/>
      <c r="J195" s="9">
        <f>+I195-'ROR-Model'!I195</f>
        <v>0</v>
      </c>
      <c r="K195" s="9"/>
      <c r="L195" s="9"/>
      <c r="M195" s="9"/>
      <c r="N195" s="9"/>
      <c r="O195" s="136"/>
      <c r="P195" s="142"/>
      <c r="Q195" s="9"/>
      <c r="R195" s="9"/>
      <c r="S195" s="142"/>
      <c r="T195" s="9"/>
      <c r="U195" s="9"/>
      <c r="V195" s="140"/>
      <c r="W195" s="9"/>
      <c r="X195" s="156"/>
      <c r="Y195" s="918">
        <f t="shared" si="6"/>
        <v>186</v>
      </c>
      <c r="AA195" s="9"/>
      <c r="AC195" s="9" t="str">
        <f t="shared" si="7"/>
        <v/>
      </c>
      <c r="AE195" s="44" t="str">
        <f t="shared" si="8"/>
        <v/>
      </c>
    </row>
    <row r="196" spans="1:31">
      <c r="A196" s="153"/>
      <c r="B196" s="365" t="s">
        <v>676</v>
      </c>
      <c r="C196" s="365" t="s">
        <v>88</v>
      </c>
      <c r="D196" s="49"/>
      <c r="E196" s="9">
        <f>+G196-Adjustments!G196</f>
        <v>0</v>
      </c>
      <c r="F196" s="9">
        <f>Revenue!$F$195</f>
        <v>-1433989</v>
      </c>
      <c r="G196" s="9">
        <f>+Adjustments!U196</f>
        <v>0</v>
      </c>
      <c r="H196" s="9"/>
      <c r="I196" s="9">
        <f>SUM($F$196:$H$196)</f>
        <v>-1433989</v>
      </c>
      <c r="J196" s="9">
        <f>+I196-'ROR-Model'!I196</f>
        <v>0</v>
      </c>
      <c r="K196" s="9"/>
      <c r="L196" s="9" t="s">
        <v>13</v>
      </c>
      <c r="M196" s="9">
        <f>VLOOKUP($L196,$L$2:$N$7,2,FALSE)*I196</f>
        <v>-1433989</v>
      </c>
      <c r="N196" s="9">
        <f>VLOOKUP($L196,$L$2:$N$7,3,FALSE)*I196</f>
        <v>0</v>
      </c>
      <c r="O196" s="136"/>
      <c r="P196" s="142" t="s">
        <v>549</v>
      </c>
      <c r="Q196" s="9">
        <f>IF(P196="G",M196,IF(P196="PT",0,ERR))</f>
        <v>-1433989</v>
      </c>
      <c r="R196" s="9">
        <f>IF(P196="PT",M196,IF(P196="G",0,ERR))</f>
        <v>0</v>
      </c>
      <c r="S196" s="142" t="s">
        <v>549</v>
      </c>
      <c r="T196" s="9">
        <f>IF(S196="G",N196,IF(S196="PT",0,ERR))</f>
        <v>0</v>
      </c>
      <c r="U196" s="9">
        <f>IF(S196="PT",N196,IF(S196="G",0,ERR))</f>
        <v>0</v>
      </c>
      <c r="V196" s="140"/>
      <c r="W196" s="9">
        <f>HLOOKUP($W$9,'ROR-Model'!$Q$10:$U$1263,Y196)</f>
        <v>-1433989</v>
      </c>
      <c r="X196" s="156"/>
      <c r="Y196" s="918">
        <f t="shared" si="6"/>
        <v>187</v>
      </c>
      <c r="AA196" s="9">
        <v>0</v>
      </c>
      <c r="AC196" s="9" t="str">
        <f t="shared" si="7"/>
        <v/>
      </c>
      <c r="AE196" s="44" t="str">
        <f t="shared" si="8"/>
        <v/>
      </c>
    </row>
    <row r="197" spans="1:31">
      <c r="A197" s="153"/>
      <c r="B197" s="365" t="s">
        <v>107</v>
      </c>
      <c r="C197" s="365" t="s">
        <v>88</v>
      </c>
      <c r="D197" s="49"/>
      <c r="E197" s="9">
        <f>+G197-Adjustments!G197</f>
        <v>0</v>
      </c>
      <c r="F197" s="9">
        <f>Revenue!$F$196</f>
        <v>20806992</v>
      </c>
      <c r="G197" s="9">
        <f>+Adjustments!U197</f>
        <v>-20806992</v>
      </c>
      <c r="H197" s="9"/>
      <c r="I197" s="9">
        <f>SUM($F$197:$H$197)</f>
        <v>0</v>
      </c>
      <c r="J197" s="9">
        <f>+I197-'ROR-Model'!I197</f>
        <v>0</v>
      </c>
      <c r="K197" s="9"/>
      <c r="L197" s="9" t="s">
        <v>13</v>
      </c>
      <c r="M197" s="9">
        <f>VLOOKUP($L197,$L$2:$N$7,2,FALSE)*I197</f>
        <v>0</v>
      </c>
      <c r="N197" s="9">
        <f>VLOOKUP($L197,$L$2:$N$7,3,FALSE)*I197</f>
        <v>0</v>
      </c>
      <c r="O197" s="136"/>
      <c r="P197" s="142" t="s">
        <v>549</v>
      </c>
      <c r="Q197" s="9">
        <f>IF(P197="G",M197,IF(P197="PT",0,ERR))</f>
        <v>0</v>
      </c>
      <c r="R197" s="9">
        <f>IF(P197="PT",M197,IF(P197="G",0,ERR))</f>
        <v>0</v>
      </c>
      <c r="S197" s="142" t="s">
        <v>549</v>
      </c>
      <c r="T197" s="9">
        <f>IF(S197="G",N197,IF(S197="PT",0,ERR))</f>
        <v>0</v>
      </c>
      <c r="U197" s="9">
        <f>IF(S197="PT",N197,IF(S197="G",0,ERR))</f>
        <v>0</v>
      </c>
      <c r="V197" s="140"/>
      <c r="W197" s="9">
        <f>HLOOKUP($W$9,'ROR-Model'!$Q$10:$U$1263,Y197)</f>
        <v>0</v>
      </c>
      <c r="X197" s="156"/>
      <c r="Y197" s="918">
        <f t="shared" si="6"/>
        <v>188</v>
      </c>
      <c r="AA197" s="9">
        <v>0</v>
      </c>
      <c r="AC197" s="9" t="str">
        <f t="shared" si="7"/>
        <v/>
      </c>
      <c r="AE197" s="44" t="str">
        <f t="shared" si="8"/>
        <v/>
      </c>
    </row>
    <row r="198" spans="1:31" ht="13.5" thickBot="1">
      <c r="A198" s="153"/>
      <c r="B198" s="63" t="s">
        <v>532</v>
      </c>
      <c r="C198" s="365"/>
      <c r="D198" s="49"/>
      <c r="E198" s="26">
        <f>+G198-Adjustments!G198</f>
        <v>0</v>
      </c>
      <c r="F198" s="26"/>
      <c r="G198" s="26"/>
      <c r="H198" s="26"/>
      <c r="I198" s="26"/>
      <c r="J198" s="9">
        <f>+I198-'ROR-Model'!I198</f>
        <v>0</v>
      </c>
      <c r="K198" s="9"/>
      <c r="L198" s="26"/>
      <c r="M198" s="26"/>
      <c r="N198" s="26"/>
      <c r="O198" s="136"/>
      <c r="P198" s="227"/>
      <c r="Q198" s="26"/>
      <c r="R198" s="26"/>
      <c r="S198" s="227"/>
      <c r="T198" s="26"/>
      <c r="U198" s="26"/>
      <c r="V198" s="140"/>
      <c r="W198" s="26"/>
      <c r="X198" s="156"/>
      <c r="Y198" s="918">
        <f t="shared" si="6"/>
        <v>189</v>
      </c>
      <c r="AA198" s="26"/>
      <c r="AC198" s="26" t="str">
        <f t="shared" si="7"/>
        <v/>
      </c>
      <c r="AE198" s="44" t="str">
        <f t="shared" si="8"/>
        <v/>
      </c>
    </row>
    <row r="199" spans="1:31" ht="13.5" thickTop="1">
      <c r="E199" s="9">
        <f>+G199-Adjustments!G199</f>
        <v>0</v>
      </c>
      <c r="F199" s="9"/>
      <c r="G199" s="9"/>
      <c r="H199" s="9"/>
      <c r="I199" s="9"/>
      <c r="J199" s="9">
        <f>+I199-'ROR-Model'!I199</f>
        <v>0</v>
      </c>
      <c r="K199" s="9"/>
      <c r="L199" s="9"/>
      <c r="M199" s="9"/>
      <c r="N199" s="9"/>
      <c r="O199" s="136"/>
      <c r="P199" s="142"/>
      <c r="Q199" s="9"/>
      <c r="R199" s="9"/>
      <c r="S199" s="142"/>
      <c r="T199" s="9"/>
      <c r="U199" s="9"/>
      <c r="V199" s="140"/>
      <c r="W199" s="9"/>
      <c r="X199" s="156"/>
      <c r="Y199" s="918">
        <f t="shared" si="6"/>
        <v>190</v>
      </c>
      <c r="AA199" s="9"/>
      <c r="AC199" s="9" t="str">
        <f t="shared" si="7"/>
        <v/>
      </c>
      <c r="AE199" s="44" t="str">
        <f t="shared" si="8"/>
        <v/>
      </c>
    </row>
    <row r="200" spans="1:31">
      <c r="A200" s="153"/>
      <c r="B200" s="63"/>
      <c r="C200" s="365" t="s">
        <v>15</v>
      </c>
      <c r="D200" s="49"/>
      <c r="E200" s="10">
        <f>+G200-Adjustments!G200</f>
        <v>0</v>
      </c>
      <c r="F200" s="10">
        <f>+F16+F34+F43+F52+F61+F70+F79+F88+F97+F106+F115+F124+F133+F142+F151+F160+F169+F178+F187+F25+F196+F197</f>
        <v>366442366.41683167</v>
      </c>
      <c r="G200" s="10">
        <f>+G16+G34+G43+G52+G61+G70+G79+G88+G97+G106+G115+G124+G133+G142+G151+G160+G169+G178+G187+G25+G196+G197</f>
        <v>-20806992</v>
      </c>
      <c r="H200" s="10">
        <f>+H16+H34+H43+H52+H61+H70+H79+H88+H97+H106+H115+H124+H133+H142+H151+H160+H169+H178+H187+H25+H196+H197</f>
        <v>0</v>
      </c>
      <c r="I200" s="10">
        <f>+I16+I34+I43+I52+I61+I70+I79+I88+I97+I106+I115+I124+I133+I142+I151+I160+I169+I178+I187+I25+I196+I197</f>
        <v>345635374.41683167</v>
      </c>
      <c r="J200" s="9">
        <f>+I200-'ROR-Model'!I200</f>
        <v>0</v>
      </c>
      <c r="K200" s="9"/>
      <c r="L200" s="9"/>
      <c r="M200" s="10">
        <f>+M16+M34+M43+M52+M61+M70+M79+M88+M97+M106+M115+M124+M133+M142+M151+M160+M169+M178+M187+M25+M196+M197</f>
        <v>345635374.41683167</v>
      </c>
      <c r="N200" s="10">
        <f>+N16+N34+N43+N52+N61+N70+N79+N88+N97+N106+N115+N124+N133+N142+N151+N160+N169+N178+N187+N25+N196+N197</f>
        <v>0</v>
      </c>
      <c r="O200" s="136"/>
      <c r="P200" s="142"/>
      <c r="Q200" s="10">
        <f>+Q16+Q34+Q43+Q52+Q61+Q70+Q79+Q88+Q97+Q106+Q115+Q124+Q133+Q142+Q151+Q160+Q169+Q178+Q187+Q25+Q196+Q197</f>
        <v>345635374.41683167</v>
      </c>
      <c r="R200" s="10">
        <f>+R16+R34+R43+R52+R61+R70+R79+R88+R97+R106+R115+R124+R133+R142+R151+R160+R169+R178+R187+R25+R196</f>
        <v>0</v>
      </c>
      <c r="S200" s="31"/>
      <c r="T200" s="10">
        <f>+T16+T34+T43+T52+T61+T70+T79+T88+T97+T106+T115+T124+T133+T142+T151+T160+T169+T178+T187+T25+T196</f>
        <v>0</v>
      </c>
      <c r="U200" s="10">
        <f>+U16+U34+U43+U52+U61+U70+U79+U88+U97+U106+U115+U124+U133+U142+U151+U160+U169+U178+U187+U25+U196</f>
        <v>0</v>
      </c>
      <c r="V200" s="140"/>
      <c r="W200" s="10">
        <f>HLOOKUP($W$9,'ROR-Model'!$Q$10:$U$1263,Y200)</f>
        <v>345635374.41683167</v>
      </c>
      <c r="X200" s="156"/>
      <c r="Y200" s="918">
        <f t="shared" si="6"/>
        <v>191</v>
      </c>
      <c r="AA200" s="10">
        <v>0</v>
      </c>
      <c r="AC200" s="10" t="str">
        <f t="shared" si="7"/>
        <v/>
      </c>
      <c r="AE200" s="44" t="str">
        <f t="shared" si="8"/>
        <v/>
      </c>
    </row>
    <row r="201" spans="1:31">
      <c r="A201" s="153"/>
      <c r="B201" s="63"/>
      <c r="C201" s="365" t="s">
        <v>16</v>
      </c>
      <c r="D201" s="49"/>
      <c r="E201" s="10">
        <f>+G201-Adjustments!G201</f>
        <v>0</v>
      </c>
      <c r="F201" s="10">
        <f>+F18+F36+F45+F54+F62+F63+F72+F81+F90+F99+F108+F117+F126+F135+F144+F153+F162+F171+F180+F189+F27</f>
        <v>104646826.0980107</v>
      </c>
      <c r="G201" s="10">
        <f>+G18+G36+G45+G54+G62+G63+G72+G81+G90+G99+G108+G117+G126+G135+G144+G153+G162+G171+G180+G189+G27</f>
        <v>0</v>
      </c>
      <c r="H201" s="10">
        <f>+H18+H36+H45+H54+H62+H63+H72+H81+H90+H99+H108+H117+H126+H135+H144+H153+H162+H171+H180+H189+H27</f>
        <v>0</v>
      </c>
      <c r="I201" s="10">
        <f>+I18+I36+I45+I54+I62+I63+I72+I81+I90+I99+I108+I117+I126+I135+I144+I153+I162+I171+I180+I189+I27</f>
        <v>104646826.0980107</v>
      </c>
      <c r="J201" s="9">
        <f>+I201-'ROR-Model'!I201</f>
        <v>0</v>
      </c>
      <c r="K201" s="9"/>
      <c r="L201" s="9"/>
      <c r="M201" s="10">
        <f>+M18+M36+M45+M54+M62+M63+M72+M81+M90+M99+M108+M117+M126+M135+M144+M153+M162+M171+M180+M189+M27</f>
        <v>104646826.0980107</v>
      </c>
      <c r="N201" s="10">
        <f>+N18+N36+N45+N54+N62+N63+N72+N81+N90+N99+N108+N117+N126+N135+N144+N153+N162+N171+N180+N189+N27</f>
        <v>0</v>
      </c>
      <c r="O201" s="136"/>
      <c r="P201" s="142"/>
      <c r="Q201" s="10">
        <f>+Q18+Q36+Q45+Q54+Q62+Q63+Q72+Q81+Q90+Q99+Q108+Q117+Q126+Q135+Q144+Q153+Q162+Q171+Q180+Q189+Q27</f>
        <v>0</v>
      </c>
      <c r="R201" s="10">
        <f>+R18+R36+R45+R54+R62+R63+R72+R81+R90+R99+R108+R117+R126+R135+R144+R153+R162+R171+R180+R189+R27</f>
        <v>104646826.0980107</v>
      </c>
      <c r="S201" s="31"/>
      <c r="T201" s="10">
        <f>+T18+T36+T45+T54+T62+T63+T72+T81+T90+T99+T108+T117+T126+T135+T144+T153+T162+T171+T180+T189+T27</f>
        <v>0</v>
      </c>
      <c r="U201" s="10">
        <f>+U18+U36+U45+U54+U62+U63+U72+U81+U90+U99+U108+U117+U126+U135+U144+U153+U162+U171+U180+U189+U27</f>
        <v>0</v>
      </c>
      <c r="V201" s="140"/>
      <c r="W201" s="10">
        <f>HLOOKUP($W$9,'ROR-Model'!$Q$10:$U$1263,Y201)</f>
        <v>0</v>
      </c>
      <c r="X201" s="156"/>
      <c r="Y201" s="918">
        <f t="shared" si="6"/>
        <v>192</v>
      </c>
      <c r="AA201" s="10">
        <v>0</v>
      </c>
      <c r="AC201" s="10" t="str">
        <f t="shared" si="7"/>
        <v/>
      </c>
      <c r="AE201" s="44" t="str">
        <f t="shared" si="8"/>
        <v/>
      </c>
    </row>
    <row r="202" spans="1:31">
      <c r="A202" s="153"/>
      <c r="B202" s="63"/>
      <c r="C202" s="365" t="s">
        <v>17</v>
      </c>
      <c r="D202" s="49"/>
      <c r="E202" s="10">
        <f>+G202-Adjustments!G202</f>
        <v>0</v>
      </c>
      <c r="F202" s="10">
        <f>+F20+F38+F47+F56+F64+F65+F74+F83+F92+F101+F110+F119+F128+F137+F146+F155+F164+F173+F182+F191+F29</f>
        <v>412645469.44515759</v>
      </c>
      <c r="G202" s="10">
        <f>+G20+G38+G47+G56+G64+G65+G74+G83+G92+G101+G110+G119+G128+G137+G146+G155+G164+G173+G182+G191+G29</f>
        <v>0</v>
      </c>
      <c r="H202" s="10">
        <f>+H20+H38+H47+H56+H64+H65+H74+H83+H92+H101+H110+H119+H128+H137+H146+H155+H164+H173+H182+H191+H29</f>
        <v>0</v>
      </c>
      <c r="I202" s="10">
        <f>+I20+I38+I47+I56+I64+I65+I74+I83+I92+I101+I110+I119+I128+I137+I146+I155+I164+I173+I182+I191+I29</f>
        <v>412645469.44515759</v>
      </c>
      <c r="J202" s="9">
        <f>+I202-'ROR-Model'!I202</f>
        <v>0</v>
      </c>
      <c r="K202" s="9"/>
      <c r="L202" s="9"/>
      <c r="M202" s="10">
        <f>+M20+M38+M47+M56+M64+M65+M74+M83+M92+M101+M110+M119+M128+M137+M146+M155+M164+M173+M182+M191+M29</f>
        <v>412645469.44515759</v>
      </c>
      <c r="N202" s="10">
        <f>+N20+N38+N47+N56+N64+N65+N74+N83+N92+N101+N110+N119+N128+N137+N146+N155+N164+N173+N182+N191+N29</f>
        <v>0</v>
      </c>
      <c r="O202" s="136"/>
      <c r="P202" s="142"/>
      <c r="Q202" s="10">
        <f>+Q20+Q38+Q47+Q56+Q64+Q65+Q74+Q83+Q92+Q101+Q110+Q119+Q128+Q137+Q146+Q155+Q164+Q173+Q182+Q191+Q29</f>
        <v>0</v>
      </c>
      <c r="R202" s="10">
        <f>+R20+R38+R47+R56+R64+R65+R74+R83+R92+R101+R110+R119+R128+R137+R146+R155+R164+R173+R182+R191+R29</f>
        <v>412645469.44515759</v>
      </c>
      <c r="S202" s="31"/>
      <c r="T202" s="10">
        <f>+T20+T38+T47+T56+T64+T65+T74+T83+T92+T101+T110+T119+T128+T137+T146+T155+T164+T173+T182+T191+T29</f>
        <v>0</v>
      </c>
      <c r="U202" s="10">
        <f>+U20+U38+U47+U56+U64+U65+U74+U83+U92+U101+U110+U119+U128+U137+U146+U155+U164+U173+U182+U191+U29</f>
        <v>0</v>
      </c>
      <c r="V202" s="140"/>
      <c r="W202" s="10">
        <f>HLOOKUP($W$9,'ROR-Model'!$Q$10:$U$1263,Y202)</f>
        <v>0</v>
      </c>
      <c r="X202" s="156"/>
      <c r="Y202" s="918">
        <f t="shared" si="6"/>
        <v>193</v>
      </c>
      <c r="AA202" s="10">
        <v>0</v>
      </c>
      <c r="AC202" s="10" t="str">
        <f t="shared" si="7"/>
        <v/>
      </c>
      <c r="AE202" s="44" t="str">
        <f t="shared" si="8"/>
        <v/>
      </c>
    </row>
    <row r="203" spans="1:31">
      <c r="A203" s="153"/>
      <c r="B203" s="63"/>
      <c r="C203" s="365" t="s">
        <v>441</v>
      </c>
      <c r="D203" s="49"/>
      <c r="E203" s="191">
        <f>+G203-Adjustments!G203</f>
        <v>0</v>
      </c>
      <c r="F203" s="191">
        <f>+F21+F39+F48+F57+F66+F75+F84+F93+F102+F111+F120+F129+F138+F147+F156+F165+F174+F183+F192+F30+F196+F197</f>
        <v>883734661.96000004</v>
      </c>
      <c r="G203" s="191">
        <f>+G21+G39+G48+G57+G66+G75+G84+G93+G102+G111+G120+G129+G138+G147+G156+G165+G174+G183+G192+G30+G196+G197</f>
        <v>-20806992</v>
      </c>
      <c r="H203" s="191">
        <f>+H21+H39+H48+H57+H66+H75+H84+H93+H102+H111+H120+H129+H138+H147+H156+H165+H174+H183+H192+H30+H196+H197</f>
        <v>0</v>
      </c>
      <c r="I203" s="191">
        <f>+I21+I39+I48+I57+I66+I75+I84+I93+I102+I111+I120+I129+I138+I147+I156+I165+I174+I183+I192+I30+I196+I197</f>
        <v>862927669.96000004</v>
      </c>
      <c r="J203" s="9">
        <f>+I203-'ROR-Model'!I203</f>
        <v>0</v>
      </c>
      <c r="K203" s="9"/>
      <c r="L203" s="157"/>
      <c r="M203" s="191">
        <f>+M21+M39+M48+M57+M66+M75+M84+M93+M102+M111+M120+M129+M138+M147+M156+M165+M174+M183+M192+M30+M196+M197</f>
        <v>862927669.96000004</v>
      </c>
      <c r="N203" s="191">
        <f>+N21+N39+N48+N57+N66+N75+N84+N93+N102+N111+N120+N129+N138+N147+N156+N165+N174+N183+N192+N30+N196</f>
        <v>0</v>
      </c>
      <c r="O203" s="136"/>
      <c r="P203" s="226"/>
      <c r="Q203" s="191">
        <f>+Q21+Q39+Q48+Q57+Q66+Q75+Q84+Q93+Q102+Q111+Q120+Q129+Q138+Q147+Q156+Q165+Q174+Q183+Q192+Q30+Q196+Q197</f>
        <v>345635374.41683167</v>
      </c>
      <c r="R203" s="191">
        <f>+R21+R39+R48+R57+R66+R75+R84+R93+R102+R111+R120+R129+R138+R147+R156+R165+R174+R183+R192+R30+R196</f>
        <v>517292295.54316831</v>
      </c>
      <c r="S203" s="228"/>
      <c r="T203" s="191">
        <f>+T21+T39+T48+T57+T66+T75+T84+T93+T102+T111+T120+T129+T138+T147+T156+T165+T174+T183+T192+T30+T196</f>
        <v>0</v>
      </c>
      <c r="U203" s="191">
        <f>+U21+U39+U48+U57+U66+U75+U84+U93+U102+U111+U120+U129+U138+U147+U156+U165+U174+U183+U192+U30+U196</f>
        <v>0</v>
      </c>
      <c r="V203" s="140"/>
      <c r="W203" s="191">
        <f>HLOOKUP($W$9,'ROR-Model'!$Q$10:$U$1263,Y203)</f>
        <v>345635374.41683167</v>
      </c>
      <c r="X203" s="156"/>
      <c r="Y203" s="918">
        <f t="shared" si="6"/>
        <v>194</v>
      </c>
      <c r="AA203" s="191">
        <v>0</v>
      </c>
      <c r="AC203" s="191" t="str">
        <f t="shared" si="7"/>
        <v/>
      </c>
      <c r="AE203" s="44" t="str">
        <f t="shared" si="8"/>
        <v/>
      </c>
    </row>
    <row r="204" spans="1:31">
      <c r="A204" s="153"/>
      <c r="B204" s="63"/>
      <c r="C204" s="365"/>
      <c r="D204" s="49"/>
      <c r="E204" s="11">
        <f>+G204-Adjustments!G204</f>
        <v>0</v>
      </c>
      <c r="F204" s="11"/>
      <c r="G204" s="11"/>
      <c r="H204" s="11"/>
      <c r="I204" s="11"/>
      <c r="J204" s="9">
        <f>+I204-'ROR-Model'!I204</f>
        <v>0</v>
      </c>
      <c r="K204" s="9"/>
      <c r="L204" s="9"/>
      <c r="M204" s="11"/>
      <c r="N204" s="11"/>
      <c r="O204" s="136"/>
      <c r="P204" s="142"/>
      <c r="Q204" s="11"/>
      <c r="R204" s="11"/>
      <c r="S204" s="142"/>
      <c r="T204" s="11"/>
      <c r="U204" s="11"/>
      <c r="V204" s="140"/>
      <c r="W204" s="11"/>
      <c r="X204" s="156"/>
      <c r="Y204" s="918">
        <f t="shared" ref="Y204:Y267" si="9">Y203+1</f>
        <v>195</v>
      </c>
      <c r="AA204" s="11"/>
      <c r="AC204" s="11" t="str">
        <f t="shared" si="7"/>
        <v/>
      </c>
      <c r="AE204" s="44" t="str">
        <f t="shared" si="8"/>
        <v/>
      </c>
    </row>
    <row r="205" spans="1:31">
      <c r="A205" s="644"/>
      <c r="B205" s="365"/>
      <c r="C205" s="365" t="s">
        <v>57</v>
      </c>
      <c r="D205" s="703"/>
      <c r="E205" s="647">
        <f>+G205-Adjustments!G205</f>
        <v>0</v>
      </c>
      <c r="F205" s="647">
        <f>F23+F32+F41+F50+F59+F68+F77+F86+F95+F104+F113+F194+F140+F158</f>
        <v>102028079.61</v>
      </c>
      <c r="G205" s="647">
        <f>G23+G32+G41+G50+G59+G68+G77+G86+G95+G104+G113+G194+G140+G158</f>
        <v>0</v>
      </c>
      <c r="H205" s="647">
        <f>H23+H32+H41+H50+H59+H68+H77+H86+H95+H104+H113+H194+H140+H158</f>
        <v>0</v>
      </c>
      <c r="I205" s="647">
        <f>I23+I32+I41+I50+I59+I68+I77+I86+I95+I104+I113+I194</f>
        <v>102028079.61</v>
      </c>
      <c r="J205" s="9">
        <f>+I205-'ROR-Model'!I205</f>
        <v>0</v>
      </c>
      <c r="K205" s="645"/>
      <c r="L205" s="645"/>
      <c r="M205" s="647">
        <f>M23+M32+M41+M50+M59+M68+M77+M86+M95+M104+M113+M194+M140+M158</f>
        <v>102028079.61</v>
      </c>
      <c r="N205" s="647">
        <f>N23+N32+N41+N50+N59+N68+N77+N86+N95+N104+N113+N194+N140+N158</f>
        <v>0</v>
      </c>
      <c r="O205" s="704"/>
      <c r="P205" s="705"/>
      <c r="Q205" s="647">
        <f>Q23+Q32+Q41+Q50+Q59+Q68+Q77+Q86+Q95+Q104+Q113+Q194+Q140+Q158</f>
        <v>102028079.61</v>
      </c>
      <c r="R205" s="647">
        <f>R23+R32+R41+R50+R59+R68+R77+R86+R95+R104+R113+R194+R140+R158</f>
        <v>0</v>
      </c>
      <c r="S205" s="647"/>
      <c r="T205" s="647">
        <f>T23+T32+T41+T50+T59+T68+T77+T86+T95+T104+T113+T194+T140+T158</f>
        <v>0</v>
      </c>
      <c r="U205" s="647">
        <f>U23+U32+U41+U50+U59+U68+U77+U86+U95+U104+U113+U194+U140+U158</f>
        <v>0</v>
      </c>
      <c r="V205" s="706"/>
      <c r="W205" s="647">
        <f>W23+W32+W41+W50+W59+W68+W77+W86+W95+W104+W113+W194+W140+W158</f>
        <v>102028079.61</v>
      </c>
      <c r="X205" s="707"/>
      <c r="Y205" s="918">
        <f t="shared" si="9"/>
        <v>196</v>
      </c>
      <c r="AA205" s="647">
        <v>0</v>
      </c>
      <c r="AC205" s="647" t="str">
        <f t="shared" si="7"/>
        <v/>
      </c>
      <c r="AE205" s="44" t="str">
        <f t="shared" si="8"/>
        <v/>
      </c>
    </row>
    <row r="206" spans="1:31">
      <c r="A206" s="644"/>
      <c r="B206" s="365"/>
      <c r="C206" s="365" t="s">
        <v>58</v>
      </c>
      <c r="D206" s="703"/>
      <c r="E206" s="647">
        <f>+G206-Adjustments!G206</f>
        <v>0</v>
      </c>
      <c r="F206" s="647">
        <f>F131+F149+F167+F176+F185+F122</f>
        <v>76080323</v>
      </c>
      <c r="G206" s="647">
        <f>G131+G149+G167+G176+G185+G122</f>
        <v>0</v>
      </c>
      <c r="H206" s="647">
        <f>H131+H149+H167+H176+H185+H122</f>
        <v>0</v>
      </c>
      <c r="I206" s="10">
        <f>I131+I140+I149+I158+I167+I176+I185+I122</f>
        <v>76080323</v>
      </c>
      <c r="J206" s="9">
        <f>+I206-'ROR-Model'!I206</f>
        <v>0</v>
      </c>
      <c r="K206" s="645"/>
      <c r="L206" s="645"/>
      <c r="M206" s="647">
        <f>M131+M149+M167+M176+M185+M122</f>
        <v>76080323</v>
      </c>
      <c r="N206" s="647">
        <f>N131+N149+N167+N176+N185+N122</f>
        <v>0</v>
      </c>
      <c r="O206" s="704"/>
      <c r="P206" s="705"/>
      <c r="Q206" s="647">
        <f>Q131+Q149+Q167+Q176+Q185+Q122</f>
        <v>76080323</v>
      </c>
      <c r="R206" s="647">
        <f>R131+R149+R167+R176+R185+R122</f>
        <v>0</v>
      </c>
      <c r="S206" s="647"/>
      <c r="T206" s="647">
        <f>T131+T149+T167+T176+T185+T122</f>
        <v>0</v>
      </c>
      <c r="U206" s="647">
        <f>U131+U149+U167+U176+U185+U122</f>
        <v>0</v>
      </c>
      <c r="V206" s="706"/>
      <c r="W206" s="647">
        <f>W131+W149+W167+W176+W185+W122</f>
        <v>76080323</v>
      </c>
      <c r="X206" s="707"/>
      <c r="Y206" s="918">
        <f t="shared" si="9"/>
        <v>197</v>
      </c>
      <c r="AA206" s="647">
        <v>0</v>
      </c>
      <c r="AC206" s="647" t="str">
        <f t="shared" si="7"/>
        <v/>
      </c>
      <c r="AE206" s="44" t="str">
        <f t="shared" si="8"/>
        <v/>
      </c>
    </row>
    <row r="207" spans="1:31">
      <c r="A207" s="644"/>
      <c r="B207" s="63"/>
      <c r="C207" s="365" t="s">
        <v>442</v>
      </c>
      <c r="D207" s="703"/>
      <c r="E207" s="648">
        <f>+G207-Adjustments!G207</f>
        <v>0</v>
      </c>
      <c r="F207" s="648">
        <f>+F23+F41+F50+F59+F68+F77+F86+F95+F104+F113+F122+F131+F140+F149+F158+F167+F176+F185+F194+F32</f>
        <v>178108402.61000001</v>
      </c>
      <c r="G207" s="648">
        <f>+G23+G41+G50+G59+G68+G77+G86+G95+G104+G113+G122+G131+G140+G149+G158+G167+G176+G185+G194+G32</f>
        <v>0</v>
      </c>
      <c r="H207" s="648">
        <f>+H23+H41+H50+H59+H68+H77+H86+H95+H104+H113+H122+H131+H140+H149+H158+H167+H176+H185+H194+H32</f>
        <v>0</v>
      </c>
      <c r="I207" s="648">
        <f>+I23+I41+I50+I59+I68+I77+I86+I95+I104+I113+I122+I131+I140+I149+I158+I167+I176+I185+I194+I32</f>
        <v>178108402.61000001</v>
      </c>
      <c r="J207" s="9">
        <f>+I207-'ROR-Model'!I207</f>
        <v>0</v>
      </c>
      <c r="K207" s="645"/>
      <c r="L207" s="646"/>
      <c r="M207" s="648">
        <f>+M23+M41+M50+M59+M68+M77+M86+M95+M104+M113+M122+M131+M140+M149+M158+M167+M176+M185+M194+M32</f>
        <v>178108402.61000001</v>
      </c>
      <c r="N207" s="648">
        <f>+N23+N41+N50+N59+N68+N77+N86+N95+N104+N113+N122+N131+N140+N149+N158+N167+N176+N185+N194+N32</f>
        <v>0</v>
      </c>
      <c r="O207" s="704"/>
      <c r="P207" s="708"/>
      <c r="Q207" s="648">
        <f>+Q23+Q41+Q50+Q59+Q68+Q77+Q86+Q95+Q104+Q113+Q122+Q131+Q140+Q149+Q158+Q167+Q176+Q185+Q194+Q32</f>
        <v>178108402.61000001</v>
      </c>
      <c r="R207" s="648">
        <f>+R23+R41+R50+R59+R68+R77+R86+R95+R104+R113+R122+R131+R140+R149+R158+R167+R176+R185+R194+R32</f>
        <v>0</v>
      </c>
      <c r="S207" s="648"/>
      <c r="T207" s="648">
        <f>+T23+T41+T50+T59+T68+T77+T86+T95+T104+T113+T122+T131+T140+T149+T158+T167+T176+T185+T194+T32</f>
        <v>0</v>
      </c>
      <c r="U207" s="648">
        <f>+U23+U41+U50+U59+U68+U77+U86+U95+U104+U113+U122+U131+U140+U149+U158+U167+U176+U185+U194+U32</f>
        <v>0</v>
      </c>
      <c r="V207" s="706"/>
      <c r="W207" s="648">
        <f>+W23+W41+W50+W59+W68+W77+W86+W95+W104+W113+W122+W131+W140+W149+W158+W167+W176+W185+W194+W32</f>
        <v>178108402.61000001</v>
      </c>
      <c r="X207" s="707"/>
      <c r="Y207" s="918">
        <f t="shared" si="9"/>
        <v>198</v>
      </c>
      <c r="AA207" s="648">
        <v>0</v>
      </c>
      <c r="AC207" s="648" t="str">
        <f t="shared" si="7"/>
        <v/>
      </c>
      <c r="AE207" s="44" t="str">
        <f t="shared" si="8"/>
        <v/>
      </c>
    </row>
    <row r="208" spans="1:31">
      <c r="A208" s="153"/>
      <c r="B208" s="365"/>
      <c r="C208" s="365"/>
      <c r="D208" s="49"/>
      <c r="E208" s="9">
        <f>+G208-Adjustments!G208</f>
        <v>0</v>
      </c>
      <c r="F208" s="9"/>
      <c r="G208" s="9"/>
      <c r="H208" s="9"/>
      <c r="I208" s="9"/>
      <c r="J208" s="9">
        <f>+I208-'ROR-Model'!I208</f>
        <v>0</v>
      </c>
      <c r="K208" s="9"/>
      <c r="L208" s="9"/>
      <c r="M208" s="9"/>
      <c r="N208" s="9"/>
      <c r="O208" s="136"/>
      <c r="P208" s="142"/>
      <c r="Q208" s="9"/>
      <c r="R208" s="9"/>
      <c r="S208" s="142"/>
      <c r="T208" s="9"/>
      <c r="U208" s="9"/>
      <c r="V208" s="140"/>
      <c r="W208" s="9"/>
      <c r="X208" s="156"/>
      <c r="Y208" s="918">
        <f t="shared" si="9"/>
        <v>199</v>
      </c>
      <c r="AA208" s="9"/>
      <c r="AC208" s="9" t="str">
        <f t="shared" si="7"/>
        <v/>
      </c>
      <c r="AE208" s="44" t="str">
        <f t="shared" si="8"/>
        <v/>
      </c>
    </row>
    <row r="209" spans="1:31">
      <c r="A209" s="153"/>
      <c r="B209" s="63"/>
      <c r="C209" s="63"/>
      <c r="D209" s="49"/>
      <c r="E209" s="9">
        <f>+G209-Adjustments!G209</f>
        <v>0</v>
      </c>
      <c r="F209" s="9"/>
      <c r="G209" s="9"/>
      <c r="H209" s="9"/>
      <c r="I209" s="9"/>
      <c r="J209" s="9">
        <f>+I209-'ROR-Model'!I209</f>
        <v>0</v>
      </c>
      <c r="K209" s="9"/>
      <c r="L209" s="9"/>
      <c r="M209" s="9"/>
      <c r="N209" s="9"/>
      <c r="O209" s="136"/>
      <c r="P209" s="142"/>
      <c r="Q209" s="9"/>
      <c r="R209" s="9"/>
      <c r="S209" s="142"/>
      <c r="T209" s="9"/>
      <c r="U209" s="9"/>
      <c r="V209" s="140"/>
      <c r="W209" s="9"/>
      <c r="X209" s="156"/>
      <c r="Y209" s="918">
        <f t="shared" si="9"/>
        <v>200</v>
      </c>
      <c r="AA209" s="9"/>
      <c r="AC209" s="9" t="str">
        <f t="shared" ref="AC209:AC272" si="10">IF(ABS(AA209)&gt;0,W209-AA209,"")</f>
        <v/>
      </c>
      <c r="AE209" s="44" t="str">
        <f t="shared" si="8"/>
        <v/>
      </c>
    </row>
    <row r="210" spans="1:31">
      <c r="A210" s="130" t="s">
        <v>443</v>
      </c>
      <c r="B210" s="365" t="s">
        <v>14</v>
      </c>
      <c r="C210" s="365" t="s">
        <v>15</v>
      </c>
      <c r="D210" s="49"/>
      <c r="E210" s="9">
        <f>+G210-Adjustments!G210</f>
        <v>0</v>
      </c>
      <c r="F210" s="9">
        <f>Revenue!$F$209</f>
        <v>0</v>
      </c>
      <c r="G210" s="9">
        <f>+Adjustments!U210</f>
        <v>0</v>
      </c>
      <c r="H210" s="9"/>
      <c r="I210" s="9">
        <f>SUM($F$210:$H$210)</f>
        <v>0</v>
      </c>
      <c r="J210" s="9">
        <f>+I210-'ROR-Model'!I210</f>
        <v>0</v>
      </c>
      <c r="K210" s="9"/>
      <c r="L210" s="9" t="s">
        <v>13</v>
      </c>
      <c r="M210" s="9">
        <f>VLOOKUP($L210,$L$2:$N$7,2,FALSE)*I210</f>
        <v>0</v>
      </c>
      <c r="N210" s="9">
        <f>VLOOKUP($L210,$L$2:$N$7,3,FALSE)*I210</f>
        <v>0</v>
      </c>
      <c r="O210" s="136"/>
      <c r="P210" s="142" t="s">
        <v>549</v>
      </c>
      <c r="Q210" s="9">
        <f>IF(P210="G",M210,IF(P210="PT",0,ERR))</f>
        <v>0</v>
      </c>
      <c r="R210" s="9">
        <f>IF(P210="PT",M210,IF(P210="G",0,ERR))</f>
        <v>0</v>
      </c>
      <c r="S210" s="142" t="s">
        <v>549</v>
      </c>
      <c r="T210" s="9">
        <f>IF(S210="G",N210,IF(S210="PT",0,ERR))</f>
        <v>0</v>
      </c>
      <c r="U210" s="9">
        <f>IF(S210="PT",N210,IF(S210="G",0,ERR))</f>
        <v>0</v>
      </c>
      <c r="V210" s="140"/>
      <c r="W210" s="9">
        <f>HLOOKUP($W$9,'ROR-Model'!$Q$10:$U$1263,Y210)</f>
        <v>0</v>
      </c>
      <c r="X210" s="156"/>
      <c r="Y210" s="918">
        <f t="shared" si="9"/>
        <v>201</v>
      </c>
      <c r="AA210" s="9">
        <v>0</v>
      </c>
      <c r="AC210" s="9" t="str">
        <f t="shared" si="10"/>
        <v/>
      </c>
      <c r="AE210" s="44" t="str">
        <f t="shared" ref="AE210:AE273" si="11">IF(ABS(AA210)&gt;0,AC210/AA210,"")</f>
        <v/>
      </c>
    </row>
    <row r="211" spans="1:31">
      <c r="A211" s="153"/>
      <c r="B211" s="365"/>
      <c r="C211" s="365"/>
      <c r="D211" s="49"/>
      <c r="E211" s="9">
        <f>+G211-Adjustments!G211</f>
        <v>0</v>
      </c>
      <c r="F211" s="9"/>
      <c r="G211" s="9"/>
      <c r="H211" s="9"/>
      <c r="I211" s="9"/>
      <c r="J211" s="9">
        <f>+I211-'ROR-Model'!I211</f>
        <v>0</v>
      </c>
      <c r="K211" s="9"/>
      <c r="L211" s="9"/>
      <c r="M211" s="9"/>
      <c r="N211" s="9"/>
      <c r="O211" s="136"/>
      <c r="P211" s="142"/>
      <c r="Q211" s="9"/>
      <c r="R211" s="9"/>
      <c r="S211" s="142"/>
      <c r="T211" s="9"/>
      <c r="U211" s="9"/>
      <c r="V211" s="140"/>
      <c r="W211" s="9"/>
      <c r="X211" s="156"/>
      <c r="Y211" s="918">
        <f t="shared" si="9"/>
        <v>202</v>
      </c>
      <c r="AA211" s="9"/>
      <c r="AC211" s="9" t="str">
        <f t="shared" si="10"/>
        <v/>
      </c>
      <c r="AE211" s="44" t="str">
        <f t="shared" si="11"/>
        <v/>
      </c>
    </row>
    <row r="212" spans="1:31">
      <c r="A212" s="153"/>
      <c r="B212" s="365"/>
      <c r="C212" s="365" t="s">
        <v>16</v>
      </c>
      <c r="D212" s="49"/>
      <c r="E212" s="9">
        <f>+G212-Adjustments!G212</f>
        <v>0</v>
      </c>
      <c r="F212" s="9">
        <f>Revenue!$F$211</f>
        <v>0</v>
      </c>
      <c r="G212" s="9">
        <f>+Adjustments!U212</f>
        <v>0</v>
      </c>
      <c r="H212" s="9"/>
      <c r="I212" s="9">
        <f>SUM($F$212:$H$212)</f>
        <v>0</v>
      </c>
      <c r="J212" s="9">
        <f>+I212-'ROR-Model'!I212</f>
        <v>0</v>
      </c>
      <c r="K212" s="9"/>
      <c r="L212" s="9" t="s">
        <v>13</v>
      </c>
      <c r="M212" s="9">
        <f>VLOOKUP($L212,$L$2:$N$7,2,FALSE)*I212</f>
        <v>0</v>
      </c>
      <c r="N212" s="9">
        <f>VLOOKUP($L212,$L$2:$N$7,3,FALSE)*I212</f>
        <v>0</v>
      </c>
      <c r="O212" s="136"/>
      <c r="P212" s="142" t="s">
        <v>548</v>
      </c>
      <c r="Q212" s="9">
        <f>IF(P212="G",M212,IF(P212="PT",0,ERR))</f>
        <v>0</v>
      </c>
      <c r="R212" s="9">
        <f>IF(P212="PT",M212,IF(P212="G",0,ERR))</f>
        <v>0</v>
      </c>
      <c r="S212" s="142" t="s">
        <v>548</v>
      </c>
      <c r="T212" s="9">
        <f>IF(S212="G",N212,IF(S212="PT",0,ERR))</f>
        <v>0</v>
      </c>
      <c r="U212" s="9">
        <f>IF(S212="PT",N212,IF(S212="G",0,ERR))</f>
        <v>0</v>
      </c>
      <c r="V212" s="140"/>
      <c r="W212" s="9">
        <f>HLOOKUP($W$9,'ROR-Model'!$Q$10:$U$1263,Y212)</f>
        <v>0</v>
      </c>
      <c r="X212" s="156"/>
      <c r="Y212" s="918">
        <f t="shared" si="9"/>
        <v>203</v>
      </c>
      <c r="AA212" s="9">
        <v>0</v>
      </c>
      <c r="AC212" s="9" t="str">
        <f t="shared" si="10"/>
        <v/>
      </c>
      <c r="AE212" s="44" t="str">
        <f t="shared" si="11"/>
        <v/>
      </c>
    </row>
    <row r="213" spans="1:31">
      <c r="A213" s="153"/>
      <c r="B213" s="365"/>
      <c r="C213" s="365"/>
      <c r="D213" s="49"/>
      <c r="E213" s="9">
        <f>+G213-Adjustments!G213</f>
        <v>0</v>
      </c>
      <c r="F213" s="9"/>
      <c r="G213" s="9"/>
      <c r="H213" s="9"/>
      <c r="I213" s="9"/>
      <c r="J213" s="9">
        <f>+I213-'ROR-Model'!I213</f>
        <v>0</v>
      </c>
      <c r="K213" s="9"/>
      <c r="L213" s="9"/>
      <c r="M213" s="9"/>
      <c r="N213" s="9"/>
      <c r="O213" s="136"/>
      <c r="P213" s="142"/>
      <c r="Q213" s="9"/>
      <c r="R213" s="9"/>
      <c r="S213" s="142"/>
      <c r="T213" s="9"/>
      <c r="U213" s="9"/>
      <c r="V213" s="140"/>
      <c r="W213" s="9"/>
      <c r="X213" s="156"/>
      <c r="Y213" s="918">
        <f t="shared" si="9"/>
        <v>204</v>
      </c>
      <c r="AA213" s="9"/>
      <c r="AC213" s="9" t="str">
        <f t="shared" si="10"/>
        <v/>
      </c>
      <c r="AE213" s="44" t="str">
        <f t="shared" si="11"/>
        <v/>
      </c>
    </row>
    <row r="214" spans="1:31">
      <c r="A214" s="153"/>
      <c r="B214" s="365"/>
      <c r="C214" s="365" t="s">
        <v>17</v>
      </c>
      <c r="D214" s="49"/>
      <c r="E214" s="9">
        <f>+G214-Adjustments!G214</f>
        <v>0</v>
      </c>
      <c r="F214" s="9">
        <f>Revenue!$F$213</f>
        <v>0</v>
      </c>
      <c r="G214" s="9">
        <f>+Adjustments!U214</f>
        <v>0</v>
      </c>
      <c r="H214" s="9"/>
      <c r="I214" s="9">
        <f>SUM($F$214:$H$214)</f>
        <v>0</v>
      </c>
      <c r="J214" s="9">
        <f>+I214-'ROR-Model'!I214</f>
        <v>0</v>
      </c>
      <c r="K214" s="9"/>
      <c r="L214" s="9" t="s">
        <v>13</v>
      </c>
      <c r="M214" s="9">
        <f>VLOOKUP($L214,$L$2:$N$7,2,FALSE)*I214</f>
        <v>0</v>
      </c>
      <c r="N214" s="9">
        <f>VLOOKUP($L214,$L$2:$N$7,3,FALSE)*I214</f>
        <v>0</v>
      </c>
      <c r="O214" s="136"/>
      <c r="P214" s="142" t="s">
        <v>548</v>
      </c>
      <c r="Q214" s="9">
        <f>IF(P214="G",M214,IF(P214="PT",0,ERR))</f>
        <v>0</v>
      </c>
      <c r="R214" s="9">
        <f>IF(P214="PT",M214,IF(P214="G",0,ERR))</f>
        <v>0</v>
      </c>
      <c r="S214" s="142" t="s">
        <v>548</v>
      </c>
      <c r="T214" s="9">
        <f>IF(S214="G",N214,IF(S214="PT",0,ERR))</f>
        <v>0</v>
      </c>
      <c r="U214" s="9">
        <f>IF(S214="PT",N214,IF(S214="G",0,ERR))</f>
        <v>0</v>
      </c>
      <c r="V214" s="140"/>
      <c r="W214" s="9">
        <f>HLOOKUP($W$9,'ROR-Model'!$Q$10:$U$1263,Y214)</f>
        <v>0</v>
      </c>
      <c r="X214" s="156"/>
      <c r="Y214" s="918">
        <f t="shared" si="9"/>
        <v>205</v>
      </c>
      <c r="AA214" s="9">
        <v>0</v>
      </c>
      <c r="AC214" s="9" t="str">
        <f t="shared" si="10"/>
        <v/>
      </c>
      <c r="AE214" s="44" t="str">
        <f t="shared" si="11"/>
        <v/>
      </c>
    </row>
    <row r="215" spans="1:31">
      <c r="A215" s="153"/>
      <c r="B215" s="365"/>
      <c r="C215" s="365" t="s">
        <v>18</v>
      </c>
      <c r="D215" s="49"/>
      <c r="E215" s="157">
        <f>+G215-Adjustments!G215</f>
        <v>0</v>
      </c>
      <c r="F215" s="157">
        <f>SUM(F210:F214)</f>
        <v>0</v>
      </c>
      <c r="G215" s="157">
        <f>SUM(G210:G214)</f>
        <v>0</v>
      </c>
      <c r="H215" s="157">
        <f>SUM(H210:H214)</f>
        <v>0</v>
      </c>
      <c r="I215" s="157">
        <f>SUM(I210:I214)</f>
        <v>0</v>
      </c>
      <c r="J215" s="9">
        <f>+I215-'ROR-Model'!I215</f>
        <v>0</v>
      </c>
      <c r="K215" s="9"/>
      <c r="L215" s="157"/>
      <c r="M215" s="157">
        <f>SUM(M210:M214)</f>
        <v>0</v>
      </c>
      <c r="N215" s="157">
        <f>SUM(N210:N214)</f>
        <v>0</v>
      </c>
      <c r="O215" s="136"/>
      <c r="P215" s="226"/>
      <c r="Q215" s="157">
        <f>SUM(Q210:Q214)</f>
        <v>0</v>
      </c>
      <c r="R215" s="157">
        <f>SUM(R210:R214)</f>
        <v>0</v>
      </c>
      <c r="S215" s="226"/>
      <c r="T215" s="157">
        <f>SUM(T210:T214)</f>
        <v>0</v>
      </c>
      <c r="U215" s="157">
        <f>SUM(U210:U214)</f>
        <v>0</v>
      </c>
      <c r="V215" s="140"/>
      <c r="W215" s="157">
        <f>HLOOKUP($W$9,'ROR-Model'!$Q$10:$U$1263,Y215)</f>
        <v>0</v>
      </c>
      <c r="X215" s="156"/>
      <c r="Y215" s="918">
        <f t="shared" si="9"/>
        <v>206</v>
      </c>
      <c r="AA215" s="157">
        <v>0</v>
      </c>
      <c r="AC215" s="157" t="str">
        <f t="shared" si="10"/>
        <v/>
      </c>
      <c r="AE215" s="44" t="str">
        <f t="shared" si="11"/>
        <v/>
      </c>
    </row>
    <row r="216" spans="1:31">
      <c r="A216" s="153"/>
      <c r="B216" s="365"/>
      <c r="C216" s="365"/>
      <c r="D216" s="49"/>
      <c r="E216" s="9">
        <f>+G216-Adjustments!G216</f>
        <v>0</v>
      </c>
      <c r="F216" s="9"/>
      <c r="G216" s="9"/>
      <c r="H216" s="9"/>
      <c r="I216" s="9"/>
      <c r="J216" s="9">
        <f>+I216-'ROR-Model'!I216</f>
        <v>0</v>
      </c>
      <c r="K216" s="9"/>
      <c r="L216" s="9"/>
      <c r="M216" s="9"/>
      <c r="N216" s="9"/>
      <c r="O216" s="136"/>
      <c r="P216" s="142"/>
      <c r="Q216" s="9"/>
      <c r="R216" s="9"/>
      <c r="S216" s="142"/>
      <c r="T216" s="9"/>
      <c r="U216" s="9"/>
      <c r="V216" s="140"/>
      <c r="W216" s="9"/>
      <c r="X216" s="156"/>
      <c r="Y216" s="918">
        <f t="shared" si="9"/>
        <v>207</v>
      </c>
      <c r="AA216" s="9"/>
      <c r="AC216" s="9" t="str">
        <f t="shared" si="10"/>
        <v/>
      </c>
      <c r="AE216" s="44" t="str">
        <f t="shared" si="11"/>
        <v/>
      </c>
    </row>
    <row r="217" spans="1:31">
      <c r="A217" s="153"/>
      <c r="B217" s="365"/>
      <c r="C217" s="365" t="s">
        <v>19</v>
      </c>
      <c r="D217" s="49"/>
      <c r="E217" s="9">
        <f>+G217-Adjustments!G217</f>
        <v>0</v>
      </c>
      <c r="F217" s="9">
        <f>Revenue!$F$216</f>
        <v>0</v>
      </c>
      <c r="G217" s="9">
        <f>+Adjustments!U217</f>
        <v>0</v>
      </c>
      <c r="H217" s="9"/>
      <c r="I217" s="9">
        <f>SUM($F$217:$H$217)</f>
        <v>0</v>
      </c>
      <c r="J217" s="9">
        <f>+I217-'ROR-Model'!I217</f>
        <v>0</v>
      </c>
      <c r="K217" s="9"/>
      <c r="L217" s="9" t="s">
        <v>13</v>
      </c>
      <c r="M217" s="9">
        <f>VLOOKUP($L217,$L$2:$N$7,2,FALSE)*I217</f>
        <v>0</v>
      </c>
      <c r="N217" s="9">
        <f>VLOOKUP($L217,$L$2:$N$7,3,FALSE)*I217</f>
        <v>0</v>
      </c>
      <c r="O217" s="136"/>
      <c r="P217" s="142" t="s">
        <v>549</v>
      </c>
      <c r="Q217" s="9">
        <f>IF(P217="G",M217,IF(P217="PT",0,ERR))</f>
        <v>0</v>
      </c>
      <c r="R217" s="9">
        <f>IF(P217="PT",M217,IF(P217="G",0,ERR))</f>
        <v>0</v>
      </c>
      <c r="S217" s="142" t="s">
        <v>549</v>
      </c>
      <c r="T217" s="9">
        <f>IF(S217="G",N217,IF(S217="PT",0,ERR))</f>
        <v>0</v>
      </c>
      <c r="U217" s="9">
        <f>IF(S217="PT",N217,IF(S217="G",0,ERR))</f>
        <v>0</v>
      </c>
      <c r="V217" s="140"/>
      <c r="W217" s="9">
        <f>HLOOKUP($W$9,'ROR-Model'!$Q$10:$U$1263,Y217)</f>
        <v>0</v>
      </c>
      <c r="X217" s="156"/>
      <c r="Y217" s="918">
        <f t="shared" si="9"/>
        <v>208</v>
      </c>
      <c r="AA217" s="9">
        <v>0</v>
      </c>
      <c r="AC217" s="9" t="str">
        <f t="shared" si="10"/>
        <v/>
      </c>
      <c r="AE217" s="44" t="str">
        <f t="shared" si="11"/>
        <v/>
      </c>
    </row>
    <row r="218" spans="1:31">
      <c r="A218" s="153"/>
      <c r="B218" s="365"/>
      <c r="C218" s="365"/>
      <c r="D218" s="49"/>
      <c r="E218" s="9">
        <f>+G218-Adjustments!G218</f>
        <v>0</v>
      </c>
      <c r="F218" s="9"/>
      <c r="G218" s="9"/>
      <c r="H218" s="9"/>
      <c r="I218" s="9"/>
      <c r="J218" s="9">
        <f>+I218-'ROR-Model'!I218</f>
        <v>0</v>
      </c>
      <c r="K218" s="9"/>
      <c r="L218" s="9"/>
      <c r="M218" s="9"/>
      <c r="N218" s="9"/>
      <c r="O218" s="136"/>
      <c r="P218" s="142"/>
      <c r="Q218" s="9"/>
      <c r="R218" s="9"/>
      <c r="S218" s="142"/>
      <c r="T218" s="9"/>
      <c r="U218" s="9"/>
      <c r="V218" s="140"/>
      <c r="W218" s="9"/>
      <c r="X218" s="156"/>
      <c r="Y218" s="918">
        <f t="shared" si="9"/>
        <v>209</v>
      </c>
      <c r="AA218" s="9"/>
      <c r="AC218" s="9" t="str">
        <f t="shared" si="10"/>
        <v/>
      </c>
      <c r="AE218" s="44" t="str">
        <f t="shared" si="11"/>
        <v/>
      </c>
    </row>
    <row r="219" spans="1:31">
      <c r="A219" s="153"/>
      <c r="B219" s="365" t="s">
        <v>80</v>
      </c>
      <c r="C219" s="365" t="s">
        <v>15</v>
      </c>
      <c r="D219" s="49"/>
      <c r="E219" s="9">
        <f>+G219-Adjustments!G219</f>
        <v>0</v>
      </c>
      <c r="F219" s="9">
        <f>Revenue!$F$218</f>
        <v>0</v>
      </c>
      <c r="G219" s="9">
        <f>+Adjustments!U219</f>
        <v>0</v>
      </c>
      <c r="H219" s="9"/>
      <c r="I219" s="9">
        <f>SUM($F$219:$H$219)</f>
        <v>0</v>
      </c>
      <c r="J219" s="9">
        <f>+I219-'ROR-Model'!I219</f>
        <v>0</v>
      </c>
      <c r="K219" s="9"/>
      <c r="L219" s="9" t="s">
        <v>13</v>
      </c>
      <c r="M219" s="9">
        <f>VLOOKUP($L219,$L$2:$N$7,2,FALSE)*I219</f>
        <v>0</v>
      </c>
      <c r="N219" s="9">
        <f>VLOOKUP($L219,$L$2:$N$7,3,FALSE)*I219</f>
        <v>0</v>
      </c>
      <c r="O219" s="136"/>
      <c r="P219" s="142" t="s">
        <v>549</v>
      </c>
      <c r="Q219" s="9">
        <f>IF(P219="G",M219,IF(P219="PT",0,ERR))</f>
        <v>0</v>
      </c>
      <c r="R219" s="9">
        <f>IF(P219="PT",M219,IF(P219="G",0,ERR))</f>
        <v>0</v>
      </c>
      <c r="S219" s="142" t="s">
        <v>549</v>
      </c>
      <c r="T219" s="9">
        <f>IF(S219="G",N219,IF(S219="PT",0,ERR))</f>
        <v>0</v>
      </c>
      <c r="U219" s="9">
        <f>IF(S219="PT",N219,IF(S219="G",0,ERR))</f>
        <v>0</v>
      </c>
      <c r="V219" s="140"/>
      <c r="W219" s="9">
        <f>HLOOKUP($W$9,'ROR-Model'!$Q$10:$U$1263,Y219)</f>
        <v>0</v>
      </c>
      <c r="X219" s="156"/>
      <c r="Y219" s="918">
        <f t="shared" si="9"/>
        <v>210</v>
      </c>
      <c r="AA219" s="9">
        <v>0</v>
      </c>
      <c r="AC219" s="9" t="str">
        <f t="shared" si="10"/>
        <v/>
      </c>
      <c r="AE219" s="44" t="str">
        <f t="shared" si="11"/>
        <v/>
      </c>
    </row>
    <row r="220" spans="1:31">
      <c r="A220" s="153"/>
      <c r="B220" s="365"/>
      <c r="C220" s="365"/>
      <c r="D220" s="49"/>
      <c r="E220" s="9">
        <f>+G220-Adjustments!G220</f>
        <v>0</v>
      </c>
      <c r="F220" s="9"/>
      <c r="G220" s="9"/>
      <c r="H220" s="9"/>
      <c r="I220" s="9"/>
      <c r="J220" s="9">
        <f>+I220-'ROR-Model'!I220</f>
        <v>0</v>
      </c>
      <c r="K220" s="9"/>
      <c r="L220" s="9"/>
      <c r="M220" s="9"/>
      <c r="N220" s="9"/>
      <c r="O220" s="136"/>
      <c r="P220" s="142"/>
      <c r="Q220" s="9"/>
      <c r="R220" s="9"/>
      <c r="S220" s="142"/>
      <c r="T220" s="9"/>
      <c r="U220" s="9"/>
      <c r="V220" s="140"/>
      <c r="W220" s="9"/>
      <c r="X220" s="156"/>
      <c r="Y220" s="918">
        <f t="shared" si="9"/>
        <v>211</v>
      </c>
      <c r="AA220" s="9"/>
      <c r="AC220" s="9" t="str">
        <f t="shared" si="10"/>
        <v/>
      </c>
      <c r="AE220" s="44" t="str">
        <f t="shared" si="11"/>
        <v/>
      </c>
    </row>
    <row r="221" spans="1:31">
      <c r="A221" s="153"/>
      <c r="B221" s="365"/>
      <c r="C221" s="365" t="s">
        <v>16</v>
      </c>
      <c r="D221" s="49"/>
      <c r="E221" s="9">
        <f>+G221-Adjustments!G221</f>
        <v>0</v>
      </c>
      <c r="F221" s="9">
        <f>Revenue!$F$220</f>
        <v>0</v>
      </c>
      <c r="G221" s="9">
        <f>+Adjustments!U221</f>
        <v>0</v>
      </c>
      <c r="H221" s="9"/>
      <c r="I221" s="9">
        <f>SUM($F$221:$H$221)</f>
        <v>0</v>
      </c>
      <c r="J221" s="9">
        <f>+I221-'ROR-Model'!I221</f>
        <v>0</v>
      </c>
      <c r="K221" s="9"/>
      <c r="L221" s="9" t="s">
        <v>13</v>
      </c>
      <c r="M221" s="9">
        <f>VLOOKUP($L221,$L$2:$N$7,2,FALSE)*I221</f>
        <v>0</v>
      </c>
      <c r="N221" s="9">
        <f>VLOOKUP($L221,$L$2:$N$7,3,FALSE)*I221</f>
        <v>0</v>
      </c>
      <c r="O221" s="136"/>
      <c r="P221" s="142" t="s">
        <v>548</v>
      </c>
      <c r="Q221" s="9">
        <f>IF(P221="G",M221,IF(P221="PT",0,ERR))</f>
        <v>0</v>
      </c>
      <c r="R221" s="9">
        <f>IF(P221="PT",M221,IF(P221="G",0,ERR))</f>
        <v>0</v>
      </c>
      <c r="S221" s="142" t="s">
        <v>548</v>
      </c>
      <c r="T221" s="9">
        <f>IF(S221="G",N221,IF(S221="PT",0,ERR))</f>
        <v>0</v>
      </c>
      <c r="U221" s="9">
        <f>IF(S221="PT",N221,IF(S221="G",0,ERR))</f>
        <v>0</v>
      </c>
      <c r="V221" s="140"/>
      <c r="W221" s="9">
        <f>HLOOKUP($W$9,'ROR-Model'!$Q$10:$U$1263,Y221)</f>
        <v>0</v>
      </c>
      <c r="X221" s="156"/>
      <c r="Y221" s="918">
        <f t="shared" si="9"/>
        <v>212</v>
      </c>
      <c r="AA221" s="9">
        <v>0</v>
      </c>
      <c r="AC221" s="9" t="str">
        <f t="shared" si="10"/>
        <v/>
      </c>
      <c r="AE221" s="44" t="str">
        <f t="shared" si="11"/>
        <v/>
      </c>
    </row>
    <row r="222" spans="1:31">
      <c r="A222" s="153"/>
      <c r="B222" s="365"/>
      <c r="C222" s="365"/>
      <c r="D222" s="49"/>
      <c r="E222" s="9">
        <f>+G222-Adjustments!G222</f>
        <v>0</v>
      </c>
      <c r="F222" s="9"/>
      <c r="G222" s="9"/>
      <c r="H222" s="9"/>
      <c r="I222" s="9"/>
      <c r="J222" s="9">
        <f>+I222-'ROR-Model'!I222</f>
        <v>0</v>
      </c>
      <c r="K222" s="9"/>
      <c r="L222" s="9"/>
      <c r="M222" s="9"/>
      <c r="N222" s="9"/>
      <c r="O222" s="136"/>
      <c r="P222" s="142"/>
      <c r="Q222" s="9"/>
      <c r="R222" s="9"/>
      <c r="S222" s="142"/>
      <c r="T222" s="9"/>
      <c r="U222" s="9"/>
      <c r="V222" s="140"/>
      <c r="W222" s="9"/>
      <c r="X222" s="156"/>
      <c r="Y222" s="918">
        <f t="shared" si="9"/>
        <v>213</v>
      </c>
      <c r="AA222" s="9"/>
      <c r="AC222" s="9" t="str">
        <f t="shared" si="10"/>
        <v/>
      </c>
      <c r="AE222" s="44" t="str">
        <f t="shared" si="11"/>
        <v/>
      </c>
    </row>
    <row r="223" spans="1:31">
      <c r="A223" s="153"/>
      <c r="B223" s="365"/>
      <c r="C223" s="365" t="s">
        <v>17</v>
      </c>
      <c r="D223" s="49"/>
      <c r="E223" s="9">
        <f>+G223-Adjustments!G223</f>
        <v>0</v>
      </c>
      <c r="F223" s="9">
        <f>Revenue!$F$222</f>
        <v>0</v>
      </c>
      <c r="G223" s="9">
        <f>+Adjustments!U223</f>
        <v>0</v>
      </c>
      <c r="H223" s="9"/>
      <c r="I223" s="9">
        <f>SUM($F$223:$H$223)</f>
        <v>0</v>
      </c>
      <c r="J223" s="9">
        <f>+I223-'ROR-Model'!I223</f>
        <v>0</v>
      </c>
      <c r="K223" s="9"/>
      <c r="L223" s="9" t="s">
        <v>13</v>
      </c>
      <c r="M223" s="9">
        <f>VLOOKUP($L223,$L$2:$N$7,2,FALSE)*I223</f>
        <v>0</v>
      </c>
      <c r="N223" s="9">
        <f>VLOOKUP($L223,$L$2:$N$7,3,FALSE)*I223</f>
        <v>0</v>
      </c>
      <c r="O223" s="136"/>
      <c r="P223" s="142" t="s">
        <v>548</v>
      </c>
      <c r="Q223" s="9">
        <f>IF(P223="G",M223,IF(P223="PT",0,ERR))</f>
        <v>0</v>
      </c>
      <c r="R223" s="9">
        <f>IF(P223="PT",M223,IF(P223="G",0,ERR))</f>
        <v>0</v>
      </c>
      <c r="S223" s="142" t="s">
        <v>548</v>
      </c>
      <c r="T223" s="9">
        <f>IF(S223="G",N223,IF(S223="PT",0,ERR))</f>
        <v>0</v>
      </c>
      <c r="U223" s="9">
        <f>IF(S223="PT",N223,IF(S223="G",0,ERR))</f>
        <v>0</v>
      </c>
      <c r="V223" s="140"/>
      <c r="W223" s="9">
        <f>HLOOKUP($W$9,'ROR-Model'!$Q$10:$U$1263,Y223)</f>
        <v>0</v>
      </c>
      <c r="X223" s="156"/>
      <c r="Y223" s="918">
        <f t="shared" si="9"/>
        <v>214</v>
      </c>
      <c r="AA223" s="9">
        <v>0</v>
      </c>
      <c r="AC223" s="9" t="str">
        <f t="shared" si="10"/>
        <v/>
      </c>
      <c r="AE223" s="44" t="str">
        <f t="shared" si="11"/>
        <v/>
      </c>
    </row>
    <row r="224" spans="1:31">
      <c r="A224" s="153"/>
      <c r="B224" s="365"/>
      <c r="C224" s="365" t="s">
        <v>18</v>
      </c>
      <c r="D224" s="49"/>
      <c r="E224" s="157">
        <f>+G224-Adjustments!G224</f>
        <v>0</v>
      </c>
      <c r="F224" s="157">
        <f>SUM(F219:F223)</f>
        <v>0</v>
      </c>
      <c r="G224" s="157">
        <f>SUM(G219:G223)</f>
        <v>0</v>
      </c>
      <c r="H224" s="157">
        <f>SUM(H219:H223)</f>
        <v>0</v>
      </c>
      <c r="I224" s="157">
        <f>SUM(I219:I223)</f>
        <v>0</v>
      </c>
      <c r="J224" s="9">
        <f>+I224-'ROR-Model'!I224</f>
        <v>0</v>
      </c>
      <c r="K224" s="9"/>
      <c r="L224" s="157"/>
      <c r="M224" s="157">
        <f>SUM(M219:M223)</f>
        <v>0</v>
      </c>
      <c r="N224" s="157">
        <f>SUM(N219:N223)</f>
        <v>0</v>
      </c>
      <c r="O224" s="136"/>
      <c r="P224" s="226"/>
      <c r="Q224" s="157">
        <f>SUM(Q219:Q223)</f>
        <v>0</v>
      </c>
      <c r="R224" s="157">
        <f>SUM(R219:R223)</f>
        <v>0</v>
      </c>
      <c r="S224" s="226"/>
      <c r="T224" s="157">
        <f>SUM(T219:T223)</f>
        <v>0</v>
      </c>
      <c r="U224" s="157">
        <f>SUM(U219:U223)</f>
        <v>0</v>
      </c>
      <c r="V224" s="140"/>
      <c r="W224" s="157">
        <f>HLOOKUP($W$9,'ROR-Model'!$Q$10:$U$1263,Y224)</f>
        <v>0</v>
      </c>
      <c r="X224" s="156"/>
      <c r="Y224" s="918">
        <f t="shared" si="9"/>
        <v>215</v>
      </c>
      <c r="AA224" s="157">
        <v>0</v>
      </c>
      <c r="AC224" s="157" t="str">
        <f t="shared" si="10"/>
        <v/>
      </c>
      <c r="AE224" s="44" t="str">
        <f t="shared" si="11"/>
        <v/>
      </c>
    </row>
    <row r="225" spans="1:31">
      <c r="A225" s="153"/>
      <c r="B225" s="365"/>
      <c r="C225" s="365"/>
      <c r="D225" s="49"/>
      <c r="E225" s="9">
        <f>+G225-Adjustments!G225</f>
        <v>0</v>
      </c>
      <c r="F225" s="9"/>
      <c r="G225" s="9"/>
      <c r="H225" s="9"/>
      <c r="I225" s="9"/>
      <c r="J225" s="9">
        <f>+I225-'ROR-Model'!I225</f>
        <v>0</v>
      </c>
      <c r="K225" s="9"/>
      <c r="L225" s="9"/>
      <c r="M225" s="9"/>
      <c r="N225" s="9"/>
      <c r="O225" s="136"/>
      <c r="P225" s="142"/>
      <c r="Q225" s="9"/>
      <c r="R225" s="9"/>
      <c r="S225" s="142"/>
      <c r="T225" s="9"/>
      <c r="U225" s="9"/>
      <c r="V225" s="140"/>
      <c r="W225" s="9"/>
      <c r="X225" s="156"/>
      <c r="Y225" s="918">
        <f t="shared" si="9"/>
        <v>216</v>
      </c>
      <c r="AA225" s="9"/>
      <c r="AC225" s="9" t="str">
        <f t="shared" si="10"/>
        <v/>
      </c>
      <c r="AE225" s="44" t="str">
        <f t="shared" si="11"/>
        <v/>
      </c>
    </row>
    <row r="226" spans="1:31">
      <c r="A226" s="153"/>
      <c r="B226" s="365"/>
      <c r="C226" s="365" t="s">
        <v>19</v>
      </c>
      <c r="D226" s="49"/>
      <c r="E226" s="9">
        <f>+G226-Adjustments!G226</f>
        <v>0</v>
      </c>
      <c r="F226" s="9">
        <f>Revenue!$F$225</f>
        <v>0</v>
      </c>
      <c r="G226" s="9">
        <f>+Adjustments!U226</f>
        <v>0</v>
      </c>
      <c r="H226" s="9"/>
      <c r="I226" s="9">
        <f>SUM($F$226:$H$226)</f>
        <v>0</v>
      </c>
      <c r="J226" s="9">
        <f>+I226-'ROR-Model'!I226</f>
        <v>0</v>
      </c>
      <c r="K226" s="9"/>
      <c r="L226" s="9" t="s">
        <v>13</v>
      </c>
      <c r="M226" s="9">
        <f>VLOOKUP($L226,$L$2:$N$7,2,FALSE)*I226</f>
        <v>0</v>
      </c>
      <c r="N226" s="9">
        <f>VLOOKUP($L226,$L$2:$N$7,3,FALSE)*I226</f>
        <v>0</v>
      </c>
      <c r="O226" s="136"/>
      <c r="P226" s="142" t="s">
        <v>549</v>
      </c>
      <c r="Q226" s="9">
        <f>IF(P226="G",M226,IF(P226="PT",0,ERR))</f>
        <v>0</v>
      </c>
      <c r="R226" s="9">
        <f>IF(P226="PT",M226,IF(P226="G",0,ERR))</f>
        <v>0</v>
      </c>
      <c r="S226" s="142" t="s">
        <v>549</v>
      </c>
      <c r="T226" s="9">
        <f>IF(S226="G",N226,IF(S226="PT",0,ERR))</f>
        <v>0</v>
      </c>
      <c r="U226" s="9">
        <f>IF(S226="PT",N226,IF(S226="G",0,ERR))</f>
        <v>0</v>
      </c>
      <c r="V226" s="140"/>
      <c r="W226" s="9">
        <f>HLOOKUP($W$9,'ROR-Model'!$Q$10:$U$1263,Y226)</f>
        <v>0</v>
      </c>
      <c r="X226" s="156"/>
      <c r="Y226" s="918">
        <f t="shared" si="9"/>
        <v>217</v>
      </c>
      <c r="AA226" s="9">
        <v>0</v>
      </c>
      <c r="AC226" s="9" t="str">
        <f t="shared" si="10"/>
        <v/>
      </c>
      <c r="AE226" s="44" t="str">
        <f t="shared" si="11"/>
        <v/>
      </c>
    </row>
    <row r="227" spans="1:31" ht="13.5" thickBot="1">
      <c r="A227" s="153"/>
      <c r="B227" s="365"/>
      <c r="C227" s="365"/>
      <c r="D227" s="49"/>
      <c r="E227" s="26">
        <f>+G227-Adjustments!G227</f>
        <v>0</v>
      </c>
      <c r="F227" s="26"/>
      <c r="G227" s="26"/>
      <c r="H227" s="26"/>
      <c r="I227" s="26"/>
      <c r="J227" s="9">
        <f>+I227-'ROR-Model'!I227</f>
        <v>0</v>
      </c>
      <c r="K227" s="9"/>
      <c r="L227" s="26"/>
      <c r="M227" s="26"/>
      <c r="N227" s="26"/>
      <c r="O227" s="136"/>
      <c r="P227" s="227"/>
      <c r="Q227" s="26"/>
      <c r="R227" s="26"/>
      <c r="S227" s="227"/>
      <c r="T227" s="26"/>
      <c r="U227" s="26"/>
      <c r="V227" s="140"/>
      <c r="W227" s="26"/>
      <c r="X227" s="156"/>
      <c r="Y227" s="918">
        <f t="shared" si="9"/>
        <v>218</v>
      </c>
      <c r="AA227" s="26"/>
      <c r="AC227" s="26" t="str">
        <f t="shared" si="10"/>
        <v/>
      </c>
      <c r="AE227" s="44" t="str">
        <f t="shared" si="11"/>
        <v/>
      </c>
    </row>
    <row r="228" spans="1:31" ht="13.5" thickTop="1">
      <c r="A228" s="153"/>
      <c r="B228" s="365" t="s">
        <v>533</v>
      </c>
      <c r="C228" s="365"/>
      <c r="D228" s="49"/>
      <c r="E228" s="9">
        <f>+G228-Adjustments!G228</f>
        <v>0</v>
      </c>
      <c r="F228" s="9"/>
      <c r="G228" s="9"/>
      <c r="H228" s="9"/>
      <c r="I228" s="9"/>
      <c r="J228" s="9">
        <f>+I228-'ROR-Model'!I228</f>
        <v>0</v>
      </c>
      <c r="K228" s="9"/>
      <c r="L228" s="9"/>
      <c r="M228" s="9"/>
      <c r="N228" s="9"/>
      <c r="O228" s="136"/>
      <c r="P228" s="142"/>
      <c r="Q228" s="9"/>
      <c r="R228" s="9"/>
      <c r="S228" s="142"/>
      <c r="T228" s="9"/>
      <c r="U228" s="9"/>
      <c r="V228" s="140"/>
      <c r="W228" s="9"/>
      <c r="X228" s="156"/>
      <c r="Y228" s="918">
        <f t="shared" si="9"/>
        <v>219</v>
      </c>
      <c r="AA228" s="9"/>
      <c r="AC228" s="9" t="str">
        <f t="shared" si="10"/>
        <v/>
      </c>
      <c r="AE228" s="44" t="str">
        <f t="shared" si="11"/>
        <v/>
      </c>
    </row>
    <row r="229" spans="1:31">
      <c r="A229" s="153"/>
      <c r="B229" s="63"/>
      <c r="C229" s="365" t="s">
        <v>15</v>
      </c>
      <c r="D229" s="49"/>
      <c r="E229" s="9">
        <f>+G229-Adjustments!G229</f>
        <v>0</v>
      </c>
      <c r="F229" s="9">
        <f>+F210+F219</f>
        <v>0</v>
      </c>
      <c r="G229" s="9">
        <f>+G210+G219</f>
        <v>0</v>
      </c>
      <c r="H229" s="9">
        <f>+H210+H219</f>
        <v>0</v>
      </c>
      <c r="I229" s="9">
        <f>+I210+I219</f>
        <v>0</v>
      </c>
      <c r="J229" s="9">
        <f>+I229-'ROR-Model'!I229</f>
        <v>0</v>
      </c>
      <c r="K229" s="9"/>
      <c r="L229" s="9"/>
      <c r="M229" s="9">
        <f>+M210+M219</f>
        <v>0</v>
      </c>
      <c r="N229" s="9">
        <f>+N210+N219</f>
        <v>0</v>
      </c>
      <c r="O229" s="136"/>
      <c r="P229" s="142"/>
      <c r="Q229" s="9">
        <f>+Q210+Q219</f>
        <v>0</v>
      </c>
      <c r="R229" s="9">
        <f>+R210+R219</f>
        <v>0</v>
      </c>
      <c r="S229" s="142"/>
      <c r="T229" s="9">
        <f>+T210+T219</f>
        <v>0</v>
      </c>
      <c r="U229" s="9">
        <f>+U210+U219</f>
        <v>0</v>
      </c>
      <c r="V229" s="140"/>
      <c r="W229" s="9">
        <f>HLOOKUP($W$9,'ROR-Model'!$Q$10:$U$1263,Y229)</f>
        <v>0</v>
      </c>
      <c r="X229" s="156"/>
      <c r="Y229" s="918">
        <f t="shared" si="9"/>
        <v>220</v>
      </c>
      <c r="AA229" s="9">
        <v>0</v>
      </c>
      <c r="AC229" s="9" t="str">
        <f t="shared" si="10"/>
        <v/>
      </c>
      <c r="AE229" s="44" t="str">
        <f t="shared" si="11"/>
        <v/>
      </c>
    </row>
    <row r="230" spans="1:31">
      <c r="A230" s="153"/>
      <c r="B230" s="63"/>
      <c r="C230" s="365" t="s">
        <v>16</v>
      </c>
      <c r="D230" s="49"/>
      <c r="E230" s="9">
        <f>+G230-Adjustments!G230</f>
        <v>0</v>
      </c>
      <c r="F230" s="9">
        <f>+F212+F221</f>
        <v>0</v>
      </c>
      <c r="G230" s="9">
        <f>+G212+G221</f>
        <v>0</v>
      </c>
      <c r="H230" s="9">
        <f>+H212+H221</f>
        <v>0</v>
      </c>
      <c r="I230" s="9">
        <f>+I212+I221</f>
        <v>0</v>
      </c>
      <c r="J230" s="9">
        <f>+I230-'ROR-Model'!I230</f>
        <v>0</v>
      </c>
      <c r="K230" s="9"/>
      <c r="L230" s="9"/>
      <c r="M230" s="9">
        <f>+M212+M221</f>
        <v>0</v>
      </c>
      <c r="N230" s="9">
        <f>+N212+N221</f>
        <v>0</v>
      </c>
      <c r="O230" s="136"/>
      <c r="P230" s="142"/>
      <c r="Q230" s="9">
        <f>+Q212+Q221</f>
        <v>0</v>
      </c>
      <c r="R230" s="9">
        <f>+R212+R221</f>
        <v>0</v>
      </c>
      <c r="S230" s="142"/>
      <c r="T230" s="9">
        <f>+T212+T221</f>
        <v>0</v>
      </c>
      <c r="U230" s="9">
        <f>+U212+U221</f>
        <v>0</v>
      </c>
      <c r="V230" s="140"/>
      <c r="W230" s="9">
        <f>HLOOKUP($W$9,'ROR-Model'!$Q$10:$U$1263,Y230)</f>
        <v>0</v>
      </c>
      <c r="X230" s="156"/>
      <c r="Y230" s="918">
        <f t="shared" si="9"/>
        <v>221</v>
      </c>
      <c r="AA230" s="9">
        <v>0</v>
      </c>
      <c r="AC230" s="9" t="str">
        <f t="shared" si="10"/>
        <v/>
      </c>
      <c r="AE230" s="44" t="str">
        <f t="shared" si="11"/>
        <v/>
      </c>
    </row>
    <row r="231" spans="1:31">
      <c r="A231" s="153"/>
      <c r="B231" s="63"/>
      <c r="C231" s="365" t="s">
        <v>17</v>
      </c>
      <c r="D231" s="49"/>
      <c r="E231" s="9">
        <f>+G231-Adjustments!G231</f>
        <v>0</v>
      </c>
      <c r="F231" s="9">
        <f>+F214+F223</f>
        <v>0</v>
      </c>
      <c r="G231" s="9">
        <f t="shared" ref="G231:I232" si="12">+G214+G223</f>
        <v>0</v>
      </c>
      <c r="H231" s="9">
        <f t="shared" si="12"/>
        <v>0</v>
      </c>
      <c r="I231" s="9">
        <f t="shared" si="12"/>
        <v>0</v>
      </c>
      <c r="J231" s="9">
        <f>+I231-'ROR-Model'!I231</f>
        <v>0</v>
      </c>
      <c r="K231" s="9"/>
      <c r="L231" s="9"/>
      <c r="M231" s="9">
        <f>+M214+M223</f>
        <v>0</v>
      </c>
      <c r="N231" s="9">
        <f>+N214+N223</f>
        <v>0</v>
      </c>
      <c r="O231" s="136"/>
      <c r="P231" s="142"/>
      <c r="Q231" s="9">
        <f>+Q214+Q223</f>
        <v>0</v>
      </c>
      <c r="R231" s="9">
        <f>+R214+R223</f>
        <v>0</v>
      </c>
      <c r="S231" s="142"/>
      <c r="T231" s="9">
        <f>+T214+T223</f>
        <v>0</v>
      </c>
      <c r="U231" s="9">
        <f>+U214+U223</f>
        <v>0</v>
      </c>
      <c r="V231" s="140"/>
      <c r="W231" s="9">
        <f>HLOOKUP($W$9,'ROR-Model'!$Q$10:$U$1263,Y231)</f>
        <v>0</v>
      </c>
      <c r="X231" s="156"/>
      <c r="Y231" s="918">
        <f t="shared" si="9"/>
        <v>222</v>
      </c>
      <c r="AA231" s="9">
        <v>0</v>
      </c>
      <c r="AC231" s="9" t="str">
        <f t="shared" si="10"/>
        <v/>
      </c>
      <c r="AE231" s="44" t="str">
        <f t="shared" si="11"/>
        <v/>
      </c>
    </row>
    <row r="232" spans="1:31">
      <c r="A232" s="153"/>
      <c r="B232" s="63"/>
      <c r="C232" s="365" t="s">
        <v>444</v>
      </c>
      <c r="D232" s="49"/>
      <c r="E232" s="157">
        <f>+G232-Adjustments!G232</f>
        <v>0</v>
      </c>
      <c r="F232" s="157">
        <f>+F215+F224</f>
        <v>0</v>
      </c>
      <c r="G232" s="157">
        <f t="shared" si="12"/>
        <v>0</v>
      </c>
      <c r="H232" s="157">
        <f t="shared" si="12"/>
        <v>0</v>
      </c>
      <c r="I232" s="157">
        <f t="shared" si="12"/>
        <v>0</v>
      </c>
      <c r="J232" s="9">
        <f>+I232-'ROR-Model'!I232</f>
        <v>0</v>
      </c>
      <c r="K232" s="9"/>
      <c r="L232" s="157"/>
      <c r="M232" s="157">
        <f>+M215+M224</f>
        <v>0</v>
      </c>
      <c r="N232" s="157">
        <f>+N215+N224</f>
        <v>0</v>
      </c>
      <c r="O232" s="136"/>
      <c r="P232" s="226"/>
      <c r="Q232" s="157">
        <f>+Q215+Q224</f>
        <v>0</v>
      </c>
      <c r="R232" s="157">
        <f>+R215+R224</f>
        <v>0</v>
      </c>
      <c r="S232" s="226"/>
      <c r="T232" s="157">
        <f>+T215+T224</f>
        <v>0</v>
      </c>
      <c r="U232" s="157">
        <f>+U215+U224</f>
        <v>0</v>
      </c>
      <c r="V232" s="140"/>
      <c r="W232" s="157">
        <f>HLOOKUP($W$9,'ROR-Model'!$Q$10:$U$1263,Y232)</f>
        <v>0</v>
      </c>
      <c r="X232" s="156"/>
      <c r="Y232" s="918">
        <f t="shared" si="9"/>
        <v>223</v>
      </c>
      <c r="AA232" s="157">
        <v>0</v>
      </c>
      <c r="AC232" s="157" t="str">
        <f t="shared" si="10"/>
        <v/>
      </c>
      <c r="AE232" s="44" t="str">
        <f t="shared" si="11"/>
        <v/>
      </c>
    </row>
    <row r="233" spans="1:31">
      <c r="A233" s="153"/>
      <c r="B233" s="63"/>
      <c r="C233" s="365"/>
      <c r="D233" s="49"/>
      <c r="E233" s="9">
        <f>+G233-Adjustments!G233</f>
        <v>0</v>
      </c>
      <c r="F233" s="9"/>
      <c r="G233" s="9"/>
      <c r="H233" s="9"/>
      <c r="I233" s="9"/>
      <c r="J233" s="9">
        <f>+I233-'ROR-Model'!I233</f>
        <v>0</v>
      </c>
      <c r="K233" s="9"/>
      <c r="L233" s="9"/>
      <c r="M233" s="9"/>
      <c r="N233" s="9"/>
      <c r="O233" s="136"/>
      <c r="P233" s="142"/>
      <c r="Q233" s="9"/>
      <c r="R233" s="9"/>
      <c r="S233" s="142"/>
      <c r="T233" s="9"/>
      <c r="U233" s="9"/>
      <c r="V233" s="140"/>
      <c r="W233" s="9"/>
      <c r="X233" s="156"/>
      <c r="Y233" s="918">
        <f t="shared" si="9"/>
        <v>224</v>
      </c>
      <c r="AA233" s="9"/>
      <c r="AC233" s="9" t="str">
        <f t="shared" si="10"/>
        <v/>
      </c>
      <c r="AE233" s="44" t="str">
        <f t="shared" si="11"/>
        <v/>
      </c>
    </row>
    <row r="234" spans="1:31">
      <c r="A234" s="644"/>
      <c r="B234" s="63"/>
      <c r="C234" s="365" t="s">
        <v>57</v>
      </c>
      <c r="D234" s="703"/>
      <c r="E234" s="645">
        <f>+G234-Adjustments!G234</f>
        <v>0</v>
      </c>
      <c r="F234" s="645">
        <f>F217+F226</f>
        <v>0</v>
      </c>
      <c r="G234" s="645">
        <f>G217+G226</f>
        <v>0</v>
      </c>
      <c r="H234" s="645">
        <f>H217+H226</f>
        <v>0</v>
      </c>
      <c r="I234" s="645">
        <f>I217+I226</f>
        <v>0</v>
      </c>
      <c r="J234" s="9">
        <f>+I234-'ROR-Model'!I234</f>
        <v>0</v>
      </c>
      <c r="K234" s="645"/>
      <c r="L234" s="645"/>
      <c r="M234" s="645">
        <f>M217+M226</f>
        <v>0</v>
      </c>
      <c r="N234" s="645">
        <f>N217+N226</f>
        <v>0</v>
      </c>
      <c r="O234" s="704"/>
      <c r="P234" s="705"/>
      <c r="Q234" s="645">
        <f>Q217+Q226</f>
        <v>0</v>
      </c>
      <c r="R234" s="645">
        <f>R217+R226</f>
        <v>0</v>
      </c>
      <c r="S234" s="705"/>
      <c r="T234" s="645">
        <f>T217+T226</f>
        <v>0</v>
      </c>
      <c r="U234" s="645">
        <f>U217+U226</f>
        <v>0</v>
      </c>
      <c r="V234" s="706"/>
      <c r="W234" s="645">
        <f>HLOOKUP($W$9,'ROR-Model'!$Q$10:$U$1263,Y234)</f>
        <v>0</v>
      </c>
      <c r="X234" s="707"/>
      <c r="Y234" s="918">
        <f t="shared" si="9"/>
        <v>225</v>
      </c>
      <c r="AA234" s="645">
        <v>0</v>
      </c>
      <c r="AC234" s="645" t="str">
        <f t="shared" si="10"/>
        <v/>
      </c>
      <c r="AE234" s="44" t="str">
        <f t="shared" si="11"/>
        <v/>
      </c>
    </row>
    <row r="235" spans="1:31">
      <c r="A235" s="644"/>
      <c r="B235" s="365"/>
      <c r="C235" s="365" t="s">
        <v>58</v>
      </c>
      <c r="D235" s="703"/>
      <c r="E235" s="645">
        <f>+G235-Adjustments!G235</f>
        <v>0</v>
      </c>
      <c r="F235" s="645">
        <v>0</v>
      </c>
      <c r="G235" s="645">
        <v>0</v>
      </c>
      <c r="H235" s="645">
        <v>0</v>
      </c>
      <c r="I235" s="645">
        <v>0</v>
      </c>
      <c r="J235" s="9">
        <f>+I235-'ROR-Model'!I235</f>
        <v>0</v>
      </c>
      <c r="K235" s="645"/>
      <c r="L235" s="645"/>
      <c r="M235" s="645">
        <v>0</v>
      </c>
      <c r="N235" s="645">
        <v>0</v>
      </c>
      <c r="O235" s="704"/>
      <c r="P235" s="705"/>
      <c r="Q235" s="645">
        <v>0</v>
      </c>
      <c r="R235" s="645">
        <v>0</v>
      </c>
      <c r="S235" s="705"/>
      <c r="T235" s="645">
        <v>0</v>
      </c>
      <c r="U235" s="645">
        <v>0</v>
      </c>
      <c r="V235" s="706"/>
      <c r="W235" s="645">
        <f>HLOOKUP($W$9,'ROR-Model'!$Q$10:$U$1263,Y235)</f>
        <v>0</v>
      </c>
      <c r="X235" s="707"/>
      <c r="Y235" s="918">
        <f t="shared" si="9"/>
        <v>226</v>
      </c>
      <c r="AA235" s="645">
        <v>0</v>
      </c>
      <c r="AC235" s="645" t="str">
        <f t="shared" si="10"/>
        <v/>
      </c>
      <c r="AE235" s="44" t="str">
        <f t="shared" si="11"/>
        <v/>
      </c>
    </row>
    <row r="236" spans="1:31">
      <c r="A236" s="644"/>
      <c r="B236" s="63"/>
      <c r="C236" s="365" t="s">
        <v>445</v>
      </c>
      <c r="D236" s="703"/>
      <c r="E236" s="646">
        <f>+G236-Adjustments!G236</f>
        <v>0</v>
      </c>
      <c r="F236" s="646">
        <f>+F217+F226</f>
        <v>0</v>
      </c>
      <c r="G236" s="646">
        <f>+G217+G226</f>
        <v>0</v>
      </c>
      <c r="H236" s="646">
        <f>+H217+H226</f>
        <v>0</v>
      </c>
      <c r="I236" s="646">
        <f>+I217+I226</f>
        <v>0</v>
      </c>
      <c r="J236" s="9">
        <f>+I236-'ROR-Model'!I236</f>
        <v>0</v>
      </c>
      <c r="K236" s="645"/>
      <c r="L236" s="646"/>
      <c r="M236" s="646">
        <f>+M217+M226</f>
        <v>0</v>
      </c>
      <c r="N236" s="646">
        <f>+N217+N226</f>
        <v>0</v>
      </c>
      <c r="O236" s="704"/>
      <c r="P236" s="708"/>
      <c r="Q236" s="646">
        <f>+Q217+Q226</f>
        <v>0</v>
      </c>
      <c r="R236" s="646">
        <f>+R217+R226</f>
        <v>0</v>
      </c>
      <c r="S236" s="708"/>
      <c r="T236" s="646">
        <f>+T217+T226</f>
        <v>0</v>
      </c>
      <c r="U236" s="646">
        <f>+U217+U226</f>
        <v>0</v>
      </c>
      <c r="V236" s="706"/>
      <c r="W236" s="646">
        <f>HLOOKUP($W$9,'ROR-Model'!$Q$10:$U$1263,Y236)</f>
        <v>0</v>
      </c>
      <c r="X236" s="707"/>
      <c r="Y236" s="918">
        <f t="shared" si="9"/>
        <v>227</v>
      </c>
      <c r="AA236" s="646">
        <v>0</v>
      </c>
      <c r="AC236" s="646" t="str">
        <f t="shared" si="10"/>
        <v/>
      </c>
      <c r="AE236" s="44" t="str">
        <f t="shared" si="11"/>
        <v/>
      </c>
    </row>
    <row r="237" spans="1:31">
      <c r="A237" s="153"/>
      <c r="B237" s="16"/>
      <c r="C237" s="17"/>
      <c r="D237" s="49"/>
      <c r="E237" s="9">
        <f>+G237-Adjustments!G237</f>
        <v>0</v>
      </c>
      <c r="F237" s="9"/>
      <c r="G237" s="9"/>
      <c r="H237" s="9"/>
      <c r="I237" s="9"/>
      <c r="J237" s="9">
        <f>+I237-'ROR-Model'!I237</f>
        <v>0</v>
      </c>
      <c r="K237" s="9"/>
      <c r="L237" s="9"/>
      <c r="M237" s="9"/>
      <c r="N237" s="9"/>
      <c r="O237" s="136"/>
      <c r="P237" s="142"/>
      <c r="Q237" s="9"/>
      <c r="R237" s="9"/>
      <c r="S237" s="142"/>
      <c r="T237" s="9"/>
      <c r="U237" s="9"/>
      <c r="V237" s="140"/>
      <c r="W237" s="9"/>
      <c r="X237" s="156"/>
      <c r="Y237" s="918">
        <f t="shared" si="9"/>
        <v>228</v>
      </c>
      <c r="AA237" s="9"/>
      <c r="AC237" s="9" t="str">
        <f t="shared" si="10"/>
        <v/>
      </c>
      <c r="AE237" s="44" t="str">
        <f t="shared" si="11"/>
        <v/>
      </c>
    </row>
    <row r="238" spans="1:31">
      <c r="A238" s="130" t="s">
        <v>24</v>
      </c>
      <c r="B238" s="16"/>
      <c r="C238" s="17"/>
      <c r="D238" s="49"/>
      <c r="E238" s="9">
        <f>+G238-Adjustments!G238</f>
        <v>0</v>
      </c>
      <c r="F238" s="9"/>
      <c r="G238" s="9"/>
      <c r="H238" s="9"/>
      <c r="I238" s="9"/>
      <c r="J238" s="9">
        <f>+I238-'ROR-Model'!I238</f>
        <v>0</v>
      </c>
      <c r="K238" s="9"/>
      <c r="L238" s="9"/>
      <c r="M238" s="9"/>
      <c r="N238" s="9"/>
      <c r="O238" s="136"/>
      <c r="P238" s="142"/>
      <c r="Q238" s="9"/>
      <c r="R238" s="9"/>
      <c r="S238" s="142"/>
      <c r="T238" s="9"/>
      <c r="U238" s="9"/>
      <c r="V238" s="140"/>
      <c r="W238" s="9"/>
      <c r="X238" s="156"/>
      <c r="Y238" s="918">
        <f t="shared" si="9"/>
        <v>229</v>
      </c>
      <c r="AA238" s="9"/>
      <c r="AC238" s="9" t="str">
        <f t="shared" si="10"/>
        <v/>
      </c>
      <c r="AE238" s="44" t="str">
        <f t="shared" si="11"/>
        <v/>
      </c>
    </row>
    <row r="239" spans="1:31">
      <c r="A239" s="153"/>
      <c r="B239" s="63" t="s">
        <v>14</v>
      </c>
      <c r="C239" s="63" t="s">
        <v>15</v>
      </c>
      <c r="D239" s="49"/>
      <c r="E239" s="9">
        <f>+G239-Adjustments!G239</f>
        <v>0</v>
      </c>
      <c r="F239" s="9">
        <f>Revenue!$F$238</f>
        <v>12201566</v>
      </c>
      <c r="G239" s="9">
        <f>+Adjustments!U239</f>
        <v>0</v>
      </c>
      <c r="H239" s="9"/>
      <c r="I239" s="9">
        <f>SUM($F$239:$H$239)</f>
        <v>12201566</v>
      </c>
      <c r="J239" s="9">
        <f>+I239-'ROR-Model'!I239</f>
        <v>0</v>
      </c>
      <c r="K239" s="9"/>
      <c r="L239" s="9" t="s">
        <v>24</v>
      </c>
      <c r="M239" s="9">
        <f>VLOOKUP($L239,$L$2:$N$7,2,FALSE)*I239</f>
        <v>0</v>
      </c>
      <c r="N239" s="9">
        <f>VLOOKUP($L239,$L$2:$N$7,3,FALSE)*I239</f>
        <v>12201566</v>
      </c>
      <c r="O239" s="136"/>
      <c r="P239" s="142" t="s">
        <v>549</v>
      </c>
      <c r="Q239" s="9">
        <f>IF(P239="G",M239,IF(P239="PT",0,ERR))</f>
        <v>0</v>
      </c>
      <c r="R239" s="9">
        <f>IF(P239="PT",M239,IF(P239="G",0,ERR))</f>
        <v>0</v>
      </c>
      <c r="S239" s="142" t="s">
        <v>549</v>
      </c>
      <c r="T239" s="9">
        <f>IF(S239="G",N239,IF(S239="PT",0,ERR))</f>
        <v>12201566</v>
      </c>
      <c r="U239" s="9">
        <f>IF(S239="PT",N239,IF(S239="G",0,ERR))</f>
        <v>0</v>
      </c>
      <c r="V239" s="140"/>
      <c r="W239" s="9">
        <f>HLOOKUP($W$9,'ROR-Model'!$Q$10:$U$1263,Y239)</f>
        <v>0</v>
      </c>
      <c r="X239" s="156"/>
      <c r="Y239" s="918">
        <f t="shared" si="9"/>
        <v>230</v>
      </c>
      <c r="AA239" s="9">
        <v>11611809</v>
      </c>
      <c r="AC239" s="9">
        <f t="shared" si="10"/>
        <v>-11611809</v>
      </c>
      <c r="AE239" s="44">
        <f t="shared" si="11"/>
        <v>-1</v>
      </c>
    </row>
    <row r="240" spans="1:31">
      <c r="A240" s="153"/>
      <c r="B240" s="365"/>
      <c r="C240" s="365"/>
      <c r="D240" s="49"/>
      <c r="E240" s="9">
        <f>+G240-Adjustments!G240</f>
        <v>0</v>
      </c>
      <c r="F240" s="9"/>
      <c r="G240" s="9"/>
      <c r="H240" s="9"/>
      <c r="I240" s="9"/>
      <c r="J240" s="9">
        <f>+I240-'ROR-Model'!I240</f>
        <v>0</v>
      </c>
      <c r="K240" s="9"/>
      <c r="L240" s="9"/>
      <c r="M240" s="9"/>
      <c r="N240" s="9"/>
      <c r="O240" s="136"/>
      <c r="P240" s="142"/>
      <c r="Q240" s="9"/>
      <c r="R240" s="9"/>
      <c r="S240" s="142"/>
      <c r="T240" s="9"/>
      <c r="U240" s="9"/>
      <c r="V240" s="140"/>
      <c r="W240" s="9"/>
      <c r="X240" s="156"/>
      <c r="Y240" s="918">
        <f t="shared" si="9"/>
        <v>231</v>
      </c>
      <c r="AA240" s="9"/>
      <c r="AC240" s="9" t="str">
        <f t="shared" si="10"/>
        <v/>
      </c>
      <c r="AE240" s="44" t="str">
        <f t="shared" si="11"/>
        <v/>
      </c>
    </row>
    <row r="241" spans="1:31">
      <c r="A241" s="153"/>
      <c r="B241" s="365"/>
      <c r="C241" s="365"/>
      <c r="D241" s="49"/>
      <c r="E241" s="9">
        <f>+G241-Adjustments!G241</f>
        <v>0</v>
      </c>
      <c r="F241" s="9"/>
      <c r="G241" s="9">
        <f>+Adjustments!U241</f>
        <v>0</v>
      </c>
      <c r="H241" s="9"/>
      <c r="I241" s="9">
        <f>SUM($F$241:$H$241)</f>
        <v>0</v>
      </c>
      <c r="J241" s="9">
        <f>+I241-'ROR-Model'!I241</f>
        <v>0</v>
      </c>
      <c r="K241" s="9"/>
      <c r="L241" s="9" t="s">
        <v>24</v>
      </c>
      <c r="M241" s="9">
        <f>VLOOKUP($L241,$L$2:$N$7,2,FALSE)*I241</f>
        <v>0</v>
      </c>
      <c r="N241" s="9">
        <f>VLOOKUP($L241,$L$2:$N$7,3,FALSE)*I241</f>
        <v>0</v>
      </c>
      <c r="O241" s="136"/>
      <c r="P241" s="142"/>
      <c r="Q241" s="9"/>
      <c r="R241" s="9"/>
      <c r="S241" s="142"/>
      <c r="T241" s="9"/>
      <c r="U241" s="9"/>
      <c r="V241" s="140"/>
      <c r="W241" s="9"/>
      <c r="X241" s="156"/>
      <c r="Y241" s="918">
        <f t="shared" si="9"/>
        <v>232</v>
      </c>
      <c r="AA241" s="9"/>
      <c r="AC241" s="9" t="str">
        <f t="shared" si="10"/>
        <v/>
      </c>
      <c r="AE241" s="44" t="str">
        <f t="shared" si="11"/>
        <v/>
      </c>
    </row>
    <row r="242" spans="1:31">
      <c r="A242" s="153"/>
      <c r="B242" s="365"/>
      <c r="C242" s="365"/>
      <c r="D242" s="49"/>
      <c r="E242" s="9">
        <f>+G242-Adjustments!G242</f>
        <v>0</v>
      </c>
      <c r="F242" s="9"/>
      <c r="G242" s="9"/>
      <c r="H242" s="9"/>
      <c r="I242" s="9"/>
      <c r="J242" s="9">
        <f>+I242-'ROR-Model'!I242</f>
        <v>0</v>
      </c>
      <c r="K242" s="9"/>
      <c r="L242" s="9"/>
      <c r="M242" s="9"/>
      <c r="N242" s="9"/>
      <c r="O242" s="136"/>
      <c r="P242" s="142"/>
      <c r="Q242" s="9"/>
      <c r="R242" s="9"/>
      <c r="S242" s="142"/>
      <c r="T242" s="9"/>
      <c r="U242" s="9"/>
      <c r="V242" s="140"/>
      <c r="W242" s="9"/>
      <c r="X242" s="156"/>
      <c r="Y242" s="918">
        <f t="shared" si="9"/>
        <v>233</v>
      </c>
      <c r="AA242" s="9"/>
      <c r="AC242" s="9" t="str">
        <f t="shared" si="10"/>
        <v/>
      </c>
      <c r="AE242" s="44" t="str">
        <f t="shared" si="11"/>
        <v/>
      </c>
    </row>
    <row r="243" spans="1:31">
      <c r="A243" s="153"/>
      <c r="B243" s="63"/>
      <c r="C243" s="63" t="s">
        <v>17</v>
      </c>
      <c r="D243" s="49"/>
      <c r="E243" s="9">
        <f>+G243-Adjustments!G243</f>
        <v>0</v>
      </c>
      <c r="F243" s="9">
        <f>Revenue!$F$242</f>
        <v>17122316</v>
      </c>
      <c r="G243" s="9">
        <f>+Adjustments!U243</f>
        <v>0</v>
      </c>
      <c r="H243" s="9"/>
      <c r="I243" s="9">
        <f>SUM($F$243:$H$243)</f>
        <v>17122316</v>
      </c>
      <c r="J243" s="9">
        <f>+I243-'ROR-Model'!I243</f>
        <v>0</v>
      </c>
      <c r="K243" s="9"/>
      <c r="L243" s="9" t="s">
        <v>24</v>
      </c>
      <c r="M243" s="9">
        <f>VLOOKUP($L243,$L$2:$N$7,2,FALSE)*I243</f>
        <v>0</v>
      </c>
      <c r="N243" s="9">
        <f>VLOOKUP($L243,$L$2:$N$7,3,FALSE)*I243</f>
        <v>17122316</v>
      </c>
      <c r="O243" s="136"/>
      <c r="P243" s="142" t="s">
        <v>548</v>
      </c>
      <c r="Q243" s="9">
        <f>IF(P243="G",M243,IF(P243="PT",0,ERR))</f>
        <v>0</v>
      </c>
      <c r="R243" s="9">
        <f>IF(P243="PT",M243,IF(P243="G",0,ERR))</f>
        <v>0</v>
      </c>
      <c r="S243" s="142" t="s">
        <v>548</v>
      </c>
      <c r="T243" s="9">
        <f>IF(S243="G",N243,IF(S243="PT",0,ERR))</f>
        <v>0</v>
      </c>
      <c r="U243" s="9">
        <f>IF(S243="PT",N243,IF(S243="G",0,ERR))</f>
        <v>17122316</v>
      </c>
      <c r="V243" s="140"/>
      <c r="W243" s="9">
        <f>HLOOKUP($W$9,'ROR-Model'!$Q$10:$U$1263,Y243)</f>
        <v>0</v>
      </c>
      <c r="X243" s="156"/>
      <c r="Y243" s="918">
        <f t="shared" si="9"/>
        <v>234</v>
      </c>
      <c r="AA243" s="9">
        <v>0</v>
      </c>
      <c r="AC243" s="9" t="str">
        <f t="shared" si="10"/>
        <v/>
      </c>
      <c r="AE243" s="44" t="str">
        <f t="shared" si="11"/>
        <v/>
      </c>
    </row>
    <row r="244" spans="1:31">
      <c r="A244" s="153"/>
      <c r="B244" s="63"/>
      <c r="C244" s="63" t="s">
        <v>18</v>
      </c>
      <c r="D244" s="49"/>
      <c r="E244" s="157">
        <f>+G244-Adjustments!G244</f>
        <v>0</v>
      </c>
      <c r="F244" s="157">
        <f>SUM(F239:F243)</f>
        <v>29323882</v>
      </c>
      <c r="G244" s="157">
        <f>SUM(G239:G243)</f>
        <v>0</v>
      </c>
      <c r="H244" s="157">
        <f>SUM(H239:H243)</f>
        <v>0</v>
      </c>
      <c r="I244" s="157">
        <f>SUM(I239:I243)</f>
        <v>29323882</v>
      </c>
      <c r="J244" s="9">
        <f>+I244-'ROR-Model'!I244</f>
        <v>0</v>
      </c>
      <c r="K244" s="9"/>
      <c r="L244" s="157"/>
      <c r="M244" s="157">
        <f>SUM(M239:M243)</f>
        <v>0</v>
      </c>
      <c r="N244" s="157">
        <f>SUM(N239:N243)</f>
        <v>29323882</v>
      </c>
      <c r="O244" s="136"/>
      <c r="P244" s="226"/>
      <c r="Q244" s="157">
        <f>SUM(Q239:Q243)</f>
        <v>0</v>
      </c>
      <c r="R244" s="157">
        <f>SUM(R239:R243)</f>
        <v>0</v>
      </c>
      <c r="S244" s="226"/>
      <c r="T244" s="157">
        <f>SUM(T239:T243)</f>
        <v>12201566</v>
      </c>
      <c r="U244" s="157">
        <f>SUM(U239:U243)</f>
        <v>17122316</v>
      </c>
      <c r="V244" s="140"/>
      <c r="W244" s="157">
        <f>HLOOKUP($W$9,'ROR-Model'!$Q$10:$U$1263,Y244)</f>
        <v>0</v>
      </c>
      <c r="X244" s="156"/>
      <c r="Y244" s="918">
        <f t="shared" si="9"/>
        <v>235</v>
      </c>
      <c r="AA244" s="157">
        <v>11611809</v>
      </c>
      <c r="AC244" s="157">
        <f t="shared" si="10"/>
        <v>-11611809</v>
      </c>
      <c r="AE244" s="44">
        <f t="shared" si="11"/>
        <v>-1</v>
      </c>
    </row>
    <row r="245" spans="1:31">
      <c r="A245" s="153"/>
      <c r="B245" s="63"/>
      <c r="C245" s="63"/>
      <c r="D245" s="49"/>
      <c r="E245" s="9">
        <f>+G245-Adjustments!G245</f>
        <v>0</v>
      </c>
      <c r="F245" s="9"/>
      <c r="G245" s="9"/>
      <c r="H245" s="9"/>
      <c r="I245" s="9"/>
      <c r="J245" s="9">
        <f>+I245-'ROR-Model'!I245</f>
        <v>0</v>
      </c>
      <c r="K245" s="9"/>
      <c r="L245" s="9"/>
      <c r="M245" s="9"/>
      <c r="N245" s="9"/>
      <c r="O245" s="136"/>
      <c r="P245" s="142"/>
      <c r="Q245" s="9"/>
      <c r="R245" s="9"/>
      <c r="S245" s="142"/>
      <c r="T245" s="9"/>
      <c r="U245" s="9"/>
      <c r="V245" s="140"/>
      <c r="W245" s="9"/>
      <c r="X245" s="156"/>
      <c r="Y245" s="918">
        <f t="shared" si="9"/>
        <v>236</v>
      </c>
      <c r="AA245" s="9"/>
      <c r="AC245" s="9" t="str">
        <f t="shared" si="10"/>
        <v/>
      </c>
      <c r="AE245" s="44" t="str">
        <f t="shared" si="11"/>
        <v/>
      </c>
    </row>
    <row r="246" spans="1:31">
      <c r="A246" s="153"/>
      <c r="B246" s="63"/>
      <c r="C246" s="63" t="s">
        <v>19</v>
      </c>
      <c r="D246" s="49"/>
      <c r="E246" s="9">
        <f>+G246-Adjustments!G246</f>
        <v>0</v>
      </c>
      <c r="F246" s="9">
        <f>Revenue!$F$245</f>
        <v>3395528</v>
      </c>
      <c r="G246" s="9">
        <f>+Adjustments!U246</f>
        <v>0</v>
      </c>
      <c r="H246" s="9"/>
      <c r="I246" s="9">
        <f>SUM($F$246:$H$246)</f>
        <v>3395528</v>
      </c>
      <c r="J246" s="9">
        <f>+I246-'ROR-Model'!I246</f>
        <v>0</v>
      </c>
      <c r="K246" s="9"/>
      <c r="L246" s="9" t="s">
        <v>24</v>
      </c>
      <c r="M246" s="9">
        <f>VLOOKUP($L246,$L$2:$N$7,2,FALSE)*I246</f>
        <v>0</v>
      </c>
      <c r="N246" s="9">
        <f>VLOOKUP($L246,$L$2:$N$7,3,FALSE)*I246</f>
        <v>3395528</v>
      </c>
      <c r="O246" s="136"/>
      <c r="P246" s="142" t="s">
        <v>549</v>
      </c>
      <c r="Q246" s="9">
        <f>IF(P246="G",M246,IF(P246="PT",0,ERR))</f>
        <v>0</v>
      </c>
      <c r="R246" s="9">
        <f>IF(P246="PT",M246,IF(P246="G",0,ERR))</f>
        <v>0</v>
      </c>
      <c r="S246" s="142" t="s">
        <v>549</v>
      </c>
      <c r="T246" s="9">
        <f>IF(S246="G",N246,IF(S246="PT",0,ERR))</f>
        <v>3395528</v>
      </c>
      <c r="U246" s="9">
        <f>IF(S246="PT",N246,IF(S246="G",0,ERR))</f>
        <v>0</v>
      </c>
      <c r="V246" s="140"/>
      <c r="W246" s="9">
        <f>HLOOKUP($W$9,'ROR-Model'!$Q$10:$U$1263,Y246)</f>
        <v>0</v>
      </c>
      <c r="X246" s="156"/>
      <c r="Y246" s="918">
        <f t="shared" si="9"/>
        <v>237</v>
      </c>
      <c r="AA246" s="9">
        <v>3201829</v>
      </c>
      <c r="AC246" s="9">
        <f t="shared" si="10"/>
        <v>-3201829</v>
      </c>
      <c r="AE246" s="44">
        <f t="shared" si="11"/>
        <v>-1</v>
      </c>
    </row>
    <row r="247" spans="1:31">
      <c r="A247" s="153"/>
      <c r="B247" s="365"/>
      <c r="C247" s="365"/>
      <c r="D247" s="49"/>
      <c r="E247" s="9">
        <f>+G247-Adjustments!G247</f>
        <v>0</v>
      </c>
      <c r="F247" s="9"/>
      <c r="G247" s="9"/>
      <c r="H247" s="9"/>
      <c r="I247" s="9"/>
      <c r="J247" s="9">
        <f>+I247-'ROR-Model'!I247</f>
        <v>0</v>
      </c>
      <c r="K247" s="9"/>
      <c r="L247" s="9"/>
      <c r="M247" s="9"/>
      <c r="N247" s="9"/>
      <c r="O247" s="136"/>
      <c r="P247" s="142"/>
      <c r="Q247" s="9"/>
      <c r="R247" s="9"/>
      <c r="S247" s="142"/>
      <c r="T247" s="9"/>
      <c r="U247" s="9"/>
      <c r="V247" s="140"/>
      <c r="W247" s="9"/>
      <c r="X247" s="156"/>
      <c r="Y247" s="918">
        <f t="shared" si="9"/>
        <v>238</v>
      </c>
      <c r="AA247" s="9"/>
      <c r="AC247" s="9" t="str">
        <f t="shared" si="10"/>
        <v/>
      </c>
      <c r="AE247" s="44" t="str">
        <f t="shared" si="11"/>
        <v/>
      </c>
    </row>
    <row r="248" spans="1:31">
      <c r="A248" s="153"/>
      <c r="B248" s="63" t="s">
        <v>797</v>
      </c>
      <c r="C248" s="63" t="s">
        <v>15</v>
      </c>
      <c r="D248" s="49"/>
      <c r="E248" s="9">
        <f>+G248-Adjustments!G248</f>
        <v>0</v>
      </c>
      <c r="F248" s="9">
        <f>Revenue!$F$247</f>
        <v>167408</v>
      </c>
      <c r="G248" s="9">
        <f>+Adjustments!U248</f>
        <v>0</v>
      </c>
      <c r="H248" s="9"/>
      <c r="I248" s="9">
        <f>SUM($F$248:$H$248)</f>
        <v>167408</v>
      </c>
      <c r="J248" s="9">
        <f>+I248-'ROR-Model'!I248</f>
        <v>0</v>
      </c>
      <c r="K248" s="9"/>
      <c r="L248" s="9" t="s">
        <v>24</v>
      </c>
      <c r="M248" s="9">
        <f>VLOOKUP($L248,$L$2:$N$7,2,FALSE)*I248</f>
        <v>0</v>
      </c>
      <c r="N248" s="9">
        <f>VLOOKUP($L248,$L$2:$N$7,3,FALSE)*I248</f>
        <v>167408</v>
      </c>
      <c r="O248" s="136"/>
      <c r="P248" s="142" t="s">
        <v>549</v>
      </c>
      <c r="Q248" s="9">
        <f>IF(P248="G",M248,IF(P248="PT",0,ERR))</f>
        <v>0</v>
      </c>
      <c r="R248" s="9">
        <f>IF(P248="PT",M248,IF(P248="G",0,ERR))</f>
        <v>0</v>
      </c>
      <c r="S248" s="142" t="s">
        <v>549</v>
      </c>
      <c r="T248" s="9">
        <f>IF(S248="G",N248,IF(S248="PT",0,ERR))</f>
        <v>167408</v>
      </c>
      <c r="U248" s="9">
        <f>IF(S248="PT",N248,IF(S248="G",0,ERR))</f>
        <v>0</v>
      </c>
      <c r="V248" s="140"/>
      <c r="W248" s="9">
        <f>HLOOKUP($W$9,'ROR-Model'!$Q$10:$U$1263,Y248)</f>
        <v>0</v>
      </c>
      <c r="X248" s="156"/>
      <c r="Y248" s="918">
        <f t="shared" si="9"/>
        <v>239</v>
      </c>
      <c r="AA248" s="9">
        <v>164105</v>
      </c>
      <c r="AC248" s="9">
        <f t="shared" si="10"/>
        <v>-164105</v>
      </c>
      <c r="AE248" s="44">
        <f t="shared" si="11"/>
        <v>-1</v>
      </c>
    </row>
    <row r="249" spans="1:31">
      <c r="A249" s="153"/>
      <c r="B249" s="63"/>
      <c r="C249" s="63"/>
      <c r="D249" s="49"/>
      <c r="E249" s="9">
        <f>+G249-Adjustments!G249</f>
        <v>0</v>
      </c>
      <c r="F249" s="9"/>
      <c r="G249" s="9"/>
      <c r="H249" s="9"/>
      <c r="I249" s="9"/>
      <c r="J249" s="9">
        <f>+I249-'ROR-Model'!I249</f>
        <v>0</v>
      </c>
      <c r="K249" s="9"/>
      <c r="L249" s="9"/>
      <c r="M249" s="9"/>
      <c r="N249" s="9"/>
      <c r="O249" s="136"/>
      <c r="P249" s="142"/>
      <c r="Q249" s="9"/>
      <c r="R249" s="9"/>
      <c r="S249" s="142"/>
      <c r="T249" s="9"/>
      <c r="U249" s="9"/>
      <c r="V249" s="140"/>
      <c r="W249" s="9"/>
      <c r="X249" s="156"/>
      <c r="Y249" s="918">
        <f t="shared" si="9"/>
        <v>240</v>
      </c>
      <c r="AA249" s="9"/>
      <c r="AC249" s="9" t="str">
        <f t="shared" si="10"/>
        <v/>
      </c>
      <c r="AE249" s="44" t="str">
        <f t="shared" si="11"/>
        <v/>
      </c>
    </row>
    <row r="250" spans="1:31">
      <c r="A250" s="153"/>
      <c r="B250" s="63"/>
      <c r="C250" s="63"/>
      <c r="D250" s="49"/>
      <c r="E250" s="9">
        <f>+G250-Adjustments!G250</f>
        <v>0</v>
      </c>
      <c r="F250" s="9"/>
      <c r="G250" s="9">
        <f>+Adjustments!U250</f>
        <v>0</v>
      </c>
      <c r="H250" s="9"/>
      <c r="I250" s="9">
        <f>SUM($F$250:$H$250)</f>
        <v>0</v>
      </c>
      <c r="J250" s="9">
        <f>+I250-'ROR-Model'!I250</f>
        <v>0</v>
      </c>
      <c r="K250" s="9"/>
      <c r="L250" s="9" t="s">
        <v>24</v>
      </c>
      <c r="M250" s="9">
        <f>VLOOKUP($L250,$L$2:$N$7,2,FALSE)*I250</f>
        <v>0</v>
      </c>
      <c r="N250" s="9">
        <f>VLOOKUP($L250,$L$2:$N$7,3,FALSE)*I250</f>
        <v>0</v>
      </c>
      <c r="O250" s="136"/>
      <c r="P250" s="142"/>
      <c r="Q250" s="9"/>
      <c r="R250" s="9"/>
      <c r="S250" s="142"/>
      <c r="T250" s="9"/>
      <c r="U250" s="9"/>
      <c r="V250" s="140"/>
      <c r="W250" s="9"/>
      <c r="X250" s="156"/>
      <c r="Y250" s="918">
        <f t="shared" si="9"/>
        <v>241</v>
      </c>
      <c r="AA250" s="9"/>
      <c r="AC250" s="9" t="str">
        <f t="shared" si="10"/>
        <v/>
      </c>
      <c r="AE250" s="44" t="str">
        <f t="shared" si="11"/>
        <v/>
      </c>
    </row>
    <row r="251" spans="1:31">
      <c r="A251" s="153"/>
      <c r="B251" s="365"/>
      <c r="C251" s="365"/>
      <c r="D251" s="49"/>
      <c r="E251" s="9">
        <f>+G251-Adjustments!G251</f>
        <v>0</v>
      </c>
      <c r="F251" s="9"/>
      <c r="G251" s="9"/>
      <c r="H251" s="9"/>
      <c r="I251" s="9"/>
      <c r="J251" s="9">
        <f>+I251-'ROR-Model'!I251</f>
        <v>0</v>
      </c>
      <c r="K251" s="9"/>
      <c r="L251" s="9"/>
      <c r="M251" s="9"/>
      <c r="N251" s="9"/>
      <c r="O251" s="136"/>
      <c r="P251" s="142"/>
      <c r="Q251" s="9"/>
      <c r="R251" s="9"/>
      <c r="S251" s="142"/>
      <c r="T251" s="9"/>
      <c r="U251" s="9"/>
      <c r="V251" s="140"/>
      <c r="W251" s="9"/>
      <c r="X251" s="156"/>
      <c r="Y251" s="918">
        <f t="shared" si="9"/>
        <v>242</v>
      </c>
      <c r="AA251" s="9"/>
      <c r="AC251" s="9" t="str">
        <f t="shared" si="10"/>
        <v/>
      </c>
      <c r="AE251" s="44" t="str">
        <f t="shared" si="11"/>
        <v/>
      </c>
    </row>
    <row r="252" spans="1:31">
      <c r="A252" s="153"/>
      <c r="B252" s="63"/>
      <c r="C252" s="63" t="s">
        <v>17</v>
      </c>
      <c r="D252" s="49"/>
      <c r="E252" s="9">
        <f>+G252-Adjustments!G252</f>
        <v>0</v>
      </c>
      <c r="F252" s="9">
        <f>Revenue!$F$251</f>
        <v>859949</v>
      </c>
      <c r="G252" s="9">
        <f>+Adjustments!U252</f>
        <v>0</v>
      </c>
      <c r="H252" s="9"/>
      <c r="I252" s="9">
        <f>SUM($F$252:$H$252)</f>
        <v>859949</v>
      </c>
      <c r="J252" s="9">
        <f>+I252-'ROR-Model'!I252</f>
        <v>0</v>
      </c>
      <c r="K252" s="9"/>
      <c r="L252" s="9" t="s">
        <v>24</v>
      </c>
      <c r="M252" s="9">
        <f>VLOOKUP($L252,$L$2:$N$7,2,FALSE)*I252</f>
        <v>0</v>
      </c>
      <c r="N252" s="9">
        <f>VLOOKUP($L252,$L$2:$N$7,3,FALSE)*I252</f>
        <v>859949</v>
      </c>
      <c r="O252" s="136"/>
      <c r="P252" s="142" t="s">
        <v>548</v>
      </c>
      <c r="Q252" s="9">
        <f>IF(P252="G",M252,IF(P252="PT",0,ERR))</f>
        <v>0</v>
      </c>
      <c r="R252" s="9">
        <f>IF(P252="PT",M252,IF(P252="G",0,ERR))</f>
        <v>0</v>
      </c>
      <c r="S252" s="142" t="s">
        <v>548</v>
      </c>
      <c r="T252" s="9">
        <f>IF(S252="G",N252,IF(S252="PT",0,ERR))</f>
        <v>0</v>
      </c>
      <c r="U252" s="9">
        <f>IF(S252="PT",N252,IF(S252="G",0,ERR))</f>
        <v>859949</v>
      </c>
      <c r="V252" s="140"/>
      <c r="W252" s="9">
        <f>HLOOKUP($W$9,'ROR-Model'!$Q$10:$U$1263,Y252)</f>
        <v>0</v>
      </c>
      <c r="X252" s="156"/>
      <c r="Y252" s="918">
        <f t="shared" si="9"/>
        <v>243</v>
      </c>
      <c r="AA252" s="9">
        <v>0</v>
      </c>
      <c r="AC252" s="9" t="str">
        <f t="shared" si="10"/>
        <v/>
      </c>
      <c r="AE252" s="44" t="str">
        <f t="shared" si="11"/>
        <v/>
      </c>
    </row>
    <row r="253" spans="1:31">
      <c r="A253" s="153"/>
      <c r="B253" s="63"/>
      <c r="C253" s="63" t="s">
        <v>18</v>
      </c>
      <c r="D253" s="49"/>
      <c r="E253" s="157">
        <f>+G253-Adjustments!G253</f>
        <v>0</v>
      </c>
      <c r="F253" s="157">
        <f>SUM(F248:F252)</f>
        <v>1027357</v>
      </c>
      <c r="G253" s="157">
        <f>SUM(G248:G252)</f>
        <v>0</v>
      </c>
      <c r="H253" s="157">
        <f>SUM(H248:H252)</f>
        <v>0</v>
      </c>
      <c r="I253" s="157">
        <f>SUM(I248:I252)</f>
        <v>1027357</v>
      </c>
      <c r="J253" s="9">
        <f>+I253-'ROR-Model'!I253</f>
        <v>0</v>
      </c>
      <c r="K253" s="9"/>
      <c r="L253" s="157"/>
      <c r="M253" s="157">
        <f>SUM(M248:M252)</f>
        <v>0</v>
      </c>
      <c r="N253" s="157">
        <f>SUM(N248:N252)</f>
        <v>1027357</v>
      </c>
      <c r="O253" s="136"/>
      <c r="P253" s="226"/>
      <c r="Q253" s="157">
        <f>SUM(Q248:Q252)</f>
        <v>0</v>
      </c>
      <c r="R253" s="157">
        <f>SUM(R248:R252)</f>
        <v>0</v>
      </c>
      <c r="S253" s="226"/>
      <c r="T253" s="157">
        <f>SUM(T248:T252)</f>
        <v>167408</v>
      </c>
      <c r="U253" s="157">
        <f>SUM(U248:U252)</f>
        <v>859949</v>
      </c>
      <c r="V253" s="140"/>
      <c r="W253" s="157">
        <f>HLOOKUP($W$9,'ROR-Model'!$Q$10:$U$1263,Y253)</f>
        <v>0</v>
      </c>
      <c r="X253" s="156"/>
      <c r="Y253" s="918">
        <f t="shared" si="9"/>
        <v>244</v>
      </c>
      <c r="AA253" s="157">
        <v>164105</v>
      </c>
      <c r="AC253" s="157">
        <f t="shared" si="10"/>
        <v>-164105</v>
      </c>
      <c r="AE253" s="44">
        <f t="shared" si="11"/>
        <v>-1</v>
      </c>
    </row>
    <row r="254" spans="1:31">
      <c r="A254" s="153"/>
      <c r="B254" s="63"/>
      <c r="C254" s="63"/>
      <c r="D254" s="49"/>
      <c r="E254" s="9">
        <f>+G254-Adjustments!G254</f>
        <v>0</v>
      </c>
      <c r="F254" s="9"/>
      <c r="G254" s="9"/>
      <c r="H254" s="9"/>
      <c r="I254" s="9"/>
      <c r="J254" s="9">
        <f>+I254-'ROR-Model'!I254</f>
        <v>0</v>
      </c>
      <c r="K254" s="9"/>
      <c r="L254" s="9"/>
      <c r="M254" s="9"/>
      <c r="N254" s="9"/>
      <c r="O254" s="136"/>
      <c r="P254" s="142"/>
      <c r="Q254" s="9"/>
      <c r="R254" s="9"/>
      <c r="S254" s="142"/>
      <c r="T254" s="9"/>
      <c r="U254" s="9"/>
      <c r="V254" s="140"/>
      <c r="W254" s="9"/>
      <c r="X254" s="156"/>
      <c r="Y254" s="918">
        <f t="shared" si="9"/>
        <v>245</v>
      </c>
      <c r="AA254" s="9"/>
      <c r="AC254" s="9" t="str">
        <f t="shared" si="10"/>
        <v/>
      </c>
      <c r="AE254" s="44" t="str">
        <f t="shared" si="11"/>
        <v/>
      </c>
    </row>
    <row r="255" spans="1:31">
      <c r="A255" s="153"/>
      <c r="B255" s="63"/>
      <c r="C255" s="63" t="s">
        <v>19</v>
      </c>
      <c r="D255" s="49"/>
      <c r="E255" s="9">
        <f>+G255-Adjustments!G255</f>
        <v>0</v>
      </c>
      <c r="F255" s="9">
        <f>Revenue!$F$254</f>
        <v>171161</v>
      </c>
      <c r="G255" s="9">
        <f>+Adjustments!U255</f>
        <v>0</v>
      </c>
      <c r="H255" s="9"/>
      <c r="I255" s="9">
        <f>SUM($F$255:$H$255)</f>
        <v>171161</v>
      </c>
      <c r="J255" s="9">
        <f>+I255-'ROR-Model'!I255</f>
        <v>0</v>
      </c>
      <c r="K255" s="9"/>
      <c r="L255" s="9" t="s">
        <v>24</v>
      </c>
      <c r="M255" s="9">
        <f>VLOOKUP($L255,$L$2:$N$7,2,FALSE)*I255</f>
        <v>0</v>
      </c>
      <c r="N255" s="9">
        <f>VLOOKUP($L255,$L$2:$N$7,3,FALSE)*I255</f>
        <v>171161</v>
      </c>
      <c r="O255" s="136"/>
      <c r="P255" s="142" t="s">
        <v>549</v>
      </c>
      <c r="Q255" s="9">
        <f>IF(P255="G",M255,IF(P255="PT",0,ERR))</f>
        <v>0</v>
      </c>
      <c r="R255" s="9">
        <f>IF(P255="PT",M255,IF(P255="G",0,ERR))</f>
        <v>0</v>
      </c>
      <c r="S255" s="142" t="s">
        <v>549</v>
      </c>
      <c r="T255" s="9">
        <f>IF(S255="G",N255,IF(S255="PT",0,ERR))</f>
        <v>171161</v>
      </c>
      <c r="U255" s="9">
        <f>IF(S255="PT",N255,IF(S255="G",0,ERR))</f>
        <v>0</v>
      </c>
      <c r="V255" s="140"/>
      <c r="W255" s="9">
        <f>HLOOKUP($W$9,'ROR-Model'!$Q$10:$U$1263,Y255)</f>
        <v>0</v>
      </c>
      <c r="X255" s="156"/>
      <c r="Y255" s="918">
        <f t="shared" si="9"/>
        <v>246</v>
      </c>
      <c r="AA255" s="9">
        <v>181753</v>
      </c>
      <c r="AC255" s="9">
        <f t="shared" si="10"/>
        <v>-181753</v>
      </c>
      <c r="AE255" s="44">
        <f t="shared" si="11"/>
        <v>-1</v>
      </c>
    </row>
    <row r="256" spans="1:31">
      <c r="A256" s="153"/>
      <c r="B256" s="365"/>
      <c r="C256" s="365"/>
      <c r="D256" s="49"/>
      <c r="E256" s="9">
        <f>+G256-Adjustments!G256</f>
        <v>0</v>
      </c>
      <c r="F256" s="9"/>
      <c r="G256" s="9"/>
      <c r="H256" s="9"/>
      <c r="I256" s="9"/>
      <c r="J256" s="9">
        <f>+I256-'ROR-Model'!I256</f>
        <v>0</v>
      </c>
      <c r="K256" s="9"/>
      <c r="L256" s="9"/>
      <c r="M256" s="9"/>
      <c r="N256" s="9"/>
      <c r="O256" s="136"/>
      <c r="P256" s="142"/>
      <c r="Q256" s="9"/>
      <c r="R256" s="9"/>
      <c r="S256" s="142"/>
      <c r="T256" s="9"/>
      <c r="U256" s="9"/>
      <c r="V256" s="140"/>
      <c r="W256" s="9"/>
      <c r="X256" s="156"/>
      <c r="Y256" s="918">
        <f t="shared" si="9"/>
        <v>247</v>
      </c>
      <c r="AA256" s="9"/>
      <c r="AC256" s="9" t="str">
        <f t="shared" si="10"/>
        <v/>
      </c>
      <c r="AE256" s="44" t="str">
        <f t="shared" si="11"/>
        <v/>
      </c>
    </row>
    <row r="257" spans="1:31">
      <c r="A257" s="153"/>
      <c r="B257" s="63" t="s">
        <v>798</v>
      </c>
      <c r="C257" s="63" t="s">
        <v>15</v>
      </c>
      <c r="D257" s="49"/>
      <c r="E257" s="9">
        <f>+G257-Adjustments!G257</f>
        <v>0</v>
      </c>
      <c r="F257" s="9">
        <f>Revenue!$F$256</f>
        <v>61516.109690600002</v>
      </c>
      <c r="G257" s="9">
        <f>+Adjustments!U257</f>
        <v>0</v>
      </c>
      <c r="H257" s="9"/>
      <c r="I257" s="9">
        <f>SUM($F$257:$H$257)</f>
        <v>61516.109690600002</v>
      </c>
      <c r="J257" s="9">
        <f>+I257-'ROR-Model'!I257</f>
        <v>0</v>
      </c>
      <c r="K257" s="9"/>
      <c r="L257" s="9" t="s">
        <v>24</v>
      </c>
      <c r="M257" s="9">
        <f>VLOOKUP($L257,$L$2:$N$7,2,FALSE)*I257</f>
        <v>0</v>
      </c>
      <c r="N257" s="9">
        <f>VLOOKUP($L257,$L$2:$N$7,3,FALSE)*I257</f>
        <v>61516.109690600002</v>
      </c>
      <c r="O257" s="136"/>
      <c r="P257" s="142" t="s">
        <v>549</v>
      </c>
      <c r="Q257" s="9">
        <f>IF(P257="G",M257,IF(P257="PT",0,ERR))</f>
        <v>0</v>
      </c>
      <c r="R257" s="9">
        <f>IF(P257="PT",M257,IF(P257="G",0,ERR))</f>
        <v>0</v>
      </c>
      <c r="S257" s="142" t="s">
        <v>549</v>
      </c>
      <c r="T257" s="9">
        <f>IF(S257="G",N257,IF(S257="PT",0,ERR))</f>
        <v>61516.109690600002</v>
      </c>
      <c r="U257" s="9">
        <f>IF(S257="PT",N257,IF(S257="G",0,ERR))</f>
        <v>0</v>
      </c>
      <c r="V257" s="140"/>
      <c r="W257" s="9">
        <f>HLOOKUP($W$9,'ROR-Model'!$Q$10:$U$1263,Y257)</f>
        <v>0</v>
      </c>
      <c r="X257" s="156"/>
      <c r="Y257" s="918">
        <f t="shared" si="9"/>
        <v>248</v>
      </c>
      <c r="AA257" s="9">
        <v>146707.79595539998</v>
      </c>
      <c r="AC257" s="9">
        <f t="shared" si="10"/>
        <v>-146707.79595539998</v>
      </c>
      <c r="AE257" s="44">
        <f t="shared" si="11"/>
        <v>-1</v>
      </c>
    </row>
    <row r="258" spans="1:31">
      <c r="A258" s="153"/>
      <c r="B258" s="63"/>
      <c r="C258" s="63"/>
      <c r="D258" s="49"/>
      <c r="E258" s="9">
        <f>+G258-Adjustments!G258</f>
        <v>0</v>
      </c>
      <c r="F258" s="9"/>
      <c r="G258" s="9"/>
      <c r="H258" s="9"/>
      <c r="I258" s="9"/>
      <c r="J258" s="9">
        <f>+I258-'ROR-Model'!I258</f>
        <v>0</v>
      </c>
      <c r="K258" s="9"/>
      <c r="L258" s="9"/>
      <c r="M258" s="9"/>
      <c r="N258" s="9"/>
      <c r="O258" s="136"/>
      <c r="P258" s="142"/>
      <c r="Q258" s="9"/>
      <c r="R258" s="9"/>
      <c r="S258" s="142"/>
      <c r="T258" s="9"/>
      <c r="U258" s="9"/>
      <c r="V258" s="140"/>
      <c r="W258" s="9"/>
      <c r="X258" s="156"/>
      <c r="Y258" s="918">
        <f t="shared" si="9"/>
        <v>249</v>
      </c>
      <c r="AA258" s="9"/>
      <c r="AC258" s="9" t="str">
        <f t="shared" si="10"/>
        <v/>
      </c>
      <c r="AE258" s="44" t="str">
        <f t="shared" si="11"/>
        <v/>
      </c>
    </row>
    <row r="259" spans="1:31">
      <c r="A259" s="153"/>
      <c r="B259" s="63"/>
      <c r="C259" s="63"/>
      <c r="D259" s="49"/>
      <c r="E259" s="9">
        <f>+G259-Adjustments!G259</f>
        <v>0</v>
      </c>
      <c r="F259" s="9"/>
      <c r="G259" s="9">
        <f>+Adjustments!U259</f>
        <v>0</v>
      </c>
      <c r="H259" s="9"/>
      <c r="I259" s="9">
        <f>SUM($F$259:$H$259)</f>
        <v>0</v>
      </c>
      <c r="J259" s="9">
        <f>+I259-'ROR-Model'!I259</f>
        <v>0</v>
      </c>
      <c r="K259" s="9"/>
      <c r="L259" s="9" t="s">
        <v>24</v>
      </c>
      <c r="M259" s="9">
        <f>VLOOKUP($L259,$L$2:$N$7,2,FALSE)*I259</f>
        <v>0</v>
      </c>
      <c r="N259" s="9">
        <f>VLOOKUP($L259,$L$2:$N$7,3,FALSE)*I259</f>
        <v>0</v>
      </c>
      <c r="O259" s="136"/>
      <c r="P259" s="142"/>
      <c r="Q259" s="9"/>
      <c r="R259" s="9"/>
      <c r="S259" s="142"/>
      <c r="T259" s="9"/>
      <c r="U259" s="9"/>
      <c r="V259" s="140"/>
      <c r="W259" s="9"/>
      <c r="X259" s="156"/>
      <c r="Y259" s="918">
        <f t="shared" si="9"/>
        <v>250</v>
      </c>
      <c r="AA259" s="9"/>
      <c r="AC259" s="9" t="str">
        <f t="shared" si="10"/>
        <v/>
      </c>
      <c r="AE259" s="44" t="str">
        <f t="shared" si="11"/>
        <v/>
      </c>
    </row>
    <row r="260" spans="1:31">
      <c r="A260" s="153"/>
      <c r="B260" s="365"/>
      <c r="C260" s="365"/>
      <c r="D260" s="49"/>
      <c r="E260" s="9">
        <f>+G260-Adjustments!G260</f>
        <v>0</v>
      </c>
      <c r="F260" s="9"/>
      <c r="G260" s="9"/>
      <c r="H260" s="9"/>
      <c r="I260" s="9"/>
      <c r="J260" s="9">
        <f>+I260-'ROR-Model'!I260</f>
        <v>0</v>
      </c>
      <c r="K260" s="9"/>
      <c r="L260" s="9"/>
      <c r="M260" s="9"/>
      <c r="N260" s="9"/>
      <c r="O260" s="136"/>
      <c r="P260" s="142"/>
      <c r="Q260" s="9"/>
      <c r="R260" s="9"/>
      <c r="S260" s="142"/>
      <c r="T260" s="9"/>
      <c r="U260" s="9"/>
      <c r="V260" s="140"/>
      <c r="W260" s="9"/>
      <c r="X260" s="156"/>
      <c r="Y260" s="918">
        <f t="shared" si="9"/>
        <v>251</v>
      </c>
      <c r="AA260" s="9"/>
      <c r="AC260" s="9" t="str">
        <f t="shared" si="10"/>
        <v/>
      </c>
      <c r="AE260" s="44" t="str">
        <f t="shared" si="11"/>
        <v/>
      </c>
    </row>
    <row r="261" spans="1:31">
      <c r="A261" s="153"/>
      <c r="B261" s="63"/>
      <c r="C261" s="63" t="s">
        <v>17</v>
      </c>
      <c r="D261" s="49"/>
      <c r="E261" s="9">
        <f>+G261-Adjustments!G261</f>
        <v>0</v>
      </c>
      <c r="F261" s="9">
        <f>Revenue!$F$260</f>
        <v>34019.620309400001</v>
      </c>
      <c r="G261" s="9">
        <f>+Adjustments!U261</f>
        <v>0</v>
      </c>
      <c r="H261" s="9"/>
      <c r="I261" s="9">
        <f>SUM($F$261:$H$261)</f>
        <v>34019.620309400001</v>
      </c>
      <c r="J261" s="9">
        <f>+I261-'ROR-Model'!I261</f>
        <v>0</v>
      </c>
      <c r="K261" s="9"/>
      <c r="L261" s="9" t="s">
        <v>24</v>
      </c>
      <c r="M261" s="9">
        <f>VLOOKUP($L261,$L$2:$N$7,2,FALSE)*I261</f>
        <v>0</v>
      </c>
      <c r="N261" s="9">
        <f>VLOOKUP($L261,$L$2:$N$7,3,FALSE)*I261</f>
        <v>34019.620309400001</v>
      </c>
      <c r="O261" s="136"/>
      <c r="P261" s="142" t="s">
        <v>548</v>
      </c>
      <c r="Q261" s="9">
        <f>IF(P261="G",M261,IF(P261="PT",0,ERR))</f>
        <v>0</v>
      </c>
      <c r="R261" s="9">
        <f>IF(P261="PT",M261,IF(P261="G",0,ERR))</f>
        <v>0</v>
      </c>
      <c r="S261" s="142" t="s">
        <v>548</v>
      </c>
      <c r="T261" s="9">
        <f>IF(S261="G",N261,IF(S261="PT",0,ERR))</f>
        <v>0</v>
      </c>
      <c r="U261" s="9">
        <f>IF(S261="PT",N261,IF(S261="G",0,ERR))</f>
        <v>34019.620309400001</v>
      </c>
      <c r="V261" s="140"/>
      <c r="W261" s="9">
        <f>HLOOKUP($W$9,'ROR-Model'!$Q$10:$U$1263,Y261)</f>
        <v>0</v>
      </c>
      <c r="X261" s="156"/>
      <c r="Y261" s="918">
        <f t="shared" si="9"/>
        <v>252</v>
      </c>
      <c r="AA261" s="9">
        <v>0</v>
      </c>
      <c r="AC261" s="9" t="str">
        <f t="shared" si="10"/>
        <v/>
      </c>
      <c r="AE261" s="44" t="str">
        <f t="shared" si="11"/>
        <v/>
      </c>
    </row>
    <row r="262" spans="1:31">
      <c r="A262" s="153"/>
      <c r="B262" s="63"/>
      <c r="C262" s="63" t="s">
        <v>18</v>
      </c>
      <c r="D262" s="49"/>
      <c r="E262" s="157">
        <f>+G262-Adjustments!G262</f>
        <v>0</v>
      </c>
      <c r="F262" s="157">
        <f>SUM(F257:F261)</f>
        <v>95535.73000000001</v>
      </c>
      <c r="G262" s="157">
        <f>SUM(G257:G261)</f>
        <v>0</v>
      </c>
      <c r="H262" s="157">
        <f>SUM(H257:H261)</f>
        <v>0</v>
      </c>
      <c r="I262" s="157">
        <f>SUM(I257:I261)</f>
        <v>95535.73000000001</v>
      </c>
      <c r="J262" s="9">
        <f>+I262-'ROR-Model'!I262</f>
        <v>0</v>
      </c>
      <c r="K262" s="9"/>
      <c r="L262" s="157"/>
      <c r="M262" s="157">
        <f>SUM(M257:M261)</f>
        <v>0</v>
      </c>
      <c r="N262" s="157">
        <f>SUM(N257:N261)</f>
        <v>95535.73000000001</v>
      </c>
      <c r="O262" s="136"/>
      <c r="P262" s="226"/>
      <c r="Q262" s="157">
        <f>SUM(Q257:Q261)</f>
        <v>0</v>
      </c>
      <c r="R262" s="157">
        <f>SUM(R257:R261)</f>
        <v>0</v>
      </c>
      <c r="S262" s="226"/>
      <c r="T262" s="157">
        <f>SUM(T257:T261)</f>
        <v>61516.109690600002</v>
      </c>
      <c r="U262" s="157">
        <f>SUM(U257:U261)</f>
        <v>34019.620309400001</v>
      </c>
      <c r="V262" s="140"/>
      <c r="W262" s="157">
        <f>HLOOKUP($W$9,'ROR-Model'!$Q$10:$U$1263,Y262)</f>
        <v>0</v>
      </c>
      <c r="X262" s="156"/>
      <c r="Y262" s="918">
        <f t="shared" si="9"/>
        <v>253</v>
      </c>
      <c r="AA262" s="157">
        <v>146707.79595539998</v>
      </c>
      <c r="AC262" s="157">
        <f t="shared" si="10"/>
        <v>-146707.79595539998</v>
      </c>
      <c r="AE262" s="44">
        <f t="shared" si="11"/>
        <v>-1</v>
      </c>
    </row>
    <row r="263" spans="1:31">
      <c r="A263" s="153"/>
      <c r="B263" s="63"/>
      <c r="C263" s="63"/>
      <c r="D263" s="49"/>
      <c r="E263" s="9">
        <f>+G263-Adjustments!G263</f>
        <v>0</v>
      </c>
      <c r="F263" s="9"/>
      <c r="G263" s="9"/>
      <c r="H263" s="9"/>
      <c r="I263" s="9"/>
      <c r="J263" s="9">
        <f>+I263-'ROR-Model'!I263</f>
        <v>0</v>
      </c>
      <c r="K263" s="9"/>
      <c r="L263" s="9"/>
      <c r="M263" s="9"/>
      <c r="N263" s="9"/>
      <c r="O263" s="136"/>
      <c r="P263" s="142"/>
      <c r="Q263" s="9"/>
      <c r="R263" s="9"/>
      <c r="S263" s="142"/>
      <c r="T263" s="9"/>
      <c r="U263" s="9"/>
      <c r="V263" s="140"/>
      <c r="W263" s="9"/>
      <c r="X263" s="156"/>
      <c r="Y263" s="918">
        <f t="shared" si="9"/>
        <v>254</v>
      </c>
      <c r="AA263" s="9"/>
      <c r="AC263" s="9" t="str">
        <f t="shared" si="10"/>
        <v/>
      </c>
      <c r="AE263" s="44" t="str">
        <f t="shared" si="11"/>
        <v/>
      </c>
    </row>
    <row r="264" spans="1:31">
      <c r="A264" s="153"/>
      <c r="B264" s="63"/>
      <c r="C264" s="63" t="s">
        <v>19</v>
      </c>
      <c r="D264" s="49"/>
      <c r="E264" s="9">
        <f>+G264-Adjustments!G264</f>
        <v>0</v>
      </c>
      <c r="F264" s="9">
        <f>Revenue!$F$263</f>
        <v>6776.8700000000008</v>
      </c>
      <c r="G264" s="9">
        <f>+Adjustments!U264</f>
        <v>0</v>
      </c>
      <c r="H264" s="9"/>
      <c r="I264" s="9">
        <f>SUM($F$264:$H$264)</f>
        <v>6776.8700000000008</v>
      </c>
      <c r="J264" s="9">
        <f>+I264-'ROR-Model'!I264</f>
        <v>0</v>
      </c>
      <c r="K264" s="9"/>
      <c r="L264" s="9" t="s">
        <v>24</v>
      </c>
      <c r="M264" s="9">
        <f>VLOOKUP($L264,$L$2:$N$7,2,FALSE)*I264</f>
        <v>0</v>
      </c>
      <c r="N264" s="9">
        <f>VLOOKUP($L264,$L$2:$N$7,3,FALSE)*I264</f>
        <v>6776.8700000000008</v>
      </c>
      <c r="O264" s="136"/>
      <c r="P264" s="142" t="s">
        <v>549</v>
      </c>
      <c r="Q264" s="9">
        <f>IF(P264="G",M264,IF(P264="PT",0,ERR))</f>
        <v>0</v>
      </c>
      <c r="R264" s="9">
        <f>IF(P264="PT",M264,IF(P264="G",0,ERR))</f>
        <v>0</v>
      </c>
      <c r="S264" s="142" t="s">
        <v>549</v>
      </c>
      <c r="T264" s="9">
        <f>IF(S264="G",N264,IF(S264="PT",0,ERR))</f>
        <v>6776.8700000000008</v>
      </c>
      <c r="U264" s="9">
        <f>IF(S264="PT",N264,IF(S264="G",0,ERR))</f>
        <v>0</v>
      </c>
      <c r="V264" s="140"/>
      <c r="W264" s="9">
        <f>HLOOKUP($W$9,'ROR-Model'!$Q$10:$U$1263,Y264)</f>
        <v>0</v>
      </c>
      <c r="X264" s="156"/>
      <c r="Y264" s="918">
        <f t="shared" si="9"/>
        <v>255</v>
      </c>
      <c r="AA264" s="9">
        <v>9698.6200000000026</v>
      </c>
      <c r="AC264" s="9">
        <f t="shared" si="10"/>
        <v>-9698.6200000000026</v>
      </c>
      <c r="AE264" s="44">
        <f t="shared" si="11"/>
        <v>-1</v>
      </c>
    </row>
    <row r="265" spans="1:31">
      <c r="A265" s="153"/>
      <c r="B265" s="365"/>
      <c r="C265" s="365"/>
      <c r="D265" s="49"/>
      <c r="E265" s="9">
        <f>+G265-Adjustments!G265</f>
        <v>0</v>
      </c>
      <c r="F265" s="9"/>
      <c r="G265" s="9"/>
      <c r="H265" s="9"/>
      <c r="I265" s="9"/>
      <c r="J265" s="9">
        <f>+I265-'ROR-Model'!I265</f>
        <v>0</v>
      </c>
      <c r="K265" s="9"/>
      <c r="L265" s="9"/>
      <c r="M265" s="9"/>
      <c r="N265" s="9"/>
      <c r="O265" s="136"/>
      <c r="P265" s="142"/>
      <c r="Q265" s="9"/>
      <c r="R265" s="9"/>
      <c r="S265" s="142"/>
      <c r="T265" s="9"/>
      <c r="U265" s="9"/>
      <c r="V265" s="140"/>
      <c r="W265" s="9"/>
      <c r="X265" s="156"/>
      <c r="Y265" s="918">
        <f t="shared" si="9"/>
        <v>256</v>
      </c>
      <c r="AA265" s="9"/>
      <c r="AC265" s="9" t="str">
        <f t="shared" si="10"/>
        <v/>
      </c>
      <c r="AE265" s="44" t="str">
        <f t="shared" si="11"/>
        <v/>
      </c>
    </row>
    <row r="266" spans="1:31">
      <c r="A266" s="153"/>
      <c r="B266" s="63" t="s">
        <v>752</v>
      </c>
      <c r="C266" s="63" t="s">
        <v>15</v>
      </c>
      <c r="D266" s="49"/>
      <c r="E266" s="9">
        <f>+G266-Adjustments!G266</f>
        <v>0</v>
      </c>
      <c r="F266" s="9">
        <f>Revenue!$F$265</f>
        <v>0</v>
      </c>
      <c r="G266" s="9">
        <f>+Adjustments!U266</f>
        <v>0</v>
      </c>
      <c r="H266" s="9"/>
      <c r="I266" s="9">
        <f>SUM($F$266:$H$266)</f>
        <v>0</v>
      </c>
      <c r="J266" s="9">
        <f>+I266-'ROR-Model'!I266</f>
        <v>0</v>
      </c>
      <c r="K266" s="9"/>
      <c r="L266" s="9" t="s">
        <v>24</v>
      </c>
      <c r="M266" s="9">
        <f>VLOOKUP($L266,$L$2:$N$7,2,FALSE)*I266</f>
        <v>0</v>
      </c>
      <c r="N266" s="9">
        <f>VLOOKUP($L266,$L$2:$N$7,3,FALSE)*I266</f>
        <v>0</v>
      </c>
      <c r="O266" s="136"/>
      <c r="P266" s="142" t="s">
        <v>549</v>
      </c>
      <c r="Q266" s="9">
        <f>IF(P266="G",M266,IF(P266="PT",0,ERR))</f>
        <v>0</v>
      </c>
      <c r="R266" s="9">
        <f>IF(P266="PT",M266,IF(P266="G",0,ERR))</f>
        <v>0</v>
      </c>
      <c r="S266" s="142" t="s">
        <v>549</v>
      </c>
      <c r="T266" s="9">
        <f>IF(S266="G",N266,IF(S266="PT",0,ERR))</f>
        <v>0</v>
      </c>
      <c r="U266" s="9">
        <f>IF(S266="PT",N266,IF(S266="G",0,ERR))</f>
        <v>0</v>
      </c>
      <c r="V266" s="140"/>
      <c r="W266" s="9">
        <f>HLOOKUP($W$9,'ROR-Model'!$Q$10:$U$1263,Y266)</f>
        <v>0</v>
      </c>
      <c r="X266" s="156"/>
      <c r="Y266" s="918">
        <f t="shared" si="9"/>
        <v>257</v>
      </c>
      <c r="AA266" s="9">
        <v>0</v>
      </c>
      <c r="AC266" s="9" t="str">
        <f t="shared" si="10"/>
        <v/>
      </c>
      <c r="AE266" s="44" t="str">
        <f t="shared" si="11"/>
        <v/>
      </c>
    </row>
    <row r="267" spans="1:31">
      <c r="A267" s="153"/>
      <c r="B267" s="63"/>
      <c r="C267" s="63"/>
      <c r="D267" s="49"/>
      <c r="E267" s="9">
        <f>+G267-Adjustments!G267</f>
        <v>0</v>
      </c>
      <c r="F267" s="9"/>
      <c r="G267" s="9"/>
      <c r="H267" s="9"/>
      <c r="I267" s="9"/>
      <c r="J267" s="9">
        <f>+I267-'ROR-Model'!I267</f>
        <v>0</v>
      </c>
      <c r="K267" s="9"/>
      <c r="L267" s="9"/>
      <c r="M267" s="9"/>
      <c r="N267" s="9"/>
      <c r="O267" s="136"/>
      <c r="P267" s="142"/>
      <c r="Q267" s="9"/>
      <c r="R267" s="9"/>
      <c r="S267" s="142"/>
      <c r="T267" s="9"/>
      <c r="U267" s="9"/>
      <c r="V267" s="140"/>
      <c r="W267" s="9"/>
      <c r="X267" s="156"/>
      <c r="Y267" s="918">
        <f t="shared" si="9"/>
        <v>258</v>
      </c>
      <c r="AA267" s="9"/>
      <c r="AC267" s="9" t="str">
        <f t="shared" si="10"/>
        <v/>
      </c>
      <c r="AE267" s="44" t="str">
        <f t="shared" si="11"/>
        <v/>
      </c>
    </row>
    <row r="268" spans="1:31">
      <c r="A268" s="153"/>
      <c r="B268" s="63"/>
      <c r="C268" s="63"/>
      <c r="D268" s="49"/>
      <c r="E268" s="9">
        <f>+G268-Adjustments!G268</f>
        <v>0</v>
      </c>
      <c r="F268" s="9"/>
      <c r="G268" s="9">
        <f>+Adjustments!U268</f>
        <v>0</v>
      </c>
      <c r="H268" s="9"/>
      <c r="I268" s="9">
        <f>SUM($F$268:$H$268)</f>
        <v>0</v>
      </c>
      <c r="J268" s="9">
        <f>+I268-'ROR-Model'!I268</f>
        <v>0</v>
      </c>
      <c r="K268" s="9"/>
      <c r="L268" s="9" t="s">
        <v>24</v>
      </c>
      <c r="M268" s="9">
        <f>VLOOKUP($L268,$L$2:$N$7,2,FALSE)*I268</f>
        <v>0</v>
      </c>
      <c r="N268" s="9">
        <f>VLOOKUP($L268,$L$2:$N$7,3,FALSE)*I268</f>
        <v>0</v>
      </c>
      <c r="O268" s="136"/>
      <c r="P268" s="142"/>
      <c r="Q268" s="9"/>
      <c r="R268" s="9"/>
      <c r="S268" s="142"/>
      <c r="T268" s="9"/>
      <c r="U268" s="9"/>
      <c r="V268" s="140"/>
      <c r="W268" s="9"/>
      <c r="X268" s="156"/>
      <c r="Y268" s="918">
        <f t="shared" ref="Y268:Y333" si="13">Y267+1</f>
        <v>259</v>
      </c>
      <c r="AA268" s="9"/>
      <c r="AC268" s="9" t="str">
        <f t="shared" si="10"/>
        <v/>
      </c>
      <c r="AE268" s="44" t="str">
        <f t="shared" si="11"/>
        <v/>
      </c>
    </row>
    <row r="269" spans="1:31">
      <c r="A269" s="153"/>
      <c r="B269" s="365"/>
      <c r="C269" s="365"/>
      <c r="D269" s="49"/>
      <c r="E269" s="9">
        <f>+G269-Adjustments!G269</f>
        <v>0</v>
      </c>
      <c r="F269" s="9"/>
      <c r="G269" s="9"/>
      <c r="H269" s="9"/>
      <c r="I269" s="9"/>
      <c r="J269" s="9">
        <f>+I269-'ROR-Model'!I269</f>
        <v>0</v>
      </c>
      <c r="K269" s="9"/>
      <c r="L269" s="9"/>
      <c r="M269" s="9"/>
      <c r="N269" s="9"/>
      <c r="O269" s="136"/>
      <c r="P269" s="142"/>
      <c r="Q269" s="9"/>
      <c r="R269" s="9"/>
      <c r="S269" s="142"/>
      <c r="T269" s="9"/>
      <c r="U269" s="9"/>
      <c r="V269" s="140"/>
      <c r="W269" s="9"/>
      <c r="X269" s="156"/>
      <c r="Y269" s="918">
        <f t="shared" si="13"/>
        <v>260</v>
      </c>
      <c r="AA269" s="9"/>
      <c r="AC269" s="9" t="str">
        <f t="shared" si="10"/>
        <v/>
      </c>
      <c r="AE269" s="44" t="str">
        <f t="shared" si="11"/>
        <v/>
      </c>
    </row>
    <row r="270" spans="1:31">
      <c r="A270" s="153"/>
      <c r="B270" s="63"/>
      <c r="C270" s="63" t="s">
        <v>17</v>
      </c>
      <c r="D270" s="49"/>
      <c r="E270" s="9">
        <f>+G270-Adjustments!G270</f>
        <v>0</v>
      </c>
      <c r="F270" s="9">
        <f>Revenue!$F$269</f>
        <v>0</v>
      </c>
      <c r="G270" s="9">
        <f>+Adjustments!U270</f>
        <v>0</v>
      </c>
      <c r="H270" s="9"/>
      <c r="I270" s="9">
        <f>SUM($F$270:$H$270)</f>
        <v>0</v>
      </c>
      <c r="J270" s="9">
        <f>+I270-'ROR-Model'!I270</f>
        <v>0</v>
      </c>
      <c r="K270" s="9"/>
      <c r="L270" s="9" t="s">
        <v>24</v>
      </c>
      <c r="M270" s="9">
        <f>VLOOKUP($L270,$L$2:$N$7,2,FALSE)*I270</f>
        <v>0</v>
      </c>
      <c r="N270" s="9">
        <f>VLOOKUP($L270,$L$2:$N$7,3,FALSE)*I270</f>
        <v>0</v>
      </c>
      <c r="O270" s="136"/>
      <c r="P270" s="142" t="s">
        <v>548</v>
      </c>
      <c r="Q270" s="9">
        <f>IF(P270="G",M270,IF(P270="PT",0,ERR))</f>
        <v>0</v>
      </c>
      <c r="R270" s="9">
        <f>IF(P270="PT",M270,IF(P270="G",0,ERR))</f>
        <v>0</v>
      </c>
      <c r="S270" s="142" t="s">
        <v>548</v>
      </c>
      <c r="T270" s="9">
        <f>IF(S270="G",N270,IF(S270="PT",0,ERR))</f>
        <v>0</v>
      </c>
      <c r="U270" s="9">
        <f>IF(S270="PT",N270,IF(S270="G",0,ERR))</f>
        <v>0</v>
      </c>
      <c r="V270" s="140"/>
      <c r="W270" s="9">
        <f>HLOOKUP($W$9,'ROR-Model'!$Q$10:$U$1263,Y270)</f>
        <v>0</v>
      </c>
      <c r="X270" s="156"/>
      <c r="Y270" s="918">
        <f t="shared" si="13"/>
        <v>261</v>
      </c>
      <c r="AA270" s="9">
        <v>0</v>
      </c>
      <c r="AC270" s="9" t="str">
        <f t="shared" si="10"/>
        <v/>
      </c>
      <c r="AE270" s="44" t="str">
        <f t="shared" si="11"/>
        <v/>
      </c>
    </row>
    <row r="271" spans="1:31">
      <c r="A271" s="153"/>
      <c r="B271" s="63"/>
      <c r="C271" s="63" t="s">
        <v>18</v>
      </c>
      <c r="D271" s="49"/>
      <c r="E271" s="157">
        <f>+G271-Adjustments!G271</f>
        <v>0</v>
      </c>
      <c r="F271" s="157">
        <f>SUM(F266:F270)</f>
        <v>0</v>
      </c>
      <c r="G271" s="157">
        <f>SUM(G266:G270)</f>
        <v>0</v>
      </c>
      <c r="H271" s="157">
        <f>SUM(H266:H270)</f>
        <v>0</v>
      </c>
      <c r="I271" s="157">
        <f>SUM(I266:I270)</f>
        <v>0</v>
      </c>
      <c r="J271" s="9">
        <f>+I271-'ROR-Model'!I271</f>
        <v>0</v>
      </c>
      <c r="K271" s="9"/>
      <c r="L271" s="157"/>
      <c r="M271" s="157">
        <f>SUM(M266:M270)</f>
        <v>0</v>
      </c>
      <c r="N271" s="157">
        <f>SUM(N266:N270)</f>
        <v>0</v>
      </c>
      <c r="O271" s="136"/>
      <c r="P271" s="226"/>
      <c r="Q271" s="157">
        <f>SUM(Q266:Q270)</f>
        <v>0</v>
      </c>
      <c r="R271" s="157">
        <f>SUM(R266:R270)</f>
        <v>0</v>
      </c>
      <c r="S271" s="226"/>
      <c r="T271" s="157">
        <f>SUM(T266:T270)</f>
        <v>0</v>
      </c>
      <c r="U271" s="157">
        <f>SUM(U266:U270)</f>
        <v>0</v>
      </c>
      <c r="V271" s="140"/>
      <c r="W271" s="157">
        <f>HLOOKUP($W$9,'ROR-Model'!$Q$10:$U$1263,Y271)</f>
        <v>0</v>
      </c>
      <c r="X271" s="156"/>
      <c r="Y271" s="918">
        <f t="shared" si="13"/>
        <v>262</v>
      </c>
      <c r="AA271" s="157">
        <v>0</v>
      </c>
      <c r="AC271" s="157" t="str">
        <f t="shared" si="10"/>
        <v/>
      </c>
      <c r="AE271" s="44" t="str">
        <f t="shared" si="11"/>
        <v/>
      </c>
    </row>
    <row r="272" spans="1:31">
      <c r="A272" s="153"/>
      <c r="B272" s="63"/>
      <c r="C272" s="63"/>
      <c r="D272" s="49"/>
      <c r="E272" s="9">
        <f>+G272-Adjustments!G272</f>
        <v>0</v>
      </c>
      <c r="F272" s="9"/>
      <c r="G272" s="9"/>
      <c r="H272" s="9"/>
      <c r="I272" s="9"/>
      <c r="J272" s="9">
        <f>+I272-'ROR-Model'!I272</f>
        <v>0</v>
      </c>
      <c r="K272" s="9"/>
      <c r="L272" s="9"/>
      <c r="M272" s="9"/>
      <c r="N272" s="9"/>
      <c r="O272" s="136"/>
      <c r="P272" s="142"/>
      <c r="Q272" s="9"/>
      <c r="R272" s="9"/>
      <c r="S272" s="142"/>
      <c r="T272" s="9"/>
      <c r="U272" s="9"/>
      <c r="V272" s="140"/>
      <c r="W272" s="9"/>
      <c r="X272" s="156"/>
      <c r="Y272" s="918">
        <f t="shared" si="13"/>
        <v>263</v>
      </c>
      <c r="AA272" s="9"/>
      <c r="AC272" s="9" t="str">
        <f t="shared" si="10"/>
        <v/>
      </c>
      <c r="AE272" s="44" t="str">
        <f t="shared" si="11"/>
        <v/>
      </c>
    </row>
    <row r="273" spans="1:31">
      <c r="A273" s="153"/>
      <c r="B273" s="63"/>
      <c r="C273" s="63" t="s">
        <v>19</v>
      </c>
      <c r="D273" s="49"/>
      <c r="E273" s="9">
        <f>+G273-Adjustments!G273</f>
        <v>0</v>
      </c>
      <c r="F273" s="9">
        <f>Revenue!$F$272</f>
        <v>0</v>
      </c>
      <c r="G273" s="9">
        <f>+Adjustments!U273</f>
        <v>0</v>
      </c>
      <c r="H273" s="9"/>
      <c r="I273" s="9">
        <f>SUM($F$273:$H$273)</f>
        <v>0</v>
      </c>
      <c r="J273" s="9">
        <f>+I273-'ROR-Model'!I273</f>
        <v>0</v>
      </c>
      <c r="K273" s="9"/>
      <c r="L273" s="9" t="s">
        <v>24</v>
      </c>
      <c r="M273" s="9">
        <f>VLOOKUP($L273,$L$2:$N$7,2,FALSE)*I273</f>
        <v>0</v>
      </c>
      <c r="N273" s="9">
        <f>VLOOKUP($L273,$L$2:$N$7,3,FALSE)*I273</f>
        <v>0</v>
      </c>
      <c r="O273" s="136"/>
      <c r="P273" s="142" t="s">
        <v>549</v>
      </c>
      <c r="Q273" s="9">
        <f>IF(P273="G",M273,IF(P273="PT",0,ERR))</f>
        <v>0</v>
      </c>
      <c r="R273" s="9">
        <f>IF(P273="PT",M273,IF(P273="G",0,ERR))</f>
        <v>0</v>
      </c>
      <c r="S273" s="142" t="s">
        <v>549</v>
      </c>
      <c r="T273" s="9">
        <f>IF(S273="G",N273,IF(S273="PT",0,ERR))</f>
        <v>0</v>
      </c>
      <c r="U273" s="9">
        <f>IF(S273="PT",N273,IF(S273="G",0,ERR))</f>
        <v>0</v>
      </c>
      <c r="V273" s="140"/>
      <c r="W273" s="9">
        <f>HLOOKUP($W$9,'ROR-Model'!$Q$10:$U$1263,Y273)</f>
        <v>0</v>
      </c>
      <c r="X273" s="156"/>
      <c r="Y273" s="918">
        <f t="shared" si="13"/>
        <v>264</v>
      </c>
      <c r="AA273" s="9">
        <v>0</v>
      </c>
      <c r="AC273" s="9" t="str">
        <f t="shared" ref="AC273:AC336" si="14">IF(ABS(AA273)&gt;0,W273-AA273,"")</f>
        <v/>
      </c>
      <c r="AE273" s="44" t="str">
        <f t="shared" si="11"/>
        <v/>
      </c>
    </row>
    <row r="274" spans="1:31">
      <c r="A274" s="153"/>
      <c r="B274" s="365"/>
      <c r="C274" s="365"/>
      <c r="D274" s="49"/>
      <c r="E274" s="9">
        <f>+G274-Adjustments!G274</f>
        <v>0</v>
      </c>
      <c r="F274" s="9"/>
      <c r="G274" s="9"/>
      <c r="H274" s="9"/>
      <c r="I274" s="9"/>
      <c r="J274" s="9">
        <f>+I274-'ROR-Model'!I274</f>
        <v>0</v>
      </c>
      <c r="K274" s="9"/>
      <c r="L274" s="9"/>
      <c r="M274" s="9"/>
      <c r="N274" s="9"/>
      <c r="O274" s="136"/>
      <c r="P274" s="142"/>
      <c r="Q274" s="9"/>
      <c r="R274" s="9"/>
      <c r="S274" s="142"/>
      <c r="T274" s="9"/>
      <c r="U274" s="9"/>
      <c r="V274" s="140"/>
      <c r="W274" s="9"/>
      <c r="X274" s="156"/>
      <c r="Y274" s="918">
        <f t="shared" si="13"/>
        <v>265</v>
      </c>
      <c r="AA274" s="9"/>
      <c r="AC274" s="9" t="str">
        <f t="shared" si="14"/>
        <v/>
      </c>
      <c r="AE274" s="44" t="str">
        <f t="shared" ref="AE274:AE337" si="15">IF(ABS(AA274)&gt;0,AC274/AA274,"")</f>
        <v/>
      </c>
    </row>
    <row r="275" spans="1:31">
      <c r="A275" s="570"/>
      <c r="B275" s="63" t="s">
        <v>80</v>
      </c>
      <c r="C275" s="365" t="s">
        <v>15</v>
      </c>
      <c r="D275" s="309"/>
      <c r="E275" s="357">
        <f>+G275-Adjustments!G275</f>
        <v>0</v>
      </c>
      <c r="F275" s="357">
        <f>Revenue!$F$274</f>
        <v>52514</v>
      </c>
      <c r="G275" s="357">
        <f>+Adjustments!U275</f>
        <v>0</v>
      </c>
      <c r="H275" s="357"/>
      <c r="I275" s="357">
        <f>SUM($F$275:$H$275)</f>
        <v>52514</v>
      </c>
      <c r="J275" s="9">
        <f>+I275-'ROR-Model'!I275</f>
        <v>0</v>
      </c>
      <c r="K275" s="357"/>
      <c r="L275" s="357" t="s">
        <v>24</v>
      </c>
      <c r="M275" s="357">
        <f>VLOOKUP($L275,$L$2:$N$7,2,FALSE)*I275</f>
        <v>0</v>
      </c>
      <c r="N275" s="357">
        <f>VLOOKUP($L275,$L$2:$N$7,3,FALSE)*I275</f>
        <v>52514</v>
      </c>
      <c r="O275" s="709"/>
      <c r="P275" s="584" t="s">
        <v>549</v>
      </c>
      <c r="Q275" s="357">
        <f>IF(P275="G",M275,IF(P275="PT",0,ERR))</f>
        <v>0</v>
      </c>
      <c r="R275" s="357">
        <f>IF(P275="PT",M275,IF(P275="G",0,ERR))</f>
        <v>0</v>
      </c>
      <c r="S275" s="584" t="s">
        <v>548</v>
      </c>
      <c r="T275" s="357">
        <f>IF(S275="G",N275,IF(S275="PT",0,ERR))</f>
        <v>0</v>
      </c>
      <c r="U275" s="357">
        <f>IF(S275="PT",N275,IF(S275="G",0,ERR))</f>
        <v>52514</v>
      </c>
      <c r="V275" s="710"/>
      <c r="W275" s="357">
        <f>HLOOKUP($W$9,'ROR-Model'!$Q$10:$U$1263,Y275)</f>
        <v>0</v>
      </c>
      <c r="X275" s="359"/>
      <c r="Y275" s="918">
        <f t="shared" si="13"/>
        <v>266</v>
      </c>
      <c r="AA275" s="357">
        <v>0</v>
      </c>
      <c r="AC275" s="357" t="str">
        <f t="shared" si="14"/>
        <v/>
      </c>
      <c r="AE275" s="44" t="str">
        <f t="shared" si="15"/>
        <v/>
      </c>
    </row>
    <row r="276" spans="1:31">
      <c r="A276" s="153"/>
      <c r="B276" s="365"/>
      <c r="C276" s="365"/>
      <c r="D276" s="113" t="s">
        <v>452</v>
      </c>
      <c r="E276" s="9">
        <f>+G276-Adjustments!G276</f>
        <v>0</v>
      </c>
      <c r="F276" s="9"/>
      <c r="G276" s="9"/>
      <c r="H276" s="9"/>
      <c r="I276" s="9"/>
      <c r="J276" s="9">
        <f>+I276-'ROR-Model'!I276</f>
        <v>0</v>
      </c>
      <c r="K276" s="9"/>
      <c r="L276" s="9"/>
      <c r="M276" s="9"/>
      <c r="N276" s="9"/>
      <c r="O276" s="136"/>
      <c r="P276" s="142"/>
      <c r="Q276" s="9"/>
      <c r="R276" s="9"/>
      <c r="S276" s="142"/>
      <c r="T276" s="9"/>
      <c r="U276" s="9"/>
      <c r="V276" s="140"/>
      <c r="W276" s="9"/>
      <c r="X276" s="156"/>
      <c r="Y276" s="918">
        <f t="shared" si="13"/>
        <v>267</v>
      </c>
      <c r="AA276" s="9"/>
      <c r="AC276" s="9" t="str">
        <f t="shared" si="14"/>
        <v/>
      </c>
      <c r="AE276" s="44" t="str">
        <f t="shared" si="15"/>
        <v/>
      </c>
    </row>
    <row r="277" spans="1:31">
      <c r="A277" s="153"/>
      <c r="B277" s="365"/>
      <c r="C277" s="365" t="s">
        <v>16</v>
      </c>
      <c r="D277" s="49"/>
      <c r="E277" s="9">
        <f>+G277-Adjustments!G277</f>
        <v>0</v>
      </c>
      <c r="F277" s="9">
        <f>Revenue!$F$276</f>
        <v>-36</v>
      </c>
      <c r="G277" s="9">
        <f>+Adjustments!U277</f>
        <v>0</v>
      </c>
      <c r="H277" s="9"/>
      <c r="I277" s="9">
        <f>SUM($F$277:$H$277)</f>
        <v>-36</v>
      </c>
      <c r="J277" s="9">
        <f>+I277-'ROR-Model'!I277</f>
        <v>0</v>
      </c>
      <c r="K277" s="9"/>
      <c r="L277" s="9" t="s">
        <v>24</v>
      </c>
      <c r="M277" s="9">
        <f>VLOOKUP($L277,$L$2:$N$7,2,FALSE)*I277</f>
        <v>0</v>
      </c>
      <c r="N277" s="9">
        <f>VLOOKUP($L277,$L$2:$N$7,3,FALSE)*I277</f>
        <v>-36</v>
      </c>
      <c r="O277" s="136"/>
      <c r="P277" s="142"/>
      <c r="Q277" s="9"/>
      <c r="R277" s="9"/>
      <c r="S277" s="584" t="s">
        <v>548</v>
      </c>
      <c r="T277" s="357">
        <f>IF(S277="G",N277,IF(S277="PT",0,ERR))</f>
        <v>0</v>
      </c>
      <c r="U277" s="357">
        <f>IF(S277="PT",N277,IF(S277="G",0,ERR))</f>
        <v>-36</v>
      </c>
      <c r="V277" s="140"/>
      <c r="W277" s="9"/>
      <c r="X277" s="156"/>
      <c r="Y277" s="918">
        <f t="shared" si="13"/>
        <v>268</v>
      </c>
      <c r="AA277" s="9"/>
      <c r="AC277" s="9" t="str">
        <f t="shared" si="14"/>
        <v/>
      </c>
      <c r="AE277" s="44" t="str">
        <f t="shared" si="15"/>
        <v/>
      </c>
    </row>
    <row r="278" spans="1:31">
      <c r="A278" s="153"/>
      <c r="B278" s="365"/>
      <c r="C278" s="365"/>
      <c r="D278" s="49"/>
      <c r="E278" s="9">
        <f>+G278-Adjustments!G278</f>
        <v>0</v>
      </c>
      <c r="F278" s="9"/>
      <c r="G278" s="9"/>
      <c r="H278" s="9"/>
      <c r="I278" s="9"/>
      <c r="J278" s="9">
        <f>+I278-'ROR-Model'!I278</f>
        <v>0</v>
      </c>
      <c r="K278" s="9"/>
      <c r="L278" s="9"/>
      <c r="M278" s="9"/>
      <c r="N278" s="9"/>
      <c r="O278" s="136"/>
      <c r="P278" s="142"/>
      <c r="Q278" s="9"/>
      <c r="R278" s="9"/>
      <c r="S278" s="142"/>
      <c r="T278" s="9"/>
      <c r="U278" s="9"/>
      <c r="V278" s="140"/>
      <c r="W278" s="9"/>
      <c r="X278" s="156"/>
      <c r="Y278" s="918">
        <f t="shared" si="13"/>
        <v>269</v>
      </c>
      <c r="AA278" s="9"/>
      <c r="AC278" s="9" t="str">
        <f t="shared" si="14"/>
        <v/>
      </c>
      <c r="AE278" s="44" t="str">
        <f t="shared" si="15"/>
        <v/>
      </c>
    </row>
    <row r="279" spans="1:31">
      <c r="A279" s="153"/>
      <c r="B279" s="63"/>
      <c r="C279" s="365" t="s">
        <v>17</v>
      </c>
      <c r="D279" s="49"/>
      <c r="E279" s="9">
        <f>+G279-Adjustments!G279</f>
        <v>0</v>
      </c>
      <c r="F279" s="9">
        <f>Revenue!$F$278</f>
        <v>775489</v>
      </c>
      <c r="G279" s="9">
        <f>+Adjustments!U279</f>
        <v>0</v>
      </c>
      <c r="H279" s="9"/>
      <c r="I279" s="9">
        <f>SUM($F$279:$H$279)</f>
        <v>775489</v>
      </c>
      <c r="J279" s="9">
        <f>+I279-'ROR-Model'!I279</f>
        <v>0</v>
      </c>
      <c r="K279" s="9"/>
      <c r="L279" s="9" t="s">
        <v>24</v>
      </c>
      <c r="M279" s="9">
        <f>VLOOKUP($L279,$L$2:$N$7,2,FALSE)*I279</f>
        <v>0</v>
      </c>
      <c r="N279" s="9">
        <f>VLOOKUP($L279,$L$2:$N$7,3,FALSE)*I279</f>
        <v>775489</v>
      </c>
      <c r="O279" s="136"/>
      <c r="P279" s="142" t="s">
        <v>548</v>
      </c>
      <c r="Q279" s="9">
        <f>IF(P279="G",M279,IF(P279="PT",0,ERR))</f>
        <v>0</v>
      </c>
      <c r="R279" s="9">
        <f>IF(P279="PT",M279,IF(P279="G",0,ERR))</f>
        <v>0</v>
      </c>
      <c r="S279" s="142" t="s">
        <v>548</v>
      </c>
      <c r="T279" s="9">
        <f>IF(S279="G",N279,IF(S279="PT",0,ERR))</f>
        <v>0</v>
      </c>
      <c r="U279" s="9">
        <f>IF(S279="PT",N279,IF(S279="G",0,ERR))</f>
        <v>775489</v>
      </c>
      <c r="V279" s="140"/>
      <c r="W279" s="9">
        <f>HLOOKUP($W$9,'ROR-Model'!$Q$10:$U$1263,Y279)</f>
        <v>0</v>
      </c>
      <c r="X279" s="156"/>
      <c r="Y279" s="918">
        <f t="shared" si="13"/>
        <v>270</v>
      </c>
      <c r="AA279" s="9">
        <v>0</v>
      </c>
      <c r="AC279" s="9" t="str">
        <f t="shared" si="14"/>
        <v/>
      </c>
      <c r="AE279" s="44" t="str">
        <f t="shared" si="15"/>
        <v/>
      </c>
    </row>
    <row r="280" spans="1:31">
      <c r="A280" s="153"/>
      <c r="B280" s="63"/>
      <c r="C280" s="365" t="s">
        <v>18</v>
      </c>
      <c r="D280" s="49"/>
      <c r="E280" s="157">
        <f>+G280-Adjustments!G280</f>
        <v>0</v>
      </c>
      <c r="F280" s="157">
        <f>SUM(F275:F279)</f>
        <v>827967</v>
      </c>
      <c r="G280" s="157">
        <f>SUM(G275:G279)</f>
        <v>0</v>
      </c>
      <c r="H280" s="157">
        <f>SUM(H275:H279)</f>
        <v>0</v>
      </c>
      <c r="I280" s="157">
        <f>SUM(I275:I279)</f>
        <v>827967</v>
      </c>
      <c r="J280" s="9">
        <f>+I280-'ROR-Model'!I280</f>
        <v>0</v>
      </c>
      <c r="K280" s="9"/>
      <c r="L280" s="157"/>
      <c r="M280" s="157">
        <f>SUM(M275:M279)</f>
        <v>0</v>
      </c>
      <c r="N280" s="157">
        <f>SUM(N275:N279)</f>
        <v>827967</v>
      </c>
      <c r="O280" s="136"/>
      <c r="P280" s="226"/>
      <c r="Q280" s="157">
        <f>SUM(Q275:Q279)</f>
        <v>0</v>
      </c>
      <c r="R280" s="157">
        <f>SUM(R275:R279)</f>
        <v>0</v>
      </c>
      <c r="S280" s="226"/>
      <c r="T280" s="157">
        <f>SUM(T275:T279)</f>
        <v>0</v>
      </c>
      <c r="U280" s="157">
        <f>SUM(U275:U279)</f>
        <v>827967</v>
      </c>
      <c r="V280" s="140"/>
      <c r="W280" s="157">
        <f>HLOOKUP($W$9,'ROR-Model'!$Q$10:$U$1263,Y280)</f>
        <v>0</v>
      </c>
      <c r="X280" s="156"/>
      <c r="Y280" s="918">
        <f t="shared" si="13"/>
        <v>271</v>
      </c>
      <c r="AA280" s="157">
        <v>0</v>
      </c>
      <c r="AC280" s="157" t="str">
        <f t="shared" si="14"/>
        <v/>
      </c>
      <c r="AE280" s="44" t="str">
        <f t="shared" si="15"/>
        <v/>
      </c>
    </row>
    <row r="281" spans="1:31">
      <c r="A281" s="153"/>
      <c r="B281" s="63"/>
      <c r="C281" s="365"/>
      <c r="D281" s="49"/>
      <c r="E281" s="9">
        <f>+G281-Adjustments!G281</f>
        <v>0</v>
      </c>
      <c r="F281" s="9"/>
      <c r="G281" s="9"/>
      <c r="H281" s="9"/>
      <c r="I281" s="9"/>
      <c r="J281" s="9">
        <f>+I281-'ROR-Model'!I281</f>
        <v>0</v>
      </c>
      <c r="K281" s="9"/>
      <c r="L281" s="9"/>
      <c r="M281" s="9"/>
      <c r="N281" s="9"/>
      <c r="O281" s="136"/>
      <c r="P281" s="142"/>
      <c r="Q281" s="9"/>
      <c r="R281" s="9"/>
      <c r="S281" s="142"/>
      <c r="T281" s="9"/>
      <c r="U281" s="9"/>
      <c r="V281" s="140"/>
      <c r="W281" s="9"/>
      <c r="X281" s="156"/>
      <c r="Y281" s="918">
        <f t="shared" si="13"/>
        <v>272</v>
      </c>
      <c r="AA281" s="9"/>
      <c r="AC281" s="9" t="str">
        <f t="shared" si="14"/>
        <v/>
      </c>
      <c r="AE281" s="44" t="str">
        <f t="shared" si="15"/>
        <v/>
      </c>
    </row>
    <row r="282" spans="1:31">
      <c r="A282" s="153"/>
      <c r="B282" s="63"/>
      <c r="C282" s="365" t="s">
        <v>19</v>
      </c>
      <c r="D282" s="49"/>
      <c r="E282" s="9">
        <f>+G282-Adjustments!G282</f>
        <v>0</v>
      </c>
      <c r="F282" s="9">
        <f>Revenue!$F$281</f>
        <v>148998</v>
      </c>
      <c r="G282" s="9">
        <f>+Adjustments!U282</f>
        <v>0</v>
      </c>
      <c r="H282" s="9"/>
      <c r="I282" s="9">
        <f>SUM($F$282:$H$282)</f>
        <v>148998</v>
      </c>
      <c r="J282" s="9">
        <f>+I282-'ROR-Model'!I282</f>
        <v>0</v>
      </c>
      <c r="K282" s="9"/>
      <c r="L282" s="9" t="s">
        <v>24</v>
      </c>
      <c r="M282" s="9">
        <f>VLOOKUP($L282,$L$2:$N$7,2,FALSE)*I282</f>
        <v>0</v>
      </c>
      <c r="N282" s="9">
        <f>VLOOKUP($L282,$L$2:$N$7,3,FALSE)*I282</f>
        <v>148998</v>
      </c>
      <c r="O282" s="136"/>
      <c r="P282" s="142" t="s">
        <v>549</v>
      </c>
      <c r="Q282" s="9">
        <f>IF(P282="G",M282,IF(P282="PT",0,ERR))</f>
        <v>0</v>
      </c>
      <c r="R282" s="9">
        <f>IF(P282="PT",M282,IF(P282="G",0,ERR))</f>
        <v>0</v>
      </c>
      <c r="S282" s="142" t="s">
        <v>548</v>
      </c>
      <c r="T282" s="9">
        <f>IF(S282="G",N282,IF(S282="PT",0,ERR))</f>
        <v>0</v>
      </c>
      <c r="U282" s="9">
        <f>IF(S282="PT",N282,IF(S282="G",0,ERR))</f>
        <v>148998</v>
      </c>
      <c r="V282" s="140"/>
      <c r="W282" s="9">
        <f>HLOOKUP($W$9,'ROR-Model'!$Q$10:$U$1263,Y282)</f>
        <v>0</v>
      </c>
      <c r="X282" s="156"/>
      <c r="Y282" s="918">
        <f t="shared" si="13"/>
        <v>273</v>
      </c>
      <c r="AA282" s="9">
        <v>0</v>
      </c>
      <c r="AC282" s="9" t="str">
        <f t="shared" si="14"/>
        <v/>
      </c>
      <c r="AE282" s="44" t="str">
        <f t="shared" si="15"/>
        <v/>
      </c>
    </row>
    <row r="283" spans="1:31">
      <c r="A283" s="153"/>
      <c r="B283" s="365"/>
      <c r="C283" s="365"/>
      <c r="D283" s="49"/>
      <c r="E283" s="9">
        <f>+G283-Adjustments!G283</f>
        <v>0</v>
      </c>
      <c r="F283" s="9"/>
      <c r="G283" s="9"/>
      <c r="H283" s="9"/>
      <c r="I283" s="9"/>
      <c r="J283" s="9">
        <f>+I283-'ROR-Model'!I283</f>
        <v>0</v>
      </c>
      <c r="K283" s="9"/>
      <c r="L283" s="9"/>
      <c r="M283" s="9"/>
      <c r="N283" s="9"/>
      <c r="O283" s="136"/>
      <c r="P283" s="142"/>
      <c r="Q283" s="9"/>
      <c r="R283" s="9"/>
      <c r="S283" s="142"/>
      <c r="T283" s="9"/>
      <c r="U283" s="9"/>
      <c r="V283" s="140"/>
      <c r="W283" s="9"/>
      <c r="X283" s="156"/>
      <c r="Y283" s="918">
        <f t="shared" si="13"/>
        <v>274</v>
      </c>
      <c r="AA283" s="9"/>
      <c r="AC283" s="9" t="str">
        <f t="shared" si="14"/>
        <v/>
      </c>
      <c r="AE283" s="44" t="str">
        <f t="shared" si="15"/>
        <v/>
      </c>
    </row>
    <row r="284" spans="1:31">
      <c r="A284" s="153"/>
      <c r="B284" s="63" t="s">
        <v>81</v>
      </c>
      <c r="C284" s="365" t="s">
        <v>15</v>
      </c>
      <c r="D284" s="49"/>
      <c r="E284" s="9">
        <f>+G284-Adjustments!G284</f>
        <v>0</v>
      </c>
      <c r="F284" s="9">
        <f>Revenue!$F$283</f>
        <v>0</v>
      </c>
      <c r="G284" s="9">
        <f>+Adjustments!U284</f>
        <v>0</v>
      </c>
      <c r="H284" s="9"/>
      <c r="I284" s="9">
        <f>SUM($F$284:$H$284)</f>
        <v>0</v>
      </c>
      <c r="J284" s="9">
        <f>+I284-'ROR-Model'!I284</f>
        <v>0</v>
      </c>
      <c r="K284" s="9"/>
      <c r="L284" s="9" t="s">
        <v>24</v>
      </c>
      <c r="M284" s="9">
        <f>VLOOKUP($L284,$L$2:$N$7,2,FALSE)*I284</f>
        <v>0</v>
      </c>
      <c r="N284" s="9">
        <f>VLOOKUP($L284,$L$2:$N$7,3,FALSE)*I284</f>
        <v>0</v>
      </c>
      <c r="O284" s="136"/>
      <c r="P284" s="142" t="s">
        <v>549</v>
      </c>
      <c r="Q284" s="9">
        <f>IF(P284="G",M284,IF(P284="PT",0,ERR))</f>
        <v>0</v>
      </c>
      <c r="R284" s="9">
        <f>IF(P284="PT",M284,IF(P284="G",0,ERR))</f>
        <v>0</v>
      </c>
      <c r="S284" s="584" t="s">
        <v>548</v>
      </c>
      <c r="T284" s="9">
        <f>IF(S284="G",N284,IF(S284="PT",0,ERR))</f>
        <v>0</v>
      </c>
      <c r="U284" s="9">
        <f>IF(S284="PT",N284,IF(S284="G",0,ERR))</f>
        <v>0</v>
      </c>
      <c r="V284" s="140"/>
      <c r="W284" s="9">
        <f>HLOOKUP($W$9,'ROR-Model'!$Q$10:$U$1263,Y284)</f>
        <v>0</v>
      </c>
      <c r="X284" s="156"/>
      <c r="Y284" s="918">
        <f t="shared" si="13"/>
        <v>275</v>
      </c>
      <c r="AA284" s="9">
        <v>0</v>
      </c>
      <c r="AC284" s="9" t="str">
        <f t="shared" si="14"/>
        <v/>
      </c>
      <c r="AE284" s="44" t="str">
        <f t="shared" si="15"/>
        <v/>
      </c>
    </row>
    <row r="285" spans="1:31">
      <c r="A285" s="153"/>
      <c r="B285" s="365"/>
      <c r="C285" s="365"/>
      <c r="D285" s="113" t="s">
        <v>452</v>
      </c>
      <c r="E285" s="9">
        <f>+G285-Adjustments!G285</f>
        <v>0</v>
      </c>
      <c r="F285" s="9"/>
      <c r="G285" s="9"/>
      <c r="H285" s="9"/>
      <c r="I285" s="9"/>
      <c r="J285" s="9">
        <f>+I285-'ROR-Model'!I285</f>
        <v>0</v>
      </c>
      <c r="K285" s="9"/>
      <c r="L285" s="9"/>
      <c r="M285" s="9"/>
      <c r="N285" s="9"/>
      <c r="O285" s="136"/>
      <c r="P285" s="142"/>
      <c r="Q285" s="9"/>
      <c r="R285" s="9"/>
      <c r="S285" s="142"/>
      <c r="T285" s="9"/>
      <c r="U285" s="9"/>
      <c r="V285" s="140"/>
      <c r="W285" s="9"/>
      <c r="X285" s="156"/>
      <c r="Y285" s="918">
        <f t="shared" si="13"/>
        <v>276</v>
      </c>
      <c r="AA285" s="9"/>
      <c r="AC285" s="9" t="str">
        <f t="shared" si="14"/>
        <v/>
      </c>
      <c r="AE285" s="44" t="str">
        <f t="shared" si="15"/>
        <v/>
      </c>
    </row>
    <row r="286" spans="1:31">
      <c r="A286" s="153"/>
      <c r="B286" s="365"/>
      <c r="C286" s="365" t="s">
        <v>16</v>
      </c>
      <c r="D286" s="49"/>
      <c r="E286" s="9">
        <f>+G286-Adjustments!G286</f>
        <v>0</v>
      </c>
      <c r="F286" s="9">
        <f>Revenue!$F$285</f>
        <v>0</v>
      </c>
      <c r="G286" s="9">
        <f>+Adjustments!U286</f>
        <v>0</v>
      </c>
      <c r="H286" s="9"/>
      <c r="I286" s="9">
        <f>SUM($F$286:$H$286)</f>
        <v>0</v>
      </c>
      <c r="J286" s="9">
        <f>+I286-'ROR-Model'!I286</f>
        <v>0</v>
      </c>
      <c r="K286" s="9"/>
      <c r="L286" s="9" t="s">
        <v>24</v>
      </c>
      <c r="M286" s="9">
        <f>VLOOKUP($L286,$L$2:$N$7,2,FALSE)*I286</f>
        <v>0</v>
      </c>
      <c r="N286" s="9">
        <f>VLOOKUP($L286,$L$2:$N$7,3,FALSE)*I286</f>
        <v>0</v>
      </c>
      <c r="O286" s="136"/>
      <c r="P286" s="142" t="s">
        <v>548</v>
      </c>
      <c r="Q286" s="9"/>
      <c r="R286" s="9"/>
      <c r="S286" s="142" t="s">
        <v>548</v>
      </c>
      <c r="T286" s="9">
        <f>IF(S286="G",N286,IF(S286="PT",0,ERR))</f>
        <v>0</v>
      </c>
      <c r="U286" s="9">
        <f>IF(S286="PT",N286,IF(S286="G",0,ERR))</f>
        <v>0</v>
      </c>
      <c r="V286" s="140"/>
      <c r="W286" s="9">
        <f>HLOOKUP($W$9,'ROR-Model'!$Q$10:$U$1263,Y286)</f>
        <v>0</v>
      </c>
      <c r="X286" s="156"/>
      <c r="Y286" s="918">
        <f t="shared" si="13"/>
        <v>277</v>
      </c>
      <c r="AA286" s="9">
        <v>0</v>
      </c>
      <c r="AC286" s="9" t="str">
        <f t="shared" si="14"/>
        <v/>
      </c>
      <c r="AE286" s="44" t="str">
        <f t="shared" si="15"/>
        <v/>
      </c>
    </row>
    <row r="287" spans="1:31">
      <c r="A287" s="153"/>
      <c r="B287" s="365"/>
      <c r="C287" s="365"/>
      <c r="D287" s="49"/>
      <c r="E287" s="9">
        <f>+G287-Adjustments!G287</f>
        <v>0</v>
      </c>
      <c r="F287" s="9"/>
      <c r="G287" s="9"/>
      <c r="H287" s="9"/>
      <c r="I287" s="9"/>
      <c r="J287" s="9">
        <f>+I287-'ROR-Model'!I287</f>
        <v>0</v>
      </c>
      <c r="K287" s="9"/>
      <c r="L287" s="9"/>
      <c r="M287" s="9"/>
      <c r="N287" s="9"/>
      <c r="O287" s="136"/>
      <c r="P287" s="142"/>
      <c r="Q287" s="9"/>
      <c r="R287" s="9"/>
      <c r="S287" s="142"/>
      <c r="T287" s="9"/>
      <c r="U287" s="9"/>
      <c r="V287" s="140"/>
      <c r="W287" s="9"/>
      <c r="X287" s="156"/>
      <c r="Y287" s="918">
        <f t="shared" si="13"/>
        <v>278</v>
      </c>
      <c r="AA287" s="9"/>
      <c r="AC287" s="9" t="str">
        <f t="shared" si="14"/>
        <v/>
      </c>
      <c r="AE287" s="44" t="str">
        <f t="shared" si="15"/>
        <v/>
      </c>
    </row>
    <row r="288" spans="1:31">
      <c r="A288" s="153"/>
      <c r="B288" s="63"/>
      <c r="C288" s="365" t="s">
        <v>17</v>
      </c>
      <c r="D288" s="49"/>
      <c r="E288" s="9">
        <f>+G288-Adjustments!G288</f>
        <v>0</v>
      </c>
      <c r="F288" s="9">
        <f>Revenue!$F$287</f>
        <v>0</v>
      </c>
      <c r="G288" s="9">
        <f>+Adjustments!U288</f>
        <v>0</v>
      </c>
      <c r="H288" s="9"/>
      <c r="I288" s="9">
        <f>SUM($F$288:$H$288)</f>
        <v>0</v>
      </c>
      <c r="J288" s="9">
        <f>+I288-'ROR-Model'!I288</f>
        <v>0</v>
      </c>
      <c r="K288" s="9"/>
      <c r="L288" s="9" t="s">
        <v>24</v>
      </c>
      <c r="M288" s="9">
        <f>VLOOKUP($L288,$L$2:$N$7,2,FALSE)*I288</f>
        <v>0</v>
      </c>
      <c r="N288" s="9">
        <f>VLOOKUP($L288,$L$2:$N$7,3,FALSE)*I288</f>
        <v>0</v>
      </c>
      <c r="O288" s="136"/>
      <c r="P288" s="142" t="s">
        <v>548</v>
      </c>
      <c r="Q288" s="9">
        <f>IF(P288="G",M288,IF(P288="PT",0,ERR))</f>
        <v>0</v>
      </c>
      <c r="R288" s="9">
        <f>IF(P288="PT",M288,IF(P288="G",0,ERR))</f>
        <v>0</v>
      </c>
      <c r="S288" s="142" t="s">
        <v>548</v>
      </c>
      <c r="T288" s="9">
        <f>IF(S288="G",N288,IF(S288="PT",0,ERR))</f>
        <v>0</v>
      </c>
      <c r="U288" s="9">
        <f>IF(S288="PT",N288,IF(S288="G",0,ERR))</f>
        <v>0</v>
      </c>
      <c r="V288" s="140"/>
      <c r="W288" s="9">
        <f>HLOOKUP($W$9,'ROR-Model'!$Q$10:$U$1263,Y288)</f>
        <v>0</v>
      </c>
      <c r="X288" s="156"/>
      <c r="Y288" s="918">
        <f t="shared" si="13"/>
        <v>279</v>
      </c>
      <c r="AA288" s="9">
        <v>0</v>
      </c>
      <c r="AC288" s="9" t="str">
        <f t="shared" si="14"/>
        <v/>
      </c>
      <c r="AE288" s="44" t="str">
        <f t="shared" si="15"/>
        <v/>
      </c>
    </row>
    <row r="289" spans="1:31">
      <c r="A289" s="153"/>
      <c r="B289" s="63"/>
      <c r="C289" s="365" t="s">
        <v>18</v>
      </c>
      <c r="D289" s="49"/>
      <c r="E289" s="157">
        <f>+G289-Adjustments!G289</f>
        <v>0</v>
      </c>
      <c r="F289" s="157">
        <f>SUM(F284:F288)</f>
        <v>0</v>
      </c>
      <c r="G289" s="157">
        <f>SUM(G284:G288)</f>
        <v>0</v>
      </c>
      <c r="H289" s="157">
        <f>SUM(H284:H288)</f>
        <v>0</v>
      </c>
      <c r="I289" s="157">
        <f>SUM(I284:I288)</f>
        <v>0</v>
      </c>
      <c r="J289" s="9">
        <f>+I289-'ROR-Model'!I289</f>
        <v>0</v>
      </c>
      <c r="K289" s="9"/>
      <c r="L289" s="157"/>
      <c r="M289" s="157">
        <f>SUM(M284:M288)</f>
        <v>0</v>
      </c>
      <c r="N289" s="157">
        <f>SUM(N284:N288)</f>
        <v>0</v>
      </c>
      <c r="O289" s="136"/>
      <c r="P289" s="226"/>
      <c r="Q289" s="157">
        <f>SUM(Q284:Q288)</f>
        <v>0</v>
      </c>
      <c r="R289" s="157">
        <f>SUM(R284:R288)</f>
        <v>0</v>
      </c>
      <c r="S289" s="226"/>
      <c r="T289" s="157">
        <f>SUM(T284:T288)</f>
        <v>0</v>
      </c>
      <c r="U289" s="157">
        <f>SUM(U284:U288)</f>
        <v>0</v>
      </c>
      <c r="V289" s="140"/>
      <c r="W289" s="157">
        <f>HLOOKUP($W$9,'ROR-Model'!$Q$10:$U$1263,Y289)</f>
        <v>0</v>
      </c>
      <c r="X289" s="156"/>
      <c r="Y289" s="918">
        <f t="shared" si="13"/>
        <v>280</v>
      </c>
      <c r="AA289" s="157">
        <v>0</v>
      </c>
      <c r="AC289" s="157" t="str">
        <f t="shared" si="14"/>
        <v/>
      </c>
      <c r="AE289" s="44" t="str">
        <f t="shared" si="15"/>
        <v/>
      </c>
    </row>
    <row r="290" spans="1:31">
      <c r="A290" s="153"/>
      <c r="B290" s="63"/>
      <c r="C290" s="365"/>
      <c r="D290" s="49"/>
      <c r="E290" s="9">
        <f>+G290-Adjustments!G290</f>
        <v>0</v>
      </c>
      <c r="F290" s="9"/>
      <c r="G290" s="9"/>
      <c r="H290" s="9"/>
      <c r="I290" s="9"/>
      <c r="J290" s="9">
        <f>+I290-'ROR-Model'!I290</f>
        <v>0</v>
      </c>
      <c r="K290" s="9"/>
      <c r="L290" s="9"/>
      <c r="M290" s="9"/>
      <c r="N290" s="9"/>
      <c r="O290" s="136"/>
      <c r="P290" s="142"/>
      <c r="Q290" s="9"/>
      <c r="R290" s="9"/>
      <c r="S290" s="142"/>
      <c r="T290" s="9"/>
      <c r="U290" s="9"/>
      <c r="V290" s="140"/>
      <c r="W290" s="9"/>
      <c r="X290" s="156"/>
      <c r="Y290" s="918">
        <f t="shared" si="13"/>
        <v>281</v>
      </c>
      <c r="AA290" s="9"/>
      <c r="AC290" s="9" t="str">
        <f t="shared" si="14"/>
        <v/>
      </c>
      <c r="AE290" s="44" t="str">
        <f t="shared" si="15"/>
        <v/>
      </c>
    </row>
    <row r="291" spans="1:31">
      <c r="A291" s="153"/>
      <c r="B291" s="63"/>
      <c r="C291" s="365" t="s">
        <v>19</v>
      </c>
      <c r="D291" s="49"/>
      <c r="E291" s="9">
        <f>+G291-Adjustments!G291</f>
        <v>0</v>
      </c>
      <c r="F291" s="9">
        <f>Revenue!$F$290</f>
        <v>0</v>
      </c>
      <c r="G291" s="9">
        <f>+Adjustments!U291</f>
        <v>0</v>
      </c>
      <c r="H291" s="9"/>
      <c r="I291" s="9">
        <f>SUM($F$291:$H$291)</f>
        <v>0</v>
      </c>
      <c r="J291" s="9">
        <f>+I291-'ROR-Model'!I291</f>
        <v>0</v>
      </c>
      <c r="K291" s="9"/>
      <c r="L291" s="9" t="s">
        <v>24</v>
      </c>
      <c r="M291" s="9">
        <f>VLOOKUP($L291,$L$2:$N$7,2,FALSE)*I291</f>
        <v>0</v>
      </c>
      <c r="N291" s="9">
        <f>VLOOKUP($L291,$L$2:$N$7,3,FALSE)*I291</f>
        <v>0</v>
      </c>
      <c r="O291" s="136"/>
      <c r="P291" s="142" t="s">
        <v>549</v>
      </c>
      <c r="Q291" s="9">
        <f>IF(P291="G",M291,IF(P291="PT",0,ERR))</f>
        <v>0</v>
      </c>
      <c r="R291" s="9">
        <f>IF(P291="PT",M291,IF(P291="G",0,ERR))</f>
        <v>0</v>
      </c>
      <c r="S291" s="584" t="s">
        <v>548</v>
      </c>
      <c r="T291" s="9">
        <f>IF(S291="G",N291,IF(S291="PT",0,ERR))</f>
        <v>0</v>
      </c>
      <c r="U291" s="9">
        <f>IF(S291="PT",N291,IF(S291="G",0,ERR))</f>
        <v>0</v>
      </c>
      <c r="V291" s="140"/>
      <c r="W291" s="9">
        <f>HLOOKUP($W$9,'ROR-Model'!$Q$10:$U$1263,Y291)</f>
        <v>0</v>
      </c>
      <c r="X291" s="156"/>
      <c r="Y291" s="918">
        <f t="shared" si="13"/>
        <v>282</v>
      </c>
      <c r="AA291" s="9">
        <v>0</v>
      </c>
      <c r="AC291" s="9" t="str">
        <f t="shared" si="14"/>
        <v/>
      </c>
      <c r="AE291" s="44" t="str">
        <f t="shared" si="15"/>
        <v/>
      </c>
    </row>
    <row r="292" spans="1:31">
      <c r="A292" s="153"/>
      <c r="B292" s="365"/>
      <c r="C292" s="365"/>
      <c r="D292" s="49"/>
      <c r="E292" s="9">
        <f>+G292-Adjustments!G292</f>
        <v>0</v>
      </c>
      <c r="F292" s="9"/>
      <c r="G292" s="9"/>
      <c r="H292" s="9"/>
      <c r="I292" s="9"/>
      <c r="J292" s="9">
        <f>+I292-'ROR-Model'!I292</f>
        <v>0</v>
      </c>
      <c r="K292" s="9"/>
      <c r="L292" s="9"/>
      <c r="M292" s="9"/>
      <c r="N292" s="9"/>
      <c r="O292" s="136"/>
      <c r="P292" s="142"/>
      <c r="Q292" s="9"/>
      <c r="R292" s="9"/>
      <c r="S292" s="142"/>
      <c r="T292" s="9"/>
      <c r="U292" s="9"/>
      <c r="V292" s="140"/>
      <c r="W292" s="9"/>
      <c r="X292" s="156"/>
      <c r="Y292" s="918">
        <f t="shared" si="13"/>
        <v>283</v>
      </c>
      <c r="AA292" s="9"/>
      <c r="AC292" s="9" t="str">
        <f t="shared" si="14"/>
        <v/>
      </c>
      <c r="AE292" s="44" t="str">
        <f t="shared" si="15"/>
        <v/>
      </c>
    </row>
    <row r="293" spans="1:31">
      <c r="A293" s="570"/>
      <c r="B293" s="365" t="s">
        <v>25</v>
      </c>
      <c r="C293" s="365" t="s">
        <v>15</v>
      </c>
      <c r="D293" s="309"/>
      <c r="E293" s="357">
        <f>+G293-Adjustments!G293</f>
        <v>0</v>
      </c>
      <c r="F293" s="357">
        <f>Revenue!$F$292</f>
        <v>0</v>
      </c>
      <c r="G293" s="357">
        <f>+Adjustments!U293</f>
        <v>0</v>
      </c>
      <c r="H293" s="357"/>
      <c r="I293" s="357">
        <f>SUM($F$293:$H$293)</f>
        <v>0</v>
      </c>
      <c r="J293" s="9">
        <f>+I293-'ROR-Model'!I293</f>
        <v>0</v>
      </c>
      <c r="K293" s="357"/>
      <c r="L293" s="357" t="s">
        <v>24</v>
      </c>
      <c r="M293" s="357">
        <f>VLOOKUP($L293,$L$2:$N$7,2,FALSE)*I293</f>
        <v>0</v>
      </c>
      <c r="N293" s="357">
        <f>VLOOKUP($L293,$L$2:$N$7,3,FALSE)*I293</f>
        <v>0</v>
      </c>
      <c r="O293" s="709"/>
      <c r="P293" s="584" t="s">
        <v>549</v>
      </c>
      <c r="Q293" s="357">
        <f>IF(P293="G",M293,IF(P293="PT",0,ERR))</f>
        <v>0</v>
      </c>
      <c r="R293" s="357">
        <f>IF(P293="PT",M293,IF(P293="G",0,ERR))</f>
        <v>0</v>
      </c>
      <c r="S293" s="584" t="s">
        <v>548</v>
      </c>
      <c r="T293" s="9">
        <f>IF(S293="G",N293,IF(S293="PT",0,ERR))</f>
        <v>0</v>
      </c>
      <c r="U293" s="357">
        <f>IF(S293="PT",N293,IF(S293="G",0,ERR))</f>
        <v>0</v>
      </c>
      <c r="V293" s="710"/>
      <c r="W293" s="357">
        <f>HLOOKUP($W$9,'ROR-Model'!$Q$10:$U$1263,Y293)</f>
        <v>0</v>
      </c>
      <c r="X293" s="359"/>
      <c r="Y293" s="918">
        <f t="shared" si="13"/>
        <v>284</v>
      </c>
      <c r="AA293" s="357">
        <v>0</v>
      </c>
      <c r="AC293" s="357" t="str">
        <f t="shared" si="14"/>
        <v/>
      </c>
      <c r="AE293" s="44" t="str">
        <f t="shared" si="15"/>
        <v/>
      </c>
    </row>
    <row r="294" spans="1:31">
      <c r="A294" s="153"/>
      <c r="B294" s="365" t="s">
        <v>679</v>
      </c>
      <c r="C294" s="365" t="s">
        <v>446</v>
      </c>
      <c r="D294" s="113"/>
      <c r="E294" s="9">
        <f>+G294-Adjustments!G294</f>
        <v>0</v>
      </c>
      <c r="F294" s="9"/>
      <c r="G294" s="9"/>
      <c r="H294" s="9"/>
      <c r="I294" s="9"/>
      <c r="J294" s="9">
        <f>+I294-'ROR-Model'!I294</f>
        <v>0</v>
      </c>
      <c r="K294" s="9"/>
      <c r="L294" s="9"/>
      <c r="M294" s="9"/>
      <c r="N294" s="9"/>
      <c r="O294" s="136"/>
      <c r="P294" s="142"/>
      <c r="Q294" s="9"/>
      <c r="R294" s="9"/>
      <c r="S294" s="142"/>
      <c r="T294" s="9"/>
      <c r="U294" s="9"/>
      <c r="V294" s="140"/>
      <c r="W294" s="9"/>
      <c r="X294" s="156"/>
      <c r="Y294" s="918">
        <f t="shared" si="13"/>
        <v>285</v>
      </c>
      <c r="AA294" s="9"/>
      <c r="AC294" s="9" t="str">
        <f t="shared" si="14"/>
        <v/>
      </c>
      <c r="AE294" s="44" t="str">
        <f t="shared" si="15"/>
        <v/>
      </c>
    </row>
    <row r="295" spans="1:31">
      <c r="A295" s="153"/>
      <c r="B295" s="365"/>
      <c r="C295" s="365"/>
      <c r="D295" s="49"/>
      <c r="E295" s="9">
        <f>+G295-Adjustments!G295</f>
        <v>0</v>
      </c>
      <c r="F295" s="9"/>
      <c r="G295" s="9">
        <f>+Adjustments!U295</f>
        <v>0</v>
      </c>
      <c r="H295" s="9"/>
      <c r="I295" s="9">
        <f>SUM($F$295:$H$295)</f>
        <v>0</v>
      </c>
      <c r="J295" s="9">
        <f>+I295-'ROR-Model'!I295</f>
        <v>0</v>
      </c>
      <c r="K295" s="9"/>
      <c r="L295" s="9" t="s">
        <v>24</v>
      </c>
      <c r="M295" s="9">
        <f>VLOOKUP($L295,$L$2:$N$7,2,FALSE)*I295</f>
        <v>0</v>
      </c>
      <c r="N295" s="9">
        <f>VLOOKUP($L295,$L$2:$N$7,3,FALSE)*I295</f>
        <v>0</v>
      </c>
      <c r="O295" s="136"/>
      <c r="P295" s="142"/>
      <c r="Q295" s="9"/>
      <c r="R295" s="9"/>
      <c r="S295" s="142"/>
      <c r="T295" s="9"/>
      <c r="U295" s="9"/>
      <c r="V295" s="140"/>
      <c r="W295" s="9"/>
      <c r="X295" s="156"/>
      <c r="Y295" s="918">
        <f t="shared" si="13"/>
        <v>286</v>
      </c>
      <c r="AA295" s="9"/>
      <c r="AC295" s="9" t="str">
        <f t="shared" si="14"/>
        <v/>
      </c>
      <c r="AE295" s="44" t="str">
        <f t="shared" si="15"/>
        <v/>
      </c>
    </row>
    <row r="296" spans="1:31">
      <c r="A296" s="153"/>
      <c r="B296" s="365"/>
      <c r="C296" s="365"/>
      <c r="D296" s="49"/>
      <c r="E296" s="9">
        <f>+G296-Adjustments!G296</f>
        <v>0</v>
      </c>
      <c r="F296" s="9"/>
      <c r="G296" s="9"/>
      <c r="H296" s="9"/>
      <c r="I296" s="9"/>
      <c r="J296" s="9">
        <f>+I296-'ROR-Model'!I296</f>
        <v>0</v>
      </c>
      <c r="K296" s="9"/>
      <c r="L296" s="9"/>
      <c r="M296" s="9"/>
      <c r="N296" s="9"/>
      <c r="O296" s="136"/>
      <c r="P296" s="142"/>
      <c r="Q296" s="9"/>
      <c r="R296" s="9"/>
      <c r="S296" s="142"/>
      <c r="T296" s="9"/>
      <c r="U296" s="9"/>
      <c r="V296" s="140"/>
      <c r="W296" s="9"/>
      <c r="X296" s="156"/>
      <c r="Y296" s="918">
        <f t="shared" si="13"/>
        <v>287</v>
      </c>
      <c r="AA296" s="9"/>
      <c r="AC296" s="9" t="str">
        <f t="shared" si="14"/>
        <v/>
      </c>
      <c r="AE296" s="44" t="str">
        <f t="shared" si="15"/>
        <v/>
      </c>
    </row>
    <row r="297" spans="1:31">
      <c r="A297" s="153"/>
      <c r="B297" s="63"/>
      <c r="C297" s="63" t="s">
        <v>17</v>
      </c>
      <c r="D297" s="49"/>
      <c r="E297" s="9">
        <f>+G297-Adjustments!G297</f>
        <v>0</v>
      </c>
      <c r="F297" s="9">
        <f>Revenue!$F$296</f>
        <v>0</v>
      </c>
      <c r="G297" s="9">
        <f>+Adjustments!U297</f>
        <v>0</v>
      </c>
      <c r="H297" s="9"/>
      <c r="I297" s="9">
        <f>SUM($F$297:$H$297)</f>
        <v>0</v>
      </c>
      <c r="J297" s="9">
        <f>+I297-'ROR-Model'!I297</f>
        <v>0</v>
      </c>
      <c r="K297" s="9"/>
      <c r="L297" s="9" t="s">
        <v>24</v>
      </c>
      <c r="M297" s="9">
        <f>VLOOKUP($L297,$L$2:$N$7,2,FALSE)*I297</f>
        <v>0</v>
      </c>
      <c r="N297" s="9">
        <f>VLOOKUP($L297,$L$2:$N$7,3,FALSE)*I297</f>
        <v>0</v>
      </c>
      <c r="O297" s="136"/>
      <c r="P297" s="142" t="s">
        <v>548</v>
      </c>
      <c r="Q297" s="9">
        <f>IF(P297="G",M297,IF(P297="PT",0,ERR))</f>
        <v>0</v>
      </c>
      <c r="R297" s="9">
        <f>IF(P297="PT",M297,IF(P297="G",0,ERR))</f>
        <v>0</v>
      </c>
      <c r="S297" s="142" t="s">
        <v>548</v>
      </c>
      <c r="T297" s="9">
        <f>IF(S297="G",N297,IF(S297="PT",0,ERR))</f>
        <v>0</v>
      </c>
      <c r="U297" s="9">
        <f>IF(S297="PT",N297,IF(S297="G",0,ERR))</f>
        <v>0</v>
      </c>
      <c r="V297" s="140"/>
      <c r="W297" s="9">
        <f>HLOOKUP($W$9,'ROR-Model'!$Q$10:$U$1263,Y297)</f>
        <v>0</v>
      </c>
      <c r="X297" s="156"/>
      <c r="Y297" s="918">
        <f t="shared" si="13"/>
        <v>288</v>
      </c>
      <c r="AA297" s="9">
        <v>0</v>
      </c>
      <c r="AC297" s="9" t="str">
        <f t="shared" si="14"/>
        <v/>
      </c>
      <c r="AE297" s="44" t="str">
        <f t="shared" si="15"/>
        <v/>
      </c>
    </row>
    <row r="298" spans="1:31">
      <c r="A298" s="153"/>
      <c r="B298" s="63"/>
      <c r="C298" s="63" t="s">
        <v>18</v>
      </c>
      <c r="D298" s="49"/>
      <c r="E298" s="157">
        <f>+G298-Adjustments!G298</f>
        <v>0</v>
      </c>
      <c r="F298" s="157">
        <f>SUM(F293:F297)</f>
        <v>0</v>
      </c>
      <c r="G298" s="157">
        <f>SUM(G293:G297)</f>
        <v>0</v>
      </c>
      <c r="H298" s="157">
        <f>SUM(H293:H297)</f>
        <v>0</v>
      </c>
      <c r="I298" s="157">
        <f>SUM(I293:I297)</f>
        <v>0</v>
      </c>
      <c r="J298" s="9">
        <f>+I298-'ROR-Model'!I298</f>
        <v>0</v>
      </c>
      <c r="K298" s="9"/>
      <c r="L298" s="157"/>
      <c r="M298" s="157">
        <f>SUM(M293:M297)</f>
        <v>0</v>
      </c>
      <c r="N298" s="157">
        <f>SUM(N293:N297)</f>
        <v>0</v>
      </c>
      <c r="O298" s="136"/>
      <c r="P298" s="226"/>
      <c r="Q298" s="157">
        <f>SUM(Q293:Q297)</f>
        <v>0</v>
      </c>
      <c r="R298" s="157">
        <f>SUM(R293:R297)</f>
        <v>0</v>
      </c>
      <c r="S298" s="226"/>
      <c r="T298" s="157">
        <f>SUM(T293:T297)</f>
        <v>0</v>
      </c>
      <c r="U298" s="157">
        <f>SUM(U293:U297)</f>
        <v>0</v>
      </c>
      <c r="V298" s="140"/>
      <c r="W298" s="157">
        <f>HLOOKUP($W$9,'ROR-Model'!$Q$10:$U$1263,Y298)</f>
        <v>0</v>
      </c>
      <c r="X298" s="156"/>
      <c r="Y298" s="918">
        <f t="shared" si="13"/>
        <v>289</v>
      </c>
      <c r="AA298" s="157">
        <v>0</v>
      </c>
      <c r="AC298" s="157" t="str">
        <f t="shared" si="14"/>
        <v/>
      </c>
      <c r="AE298" s="44" t="str">
        <f t="shared" si="15"/>
        <v/>
      </c>
    </row>
    <row r="299" spans="1:31">
      <c r="A299" s="153"/>
      <c r="B299" s="63"/>
      <c r="C299" s="63"/>
      <c r="D299" s="49"/>
      <c r="E299" s="9">
        <f>+G299-Adjustments!G299</f>
        <v>0</v>
      </c>
      <c r="F299" s="9"/>
      <c r="G299" s="9"/>
      <c r="H299" s="9"/>
      <c r="I299" s="9"/>
      <c r="J299" s="9">
        <f>+I299-'ROR-Model'!I299</f>
        <v>0</v>
      </c>
      <c r="K299" s="9"/>
      <c r="L299" s="9"/>
      <c r="M299" s="9"/>
      <c r="N299" s="9"/>
      <c r="O299" s="136"/>
      <c r="P299" s="142"/>
      <c r="Q299" s="9"/>
      <c r="R299" s="9"/>
      <c r="S299" s="142"/>
      <c r="T299" s="9"/>
      <c r="U299" s="9"/>
      <c r="V299" s="140"/>
      <c r="W299" s="9"/>
      <c r="X299" s="156"/>
      <c r="Y299" s="918">
        <f t="shared" si="13"/>
        <v>290</v>
      </c>
      <c r="AA299" s="9"/>
      <c r="AC299" s="9" t="str">
        <f t="shared" si="14"/>
        <v/>
      </c>
      <c r="AE299" s="44" t="str">
        <f t="shared" si="15"/>
        <v/>
      </c>
    </row>
    <row r="300" spans="1:31">
      <c r="A300" s="153"/>
      <c r="B300" s="63"/>
      <c r="C300" s="63" t="s">
        <v>19</v>
      </c>
      <c r="D300" s="49"/>
      <c r="E300" s="9">
        <f>+G300-Adjustments!G300</f>
        <v>0</v>
      </c>
      <c r="F300" s="9">
        <f>Revenue!$F$299</f>
        <v>0</v>
      </c>
      <c r="G300" s="9">
        <f>+Adjustments!U300</f>
        <v>0</v>
      </c>
      <c r="H300" s="9"/>
      <c r="I300" s="9">
        <f>SUM($F$300:$H$300)</f>
        <v>0</v>
      </c>
      <c r="J300" s="9">
        <f>+I300-'ROR-Model'!I300</f>
        <v>0</v>
      </c>
      <c r="K300" s="9"/>
      <c r="L300" s="9" t="s">
        <v>24</v>
      </c>
      <c r="M300" s="9">
        <f>VLOOKUP($L300,$L$2:$N$7,2,FALSE)*I300</f>
        <v>0</v>
      </c>
      <c r="N300" s="9">
        <f>VLOOKUP($L300,$L$2:$N$7,3,FALSE)*I300</f>
        <v>0</v>
      </c>
      <c r="O300" s="136"/>
      <c r="P300" s="142" t="s">
        <v>549</v>
      </c>
      <c r="Q300" s="9">
        <f>IF(P300="G",M300,IF(P300="PT",0,ERR))</f>
        <v>0</v>
      </c>
      <c r="R300" s="9">
        <f>IF(P300="PT",M300,IF(P300="G",0,ERR))</f>
        <v>0</v>
      </c>
      <c r="S300" s="142" t="s">
        <v>548</v>
      </c>
      <c r="T300" s="9">
        <f>IF(S300="G",N300,IF(S300="PT",0,ERR))</f>
        <v>0</v>
      </c>
      <c r="U300" s="9">
        <f>IF(S300="PT",N300,IF(S300="G",0,ERR))</f>
        <v>0</v>
      </c>
      <c r="V300" s="140"/>
      <c r="W300" s="9">
        <f>HLOOKUP($W$9,'ROR-Model'!$Q$10:$U$1263,Y300)</f>
        <v>0</v>
      </c>
      <c r="X300" s="156"/>
      <c r="Y300" s="918">
        <f t="shared" si="13"/>
        <v>291</v>
      </c>
      <c r="AA300" s="9">
        <v>0</v>
      </c>
      <c r="AC300" s="9" t="str">
        <f t="shared" si="14"/>
        <v/>
      </c>
      <c r="AE300" s="44" t="str">
        <f t="shared" si="15"/>
        <v/>
      </c>
    </row>
    <row r="301" spans="1:31">
      <c r="A301" s="153"/>
      <c r="B301" s="365"/>
      <c r="C301" s="365"/>
      <c r="D301" s="49"/>
      <c r="E301" s="9">
        <f>+G301-Adjustments!G301</f>
        <v>0</v>
      </c>
      <c r="F301" s="9"/>
      <c r="G301" s="9"/>
      <c r="H301" s="9"/>
      <c r="I301" s="9"/>
      <c r="J301" s="9">
        <f>+I301-'ROR-Model'!I301</f>
        <v>0</v>
      </c>
      <c r="K301" s="9"/>
      <c r="L301" s="9"/>
      <c r="M301" s="9"/>
      <c r="N301" s="9"/>
      <c r="O301" s="136"/>
      <c r="P301" s="142"/>
      <c r="Q301" s="9"/>
      <c r="R301" s="9"/>
      <c r="S301" s="142"/>
      <c r="T301" s="9"/>
      <c r="U301" s="9"/>
      <c r="V301" s="140"/>
      <c r="W301" s="9"/>
      <c r="X301" s="156"/>
      <c r="Y301" s="918">
        <f t="shared" si="13"/>
        <v>292</v>
      </c>
      <c r="AA301" s="9"/>
      <c r="AC301" s="9" t="str">
        <f t="shared" si="14"/>
        <v/>
      </c>
      <c r="AE301" s="44" t="str">
        <f t="shared" si="15"/>
        <v/>
      </c>
    </row>
    <row r="302" spans="1:31">
      <c r="A302" s="570"/>
      <c r="B302" s="63" t="s">
        <v>26</v>
      </c>
      <c r="C302" s="63" t="s">
        <v>15</v>
      </c>
      <c r="D302" s="309"/>
      <c r="E302" s="357">
        <f>+G302-Adjustments!G302</f>
        <v>0</v>
      </c>
      <c r="F302" s="357">
        <f>Revenue!$F$301</f>
        <v>80745</v>
      </c>
      <c r="G302" s="357">
        <f>+Adjustments!U302</f>
        <v>0</v>
      </c>
      <c r="H302" s="357"/>
      <c r="I302" s="357">
        <f>SUM($F$302:$H$302)</f>
        <v>80745</v>
      </c>
      <c r="J302" s="9">
        <f>+I302-'ROR-Model'!I302</f>
        <v>0</v>
      </c>
      <c r="K302" s="357"/>
      <c r="L302" s="357" t="s">
        <v>24</v>
      </c>
      <c r="M302" s="357">
        <f>VLOOKUP($L302,$L$2:$N$7,2,FALSE)*I302</f>
        <v>0</v>
      </c>
      <c r="N302" s="357">
        <f>VLOOKUP($L302,$L$2:$N$7,3,FALSE)*I302</f>
        <v>80745</v>
      </c>
      <c r="O302" s="709"/>
      <c r="P302" s="584" t="s">
        <v>549</v>
      </c>
      <c r="Q302" s="357">
        <f>IF(P302="G",M302,IF(P302="PT",0,ERR))</f>
        <v>0</v>
      </c>
      <c r="R302" s="357">
        <f>IF(P302="PT",M302,IF(P302="G",0,ERR))</f>
        <v>0</v>
      </c>
      <c r="S302" s="584" t="s">
        <v>548</v>
      </c>
      <c r="T302" s="357">
        <f>IF(S302="G",N302,IF(S302="PT",0,ERR))</f>
        <v>0</v>
      </c>
      <c r="U302" s="357">
        <f>IF(S302="PT",N302,IF(S302="G",0,ERR))</f>
        <v>80745</v>
      </c>
      <c r="V302" s="710"/>
      <c r="W302" s="357">
        <f>HLOOKUP($W$9,'ROR-Model'!$Q$10:$U$1263,Y302)</f>
        <v>0</v>
      </c>
      <c r="X302" s="359"/>
      <c r="Y302" s="918">
        <f t="shared" si="13"/>
        <v>293</v>
      </c>
      <c r="AA302" s="357">
        <v>0</v>
      </c>
      <c r="AC302" s="357" t="str">
        <f t="shared" si="14"/>
        <v/>
      </c>
      <c r="AE302" s="44" t="str">
        <f t="shared" si="15"/>
        <v/>
      </c>
    </row>
    <row r="303" spans="1:31">
      <c r="A303" s="153"/>
      <c r="B303" s="365"/>
      <c r="C303" s="63"/>
      <c r="D303" s="113" t="s">
        <v>452</v>
      </c>
      <c r="E303" s="9">
        <f>+G303-Adjustments!G303</f>
        <v>0</v>
      </c>
      <c r="F303" s="9"/>
      <c r="G303" s="9"/>
      <c r="H303" s="9"/>
      <c r="I303" s="9"/>
      <c r="J303" s="9">
        <f>+I303-'ROR-Model'!I303</f>
        <v>0</v>
      </c>
      <c r="K303" s="9"/>
      <c r="L303" s="9"/>
      <c r="M303" s="9"/>
      <c r="N303" s="9"/>
      <c r="O303" s="136"/>
      <c r="P303" s="142"/>
      <c r="Q303" s="9"/>
      <c r="R303" s="9"/>
      <c r="S303" s="142"/>
      <c r="T303" s="9"/>
      <c r="U303" s="9"/>
      <c r="V303" s="140"/>
      <c r="W303" s="9"/>
      <c r="X303" s="156"/>
      <c r="Y303" s="918">
        <f t="shared" si="13"/>
        <v>294</v>
      </c>
      <c r="AA303" s="9"/>
      <c r="AC303" s="9" t="str">
        <f t="shared" si="14"/>
        <v/>
      </c>
      <c r="AE303" s="44" t="str">
        <f t="shared" si="15"/>
        <v/>
      </c>
    </row>
    <row r="304" spans="1:31">
      <c r="A304" s="153"/>
      <c r="B304" s="365"/>
      <c r="C304" s="63"/>
      <c r="D304" s="49"/>
      <c r="E304" s="9">
        <f>+G304-Adjustments!G304</f>
        <v>0</v>
      </c>
      <c r="F304" s="9"/>
      <c r="G304" s="9">
        <f>+Adjustments!U304</f>
        <v>0</v>
      </c>
      <c r="H304" s="9"/>
      <c r="I304" s="9">
        <f>SUM($F$304:$H$304)</f>
        <v>0</v>
      </c>
      <c r="J304" s="9">
        <f>+I304-'ROR-Model'!I304</f>
        <v>0</v>
      </c>
      <c r="K304" s="9"/>
      <c r="L304" s="9" t="s">
        <v>24</v>
      </c>
      <c r="M304" s="9">
        <f>VLOOKUP($L304,$L$2:$N$7,2,FALSE)*I304</f>
        <v>0</v>
      </c>
      <c r="N304" s="9">
        <f>VLOOKUP($L304,$L$2:$N$7,3,FALSE)*I304</f>
        <v>0</v>
      </c>
      <c r="O304" s="136"/>
      <c r="P304" s="142"/>
      <c r="Q304" s="9"/>
      <c r="R304" s="9"/>
      <c r="S304" s="142"/>
      <c r="T304" s="9"/>
      <c r="U304" s="9"/>
      <c r="V304" s="140"/>
      <c r="W304" s="9"/>
      <c r="X304" s="156"/>
      <c r="Y304" s="918">
        <f t="shared" si="13"/>
        <v>295</v>
      </c>
      <c r="AA304" s="9"/>
      <c r="AC304" s="9" t="str">
        <f t="shared" si="14"/>
        <v/>
      </c>
      <c r="AE304" s="44" t="str">
        <f t="shared" si="15"/>
        <v/>
      </c>
    </row>
    <row r="305" spans="1:31">
      <c r="A305" s="153"/>
      <c r="B305" s="365"/>
      <c r="C305" s="63"/>
      <c r="D305" s="49"/>
      <c r="E305" s="9">
        <f>+G305-Adjustments!G305</f>
        <v>0</v>
      </c>
      <c r="F305" s="9"/>
      <c r="G305" s="9"/>
      <c r="H305" s="9"/>
      <c r="I305" s="9"/>
      <c r="J305" s="9">
        <f>+I305-'ROR-Model'!I305</f>
        <v>0</v>
      </c>
      <c r="K305" s="9"/>
      <c r="L305" s="9"/>
      <c r="M305" s="9"/>
      <c r="N305" s="9"/>
      <c r="O305" s="136"/>
      <c r="P305" s="142"/>
      <c r="Q305" s="9"/>
      <c r="R305" s="9"/>
      <c r="S305" s="142"/>
      <c r="T305" s="9"/>
      <c r="U305" s="9"/>
      <c r="V305" s="140"/>
      <c r="W305" s="9"/>
      <c r="X305" s="156"/>
      <c r="Y305" s="918">
        <f t="shared" si="13"/>
        <v>296</v>
      </c>
      <c r="AA305" s="9"/>
      <c r="AC305" s="9" t="str">
        <f t="shared" si="14"/>
        <v/>
      </c>
      <c r="AE305" s="44" t="str">
        <f t="shared" si="15"/>
        <v/>
      </c>
    </row>
    <row r="306" spans="1:31">
      <c r="A306" s="153"/>
      <c r="B306" s="63"/>
      <c r="C306" s="63" t="s">
        <v>17</v>
      </c>
      <c r="D306" s="49"/>
      <c r="E306" s="9">
        <f>+G306-Adjustments!G306</f>
        <v>0</v>
      </c>
      <c r="F306" s="9">
        <f>Revenue!$F$305</f>
        <v>0</v>
      </c>
      <c r="G306" s="9">
        <f>+Adjustments!U306</f>
        <v>0</v>
      </c>
      <c r="H306" s="9"/>
      <c r="I306" s="9">
        <f>SUM($F$306:$H$306)</f>
        <v>0</v>
      </c>
      <c r="J306" s="9">
        <f>+I306-'ROR-Model'!I306</f>
        <v>0</v>
      </c>
      <c r="K306" s="9"/>
      <c r="L306" s="9" t="s">
        <v>24</v>
      </c>
      <c r="M306" s="9">
        <f>VLOOKUP($L306,$L$2:$N$7,2,FALSE)*I306</f>
        <v>0</v>
      </c>
      <c r="N306" s="9">
        <f>VLOOKUP($L306,$L$2:$N$7,3,FALSE)*I306</f>
        <v>0</v>
      </c>
      <c r="O306" s="136"/>
      <c r="P306" s="142" t="s">
        <v>548</v>
      </c>
      <c r="Q306" s="9">
        <f>IF(P306="G",M306,IF(P306="PT",0,ERR))</f>
        <v>0</v>
      </c>
      <c r="R306" s="9">
        <f>IF(P306="PT",M306,IF(P306="G",0,ERR))</f>
        <v>0</v>
      </c>
      <c r="S306" s="142" t="s">
        <v>548</v>
      </c>
      <c r="T306" s="9">
        <f>IF(S306="G",N306,IF(S306="PT",0,ERR))</f>
        <v>0</v>
      </c>
      <c r="U306" s="9">
        <f>IF(S306="PT",N306,IF(S306="G",0,ERR))</f>
        <v>0</v>
      </c>
      <c r="V306" s="140"/>
      <c r="W306" s="9">
        <f>HLOOKUP($W$9,'ROR-Model'!$Q$10:$U$1263,Y306)</f>
        <v>0</v>
      </c>
      <c r="X306" s="156"/>
      <c r="Y306" s="918">
        <f t="shared" si="13"/>
        <v>297</v>
      </c>
      <c r="AA306" s="9">
        <v>0</v>
      </c>
      <c r="AC306" s="9" t="str">
        <f t="shared" si="14"/>
        <v/>
      </c>
      <c r="AE306" s="44" t="str">
        <f t="shared" si="15"/>
        <v/>
      </c>
    </row>
    <row r="307" spans="1:31">
      <c r="A307" s="153"/>
      <c r="B307" s="63"/>
      <c r="C307" s="63" t="s">
        <v>18</v>
      </c>
      <c r="D307" s="49"/>
      <c r="E307" s="157">
        <f>+G307-Adjustments!G307</f>
        <v>0</v>
      </c>
      <c r="F307" s="157">
        <f>SUM(F302:F306)</f>
        <v>80745</v>
      </c>
      <c r="G307" s="157">
        <f>SUM(G302:G306)</f>
        <v>0</v>
      </c>
      <c r="H307" s="157">
        <f>SUM(H302:H306)</f>
        <v>0</v>
      </c>
      <c r="I307" s="157">
        <f>SUM(I302:I306)</f>
        <v>80745</v>
      </c>
      <c r="J307" s="9">
        <f>+I307-'ROR-Model'!I307</f>
        <v>0</v>
      </c>
      <c r="K307" s="9"/>
      <c r="L307" s="157"/>
      <c r="M307" s="157">
        <f>SUM(M302:M306)</f>
        <v>0</v>
      </c>
      <c r="N307" s="157">
        <f>SUM(N302:N306)</f>
        <v>80745</v>
      </c>
      <c r="O307" s="136"/>
      <c r="P307" s="226"/>
      <c r="Q307" s="157">
        <f>SUM(Q302:Q306)</f>
        <v>0</v>
      </c>
      <c r="R307" s="157">
        <f>SUM(R302:R306)</f>
        <v>0</v>
      </c>
      <c r="S307" s="226"/>
      <c r="T307" s="157">
        <f>SUM(T302:T306)</f>
        <v>0</v>
      </c>
      <c r="U307" s="157">
        <f>SUM(U302:U306)</f>
        <v>80745</v>
      </c>
      <c r="V307" s="140"/>
      <c r="W307" s="157">
        <f>HLOOKUP($W$9,'ROR-Model'!$Q$10:$U$1263,Y307)</f>
        <v>0</v>
      </c>
      <c r="X307" s="156"/>
      <c r="Y307" s="918">
        <f t="shared" si="13"/>
        <v>298</v>
      </c>
      <c r="AA307" s="157">
        <v>0</v>
      </c>
      <c r="AC307" s="157" t="str">
        <f t="shared" si="14"/>
        <v/>
      </c>
      <c r="AE307" s="44" t="str">
        <f t="shared" si="15"/>
        <v/>
      </c>
    </row>
    <row r="308" spans="1:31">
      <c r="A308" s="153"/>
      <c r="B308" s="63"/>
      <c r="C308" s="63"/>
      <c r="D308" s="49"/>
      <c r="E308" s="9">
        <f>+G308-Adjustments!G308</f>
        <v>0</v>
      </c>
      <c r="F308" s="9"/>
      <c r="G308" s="9"/>
      <c r="H308" s="9"/>
      <c r="I308" s="9"/>
      <c r="J308" s="9">
        <f>+I308-'ROR-Model'!I308</f>
        <v>0</v>
      </c>
      <c r="K308" s="9"/>
      <c r="L308" s="9"/>
      <c r="M308" s="9"/>
      <c r="N308" s="9"/>
      <c r="O308" s="136"/>
      <c r="P308" s="142"/>
      <c r="Q308" s="9"/>
      <c r="R308" s="9"/>
      <c r="S308" s="142"/>
      <c r="T308" s="9"/>
      <c r="U308" s="9"/>
      <c r="V308" s="140"/>
      <c r="W308" s="9"/>
      <c r="X308" s="156"/>
      <c r="Y308" s="918">
        <f t="shared" si="13"/>
        <v>299</v>
      </c>
      <c r="AA308" s="9"/>
      <c r="AC308" s="9" t="str">
        <f t="shared" si="14"/>
        <v/>
      </c>
      <c r="AE308" s="44" t="str">
        <f t="shared" si="15"/>
        <v/>
      </c>
    </row>
    <row r="309" spans="1:31">
      <c r="A309" s="153"/>
      <c r="B309" s="63"/>
      <c r="C309" s="63" t="s">
        <v>19</v>
      </c>
      <c r="D309" s="49"/>
      <c r="E309" s="9">
        <f>+G309-Adjustments!G309</f>
        <v>0</v>
      </c>
      <c r="F309" s="9">
        <f>Revenue!$F$308</f>
        <v>146691</v>
      </c>
      <c r="G309" s="9">
        <f>+Adjustments!U309</f>
        <v>0</v>
      </c>
      <c r="H309" s="9"/>
      <c r="I309" s="9">
        <f>SUM($F$309:$H$309)</f>
        <v>146691</v>
      </c>
      <c r="J309" s="9">
        <f>+I309-'ROR-Model'!I309</f>
        <v>0</v>
      </c>
      <c r="K309" s="9"/>
      <c r="L309" s="9" t="s">
        <v>24</v>
      </c>
      <c r="M309" s="9">
        <f>VLOOKUP($L309,$L$2:$N$7,2,FALSE)*I309</f>
        <v>0</v>
      </c>
      <c r="N309" s="9">
        <f>VLOOKUP($L309,$L$2:$N$7,3,FALSE)*I309</f>
        <v>146691</v>
      </c>
      <c r="O309" s="136"/>
      <c r="P309" s="142" t="s">
        <v>549</v>
      </c>
      <c r="Q309" s="9">
        <f>IF(P309="G",M309,IF(P309="PT",0,ERR))</f>
        <v>0</v>
      </c>
      <c r="R309" s="9">
        <f>IF(P309="PT",M309,IF(P309="G",0,ERR))</f>
        <v>0</v>
      </c>
      <c r="S309" s="142" t="s">
        <v>548</v>
      </c>
      <c r="T309" s="9">
        <f>IF(S309="G",N309,IF(S309="PT",0,ERR))</f>
        <v>0</v>
      </c>
      <c r="U309" s="9">
        <f>IF(S309="PT",N309,IF(S309="G",0,ERR))</f>
        <v>146691</v>
      </c>
      <c r="V309" s="140"/>
      <c r="W309" s="9">
        <f>HLOOKUP($W$9,'ROR-Model'!$Q$10:$U$1263,Y309)</f>
        <v>0</v>
      </c>
      <c r="X309" s="156"/>
      <c r="Y309" s="918">
        <f t="shared" si="13"/>
        <v>300</v>
      </c>
      <c r="AA309" s="9">
        <v>0</v>
      </c>
      <c r="AC309" s="9" t="str">
        <f t="shared" si="14"/>
        <v/>
      </c>
      <c r="AE309" s="44" t="str">
        <f t="shared" si="15"/>
        <v/>
      </c>
    </row>
    <row r="310" spans="1:31">
      <c r="A310" s="153"/>
      <c r="B310" s="365"/>
      <c r="C310" s="365"/>
      <c r="D310" s="49"/>
      <c r="E310" s="9">
        <f>+G310-Adjustments!G310</f>
        <v>0</v>
      </c>
      <c r="F310" s="9"/>
      <c r="G310" s="9"/>
      <c r="H310" s="9"/>
      <c r="I310" s="9"/>
      <c r="J310" s="9">
        <f>+I310-'ROR-Model'!I310</f>
        <v>0</v>
      </c>
      <c r="K310" s="9"/>
      <c r="L310" s="9"/>
      <c r="M310" s="9"/>
      <c r="N310" s="9"/>
      <c r="O310" s="136"/>
      <c r="P310" s="142"/>
      <c r="Q310" s="9"/>
      <c r="R310" s="9"/>
      <c r="S310" s="142"/>
      <c r="T310" s="9"/>
      <c r="U310" s="9"/>
      <c r="V310" s="140"/>
      <c r="W310" s="9"/>
      <c r="X310" s="156"/>
      <c r="Y310" s="918">
        <f t="shared" si="13"/>
        <v>301</v>
      </c>
      <c r="AA310" s="9"/>
      <c r="AC310" s="9" t="str">
        <f t="shared" si="14"/>
        <v/>
      </c>
      <c r="AE310" s="44" t="str">
        <f t="shared" si="15"/>
        <v/>
      </c>
    </row>
    <row r="311" spans="1:31">
      <c r="A311" s="570"/>
      <c r="B311" s="365" t="s">
        <v>25</v>
      </c>
      <c r="C311" s="63" t="s">
        <v>15</v>
      </c>
      <c r="D311" s="309"/>
      <c r="E311" s="357">
        <f>+G311-Adjustments!G311</f>
        <v>0</v>
      </c>
      <c r="F311" s="357">
        <f>Revenue!$F$310</f>
        <v>43701</v>
      </c>
      <c r="G311" s="357">
        <f>+Adjustments!U311</f>
        <v>0</v>
      </c>
      <c r="H311" s="357"/>
      <c r="I311" s="357">
        <f>SUM($F$311:$H$311)</f>
        <v>43701</v>
      </c>
      <c r="J311" s="9">
        <f>+I311-'ROR-Model'!I311</f>
        <v>0</v>
      </c>
      <c r="K311" s="357"/>
      <c r="L311" s="357" t="s">
        <v>24</v>
      </c>
      <c r="M311" s="357">
        <f>VLOOKUP($L311,$L$2:$N$7,2,FALSE)*I311</f>
        <v>0</v>
      </c>
      <c r="N311" s="357">
        <f>VLOOKUP($L311,$L$2:$N$7,3,FALSE)*I311</f>
        <v>43701</v>
      </c>
      <c r="O311" s="709"/>
      <c r="P311" s="584" t="s">
        <v>549</v>
      </c>
      <c r="Q311" s="357">
        <f>IF(P311="G",M311,IF(P311="PT",0,ERR))</f>
        <v>0</v>
      </c>
      <c r="R311" s="357">
        <f>IF(P311="PT",M311,IF(P311="G",0,ERR))</f>
        <v>0</v>
      </c>
      <c r="S311" s="142" t="s">
        <v>548</v>
      </c>
      <c r="T311" s="357">
        <f>IF(S311="G",N311,IF(S311="PT",0,ERR))</f>
        <v>0</v>
      </c>
      <c r="U311" s="357">
        <f>IF(S311="PT",N311,IF(S311="G",0,ERR))</f>
        <v>43701</v>
      </c>
      <c r="V311" s="710"/>
      <c r="W311" s="357">
        <f>HLOOKUP($W$9,'ROR-Model'!$Q$10:$U$1263,Y311)</f>
        <v>0</v>
      </c>
      <c r="X311" s="359"/>
      <c r="Y311" s="918">
        <f t="shared" si="13"/>
        <v>302</v>
      </c>
      <c r="AA311" s="357">
        <v>0</v>
      </c>
      <c r="AC311" s="357" t="str">
        <f t="shared" si="14"/>
        <v/>
      </c>
      <c r="AE311" s="44" t="str">
        <f t="shared" si="15"/>
        <v/>
      </c>
    </row>
    <row r="312" spans="1:31">
      <c r="A312" s="153"/>
      <c r="B312" s="365" t="s">
        <v>680</v>
      </c>
      <c r="C312" s="63"/>
      <c r="D312" s="113" t="s">
        <v>452</v>
      </c>
      <c r="E312" s="9">
        <f>+G312-Adjustments!G312</f>
        <v>0</v>
      </c>
      <c r="F312" s="9"/>
      <c r="G312" s="9"/>
      <c r="H312" s="9"/>
      <c r="I312" s="9"/>
      <c r="J312" s="9">
        <f>+I312-'ROR-Model'!I312</f>
        <v>0</v>
      </c>
      <c r="K312" s="9"/>
      <c r="L312" s="9"/>
      <c r="M312" s="9"/>
      <c r="N312" s="9"/>
      <c r="O312" s="136"/>
      <c r="P312" s="142"/>
      <c r="Q312" s="9"/>
      <c r="R312" s="9"/>
      <c r="S312" s="142"/>
      <c r="T312" s="9"/>
      <c r="U312" s="9"/>
      <c r="V312" s="140"/>
      <c r="W312" s="9"/>
      <c r="X312" s="156"/>
      <c r="Y312" s="918">
        <f t="shared" si="13"/>
        <v>303</v>
      </c>
      <c r="AA312" s="9"/>
      <c r="AC312" s="9" t="str">
        <f t="shared" si="14"/>
        <v/>
      </c>
      <c r="AE312" s="44" t="str">
        <f t="shared" si="15"/>
        <v/>
      </c>
    </row>
    <row r="313" spans="1:31">
      <c r="A313" s="153"/>
      <c r="B313" s="365"/>
      <c r="C313" s="63"/>
      <c r="D313" s="49"/>
      <c r="E313" s="9">
        <f>+G313-Adjustments!G313</f>
        <v>0</v>
      </c>
      <c r="F313" s="9"/>
      <c r="G313" s="9">
        <f>+Adjustments!U313</f>
        <v>0</v>
      </c>
      <c r="H313" s="9"/>
      <c r="I313" s="9">
        <f>SUM($F$313:$H$313)</f>
        <v>0</v>
      </c>
      <c r="J313" s="9">
        <f>+I313-'ROR-Model'!I313</f>
        <v>0</v>
      </c>
      <c r="K313" s="9"/>
      <c r="L313" s="9" t="s">
        <v>24</v>
      </c>
      <c r="M313" s="9">
        <f>VLOOKUP($L313,$L$2:$N$7,2,FALSE)*I313</f>
        <v>0</v>
      </c>
      <c r="N313" s="9">
        <f>VLOOKUP($L313,$L$2:$N$7,3,FALSE)*I313</f>
        <v>0</v>
      </c>
      <c r="O313" s="136"/>
      <c r="P313" s="142"/>
      <c r="Q313" s="9"/>
      <c r="R313" s="9"/>
      <c r="S313" s="142"/>
      <c r="T313" s="9"/>
      <c r="U313" s="9"/>
      <c r="V313" s="140"/>
      <c r="W313" s="9"/>
      <c r="X313" s="156"/>
      <c r="Y313" s="918">
        <f t="shared" si="13"/>
        <v>304</v>
      </c>
      <c r="AA313" s="9"/>
      <c r="AC313" s="9" t="str">
        <f t="shared" si="14"/>
        <v/>
      </c>
      <c r="AE313" s="44" t="str">
        <f t="shared" si="15"/>
        <v/>
      </c>
    </row>
    <row r="314" spans="1:31">
      <c r="A314" s="153"/>
      <c r="B314" s="365"/>
      <c r="C314" s="63"/>
      <c r="D314" s="49"/>
      <c r="E314" s="9">
        <f>+G314-Adjustments!G314</f>
        <v>0</v>
      </c>
      <c r="F314" s="9"/>
      <c r="G314" s="9"/>
      <c r="H314" s="9"/>
      <c r="I314" s="9"/>
      <c r="J314" s="9">
        <f>+I314-'ROR-Model'!I314</f>
        <v>0</v>
      </c>
      <c r="K314" s="9"/>
      <c r="L314" s="9"/>
      <c r="M314" s="9"/>
      <c r="N314" s="9"/>
      <c r="O314" s="136"/>
      <c r="P314" s="142"/>
      <c r="Q314" s="9"/>
      <c r="R314" s="9"/>
      <c r="S314" s="142"/>
      <c r="T314" s="9"/>
      <c r="U314" s="9"/>
      <c r="V314" s="140"/>
      <c r="W314" s="9"/>
      <c r="X314" s="156"/>
      <c r="Y314" s="918">
        <f t="shared" si="13"/>
        <v>305</v>
      </c>
      <c r="AA314" s="9"/>
      <c r="AC314" s="9" t="str">
        <f t="shared" si="14"/>
        <v/>
      </c>
      <c r="AE314" s="44" t="str">
        <f t="shared" si="15"/>
        <v/>
      </c>
    </row>
    <row r="315" spans="1:31">
      <c r="A315" s="153"/>
      <c r="B315" s="63"/>
      <c r="C315" s="63" t="s">
        <v>17</v>
      </c>
      <c r="D315" s="49"/>
      <c r="E315" s="9">
        <f>+G315-Adjustments!G315</f>
        <v>0</v>
      </c>
      <c r="F315" s="9">
        <f>Revenue!$F$314</f>
        <v>0</v>
      </c>
      <c r="G315" s="9">
        <f>+Adjustments!U315</f>
        <v>0</v>
      </c>
      <c r="H315" s="9"/>
      <c r="I315" s="9">
        <f>SUM($F$315:$H$315)</f>
        <v>0</v>
      </c>
      <c r="J315" s="9">
        <f>+I315-'ROR-Model'!I315</f>
        <v>0</v>
      </c>
      <c r="K315" s="9"/>
      <c r="L315" s="9" t="s">
        <v>24</v>
      </c>
      <c r="M315" s="9">
        <f>VLOOKUP($L315,$L$2:$N$7,2,FALSE)*I315</f>
        <v>0</v>
      </c>
      <c r="N315" s="9">
        <f>VLOOKUP($L315,$L$2:$N$7,3,FALSE)*I315</f>
        <v>0</v>
      </c>
      <c r="O315" s="136"/>
      <c r="P315" s="142" t="s">
        <v>548</v>
      </c>
      <c r="Q315" s="9">
        <f>IF(P315="G",M315,IF(P315="PT",0,ERR))</f>
        <v>0</v>
      </c>
      <c r="R315" s="9">
        <f>IF(P315="PT",M315,IF(P315="G",0,ERR))</f>
        <v>0</v>
      </c>
      <c r="S315" s="142" t="s">
        <v>548</v>
      </c>
      <c r="T315" s="9">
        <f>IF(S315="G",N315,IF(S315="PT",0,ERR))</f>
        <v>0</v>
      </c>
      <c r="U315" s="9">
        <f>IF(S315="PT",N315,IF(S315="G",0,ERR))</f>
        <v>0</v>
      </c>
      <c r="V315" s="140"/>
      <c r="W315" s="9">
        <f>HLOOKUP($W$9,'ROR-Model'!$Q$10:$U$1263,Y315)</f>
        <v>0</v>
      </c>
      <c r="X315" s="156"/>
      <c r="Y315" s="918">
        <f t="shared" si="13"/>
        <v>306</v>
      </c>
      <c r="AA315" s="9">
        <v>0</v>
      </c>
      <c r="AC315" s="9" t="str">
        <f t="shared" si="14"/>
        <v/>
      </c>
      <c r="AE315" s="44" t="str">
        <f t="shared" si="15"/>
        <v/>
      </c>
    </row>
    <row r="316" spans="1:31">
      <c r="A316" s="153"/>
      <c r="B316" s="63"/>
      <c r="C316" s="63" t="s">
        <v>18</v>
      </c>
      <c r="D316" s="49"/>
      <c r="E316" s="157">
        <f>+G316-Adjustments!G316</f>
        <v>0</v>
      </c>
      <c r="F316" s="157">
        <f>SUM(F311:F315)</f>
        <v>43701</v>
      </c>
      <c r="G316" s="157">
        <f>SUM(G311:G315)</f>
        <v>0</v>
      </c>
      <c r="H316" s="157">
        <f>SUM(H311:H315)</f>
        <v>0</v>
      </c>
      <c r="I316" s="157">
        <f>SUM(I311:I315)</f>
        <v>43701</v>
      </c>
      <c r="J316" s="9">
        <f>+I316-'ROR-Model'!I316</f>
        <v>0</v>
      </c>
      <c r="K316" s="9"/>
      <c r="L316" s="157"/>
      <c r="M316" s="157">
        <f>SUM(M311:M315)</f>
        <v>0</v>
      </c>
      <c r="N316" s="157">
        <f>SUM(N311:N315)</f>
        <v>43701</v>
      </c>
      <c r="O316" s="136"/>
      <c r="P316" s="226"/>
      <c r="Q316" s="157">
        <f>SUM(Q311:Q315)</f>
        <v>0</v>
      </c>
      <c r="R316" s="157">
        <f>SUM(R311:R315)</f>
        <v>0</v>
      </c>
      <c r="S316" s="226"/>
      <c r="T316" s="157">
        <f>SUM(T311:T315)</f>
        <v>0</v>
      </c>
      <c r="U316" s="157">
        <f>SUM(U311:U315)</f>
        <v>43701</v>
      </c>
      <c r="V316" s="140"/>
      <c r="W316" s="157">
        <f>HLOOKUP($W$9,'ROR-Model'!$Q$10:$U$1263,Y316)</f>
        <v>0</v>
      </c>
      <c r="X316" s="156"/>
      <c r="Y316" s="918">
        <f t="shared" si="13"/>
        <v>307</v>
      </c>
      <c r="AA316" s="157">
        <v>0</v>
      </c>
      <c r="AC316" s="157" t="str">
        <f t="shared" si="14"/>
        <v/>
      </c>
      <c r="AE316" s="44" t="str">
        <f t="shared" si="15"/>
        <v/>
      </c>
    </row>
    <row r="317" spans="1:31">
      <c r="A317" s="153"/>
      <c r="B317" s="63"/>
      <c r="C317" s="63"/>
      <c r="D317" s="49"/>
      <c r="E317" s="9">
        <f>+G317-Adjustments!G317</f>
        <v>0</v>
      </c>
      <c r="F317" s="9"/>
      <c r="G317" s="9"/>
      <c r="H317" s="9"/>
      <c r="I317" s="9"/>
      <c r="J317" s="9">
        <f>+I317-'ROR-Model'!I317</f>
        <v>0</v>
      </c>
      <c r="K317" s="9"/>
      <c r="L317" s="9"/>
      <c r="M317" s="9"/>
      <c r="N317" s="9"/>
      <c r="O317" s="136"/>
      <c r="P317" s="142"/>
      <c r="Q317" s="9"/>
      <c r="R317" s="9"/>
      <c r="S317" s="142"/>
      <c r="T317" s="9"/>
      <c r="U317" s="9"/>
      <c r="V317" s="140"/>
      <c r="W317" s="9"/>
      <c r="X317" s="156"/>
      <c r="Y317" s="918">
        <f t="shared" si="13"/>
        <v>308</v>
      </c>
      <c r="AA317" s="9"/>
      <c r="AC317" s="9" t="str">
        <f t="shared" si="14"/>
        <v/>
      </c>
      <c r="AE317" s="44" t="str">
        <f t="shared" si="15"/>
        <v/>
      </c>
    </row>
    <row r="318" spans="1:31">
      <c r="A318" s="153"/>
      <c r="B318" s="63"/>
      <c r="C318" s="63" t="s">
        <v>19</v>
      </c>
      <c r="D318" s="49"/>
      <c r="E318" s="9">
        <f>+G318-Adjustments!G318</f>
        <v>0</v>
      </c>
      <c r="F318" s="9">
        <f>Revenue!$F$317</f>
        <v>517921</v>
      </c>
      <c r="G318" s="9">
        <f>+Adjustments!U318</f>
        <v>0</v>
      </c>
      <c r="H318" s="9"/>
      <c r="I318" s="9">
        <f>SUM($F$318:$H$318)</f>
        <v>517921</v>
      </c>
      <c r="J318" s="9">
        <f>+I318-'ROR-Model'!I318</f>
        <v>0</v>
      </c>
      <c r="K318" s="9"/>
      <c r="L318" s="9" t="s">
        <v>24</v>
      </c>
      <c r="M318" s="9">
        <f>VLOOKUP($L318,$L$2:$N$7,2,FALSE)*I318</f>
        <v>0</v>
      </c>
      <c r="N318" s="9">
        <f>VLOOKUP($L318,$L$2:$N$7,3,FALSE)*I318</f>
        <v>517921</v>
      </c>
      <c r="O318" s="136"/>
      <c r="P318" s="142" t="s">
        <v>549</v>
      </c>
      <c r="Q318" s="9">
        <f>IF(P318="G",M318,IF(P318="PT",0,ERR))</f>
        <v>0</v>
      </c>
      <c r="R318" s="9">
        <f>IF(P318="PT",M318,IF(P318="G",0,ERR))</f>
        <v>0</v>
      </c>
      <c r="S318" s="142" t="s">
        <v>548</v>
      </c>
      <c r="T318" s="9">
        <f>IF(S318="G",N318,IF(S318="PT",0,ERR))</f>
        <v>0</v>
      </c>
      <c r="U318" s="9">
        <f>IF(S318="PT",N318,IF(S318="G",0,ERR))</f>
        <v>517921</v>
      </c>
      <c r="V318" s="140"/>
      <c r="W318" s="9">
        <f>HLOOKUP($W$9,'ROR-Model'!$Q$10:$U$1263,Y318)</f>
        <v>0</v>
      </c>
      <c r="X318" s="156"/>
      <c r="Y318" s="918">
        <f t="shared" si="13"/>
        <v>309</v>
      </c>
      <c r="AA318" s="9">
        <v>0</v>
      </c>
      <c r="AC318" s="9" t="str">
        <f t="shared" si="14"/>
        <v/>
      </c>
      <c r="AE318" s="44" t="str">
        <f t="shared" si="15"/>
        <v/>
      </c>
    </row>
    <row r="319" spans="1:31">
      <c r="A319" s="153"/>
      <c r="B319" s="63"/>
      <c r="C319" s="63"/>
      <c r="D319" s="4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36"/>
      <c r="P319" s="142"/>
      <c r="Q319" s="9"/>
      <c r="R319" s="9"/>
      <c r="S319" s="357"/>
      <c r="T319" s="9"/>
      <c r="U319" s="9"/>
      <c r="V319" s="140"/>
      <c r="W319" s="9"/>
      <c r="X319" s="156"/>
      <c r="Y319" s="918">
        <f t="shared" si="13"/>
        <v>310</v>
      </c>
      <c r="AA319" s="9"/>
      <c r="AC319" s="9" t="str">
        <f t="shared" si="14"/>
        <v/>
      </c>
      <c r="AE319" s="44" t="str">
        <f t="shared" si="15"/>
        <v/>
      </c>
    </row>
    <row r="320" spans="1:31">
      <c r="A320" s="570"/>
      <c r="B320" s="365" t="s">
        <v>676</v>
      </c>
      <c r="C320" s="365" t="s">
        <v>88</v>
      </c>
      <c r="D320" s="309"/>
      <c r="E320" s="357"/>
      <c r="F320" s="357">
        <f>Revenue!$F$319</f>
        <v>340767.31000000006</v>
      </c>
      <c r="G320" s="357">
        <f>+Adjustments!U320</f>
        <v>0</v>
      </c>
      <c r="H320" s="357"/>
      <c r="I320" s="357">
        <f>SUM($F$320:$H$320)</f>
        <v>340767.31000000006</v>
      </c>
      <c r="J320" s="357">
        <f>+I320-'ROR-Model'!I320</f>
        <v>0</v>
      </c>
      <c r="K320" s="357"/>
      <c r="L320" s="357" t="s">
        <v>24</v>
      </c>
      <c r="M320" s="357">
        <f>VLOOKUP($L320,$L$2:$N$7,2,FALSE)*I320</f>
        <v>0</v>
      </c>
      <c r="N320" s="357">
        <f>VLOOKUP($L320,$L$2:$N$7,3,FALSE)*I320</f>
        <v>340767.31000000006</v>
      </c>
      <c r="O320" s="709"/>
      <c r="P320" s="584" t="s">
        <v>549</v>
      </c>
      <c r="Q320" s="357">
        <f>IF(P320="G",M320,IF(P320="PT",0,ERR))</f>
        <v>0</v>
      </c>
      <c r="R320" s="357">
        <f>IF(P320="PT",M320,IF(P320="G",0,ERR))</f>
        <v>0</v>
      </c>
      <c r="S320" s="584" t="s">
        <v>549</v>
      </c>
      <c r="T320" s="357">
        <f>IF(S320="G",N320,IF(S320="PT",0,ERR))</f>
        <v>340767.31000000006</v>
      </c>
      <c r="U320" s="357">
        <f>IF(S320="PT",N320,IF(S320="G",0,ERR))</f>
        <v>0</v>
      </c>
      <c r="V320" s="710"/>
      <c r="W320" s="357">
        <f>HLOOKUP($W$9,'ROR-Model'!$Q$10:$U$1263,Y320)</f>
        <v>0</v>
      </c>
      <c r="X320" s="359"/>
      <c r="Y320" s="918">
        <f t="shared" si="13"/>
        <v>311</v>
      </c>
      <c r="AA320" s="357">
        <v>519942.14999999997</v>
      </c>
      <c r="AC320" s="357">
        <f t="shared" si="14"/>
        <v>-519942.14999999997</v>
      </c>
      <c r="AE320" s="44">
        <f t="shared" si="15"/>
        <v>-1</v>
      </c>
    </row>
    <row r="321" spans="1:31" ht="13.5" thickBot="1">
      <c r="A321" s="570"/>
      <c r="B321" s="365" t="s">
        <v>107</v>
      </c>
      <c r="C321" s="365" t="s">
        <v>88</v>
      </c>
      <c r="D321" s="309"/>
      <c r="E321" s="579">
        <f>+G321-Adjustments!G321</f>
        <v>0</v>
      </c>
      <c r="F321" s="579">
        <f>Revenue!$F$320</f>
        <v>165057.12000000002</v>
      </c>
      <c r="G321" s="579">
        <f>+Adjustments!U321</f>
        <v>-165057.12000000002</v>
      </c>
      <c r="H321" s="579"/>
      <c r="I321" s="579">
        <f>SUM($F$321:$H$321)</f>
        <v>0</v>
      </c>
      <c r="J321" s="357">
        <f>+I321-'ROR-Model'!I321</f>
        <v>0</v>
      </c>
      <c r="K321" s="357"/>
      <c r="L321" s="357" t="s">
        <v>24</v>
      </c>
      <c r="M321" s="357">
        <f>VLOOKUP($L321,$L$2:$N$7,2,FALSE)*I321</f>
        <v>0</v>
      </c>
      <c r="N321" s="357">
        <f>VLOOKUP($L321,$L$2:$N$7,3,FALSE)*I321</f>
        <v>0</v>
      </c>
      <c r="O321" s="709"/>
      <c r="P321" s="584" t="s">
        <v>549</v>
      </c>
      <c r="Q321" s="357">
        <f>IF(P321="G",M321,IF(P321="PT",0,ERR))</f>
        <v>0</v>
      </c>
      <c r="R321" s="357">
        <f>IF(P321="PT",M321,IF(P321="G",0,ERR))</f>
        <v>0</v>
      </c>
      <c r="S321" s="584" t="s">
        <v>549</v>
      </c>
      <c r="T321" s="357">
        <f>IF(S321="G",N321,IF(S321="PT",0,ERR))</f>
        <v>0</v>
      </c>
      <c r="U321" s="357">
        <f>IF(S321="PT",N321,IF(S321="G",0,ERR))</f>
        <v>0</v>
      </c>
      <c r="V321" s="710"/>
      <c r="W321" s="357">
        <f>HLOOKUP($W$9,'ROR-Model'!$Q$10:$U$1263,Y321)</f>
        <v>0</v>
      </c>
      <c r="X321" s="359"/>
      <c r="Y321" s="918">
        <f t="shared" si="13"/>
        <v>312</v>
      </c>
      <c r="AA321" s="357">
        <v>0</v>
      </c>
      <c r="AC321" s="357" t="str">
        <f t="shared" si="14"/>
        <v/>
      </c>
      <c r="AE321" s="44" t="str">
        <f t="shared" si="15"/>
        <v/>
      </c>
    </row>
    <row r="322" spans="1:31" ht="13.5" thickTop="1">
      <c r="A322" s="153"/>
      <c r="B322" s="365" t="s">
        <v>534</v>
      </c>
      <c r="C322" s="365"/>
      <c r="D322" s="49"/>
      <c r="E322" s="9">
        <f>+G322-Adjustments!G322</f>
        <v>0</v>
      </c>
      <c r="F322" s="9"/>
      <c r="G322" s="9"/>
      <c r="H322" s="9"/>
      <c r="I322" s="9"/>
      <c r="J322" s="9">
        <f>+I322-'ROR-Model'!I322</f>
        <v>0</v>
      </c>
      <c r="K322" s="9"/>
      <c r="L322" s="9"/>
      <c r="M322" s="9"/>
      <c r="N322" s="9"/>
      <c r="O322" s="136"/>
      <c r="P322" s="142"/>
      <c r="Q322" s="9"/>
      <c r="R322" s="9"/>
      <c r="S322" s="142"/>
      <c r="T322" s="9"/>
      <c r="U322" s="9"/>
      <c r="V322" s="140"/>
      <c r="W322" s="9"/>
      <c r="X322" s="156"/>
      <c r="Y322" s="918">
        <f t="shared" si="13"/>
        <v>313</v>
      </c>
      <c r="AA322" s="9"/>
      <c r="AC322" s="9" t="str">
        <f t="shared" si="14"/>
        <v/>
      </c>
      <c r="AE322" s="44" t="str">
        <f t="shared" si="15"/>
        <v/>
      </c>
    </row>
    <row r="323" spans="1:31">
      <c r="A323" s="153"/>
      <c r="B323" s="63"/>
      <c r="C323" s="63" t="s">
        <v>15</v>
      </c>
      <c r="D323" s="49"/>
      <c r="E323" s="11">
        <f>+G323-Adjustments!G323</f>
        <v>0</v>
      </c>
      <c r="F323" s="11">
        <f>+F239+F248+F257+F266+F320+F321</f>
        <v>12936314.539690599</v>
      </c>
      <c r="G323" s="11">
        <f>+G239+G248+G257+G266+G275+G320+G321</f>
        <v>-165057.12000000002</v>
      </c>
      <c r="H323" s="11">
        <f>+H239+H248+H257+H266+H275+H320+H321</f>
        <v>0</v>
      </c>
      <c r="I323" s="11">
        <f>+I239+I248+I257+I266+I320+I321</f>
        <v>12771257.4196906</v>
      </c>
      <c r="J323" s="9">
        <f>+I323-'ROR-Model'!I323</f>
        <v>0</v>
      </c>
      <c r="K323" s="9"/>
      <c r="L323" s="9"/>
      <c r="M323" s="11">
        <f>+M239+M248+M257+M266+M275+M320+M321</f>
        <v>0</v>
      </c>
      <c r="N323" s="11">
        <f>+N239+N248+N257+N266+N275+N320+N321</f>
        <v>12823771.4196906</v>
      </c>
      <c r="O323" s="136"/>
      <c r="P323" s="142"/>
      <c r="Q323" s="11">
        <f>+Q239+Q248+Q257+Q266+Q275+Q320+Q321</f>
        <v>0</v>
      </c>
      <c r="R323" s="11">
        <f>+R239+R248+R257+R266+R275+R320+R321</f>
        <v>0</v>
      </c>
      <c r="S323" s="142"/>
      <c r="T323" s="11">
        <f>+T239+T248+T257+T266+T275+T320+T321</f>
        <v>12771257.4196906</v>
      </c>
      <c r="U323" s="11">
        <f>+U239+U248+U257+U266+U275+U320+U321</f>
        <v>52514</v>
      </c>
      <c r="V323" s="140"/>
      <c r="W323" s="11">
        <f>HLOOKUP($W$9,'ROR-Model'!$Q$10:$U$1263,Y323)</f>
        <v>0</v>
      </c>
      <c r="X323" s="156"/>
      <c r="Y323" s="918">
        <f t="shared" si="13"/>
        <v>314</v>
      </c>
      <c r="AA323" s="11">
        <v>12442563.945955401</v>
      </c>
      <c r="AC323" s="11">
        <f t="shared" si="14"/>
        <v>-12442563.945955401</v>
      </c>
      <c r="AE323" s="44">
        <f t="shared" si="15"/>
        <v>-1</v>
      </c>
    </row>
    <row r="324" spans="1:31">
      <c r="A324" s="153"/>
      <c r="B324" s="63"/>
      <c r="C324" s="63" t="s">
        <v>16</v>
      </c>
      <c r="D324" s="49"/>
      <c r="E324" s="11">
        <f>+G324-Adjustments!G324</f>
        <v>0</v>
      </c>
      <c r="F324" s="11">
        <f>+F277+F286</f>
        <v>-36</v>
      </c>
      <c r="G324" s="11">
        <f>+G277+G286</f>
        <v>0</v>
      </c>
      <c r="H324" s="11">
        <f>+H277+H286</f>
        <v>0</v>
      </c>
      <c r="I324" s="11">
        <f>+I277+I286</f>
        <v>-36</v>
      </c>
      <c r="J324" s="9">
        <f>+I324-'ROR-Model'!I324</f>
        <v>0</v>
      </c>
      <c r="K324" s="9"/>
      <c r="L324" s="9"/>
      <c r="M324" s="11">
        <f>+M277+M286</f>
        <v>0</v>
      </c>
      <c r="N324" s="11">
        <f>+N277+N286</f>
        <v>-36</v>
      </c>
      <c r="O324" s="136"/>
      <c r="P324" s="142"/>
      <c r="Q324" s="11">
        <f>+Q277+Q286</f>
        <v>0</v>
      </c>
      <c r="R324" s="11">
        <f>+R277+R286</f>
        <v>0</v>
      </c>
      <c r="S324" s="142"/>
      <c r="T324" s="11">
        <f>+T277+T286</f>
        <v>0</v>
      </c>
      <c r="U324" s="11">
        <f>+U277+U286</f>
        <v>-36</v>
      </c>
      <c r="V324" s="140"/>
      <c r="W324" s="11">
        <f>HLOOKUP($W$9,'ROR-Model'!$Q$10:$U$1263,Y324)</f>
        <v>0</v>
      </c>
      <c r="X324" s="156"/>
      <c r="Y324" s="918">
        <f t="shared" si="13"/>
        <v>315</v>
      </c>
      <c r="AA324" s="11">
        <v>0</v>
      </c>
      <c r="AC324" s="11" t="str">
        <f t="shared" si="14"/>
        <v/>
      </c>
      <c r="AE324" s="44" t="str">
        <f t="shared" si="15"/>
        <v/>
      </c>
    </row>
    <row r="325" spans="1:31">
      <c r="A325" s="153"/>
      <c r="B325" s="63"/>
      <c r="C325" s="365" t="s">
        <v>537</v>
      </c>
      <c r="D325" s="49"/>
      <c r="E325" s="11">
        <f>+G325-Adjustments!G325</f>
        <v>0</v>
      </c>
      <c r="F325" s="11">
        <f>+F275+F284+F293+F302+F311</f>
        <v>176960</v>
      </c>
      <c r="G325" s="11">
        <f>+G284+G293+G302+G311</f>
        <v>0</v>
      </c>
      <c r="H325" s="11">
        <f>+H284+H293+H302+H311</f>
        <v>0</v>
      </c>
      <c r="I325" s="11">
        <f>+I275+I284+I293+I302+I311</f>
        <v>176960</v>
      </c>
      <c r="J325" s="9"/>
      <c r="K325" s="9"/>
      <c r="L325" s="9"/>
      <c r="M325" s="11">
        <f>+M284+M293+M302+M311</f>
        <v>0</v>
      </c>
      <c r="N325" s="11">
        <f>+N275+N284+N293+N302+N311</f>
        <v>176960</v>
      </c>
      <c r="O325" s="136"/>
      <c r="P325" s="142"/>
      <c r="Q325" s="11">
        <f>+Q284+Q293+Q302+Q311</f>
        <v>0</v>
      </c>
      <c r="R325" s="11">
        <f>+R284+R293+R302+R311</f>
        <v>0</v>
      </c>
      <c r="S325" s="142"/>
      <c r="T325" s="11">
        <f>+T284+T293+T302+T311</f>
        <v>0</v>
      </c>
      <c r="U325" s="11">
        <f>+N275+U284+U293+U302+U311</f>
        <v>176960</v>
      </c>
      <c r="V325" s="140"/>
      <c r="W325" s="11">
        <f>HLOOKUP($W$9,'ROR-Model'!$Q$10:$U$1263,Y325)</f>
        <v>0</v>
      </c>
      <c r="X325" s="156"/>
      <c r="Y325" s="918">
        <f t="shared" si="13"/>
        <v>316</v>
      </c>
      <c r="AA325" s="11">
        <v>0</v>
      </c>
      <c r="AC325" s="11" t="str">
        <f t="shared" si="14"/>
        <v/>
      </c>
      <c r="AE325" s="44" t="str">
        <f t="shared" si="15"/>
        <v/>
      </c>
    </row>
    <row r="326" spans="1:31">
      <c r="A326" s="153"/>
      <c r="B326" s="63"/>
      <c r="C326" s="63" t="s">
        <v>17</v>
      </c>
      <c r="D326" s="49"/>
      <c r="E326" s="11">
        <f>+G326-Adjustments!G326</f>
        <v>0</v>
      </c>
      <c r="F326" s="11">
        <f>+F243+F252+F261+F270+F279+F288+F297+F306+F315</f>
        <v>18791773.620309401</v>
      </c>
      <c r="G326" s="11">
        <f t="shared" ref="G326:I326" si="16">+G243+G252+G261+G270+G279+G288+G297+G306+G315</f>
        <v>0</v>
      </c>
      <c r="H326" s="11">
        <f t="shared" si="16"/>
        <v>0</v>
      </c>
      <c r="I326" s="11">
        <f t="shared" si="16"/>
        <v>18791773.620309401</v>
      </c>
      <c r="J326" s="9">
        <f>+I326-'ROR-Model'!I326</f>
        <v>0</v>
      </c>
      <c r="K326" s="9"/>
      <c r="L326" s="9"/>
      <c r="M326" s="11">
        <f>+M243+M252+M261+M270+M279+M288+M297+M306+M315</f>
        <v>0</v>
      </c>
      <c r="N326" s="11">
        <f>+N243+N252+N261+N270+N279+N288+N297+N306+N315</f>
        <v>18791773.620309401</v>
      </c>
      <c r="O326" s="136"/>
      <c r="P326" s="142"/>
      <c r="Q326" s="11">
        <f>+Q243+Q252+Q261+Q270+Q279+Q288+Q297+Q306+Q315</f>
        <v>0</v>
      </c>
      <c r="R326" s="11">
        <f>+R243+R252+R261+R270+R279+R288+R297+R306+R315</f>
        <v>0</v>
      </c>
      <c r="S326" s="142"/>
      <c r="T326" s="11">
        <f>+T243+T252+T261+T270+T279+T288+T297+T306+T315</f>
        <v>0</v>
      </c>
      <c r="U326" s="11">
        <f>+U243+U252+U261+U270+U279+U288+U297+U306+U315</f>
        <v>18791773.620309401</v>
      </c>
      <c r="V326" s="140"/>
      <c r="W326" s="11">
        <f>HLOOKUP($W$9,'ROR-Model'!$Q$10:$U$1263,Y326)</f>
        <v>0</v>
      </c>
      <c r="X326" s="156"/>
      <c r="Y326" s="918">
        <f t="shared" si="13"/>
        <v>317</v>
      </c>
      <c r="AA326" s="11">
        <v>0</v>
      </c>
      <c r="AC326" s="11" t="str">
        <f t="shared" si="14"/>
        <v/>
      </c>
      <c r="AE326" s="44" t="str">
        <f t="shared" si="15"/>
        <v/>
      </c>
    </row>
    <row r="327" spans="1:31">
      <c r="A327" s="153"/>
      <c r="B327" s="63"/>
      <c r="C327" s="63" t="s">
        <v>27</v>
      </c>
      <c r="D327" s="49"/>
      <c r="E327" s="194">
        <f>+G327-Adjustments!G327</f>
        <v>0</v>
      </c>
      <c r="F327" s="194">
        <f>+F244+F253+F262+F271+F280+F289+F298+F307+F316+F320+F321</f>
        <v>31905012.16</v>
      </c>
      <c r="G327" s="194">
        <f t="shared" ref="G327:I327" si="17">+G244+G253+G262+G271+G280+G289+G298+G307+G316+G320+G321</f>
        <v>-165057.12000000002</v>
      </c>
      <c r="H327" s="194">
        <f t="shared" si="17"/>
        <v>0</v>
      </c>
      <c r="I327" s="194">
        <f t="shared" si="17"/>
        <v>31739955.039999999</v>
      </c>
      <c r="J327" s="9">
        <f>+I327-'ROR-Model'!I327</f>
        <v>0</v>
      </c>
      <c r="K327" s="9"/>
      <c r="L327" s="194"/>
      <c r="M327" s="194">
        <f t="shared" ref="M327:N327" si="18">+M244+M253+M262+M271+M280+M289+M298+M307+M316+M320+M321</f>
        <v>0</v>
      </c>
      <c r="N327" s="194">
        <f t="shared" si="18"/>
        <v>31739955.039999999</v>
      </c>
      <c r="O327" s="136"/>
      <c r="P327" s="226"/>
      <c r="Q327" s="194">
        <f t="shared" ref="Q327:U327" si="19">+Q244+Q253+Q262+Q271+Q280+Q289+Q298+Q307+Q316+Q320+Q321</f>
        <v>0</v>
      </c>
      <c r="R327" s="194">
        <f t="shared" si="19"/>
        <v>0</v>
      </c>
      <c r="S327" s="194"/>
      <c r="T327" s="194">
        <f t="shared" si="19"/>
        <v>12771257.4196906</v>
      </c>
      <c r="U327" s="194">
        <f t="shared" si="19"/>
        <v>18968697.620309401</v>
      </c>
      <c r="V327" s="140"/>
      <c r="W327" s="194">
        <f>HLOOKUP($W$9,'ROR-Model'!$Q$10:$U$1263,Y327)</f>
        <v>0</v>
      </c>
      <c r="X327" s="156"/>
      <c r="Y327" s="918">
        <f t="shared" si="13"/>
        <v>318</v>
      </c>
      <c r="AA327" s="194">
        <v>12442563.945955401</v>
      </c>
      <c r="AC327" s="194">
        <f t="shared" si="14"/>
        <v>-12442563.945955401</v>
      </c>
      <c r="AE327" s="44">
        <f t="shared" si="15"/>
        <v>-1</v>
      </c>
    </row>
    <row r="328" spans="1:31">
      <c r="A328" s="153"/>
      <c r="B328" s="63"/>
      <c r="C328" s="63"/>
      <c r="D328" s="49"/>
      <c r="E328" s="11">
        <f>+G328-Adjustments!G328</f>
        <v>0</v>
      </c>
      <c r="F328" s="11"/>
      <c r="G328" s="11"/>
      <c r="H328" s="11"/>
      <c r="I328" s="11"/>
      <c r="J328" s="9">
        <f>+I328-'ROR-Model'!I328</f>
        <v>0</v>
      </c>
      <c r="K328" s="9"/>
      <c r="L328" s="9"/>
      <c r="M328" s="11"/>
      <c r="N328" s="11"/>
      <c r="O328" s="136"/>
      <c r="P328" s="142"/>
      <c r="Q328" s="11"/>
      <c r="R328" s="11"/>
      <c r="S328" s="142"/>
      <c r="T328" s="11"/>
      <c r="U328" s="11"/>
      <c r="V328" s="140"/>
      <c r="W328" s="11"/>
      <c r="X328" s="156"/>
      <c r="Y328" s="918">
        <f t="shared" si="13"/>
        <v>319</v>
      </c>
      <c r="AA328" s="11"/>
      <c r="AC328" s="11" t="str">
        <f t="shared" si="14"/>
        <v/>
      </c>
      <c r="AE328" s="44" t="str">
        <f t="shared" si="15"/>
        <v/>
      </c>
    </row>
    <row r="329" spans="1:31">
      <c r="A329" s="644"/>
      <c r="B329" s="63"/>
      <c r="C329" s="365" t="s">
        <v>57</v>
      </c>
      <c r="D329" s="703"/>
      <c r="E329" s="649">
        <f>+G329-Adjustments!G329</f>
        <v>0</v>
      </c>
      <c r="F329" s="649">
        <f>F246+F255+F264+F273+F282+F291</f>
        <v>3722463.87</v>
      </c>
      <c r="G329" s="649">
        <f>G246+G255+G264+G273+G282+G291</f>
        <v>0</v>
      </c>
      <c r="H329" s="649">
        <f>H246+H255+H264+H273+H282+H291</f>
        <v>0</v>
      </c>
      <c r="I329" s="649">
        <f>I246+I255+I264+I273+I282+I291</f>
        <v>3722463.87</v>
      </c>
      <c r="J329" s="9">
        <f>+I329-'ROR-Model'!I329</f>
        <v>0</v>
      </c>
      <c r="K329" s="645"/>
      <c r="L329" s="645"/>
      <c r="M329" s="649">
        <f>M246+M255+M264+M273+M282+M291</f>
        <v>0</v>
      </c>
      <c r="N329" s="649">
        <f>N246+N255+N264+N273+N282+N291</f>
        <v>3722463.87</v>
      </c>
      <c r="O329" s="704"/>
      <c r="P329" s="705"/>
      <c r="Q329" s="649">
        <f>Q246+Q255+Q264+Q273+Q282+Q291</f>
        <v>0</v>
      </c>
      <c r="R329" s="649">
        <f>R246+R255+R264+R273+R282+R291</f>
        <v>0</v>
      </c>
      <c r="S329" s="705"/>
      <c r="T329" s="649">
        <f>T246+T255+T264+T273+T282+T291</f>
        <v>3573465.87</v>
      </c>
      <c r="U329" s="649">
        <f>U246+U255+U264+U273+U282+U291</f>
        <v>148998</v>
      </c>
      <c r="V329" s="706"/>
      <c r="W329" s="649">
        <f>HLOOKUP($W$9,'ROR-Model'!$Q$10:$U$1263,Y329)</f>
        <v>0</v>
      </c>
      <c r="X329" s="707"/>
      <c r="Y329" s="918">
        <f t="shared" si="13"/>
        <v>320</v>
      </c>
      <c r="AA329" s="649">
        <v>3393280.62</v>
      </c>
      <c r="AC329" s="649">
        <f t="shared" si="14"/>
        <v>-3393280.62</v>
      </c>
      <c r="AE329" s="44">
        <f t="shared" si="15"/>
        <v>-1</v>
      </c>
    </row>
    <row r="330" spans="1:31">
      <c r="A330" s="644"/>
      <c r="B330" s="63"/>
      <c r="C330" s="63" t="s">
        <v>58</v>
      </c>
      <c r="D330" s="703"/>
      <c r="E330" s="649">
        <f>+G330-Adjustments!G330</f>
        <v>0</v>
      </c>
      <c r="F330" s="649">
        <f>F309+F318+F300</f>
        <v>664612</v>
      </c>
      <c r="G330" s="649">
        <f>G309+G318+G300</f>
        <v>0</v>
      </c>
      <c r="H330" s="649">
        <f>H309+H318+H300</f>
        <v>0</v>
      </c>
      <c r="I330" s="649">
        <f>I309+I318+I300</f>
        <v>664612</v>
      </c>
      <c r="J330" s="9">
        <f>+I330-'ROR-Model'!I330</f>
        <v>0</v>
      </c>
      <c r="K330" s="645"/>
      <c r="L330" s="645"/>
      <c r="M330" s="649">
        <f>M309+M318+M300</f>
        <v>0</v>
      </c>
      <c r="N330" s="649">
        <f>N309+N318+N300</f>
        <v>664612</v>
      </c>
      <c r="O330" s="704"/>
      <c r="P330" s="705"/>
      <c r="Q330" s="649">
        <f>Q309+Q318+Q300</f>
        <v>0</v>
      </c>
      <c r="R330" s="649">
        <f>R309+R318+R300</f>
        <v>0</v>
      </c>
      <c r="S330" s="705"/>
      <c r="T330" s="649">
        <f>T309+T318+T300</f>
        <v>0</v>
      </c>
      <c r="U330" s="649">
        <f>U309+U318+U300</f>
        <v>664612</v>
      </c>
      <c r="V330" s="706"/>
      <c r="W330" s="649">
        <f>HLOOKUP($W$9,'ROR-Model'!$Q$10:$U$1263,Y330)</f>
        <v>0</v>
      </c>
      <c r="X330" s="707"/>
      <c r="Y330" s="918">
        <f t="shared" si="13"/>
        <v>321</v>
      </c>
      <c r="AA330" s="649">
        <v>0</v>
      </c>
      <c r="AC330" s="649" t="str">
        <f t="shared" si="14"/>
        <v/>
      </c>
      <c r="AE330" s="44" t="str">
        <f t="shared" si="15"/>
        <v/>
      </c>
    </row>
    <row r="331" spans="1:31">
      <c r="A331" s="644"/>
      <c r="B331" s="63"/>
      <c r="C331" s="63" t="s">
        <v>28</v>
      </c>
      <c r="D331" s="703"/>
      <c r="E331" s="650">
        <f>+G331-Adjustments!G331</f>
        <v>0</v>
      </c>
      <c r="F331" s="650">
        <f>+F246+F255+F264+F273+F282+F291+F300+F309+F318</f>
        <v>4387075.87</v>
      </c>
      <c r="G331" s="650">
        <f>+G246+G255+G264+G273+G282+G291+G300+G309+G318</f>
        <v>0</v>
      </c>
      <c r="H331" s="650">
        <f>+H246+H255+H264+H273+H282+H291+H300+H309+H318</f>
        <v>0</v>
      </c>
      <c r="I331" s="650">
        <f>+I246+I255+I264+I273+I282+I291+I300+I309+I318</f>
        <v>4387075.87</v>
      </c>
      <c r="J331" s="9">
        <f>+I331-'ROR-Model'!I331</f>
        <v>0</v>
      </c>
      <c r="K331" s="645"/>
      <c r="L331" s="646"/>
      <c r="M331" s="650">
        <f>+M246+M255+M264+M273+M282+M291+M300+M309+M318</f>
        <v>0</v>
      </c>
      <c r="N331" s="650">
        <f>+N246+N255+N264+N273+N282+N291+N300+N309+N318</f>
        <v>4387075.87</v>
      </c>
      <c r="O331" s="704"/>
      <c r="P331" s="708"/>
      <c r="Q331" s="650">
        <f>+Q246+Q255+Q264+Q273+Q282+Q291+Q300+Q309+Q318</f>
        <v>0</v>
      </c>
      <c r="R331" s="650">
        <f>+R246+R255+R264+R273+R282+R291+R300+R309+R318</f>
        <v>0</v>
      </c>
      <c r="S331" s="708"/>
      <c r="T331" s="650">
        <f>+T246+T255+T264+T273+T282+T291+T300+T309+T318</f>
        <v>3573465.87</v>
      </c>
      <c r="U331" s="650">
        <f>+U246+U255+U264+U273+U282+U291+U300+U309+U318</f>
        <v>813610</v>
      </c>
      <c r="V331" s="706"/>
      <c r="W331" s="650">
        <f>HLOOKUP($W$9,'ROR-Model'!$Q$10:$U$1263,Y331)</f>
        <v>0</v>
      </c>
      <c r="X331" s="707"/>
      <c r="Y331" s="918">
        <f t="shared" si="13"/>
        <v>322</v>
      </c>
      <c r="AA331" s="650">
        <v>3393280.62</v>
      </c>
      <c r="AC331" s="650">
        <f t="shared" si="14"/>
        <v>-3393280.62</v>
      </c>
      <c r="AE331" s="44">
        <f t="shared" si="15"/>
        <v>-1</v>
      </c>
    </row>
    <row r="332" spans="1:31">
      <c r="A332" s="153"/>
      <c r="B332" s="365"/>
      <c r="C332" s="365"/>
      <c r="D332" s="49"/>
      <c r="E332" s="9">
        <f>+G332-Adjustments!G332</f>
        <v>0</v>
      </c>
      <c r="F332" s="9"/>
      <c r="G332" s="9"/>
      <c r="H332" s="9"/>
      <c r="I332" s="9"/>
      <c r="J332" s="9">
        <f>+I332-'ROR-Model'!I332</f>
        <v>0</v>
      </c>
      <c r="K332" s="9"/>
      <c r="L332" s="9"/>
      <c r="M332" s="9"/>
      <c r="N332" s="9"/>
      <c r="O332" s="136"/>
      <c r="P332" s="142"/>
      <c r="Q332" s="9"/>
      <c r="R332" s="9"/>
      <c r="S332" s="142"/>
      <c r="T332" s="9"/>
      <c r="U332" s="9"/>
      <c r="V332" s="140"/>
      <c r="W332" s="9"/>
      <c r="X332" s="156"/>
      <c r="Y332" s="918">
        <f t="shared" si="13"/>
        <v>323</v>
      </c>
      <c r="AA332" s="9"/>
      <c r="AC332" s="9" t="str">
        <f t="shared" si="14"/>
        <v/>
      </c>
      <c r="AE332" s="44" t="str">
        <f t="shared" si="15"/>
        <v/>
      </c>
    </row>
    <row r="333" spans="1:31">
      <c r="A333" s="130" t="s">
        <v>29</v>
      </c>
      <c r="B333" s="63"/>
      <c r="C333" s="63"/>
      <c r="D333" s="49"/>
      <c r="E333" s="9">
        <f>+G333-Adjustments!G333</f>
        <v>0</v>
      </c>
      <c r="F333" s="9"/>
      <c r="G333" s="9"/>
      <c r="H333" s="9"/>
      <c r="I333" s="9"/>
      <c r="J333" s="9">
        <f>+I333-'ROR-Model'!I333</f>
        <v>0</v>
      </c>
      <c r="K333" s="9"/>
      <c r="L333" s="9"/>
      <c r="M333" s="9"/>
      <c r="N333" s="9"/>
      <c r="O333" s="136"/>
      <c r="P333" s="142"/>
      <c r="Q333" s="9"/>
      <c r="R333" s="9"/>
      <c r="S333" s="142"/>
      <c r="T333" s="9"/>
      <c r="U333" s="9"/>
      <c r="V333" s="140"/>
      <c r="W333" s="9"/>
      <c r="X333" s="156"/>
      <c r="Y333" s="918">
        <f t="shared" si="13"/>
        <v>324</v>
      </c>
      <c r="AA333" s="9"/>
      <c r="AC333" s="9" t="str">
        <f t="shared" si="14"/>
        <v/>
      </c>
      <c r="AE333" s="44" t="str">
        <f t="shared" si="15"/>
        <v/>
      </c>
    </row>
    <row r="334" spans="1:31">
      <c r="A334" s="153"/>
      <c r="B334" s="365" t="s">
        <v>81</v>
      </c>
      <c r="C334" s="365" t="s">
        <v>15</v>
      </c>
      <c r="D334" s="49"/>
      <c r="E334" s="9">
        <f>+G334-Adjustments!G334</f>
        <v>0</v>
      </c>
      <c r="F334" s="9">
        <f>Revenue!$F$333</f>
        <v>0</v>
      </c>
      <c r="G334" s="9">
        <f>+Adjustments!U334</f>
        <v>0</v>
      </c>
      <c r="H334" s="9"/>
      <c r="I334" s="9">
        <f>SUM($F$334:$H$334)</f>
        <v>0</v>
      </c>
      <c r="J334" s="9">
        <f>+I334-'ROR-Model'!I334</f>
        <v>0</v>
      </c>
      <c r="K334" s="9"/>
      <c r="L334" s="9" t="s">
        <v>679</v>
      </c>
      <c r="M334" s="9">
        <f>VLOOKUP($L334,$L$2:$N$7,2,FALSE)*I334</f>
        <v>0</v>
      </c>
      <c r="N334" s="9">
        <f>VLOOKUP($L334,$L$2:$N$7,3,FALSE)*I334</f>
        <v>0</v>
      </c>
      <c r="O334" s="136"/>
      <c r="P334" s="142" t="s">
        <v>549</v>
      </c>
      <c r="Q334" s="9">
        <f>IF(P334="G",M334,IF(P334="PT",0,ERR))</f>
        <v>0</v>
      </c>
      <c r="R334" s="9">
        <f>IF(P334="PT",M334,IF(P334="G",0,ERR))</f>
        <v>0</v>
      </c>
      <c r="S334" s="142" t="s">
        <v>549</v>
      </c>
      <c r="T334" s="9">
        <f>IF(S334="G",N334,IF(S334="PT",0,ERR))</f>
        <v>0</v>
      </c>
      <c r="U334" s="9">
        <f>IF(S334="PT",N334,IF(S334="G",0,ERR))</f>
        <v>0</v>
      </c>
      <c r="V334" s="140"/>
      <c r="W334" s="9">
        <f>HLOOKUP($W$9,'ROR-Model'!$Q$10:$U$1263,Y334)</f>
        <v>0</v>
      </c>
      <c r="X334" s="156"/>
      <c r="Y334" s="918">
        <f t="shared" ref="Y334:Y397" si="20">Y333+1</f>
        <v>325</v>
      </c>
      <c r="AA334" s="9">
        <v>0</v>
      </c>
      <c r="AC334" s="9" t="str">
        <f t="shared" si="14"/>
        <v/>
      </c>
      <c r="AE334" s="44" t="str">
        <f t="shared" si="15"/>
        <v/>
      </c>
    </row>
    <row r="335" spans="1:31">
      <c r="A335" s="153"/>
      <c r="B335" s="365"/>
      <c r="C335" s="365"/>
      <c r="D335" s="49"/>
      <c r="E335" s="9">
        <f>+G335-Adjustments!G335</f>
        <v>0</v>
      </c>
      <c r="F335" s="9"/>
      <c r="G335" s="9"/>
      <c r="H335" s="9"/>
      <c r="I335" s="9"/>
      <c r="J335" s="9">
        <f>+I335-'ROR-Model'!I335</f>
        <v>0</v>
      </c>
      <c r="K335" s="9"/>
      <c r="L335" s="9"/>
      <c r="M335" s="31"/>
      <c r="N335" s="31"/>
      <c r="O335" s="136"/>
      <c r="P335" s="142"/>
      <c r="Q335" s="9"/>
      <c r="R335" s="9"/>
      <c r="S335" s="142"/>
      <c r="T335" s="9"/>
      <c r="U335" s="9"/>
      <c r="V335" s="140"/>
      <c r="W335" s="9"/>
      <c r="X335" s="156"/>
      <c r="Y335" s="918">
        <f t="shared" si="20"/>
        <v>326</v>
      </c>
      <c r="AA335" s="9"/>
      <c r="AC335" s="9" t="str">
        <f t="shared" si="14"/>
        <v/>
      </c>
      <c r="AE335" s="44" t="str">
        <f t="shared" si="15"/>
        <v/>
      </c>
    </row>
    <row r="336" spans="1:31">
      <c r="A336" s="153"/>
      <c r="B336" s="365"/>
      <c r="C336" s="365"/>
      <c r="D336" s="49"/>
      <c r="E336" s="9">
        <f>+G336-Adjustments!G336</f>
        <v>0</v>
      </c>
      <c r="F336" s="9"/>
      <c r="G336" s="9">
        <f>+Adjustments!U336</f>
        <v>0</v>
      </c>
      <c r="H336" s="9"/>
      <c r="I336" s="9">
        <f>SUM($F$336:$H$336)</f>
        <v>0</v>
      </c>
      <c r="J336" s="9">
        <f>+I336-'ROR-Model'!I336</f>
        <v>0</v>
      </c>
      <c r="K336" s="9"/>
      <c r="L336" s="9" t="s">
        <v>24</v>
      </c>
      <c r="M336" s="9">
        <f>VLOOKUP($L336,$L$2:$N$7,2,FALSE)*I336</f>
        <v>0</v>
      </c>
      <c r="N336" s="9">
        <f>VLOOKUP($L336,$L$2:$N$7,3,FALSE)*I336</f>
        <v>0</v>
      </c>
      <c r="O336" s="136"/>
      <c r="P336" s="142"/>
      <c r="Q336" s="9"/>
      <c r="R336" s="9"/>
      <c r="S336" s="142"/>
      <c r="T336" s="9"/>
      <c r="U336" s="9"/>
      <c r="V336" s="140"/>
      <c r="W336" s="9"/>
      <c r="X336" s="156"/>
      <c r="Y336" s="918">
        <f t="shared" si="20"/>
        <v>327</v>
      </c>
      <c r="AA336" s="9"/>
      <c r="AC336" s="9" t="str">
        <f t="shared" si="14"/>
        <v/>
      </c>
      <c r="AE336" s="44" t="str">
        <f t="shared" si="15"/>
        <v/>
      </c>
    </row>
    <row r="337" spans="1:31">
      <c r="A337" s="153"/>
      <c r="B337" s="365"/>
      <c r="C337" s="365"/>
      <c r="D337" s="49"/>
      <c r="E337" s="9">
        <f>+G337-Adjustments!G337</f>
        <v>0</v>
      </c>
      <c r="F337" s="9"/>
      <c r="G337" s="9"/>
      <c r="H337" s="9"/>
      <c r="I337" s="9"/>
      <c r="J337" s="9">
        <f>+I337-'ROR-Model'!I337</f>
        <v>0</v>
      </c>
      <c r="K337" s="9"/>
      <c r="L337" s="9"/>
      <c r="M337" s="9"/>
      <c r="N337" s="9"/>
      <c r="O337" s="136"/>
      <c r="P337" s="142"/>
      <c r="Q337" s="9"/>
      <c r="R337" s="9"/>
      <c r="S337" s="142"/>
      <c r="T337" s="9"/>
      <c r="U337" s="9"/>
      <c r="V337" s="140"/>
      <c r="W337" s="9"/>
      <c r="X337" s="156"/>
      <c r="Y337" s="918">
        <f t="shared" si="20"/>
        <v>328</v>
      </c>
      <c r="AA337" s="9"/>
      <c r="AC337" s="9" t="str">
        <f t="shared" ref="AC337:AC400" si="21">IF(ABS(AA337)&gt;0,W337-AA337,"")</f>
        <v/>
      </c>
      <c r="AE337" s="44" t="str">
        <f t="shared" si="15"/>
        <v/>
      </c>
    </row>
    <row r="338" spans="1:31">
      <c r="A338" s="153"/>
      <c r="B338" s="365"/>
      <c r="C338" s="365" t="s">
        <v>17</v>
      </c>
      <c r="D338" s="49"/>
      <c r="E338" s="9">
        <f>+G338-Adjustments!G338</f>
        <v>0</v>
      </c>
      <c r="F338" s="9">
        <f>Revenue!$F$337</f>
        <v>0</v>
      </c>
      <c r="G338" s="9">
        <f>+Adjustments!U338</f>
        <v>0</v>
      </c>
      <c r="H338" s="9"/>
      <c r="I338" s="9">
        <f>SUM($F$338:$H$338)</f>
        <v>0</v>
      </c>
      <c r="J338" s="9">
        <f>+I338-'ROR-Model'!I338</f>
        <v>0</v>
      </c>
      <c r="K338" s="9"/>
      <c r="L338" s="9" t="s">
        <v>24</v>
      </c>
      <c r="M338" s="9">
        <f>VLOOKUP($L338,$L$2:$N$7,2,FALSE)*I338</f>
        <v>0</v>
      </c>
      <c r="N338" s="9">
        <f>VLOOKUP($L338,$L$2:$N$7,3,FALSE)*I338</f>
        <v>0</v>
      </c>
      <c r="O338" s="136"/>
      <c r="P338" s="142" t="s">
        <v>548</v>
      </c>
      <c r="Q338" s="9">
        <f>IF(P338="G",M338,IF(P338="PT",0,ERR))</f>
        <v>0</v>
      </c>
      <c r="R338" s="9">
        <f>IF(P338="PT",M338,IF(P338="G",0,ERR))</f>
        <v>0</v>
      </c>
      <c r="S338" s="142" t="s">
        <v>548</v>
      </c>
      <c r="T338" s="9">
        <f>IF(S338="G",N338,IF(S338="PT",0,ERR))</f>
        <v>0</v>
      </c>
      <c r="U338" s="9">
        <f>IF(S338="PT",N338,IF(S338="G",0,ERR))</f>
        <v>0</v>
      </c>
      <c r="V338" s="140"/>
      <c r="W338" s="9">
        <f>HLOOKUP($W$9,'ROR-Model'!$Q$10:$U$1263,Y338)</f>
        <v>0</v>
      </c>
      <c r="X338" s="156"/>
      <c r="Y338" s="918">
        <f t="shared" si="20"/>
        <v>329</v>
      </c>
      <c r="AA338" s="9">
        <v>0</v>
      </c>
      <c r="AC338" s="9" t="str">
        <f t="shared" si="21"/>
        <v/>
      </c>
      <c r="AE338" s="44" t="str">
        <f t="shared" ref="AE338:AE401" si="22">IF(ABS(AA338)&gt;0,AC338/AA338,"")</f>
        <v/>
      </c>
    </row>
    <row r="339" spans="1:31">
      <c r="A339" s="153"/>
      <c r="B339" s="365"/>
      <c r="C339" s="365" t="s">
        <v>18</v>
      </c>
      <c r="D339" s="49"/>
      <c r="E339" s="157">
        <f>+G339-Adjustments!G339</f>
        <v>0</v>
      </c>
      <c r="F339" s="157">
        <f>SUM(F334:F338)</f>
        <v>0</v>
      </c>
      <c r="G339" s="157">
        <f>SUM(G334:G338)</f>
        <v>0</v>
      </c>
      <c r="H339" s="157">
        <f>SUM(H334:H338)</f>
        <v>0</v>
      </c>
      <c r="I339" s="157">
        <f>SUM(I334:I338)</f>
        <v>0</v>
      </c>
      <c r="J339" s="9">
        <f>+I339-'ROR-Model'!I339</f>
        <v>0</v>
      </c>
      <c r="K339" s="9"/>
      <c r="L339" s="157"/>
      <c r="M339" s="157">
        <f>SUM(M334:M338)</f>
        <v>0</v>
      </c>
      <c r="N339" s="157">
        <f>SUM(N334:N338)</f>
        <v>0</v>
      </c>
      <c r="O339" s="136"/>
      <c r="P339" s="226"/>
      <c r="Q339" s="157">
        <f>SUM(Q334:Q338)</f>
        <v>0</v>
      </c>
      <c r="R339" s="157">
        <f>SUM(R334:R338)</f>
        <v>0</v>
      </c>
      <c r="S339" s="226"/>
      <c r="T339" s="157">
        <f>SUM(T334:T338)</f>
        <v>0</v>
      </c>
      <c r="U339" s="157">
        <f>SUM(U334:U338)</f>
        <v>0</v>
      </c>
      <c r="V339" s="140"/>
      <c r="W339" s="157">
        <f>HLOOKUP($W$9,'ROR-Model'!$Q$10:$U$1263,Y339)</f>
        <v>0</v>
      </c>
      <c r="X339" s="156"/>
      <c r="Y339" s="918">
        <f t="shared" si="20"/>
        <v>330</v>
      </c>
      <c r="AA339" s="157">
        <v>0</v>
      </c>
      <c r="AC339" s="157" t="str">
        <f t="shared" si="21"/>
        <v/>
      </c>
      <c r="AE339" s="44" t="str">
        <f t="shared" si="22"/>
        <v/>
      </c>
    </row>
    <row r="340" spans="1:31">
      <c r="A340" s="153"/>
      <c r="B340" s="365"/>
      <c r="C340" s="365"/>
      <c r="D340" s="49"/>
      <c r="E340" s="9">
        <f>+G340-Adjustments!G340</f>
        <v>0</v>
      </c>
      <c r="F340" s="9"/>
      <c r="G340" s="9"/>
      <c r="H340" s="9"/>
      <c r="I340" s="9"/>
      <c r="J340" s="9">
        <f>+I340-'ROR-Model'!I340</f>
        <v>0</v>
      </c>
      <c r="K340" s="9"/>
      <c r="L340" s="9"/>
      <c r="M340" s="9"/>
      <c r="N340" s="9"/>
      <c r="O340" s="136"/>
      <c r="P340" s="142"/>
      <c r="Q340" s="9"/>
      <c r="R340" s="9"/>
      <c r="S340" s="142"/>
      <c r="T340" s="9"/>
      <c r="U340" s="9"/>
      <c r="V340" s="140"/>
      <c r="W340" s="9"/>
      <c r="X340" s="156"/>
      <c r="Y340" s="918">
        <f t="shared" si="20"/>
        <v>331</v>
      </c>
      <c r="AA340" s="9"/>
      <c r="AC340" s="9" t="str">
        <f t="shared" si="21"/>
        <v/>
      </c>
      <c r="AE340" s="44" t="str">
        <f t="shared" si="22"/>
        <v/>
      </c>
    </row>
    <row r="341" spans="1:31">
      <c r="A341" s="153"/>
      <c r="B341" s="365"/>
      <c r="C341" s="365" t="s">
        <v>19</v>
      </c>
      <c r="D341" s="49"/>
      <c r="E341" s="9">
        <f>+G341-Adjustments!G341</f>
        <v>0</v>
      </c>
      <c r="F341" s="9">
        <f>Revenue!$F$340</f>
        <v>0</v>
      </c>
      <c r="G341" s="9">
        <f>+Adjustments!U341</f>
        <v>0</v>
      </c>
      <c r="H341" s="9"/>
      <c r="I341" s="9">
        <f>SUM($F$341:$H$341)</f>
        <v>0</v>
      </c>
      <c r="J341" s="9">
        <f>+I341-'ROR-Model'!I341</f>
        <v>0</v>
      </c>
      <c r="K341" s="9"/>
      <c r="L341" s="9" t="s">
        <v>24</v>
      </c>
      <c r="M341" s="9">
        <f>VLOOKUP($L341,$L$2:$N$7,2,FALSE)*I341</f>
        <v>0</v>
      </c>
      <c r="N341" s="9">
        <f>VLOOKUP($L341,$L$2:$N$7,3,FALSE)*I341</f>
        <v>0</v>
      </c>
      <c r="O341" s="136"/>
      <c r="P341" s="142" t="s">
        <v>549</v>
      </c>
      <c r="Q341" s="9">
        <f>IF(P341="G",M341,IF(P341="PT",0,ERR))</f>
        <v>0</v>
      </c>
      <c r="R341" s="9">
        <f>IF(P341="PT",M341,IF(P341="G",0,ERR))</f>
        <v>0</v>
      </c>
      <c r="S341" s="142" t="s">
        <v>549</v>
      </c>
      <c r="T341" s="9">
        <f>IF(S341="G",N341,IF(S341="PT",0,ERR))</f>
        <v>0</v>
      </c>
      <c r="U341" s="9">
        <f>IF(S341="PT",N341,IF(S341="G",0,ERR))</f>
        <v>0</v>
      </c>
      <c r="V341" s="140"/>
      <c r="W341" s="9">
        <f>HLOOKUP($W$9,'ROR-Model'!$Q$10:$U$1263,Y341)</f>
        <v>0</v>
      </c>
      <c r="X341" s="156"/>
      <c r="Y341" s="918">
        <f t="shared" si="20"/>
        <v>332</v>
      </c>
      <c r="AA341" s="9">
        <v>0</v>
      </c>
      <c r="AC341" s="9" t="str">
        <f t="shared" si="21"/>
        <v/>
      </c>
      <c r="AE341" s="44" t="str">
        <f t="shared" si="22"/>
        <v/>
      </c>
    </row>
    <row r="342" spans="1:31">
      <c r="A342" s="153"/>
      <c r="B342" s="63"/>
      <c r="C342" s="63"/>
      <c r="D342" s="49"/>
      <c r="E342" s="9">
        <f>+G342-Adjustments!G342</f>
        <v>0</v>
      </c>
      <c r="F342" s="9"/>
      <c r="G342" s="9"/>
      <c r="H342" s="9"/>
      <c r="I342" s="9"/>
      <c r="J342" s="9">
        <f>+I342-'ROR-Model'!I342</f>
        <v>0</v>
      </c>
      <c r="K342" s="9"/>
      <c r="L342" s="9"/>
      <c r="M342" s="9"/>
      <c r="N342" s="9"/>
      <c r="O342" s="136"/>
      <c r="P342" s="142"/>
      <c r="Q342" s="9"/>
      <c r="R342" s="9"/>
      <c r="S342" s="142"/>
      <c r="T342" s="9"/>
      <c r="U342" s="9"/>
      <c r="V342" s="140"/>
      <c r="W342" s="9"/>
      <c r="X342" s="156"/>
      <c r="Y342" s="918">
        <f t="shared" si="20"/>
        <v>333</v>
      </c>
      <c r="AA342" s="9"/>
      <c r="AC342" s="9" t="str">
        <f t="shared" si="21"/>
        <v/>
      </c>
      <c r="AE342" s="44" t="str">
        <f t="shared" si="22"/>
        <v/>
      </c>
    </row>
    <row r="343" spans="1:31">
      <c r="A343" s="153"/>
      <c r="B343" s="365" t="s">
        <v>25</v>
      </c>
      <c r="C343" s="365" t="s">
        <v>15</v>
      </c>
      <c r="D343" s="49"/>
      <c r="E343" s="9">
        <f>+G343-Adjustments!G343</f>
        <v>0</v>
      </c>
      <c r="F343" s="9">
        <f>Revenue!$F$342</f>
        <v>0</v>
      </c>
      <c r="G343" s="9">
        <f>+Adjustments!U343</f>
        <v>0</v>
      </c>
      <c r="H343" s="9"/>
      <c r="I343" s="9">
        <f>SUM($F$343:$H$343)</f>
        <v>0</v>
      </c>
      <c r="J343" s="9">
        <f>+I343-'ROR-Model'!I343</f>
        <v>0</v>
      </c>
      <c r="K343" s="9"/>
      <c r="L343" s="9" t="s">
        <v>679</v>
      </c>
      <c r="M343" s="9">
        <f>VLOOKUP($L343,$L$2:$N$7,2,FALSE)*I343</f>
        <v>0</v>
      </c>
      <c r="N343" s="9">
        <f>VLOOKUP($L343,$L$2:$N$7,3,FALSE)*I343</f>
        <v>0</v>
      </c>
      <c r="O343" s="136"/>
      <c r="P343" s="142" t="s">
        <v>549</v>
      </c>
      <c r="Q343" s="9">
        <f>IF(P343="G",M343,IF(P343="PT",0,ERR))</f>
        <v>0</v>
      </c>
      <c r="R343" s="9">
        <f>IF(P343="PT",M343,IF(P343="G",0,ERR))</f>
        <v>0</v>
      </c>
      <c r="S343" s="142" t="s">
        <v>549</v>
      </c>
      <c r="T343" s="9">
        <f>IF(S343="G",N343,IF(S343="PT",0,ERR))</f>
        <v>0</v>
      </c>
      <c r="U343" s="9">
        <f>IF(S343="PT",N343,IF(S343="G",0,ERR))</f>
        <v>0</v>
      </c>
      <c r="V343" s="140"/>
      <c r="W343" s="9">
        <f>HLOOKUP($W$9,'ROR-Model'!$Q$10:$U$1263,Y343)</f>
        <v>0</v>
      </c>
      <c r="X343" s="156"/>
      <c r="Y343" s="918">
        <f t="shared" si="20"/>
        <v>334</v>
      </c>
      <c r="AA343" s="9">
        <v>0</v>
      </c>
      <c r="AC343" s="9" t="str">
        <f t="shared" si="21"/>
        <v/>
      </c>
      <c r="AE343" s="44" t="str">
        <f t="shared" si="22"/>
        <v/>
      </c>
    </row>
    <row r="344" spans="1:31">
      <c r="A344" s="153"/>
      <c r="B344" s="365"/>
      <c r="C344" s="365"/>
      <c r="D344" s="49"/>
      <c r="E344" s="9">
        <f>+G344-Adjustments!G344</f>
        <v>0</v>
      </c>
      <c r="F344" s="9"/>
      <c r="G344" s="9"/>
      <c r="H344" s="9"/>
      <c r="I344" s="9"/>
      <c r="J344" s="9">
        <f>+I344-'ROR-Model'!I344</f>
        <v>0</v>
      </c>
      <c r="K344" s="9"/>
      <c r="L344" s="9"/>
      <c r="M344" s="9"/>
      <c r="N344" s="9"/>
      <c r="O344" s="136"/>
      <c r="P344" s="142"/>
      <c r="Q344" s="9"/>
      <c r="R344" s="9"/>
      <c r="S344" s="142"/>
      <c r="T344" s="9"/>
      <c r="U344" s="9"/>
      <c r="V344" s="140"/>
      <c r="W344" s="9"/>
      <c r="X344" s="156"/>
      <c r="Y344" s="918">
        <f t="shared" si="20"/>
        <v>335</v>
      </c>
      <c r="AA344" s="9"/>
      <c r="AC344" s="9" t="str">
        <f t="shared" si="21"/>
        <v/>
      </c>
      <c r="AE344" s="44" t="str">
        <f t="shared" si="22"/>
        <v/>
      </c>
    </row>
    <row r="345" spans="1:31">
      <c r="A345" s="153"/>
      <c r="B345" s="365"/>
      <c r="C345" s="365"/>
      <c r="D345" s="49"/>
      <c r="E345" s="9">
        <f>+G345-Adjustments!G345</f>
        <v>0</v>
      </c>
      <c r="F345" s="9"/>
      <c r="G345" s="9">
        <f>+Adjustments!U345</f>
        <v>0</v>
      </c>
      <c r="H345" s="9"/>
      <c r="I345" s="9">
        <f>SUM($F$345:$H$345)</f>
        <v>0</v>
      </c>
      <c r="J345" s="9">
        <f>+I345-'ROR-Model'!I345</f>
        <v>0</v>
      </c>
      <c r="K345" s="9"/>
      <c r="L345" s="9" t="s">
        <v>24</v>
      </c>
      <c r="M345" s="9">
        <f>VLOOKUP($L345,$L$2:$N$7,2,FALSE)*I345</f>
        <v>0</v>
      </c>
      <c r="N345" s="9">
        <f>VLOOKUP($L345,$L$2:$N$7,3,FALSE)*I345</f>
        <v>0</v>
      </c>
      <c r="O345" s="136"/>
      <c r="P345" s="142"/>
      <c r="Q345" s="9"/>
      <c r="R345" s="9"/>
      <c r="S345" s="142"/>
      <c r="T345" s="9"/>
      <c r="U345" s="9"/>
      <c r="V345" s="140"/>
      <c r="W345" s="9"/>
      <c r="X345" s="156"/>
      <c r="Y345" s="918">
        <f t="shared" si="20"/>
        <v>336</v>
      </c>
      <c r="AA345" s="9"/>
      <c r="AC345" s="9" t="str">
        <f t="shared" si="21"/>
        <v/>
      </c>
      <c r="AE345" s="44" t="str">
        <f t="shared" si="22"/>
        <v/>
      </c>
    </row>
    <row r="346" spans="1:31">
      <c r="A346" s="153"/>
      <c r="B346" s="365"/>
      <c r="C346" s="365"/>
      <c r="D346" s="49"/>
      <c r="E346" s="9">
        <f>+G346-Adjustments!G346</f>
        <v>0</v>
      </c>
      <c r="F346" s="9"/>
      <c r="G346" s="9"/>
      <c r="H346" s="9"/>
      <c r="I346" s="9"/>
      <c r="J346" s="9">
        <f>+I346-'ROR-Model'!I346</f>
        <v>0</v>
      </c>
      <c r="K346" s="9"/>
      <c r="L346" s="9"/>
      <c r="M346" s="9"/>
      <c r="N346" s="9"/>
      <c r="O346" s="136"/>
      <c r="P346" s="142"/>
      <c r="Q346" s="9"/>
      <c r="R346" s="9"/>
      <c r="S346" s="142"/>
      <c r="T346" s="9"/>
      <c r="U346" s="9"/>
      <c r="V346" s="140"/>
      <c r="W346" s="9"/>
      <c r="X346" s="156"/>
      <c r="Y346" s="918">
        <f t="shared" si="20"/>
        <v>337</v>
      </c>
      <c r="AA346" s="9"/>
      <c r="AC346" s="9" t="str">
        <f t="shared" si="21"/>
        <v/>
      </c>
      <c r="AE346" s="44" t="str">
        <f t="shared" si="22"/>
        <v/>
      </c>
    </row>
    <row r="347" spans="1:31">
      <c r="A347" s="153"/>
      <c r="B347" s="365"/>
      <c r="C347" s="365" t="s">
        <v>17</v>
      </c>
      <c r="D347" s="49"/>
      <c r="E347" s="9">
        <f>+G347-Adjustments!G347</f>
        <v>0</v>
      </c>
      <c r="F347" s="9">
        <f>Revenue!$F$346</f>
        <v>0</v>
      </c>
      <c r="G347" s="9">
        <f>+Adjustments!U347</f>
        <v>0</v>
      </c>
      <c r="H347" s="9"/>
      <c r="I347" s="9">
        <f>SUM($F$347:$H$347)</f>
        <v>0</v>
      </c>
      <c r="J347" s="9">
        <f>+I347-'ROR-Model'!I347</f>
        <v>0</v>
      </c>
      <c r="K347" s="9"/>
      <c r="L347" s="9" t="s">
        <v>24</v>
      </c>
      <c r="M347" s="9">
        <f>VLOOKUP($L347,$L$2:$N$7,2,FALSE)*I347</f>
        <v>0</v>
      </c>
      <c r="N347" s="9">
        <f>VLOOKUP($L347,$L$2:$N$7,3,FALSE)*I347</f>
        <v>0</v>
      </c>
      <c r="O347" s="136"/>
      <c r="P347" s="142" t="s">
        <v>548</v>
      </c>
      <c r="Q347" s="9">
        <f>IF(P347="G",M347,IF(P347="PT",0,ERR))</f>
        <v>0</v>
      </c>
      <c r="R347" s="9">
        <f>IF(P347="PT",M347,IF(P347="G",0,ERR))</f>
        <v>0</v>
      </c>
      <c r="S347" s="142" t="s">
        <v>548</v>
      </c>
      <c r="T347" s="9">
        <f>IF(S347="G",N347,IF(S347="PT",0,ERR))</f>
        <v>0</v>
      </c>
      <c r="U347" s="9">
        <f>IF(S347="PT",N347,IF(S347="G",0,ERR))</f>
        <v>0</v>
      </c>
      <c r="V347" s="140"/>
      <c r="W347" s="9">
        <f>HLOOKUP($W$9,'ROR-Model'!$Q$10:$U$1263,Y347)</f>
        <v>0</v>
      </c>
      <c r="X347" s="156"/>
      <c r="Y347" s="918">
        <f t="shared" si="20"/>
        <v>338</v>
      </c>
      <c r="AA347" s="9">
        <v>0</v>
      </c>
      <c r="AC347" s="9" t="str">
        <f t="shared" si="21"/>
        <v/>
      </c>
      <c r="AE347" s="44" t="str">
        <f t="shared" si="22"/>
        <v/>
      </c>
    </row>
    <row r="348" spans="1:31">
      <c r="A348" s="153"/>
      <c r="B348" s="365"/>
      <c r="C348" s="365" t="s">
        <v>18</v>
      </c>
      <c r="D348" s="49"/>
      <c r="E348" s="157">
        <f>+G348-Adjustments!G348</f>
        <v>0</v>
      </c>
      <c r="F348" s="157">
        <f>SUM(F343:F347)</f>
        <v>0</v>
      </c>
      <c r="G348" s="157">
        <f>SUM(G343:G347)</f>
        <v>0</v>
      </c>
      <c r="H348" s="157">
        <f>SUM(H343:H347)</f>
        <v>0</v>
      </c>
      <c r="I348" s="157">
        <f>SUM(I343:I347)</f>
        <v>0</v>
      </c>
      <c r="J348" s="9">
        <f>+I348-'ROR-Model'!I348</f>
        <v>0</v>
      </c>
      <c r="K348" s="9"/>
      <c r="L348" s="157"/>
      <c r="M348" s="157">
        <f>SUM(M343:M347)</f>
        <v>0</v>
      </c>
      <c r="N348" s="157">
        <f>SUM(N343:N347)</f>
        <v>0</v>
      </c>
      <c r="O348" s="136"/>
      <c r="P348" s="226"/>
      <c r="Q348" s="157">
        <f>SUM(Q343:Q347)</f>
        <v>0</v>
      </c>
      <c r="R348" s="157">
        <f>SUM(R343:R347)</f>
        <v>0</v>
      </c>
      <c r="S348" s="226"/>
      <c r="T348" s="157">
        <f>SUM(T343:T347)</f>
        <v>0</v>
      </c>
      <c r="U348" s="157">
        <f>SUM(U343:U347)</f>
        <v>0</v>
      </c>
      <c r="V348" s="140"/>
      <c r="W348" s="157">
        <f>HLOOKUP($W$9,'ROR-Model'!$Q$10:$U$1263,Y348)</f>
        <v>0</v>
      </c>
      <c r="X348" s="156"/>
      <c r="Y348" s="918">
        <f t="shared" si="20"/>
        <v>339</v>
      </c>
      <c r="AA348" s="157">
        <v>0</v>
      </c>
      <c r="AC348" s="157" t="str">
        <f t="shared" si="21"/>
        <v/>
      </c>
      <c r="AE348" s="44" t="str">
        <f t="shared" si="22"/>
        <v/>
      </c>
    </row>
    <row r="349" spans="1:31">
      <c r="A349" s="153"/>
      <c r="B349" s="365"/>
      <c r="C349" s="365"/>
      <c r="D349" s="49"/>
      <c r="E349" s="9">
        <f>+G349-Adjustments!G349</f>
        <v>0</v>
      </c>
      <c r="F349" s="9"/>
      <c r="G349" s="9"/>
      <c r="H349" s="9"/>
      <c r="I349" s="9"/>
      <c r="J349" s="9">
        <f>+I349-'ROR-Model'!I349</f>
        <v>0</v>
      </c>
      <c r="K349" s="9"/>
      <c r="L349" s="9"/>
      <c r="M349" s="9"/>
      <c r="N349" s="9"/>
      <c r="O349" s="136"/>
      <c r="P349" s="142"/>
      <c r="Q349" s="9"/>
      <c r="R349" s="9"/>
      <c r="S349" s="142"/>
      <c r="T349" s="9"/>
      <c r="U349" s="9"/>
      <c r="V349" s="140"/>
      <c r="W349" s="9"/>
      <c r="X349" s="156"/>
      <c r="Y349" s="918">
        <f t="shared" si="20"/>
        <v>340</v>
      </c>
      <c r="AA349" s="9"/>
      <c r="AC349" s="9" t="str">
        <f t="shared" si="21"/>
        <v/>
      </c>
      <c r="AE349" s="44" t="str">
        <f t="shared" si="22"/>
        <v/>
      </c>
    </row>
    <row r="350" spans="1:31">
      <c r="A350" s="153"/>
      <c r="B350" s="365"/>
      <c r="C350" s="365" t="s">
        <v>19</v>
      </c>
      <c r="D350" s="49"/>
      <c r="E350" s="9">
        <f>+G350-Adjustments!G350</f>
        <v>0</v>
      </c>
      <c r="F350" s="9">
        <f>Revenue!$F$349</f>
        <v>0</v>
      </c>
      <c r="G350" s="9">
        <f>+Adjustments!U350</f>
        <v>0</v>
      </c>
      <c r="H350" s="9"/>
      <c r="I350" s="9">
        <f>SUM($F$350:$H$350)</f>
        <v>0</v>
      </c>
      <c r="J350" s="9">
        <f>+I350-'ROR-Model'!I350</f>
        <v>0</v>
      </c>
      <c r="K350" s="9"/>
      <c r="L350" s="9" t="s">
        <v>24</v>
      </c>
      <c r="M350" s="9">
        <f>VLOOKUP($L350,$L$2:$N$7,2,FALSE)*I350</f>
        <v>0</v>
      </c>
      <c r="N350" s="9">
        <f>VLOOKUP($L350,$L$2:$N$7,3,FALSE)*I350</f>
        <v>0</v>
      </c>
      <c r="O350" s="136"/>
      <c r="P350" s="142" t="s">
        <v>549</v>
      </c>
      <c r="Q350" s="9">
        <f>IF(P350="G",M350,IF(P350="PT",0,ERR))</f>
        <v>0</v>
      </c>
      <c r="R350" s="9">
        <f>IF(P350="PT",M350,IF(P350="G",0,ERR))</f>
        <v>0</v>
      </c>
      <c r="S350" s="142" t="s">
        <v>549</v>
      </c>
      <c r="T350" s="9">
        <f>IF(S350="G",N350,IF(S350="PT",0,ERR))</f>
        <v>0</v>
      </c>
      <c r="U350" s="9">
        <f>IF(S350="PT",N350,IF(S350="G",0,ERR))</f>
        <v>0</v>
      </c>
      <c r="V350" s="140"/>
      <c r="W350" s="9">
        <f>HLOOKUP($W$9,'ROR-Model'!$Q$10:$U$1263,Y350)</f>
        <v>0</v>
      </c>
      <c r="X350" s="156"/>
      <c r="Y350" s="918">
        <f t="shared" si="20"/>
        <v>341</v>
      </c>
      <c r="AA350" s="9">
        <v>0</v>
      </c>
      <c r="AC350" s="9" t="str">
        <f t="shared" si="21"/>
        <v/>
      </c>
      <c r="AE350" s="44" t="str">
        <f t="shared" si="22"/>
        <v/>
      </c>
    </row>
    <row r="351" spans="1:31" ht="13.5" thickBot="1">
      <c r="A351" s="153"/>
      <c r="B351" s="63"/>
      <c r="C351" s="63"/>
      <c r="D351" s="49"/>
      <c r="E351" s="26">
        <f>+G351-Adjustments!G351</f>
        <v>0</v>
      </c>
      <c r="F351" s="26"/>
      <c r="G351" s="26"/>
      <c r="H351" s="26"/>
      <c r="I351" s="26"/>
      <c r="J351" s="9">
        <f>+I351-'ROR-Model'!I351</f>
        <v>0</v>
      </c>
      <c r="K351" s="9"/>
      <c r="L351" s="26"/>
      <c r="M351" s="26"/>
      <c r="N351" s="26"/>
      <c r="O351" s="136"/>
      <c r="P351" s="227"/>
      <c r="Q351" s="26"/>
      <c r="R351" s="26"/>
      <c r="S351" s="227"/>
      <c r="T351" s="26"/>
      <c r="U351" s="26"/>
      <c r="V351" s="140"/>
      <c r="W351" s="26"/>
      <c r="X351" s="156"/>
      <c r="Y351" s="918">
        <f t="shared" si="20"/>
        <v>342</v>
      </c>
      <c r="AA351" s="26"/>
      <c r="AC351" s="26" t="str">
        <f t="shared" si="21"/>
        <v/>
      </c>
      <c r="AE351" s="44" t="str">
        <f t="shared" si="22"/>
        <v/>
      </c>
    </row>
    <row r="352" spans="1:31" ht="13.5" thickTop="1">
      <c r="A352" s="153"/>
      <c r="B352" s="63" t="s">
        <v>536</v>
      </c>
      <c r="C352" s="365"/>
      <c r="D352" s="49"/>
      <c r="E352" s="9">
        <f>+G352-Adjustments!G352</f>
        <v>0</v>
      </c>
      <c r="F352" s="9"/>
      <c r="G352" s="9"/>
      <c r="H352" s="9"/>
      <c r="I352" s="9"/>
      <c r="J352" s="9">
        <f>+I352-'ROR-Model'!I352</f>
        <v>0</v>
      </c>
      <c r="K352" s="9"/>
      <c r="L352" s="9"/>
      <c r="M352" s="9"/>
      <c r="N352" s="9"/>
      <c r="O352" s="136"/>
      <c r="P352" s="142"/>
      <c r="Q352" s="9"/>
      <c r="R352" s="9"/>
      <c r="S352" s="142"/>
      <c r="T352" s="9"/>
      <c r="U352" s="9"/>
      <c r="V352" s="140"/>
      <c r="W352" s="9"/>
      <c r="X352" s="156"/>
      <c r="Y352" s="918">
        <f t="shared" si="20"/>
        <v>343</v>
      </c>
      <c r="AA352" s="9"/>
      <c r="AC352" s="9" t="str">
        <f t="shared" si="21"/>
        <v/>
      </c>
      <c r="AE352" s="44" t="str">
        <f t="shared" si="22"/>
        <v/>
      </c>
    </row>
    <row r="353" spans="1:31">
      <c r="A353" s="153"/>
      <c r="B353" s="63"/>
      <c r="C353" s="365" t="s">
        <v>15</v>
      </c>
      <c r="D353" s="49"/>
      <c r="E353" s="9">
        <f>+G353-Adjustments!G353</f>
        <v>0</v>
      </c>
      <c r="F353" s="9">
        <f>+F334+F343</f>
        <v>0</v>
      </c>
      <c r="G353" s="9">
        <f>+G334+G343</f>
        <v>0</v>
      </c>
      <c r="H353" s="9">
        <f>+H334+H343</f>
        <v>0</v>
      </c>
      <c r="I353" s="9">
        <f>+I334+I343</f>
        <v>0</v>
      </c>
      <c r="J353" s="9">
        <f>+I353-'ROR-Model'!I353</f>
        <v>0</v>
      </c>
      <c r="K353" s="9"/>
      <c r="L353" s="9"/>
      <c r="M353" s="9">
        <f>+M334+M343</f>
        <v>0</v>
      </c>
      <c r="N353" s="9">
        <f>+N334+N343</f>
        <v>0</v>
      </c>
      <c r="O353" s="136"/>
      <c r="P353" s="142"/>
      <c r="Q353" s="9">
        <f>+Q334+Q343</f>
        <v>0</v>
      </c>
      <c r="R353" s="9">
        <f>+R334+R343</f>
        <v>0</v>
      </c>
      <c r="S353" s="142"/>
      <c r="T353" s="9">
        <f>+T334+T343</f>
        <v>0</v>
      </c>
      <c r="U353" s="9">
        <f>+U334+U343</f>
        <v>0</v>
      </c>
      <c r="V353" s="140"/>
      <c r="W353" s="9">
        <f>HLOOKUP($W$9,'ROR-Model'!$Q$10:$U$1263,Y353)</f>
        <v>0</v>
      </c>
      <c r="X353" s="156"/>
      <c r="Y353" s="918">
        <f t="shared" si="20"/>
        <v>344</v>
      </c>
      <c r="AA353" s="9">
        <v>0</v>
      </c>
      <c r="AC353" s="9" t="str">
        <f t="shared" si="21"/>
        <v/>
      </c>
      <c r="AE353" s="44" t="str">
        <f t="shared" si="22"/>
        <v/>
      </c>
    </row>
    <row r="354" spans="1:31">
      <c r="A354" s="153"/>
      <c r="B354" s="63"/>
      <c r="C354" s="365" t="s">
        <v>17</v>
      </c>
      <c r="D354" s="49"/>
      <c r="E354" s="9">
        <f>+G354-Adjustments!G354</f>
        <v>0</v>
      </c>
      <c r="F354" s="9">
        <f>+F337+F346</f>
        <v>0</v>
      </c>
      <c r="G354" s="9">
        <f>+G337+G346</f>
        <v>0</v>
      </c>
      <c r="H354" s="9">
        <f>+H337+H346</f>
        <v>0</v>
      </c>
      <c r="I354" s="9">
        <f>+I337+I346</f>
        <v>0</v>
      </c>
      <c r="J354" s="9">
        <f>+I354-'ROR-Model'!I354</f>
        <v>0</v>
      </c>
      <c r="K354" s="9"/>
      <c r="L354" s="9"/>
      <c r="M354" s="9">
        <f>+M337+M346</f>
        <v>0</v>
      </c>
      <c r="N354" s="9">
        <f>+N337+N346</f>
        <v>0</v>
      </c>
      <c r="O354" s="136"/>
      <c r="P354" s="142"/>
      <c r="Q354" s="9">
        <f>+Q337+Q346</f>
        <v>0</v>
      </c>
      <c r="R354" s="9">
        <f>+R337+R346</f>
        <v>0</v>
      </c>
      <c r="S354" s="142"/>
      <c r="T354" s="9">
        <f>+T337+T346</f>
        <v>0</v>
      </c>
      <c r="U354" s="9">
        <f>+U337+U346</f>
        <v>0</v>
      </c>
      <c r="V354" s="140"/>
      <c r="W354" s="9">
        <f>HLOOKUP($W$9,'ROR-Model'!$Q$10:$U$1263,Y354)</f>
        <v>0</v>
      </c>
      <c r="X354" s="156"/>
      <c r="Y354" s="918">
        <f t="shared" si="20"/>
        <v>345</v>
      </c>
      <c r="AA354" s="9">
        <v>0</v>
      </c>
      <c r="AC354" s="9" t="str">
        <f t="shared" si="21"/>
        <v/>
      </c>
      <c r="AE354" s="44" t="str">
        <f t="shared" si="22"/>
        <v/>
      </c>
    </row>
    <row r="355" spans="1:31">
      <c r="A355" s="153"/>
      <c r="B355" s="63"/>
      <c r="C355" s="63" t="s">
        <v>30</v>
      </c>
      <c r="D355" s="49"/>
      <c r="E355" s="157">
        <f>+G355-Adjustments!G355</f>
        <v>0</v>
      </c>
      <c r="F355" s="157">
        <f>F339+F348</f>
        <v>0</v>
      </c>
      <c r="G355" s="157">
        <f>G339+G348</f>
        <v>0</v>
      </c>
      <c r="H355" s="157">
        <f>H339+H348</f>
        <v>0</v>
      </c>
      <c r="I355" s="157">
        <f>I339+I348</f>
        <v>0</v>
      </c>
      <c r="J355" s="9">
        <f>+I355-'ROR-Model'!I355</f>
        <v>0</v>
      </c>
      <c r="K355" s="9"/>
      <c r="L355" s="157"/>
      <c r="M355" s="157">
        <f>M339+M348</f>
        <v>0</v>
      </c>
      <c r="N355" s="157">
        <f>N339+N348</f>
        <v>0</v>
      </c>
      <c r="O355" s="136"/>
      <c r="P355" s="226"/>
      <c r="Q355" s="157">
        <f>Q339+Q348</f>
        <v>0</v>
      </c>
      <c r="R355" s="157">
        <f>R339+R348</f>
        <v>0</v>
      </c>
      <c r="S355" s="226"/>
      <c r="T355" s="157">
        <f>T339+T348</f>
        <v>0</v>
      </c>
      <c r="U355" s="157">
        <f>U339+U348</f>
        <v>0</v>
      </c>
      <c r="V355" s="140"/>
      <c r="W355" s="157">
        <f>HLOOKUP($W$9,'ROR-Model'!$Q$10:$U$1263,Y355)</f>
        <v>0</v>
      </c>
      <c r="X355" s="156"/>
      <c r="Y355" s="918">
        <f t="shared" si="20"/>
        <v>346</v>
      </c>
      <c r="AA355" s="157">
        <v>0</v>
      </c>
      <c r="AC355" s="157" t="str">
        <f t="shared" si="21"/>
        <v/>
      </c>
      <c r="AE355" s="44" t="str">
        <f t="shared" si="22"/>
        <v/>
      </c>
    </row>
    <row r="356" spans="1:31">
      <c r="A356" s="153"/>
      <c r="B356" s="63"/>
      <c r="C356" s="63"/>
      <c r="D356" s="49"/>
      <c r="E356" s="9">
        <f>+G356-Adjustments!G356</f>
        <v>0</v>
      </c>
      <c r="F356" s="9"/>
      <c r="G356" s="9"/>
      <c r="H356" s="9"/>
      <c r="I356" s="9"/>
      <c r="J356" s="9">
        <f>+I356-'ROR-Model'!I356</f>
        <v>0</v>
      </c>
      <c r="K356" s="9"/>
      <c r="L356" s="9"/>
      <c r="M356" s="9"/>
      <c r="N356" s="9"/>
      <c r="O356" s="136"/>
      <c r="P356" s="142"/>
      <c r="Q356" s="9"/>
      <c r="R356" s="9"/>
      <c r="S356" s="142"/>
      <c r="T356" s="9"/>
      <c r="U356" s="9"/>
      <c r="V356" s="140"/>
      <c r="W356" s="9"/>
      <c r="X356" s="156"/>
      <c r="Y356" s="918">
        <f t="shared" si="20"/>
        <v>347</v>
      </c>
      <c r="AA356" s="9"/>
      <c r="AC356" s="9" t="str">
        <f t="shared" si="21"/>
        <v/>
      </c>
      <c r="AE356" s="44" t="str">
        <f t="shared" si="22"/>
        <v/>
      </c>
    </row>
    <row r="357" spans="1:31">
      <c r="A357" s="644"/>
      <c r="B357" s="365"/>
      <c r="C357" s="63" t="s">
        <v>57</v>
      </c>
      <c r="D357" s="703"/>
      <c r="E357" s="645">
        <f>+G357-Adjustments!G357</f>
        <v>0</v>
      </c>
      <c r="F357" s="645">
        <f>F341</f>
        <v>0</v>
      </c>
      <c r="G357" s="645">
        <f>G341</f>
        <v>0</v>
      </c>
      <c r="H357" s="645">
        <f>H341</f>
        <v>0</v>
      </c>
      <c r="I357" s="645">
        <f>I341</f>
        <v>0</v>
      </c>
      <c r="J357" s="9">
        <f>+I357-'ROR-Model'!I357</f>
        <v>0</v>
      </c>
      <c r="K357" s="645"/>
      <c r="L357" s="645"/>
      <c r="M357" s="645">
        <f>M341</f>
        <v>0</v>
      </c>
      <c r="N357" s="645">
        <f>N341</f>
        <v>0</v>
      </c>
      <c r="O357" s="704"/>
      <c r="P357" s="705"/>
      <c r="Q357" s="645">
        <f>Q341</f>
        <v>0</v>
      </c>
      <c r="R357" s="645">
        <f>R341</f>
        <v>0</v>
      </c>
      <c r="S357" s="705"/>
      <c r="T357" s="645">
        <f>T341</f>
        <v>0</v>
      </c>
      <c r="U357" s="645">
        <f>U341</f>
        <v>0</v>
      </c>
      <c r="V357" s="706"/>
      <c r="W357" s="645">
        <f>HLOOKUP($W$9,'ROR-Model'!$Q$10:$U$1263,Y357)</f>
        <v>0</v>
      </c>
      <c r="X357" s="707"/>
      <c r="Y357" s="918">
        <f t="shared" si="20"/>
        <v>348</v>
      </c>
      <c r="AA357" s="645">
        <v>0</v>
      </c>
      <c r="AC357" s="645" t="str">
        <f t="shared" si="21"/>
        <v/>
      </c>
      <c r="AE357" s="44" t="str">
        <f t="shared" si="22"/>
        <v/>
      </c>
    </row>
    <row r="358" spans="1:31">
      <c r="A358" s="644"/>
      <c r="B358" s="365"/>
      <c r="C358" s="365" t="s">
        <v>58</v>
      </c>
      <c r="D358" s="703"/>
      <c r="E358" s="645">
        <f>+G358-Adjustments!G358</f>
        <v>0</v>
      </c>
      <c r="F358" s="645">
        <f>F350</f>
        <v>0</v>
      </c>
      <c r="G358" s="645">
        <f>G350</f>
        <v>0</v>
      </c>
      <c r="H358" s="645">
        <f>H350</f>
        <v>0</v>
      </c>
      <c r="I358" s="645">
        <f>I350</f>
        <v>0</v>
      </c>
      <c r="J358" s="9">
        <f>+I358-'ROR-Model'!I358</f>
        <v>0</v>
      </c>
      <c r="K358" s="645"/>
      <c r="L358" s="645"/>
      <c r="M358" s="645">
        <f>M350</f>
        <v>0</v>
      </c>
      <c r="N358" s="645">
        <f>N350</f>
        <v>0</v>
      </c>
      <c r="O358" s="704"/>
      <c r="P358" s="705"/>
      <c r="Q358" s="645">
        <f>Q350</f>
        <v>0</v>
      </c>
      <c r="R358" s="645">
        <f>R350</f>
        <v>0</v>
      </c>
      <c r="S358" s="705"/>
      <c r="T358" s="645">
        <f>T350</f>
        <v>0</v>
      </c>
      <c r="U358" s="645">
        <f>U350</f>
        <v>0</v>
      </c>
      <c r="V358" s="706"/>
      <c r="W358" s="645">
        <f>HLOOKUP($W$9,'ROR-Model'!$Q$10:$U$1263,Y358)</f>
        <v>0</v>
      </c>
      <c r="X358" s="707"/>
      <c r="Y358" s="918">
        <f t="shared" si="20"/>
        <v>349</v>
      </c>
      <c r="AA358" s="645">
        <v>0</v>
      </c>
      <c r="AC358" s="645" t="str">
        <f t="shared" si="21"/>
        <v/>
      </c>
      <c r="AE358" s="44" t="str">
        <f t="shared" si="22"/>
        <v/>
      </c>
    </row>
    <row r="359" spans="1:31">
      <c r="A359" s="644"/>
      <c r="B359" s="365"/>
      <c r="C359" s="63" t="s">
        <v>31</v>
      </c>
      <c r="D359" s="703"/>
      <c r="E359" s="646">
        <f>+G359-Adjustments!G359</f>
        <v>0</v>
      </c>
      <c r="F359" s="646">
        <f>F341+F350</f>
        <v>0</v>
      </c>
      <c r="G359" s="646">
        <f>G341+G350</f>
        <v>0</v>
      </c>
      <c r="H359" s="646">
        <f>H341+H350</f>
        <v>0</v>
      </c>
      <c r="I359" s="646">
        <f>I341+I350</f>
        <v>0</v>
      </c>
      <c r="J359" s="9">
        <f>+I359-'ROR-Model'!I359</f>
        <v>0</v>
      </c>
      <c r="K359" s="645"/>
      <c r="L359" s="646"/>
      <c r="M359" s="646">
        <f>M341+M350</f>
        <v>0</v>
      </c>
      <c r="N359" s="646">
        <f>N341+N350</f>
        <v>0</v>
      </c>
      <c r="O359" s="704"/>
      <c r="P359" s="708"/>
      <c r="Q359" s="646">
        <f>Q341+Q350</f>
        <v>0</v>
      </c>
      <c r="R359" s="646">
        <f>R341+R350</f>
        <v>0</v>
      </c>
      <c r="S359" s="708"/>
      <c r="T359" s="646">
        <f>T341+T350</f>
        <v>0</v>
      </c>
      <c r="U359" s="646">
        <f>U341+U350</f>
        <v>0</v>
      </c>
      <c r="V359" s="706"/>
      <c r="W359" s="646">
        <f>HLOOKUP($W$9,'ROR-Model'!$Q$10:$U$1263,Y359)</f>
        <v>0</v>
      </c>
      <c r="X359" s="707"/>
      <c r="Y359" s="918">
        <f t="shared" si="20"/>
        <v>350</v>
      </c>
      <c r="AA359" s="646">
        <v>0</v>
      </c>
      <c r="AC359" s="646" t="str">
        <f t="shared" si="21"/>
        <v/>
      </c>
      <c r="AE359" s="44" t="str">
        <f t="shared" si="22"/>
        <v/>
      </c>
    </row>
    <row r="360" spans="1:31" ht="13.5" thickBot="1">
      <c r="A360" s="153"/>
      <c r="B360" s="63"/>
      <c r="C360" s="63"/>
      <c r="D360" s="49"/>
      <c r="E360" s="26"/>
      <c r="F360" s="26"/>
      <c r="G360" s="26"/>
      <c r="H360" s="26"/>
      <c r="I360" s="26"/>
      <c r="J360" s="9">
        <f>+I360-'ROR-Model'!I360</f>
        <v>0</v>
      </c>
      <c r="K360" s="9"/>
      <c r="L360" s="26"/>
      <c r="M360" s="26"/>
      <c r="N360" s="26"/>
      <c r="O360" s="136"/>
      <c r="P360" s="227"/>
      <c r="Q360" s="26"/>
      <c r="R360" s="26"/>
      <c r="S360" s="227"/>
      <c r="T360" s="26"/>
      <c r="U360" s="26"/>
      <c r="V360" s="140"/>
      <c r="W360" s="26"/>
      <c r="X360" s="156"/>
      <c r="Y360" s="918">
        <f t="shared" si="20"/>
        <v>351</v>
      </c>
      <c r="AA360" s="26"/>
      <c r="AC360" s="26" t="str">
        <f t="shared" si="21"/>
        <v/>
      </c>
      <c r="AE360" s="44" t="str">
        <f t="shared" si="22"/>
        <v/>
      </c>
    </row>
    <row r="361" spans="1:31" ht="13.5" thickTop="1">
      <c r="A361" s="130" t="s">
        <v>32</v>
      </c>
      <c r="B361" s="63"/>
      <c r="C361" s="63"/>
      <c r="D361" s="49"/>
      <c r="E361" s="9"/>
      <c r="F361" s="9">
        <f>+F363+F365</f>
        <v>379555640.95652229</v>
      </c>
      <c r="G361" s="9">
        <f>+G363+G365</f>
        <v>-20972049.120000001</v>
      </c>
      <c r="H361" s="9">
        <f>+H363+H365</f>
        <v>0</v>
      </c>
      <c r="I361" s="9">
        <f>+I363+I365</f>
        <v>358583591.83652228</v>
      </c>
      <c r="J361" s="9">
        <f>+I361-'ROR-Model'!I361</f>
        <v>0</v>
      </c>
      <c r="K361" s="9"/>
      <c r="L361" s="9"/>
      <c r="M361" s="9"/>
      <c r="N361" s="9"/>
      <c r="O361" s="136"/>
      <c r="P361" s="142"/>
      <c r="Q361" s="9"/>
      <c r="R361" s="9"/>
      <c r="S361" s="142"/>
      <c r="T361" s="9"/>
      <c r="U361" s="9"/>
      <c r="V361" s="140"/>
      <c r="W361" s="9"/>
      <c r="X361" s="156"/>
      <c r="Y361" s="918">
        <f t="shared" si="20"/>
        <v>352</v>
      </c>
      <c r="AA361" s="9"/>
      <c r="AC361" s="9" t="str">
        <f t="shared" si="21"/>
        <v/>
      </c>
      <c r="AE361" s="44" t="str">
        <f t="shared" si="22"/>
        <v/>
      </c>
    </row>
    <row r="362" spans="1:31">
      <c r="A362" s="153"/>
      <c r="B362" s="63" t="s">
        <v>647</v>
      </c>
      <c r="C362" s="365"/>
      <c r="D362" s="49"/>
      <c r="E362" s="9"/>
      <c r="F362" s="9"/>
      <c r="G362" s="9"/>
      <c r="H362" s="9"/>
      <c r="I362" s="9"/>
      <c r="J362" s="9">
        <f>+I362-'ROR-Model'!I362</f>
        <v>0</v>
      </c>
      <c r="K362" s="9"/>
      <c r="L362" s="9"/>
      <c r="M362" s="9"/>
      <c r="N362" s="9"/>
      <c r="O362" s="136"/>
      <c r="P362" s="142"/>
      <c r="Q362" s="9"/>
      <c r="R362" s="9"/>
      <c r="S362" s="142"/>
      <c r="T362" s="9"/>
      <c r="U362" s="9"/>
      <c r="V362" s="140"/>
      <c r="W362" s="9"/>
      <c r="X362" s="156"/>
      <c r="Y362" s="918">
        <f t="shared" si="20"/>
        <v>353</v>
      </c>
      <c r="AA362" s="9"/>
      <c r="AC362" s="9" t="str">
        <f t="shared" si="21"/>
        <v/>
      </c>
      <c r="AE362" s="44" t="str">
        <f t="shared" si="22"/>
        <v/>
      </c>
    </row>
    <row r="363" spans="1:31">
      <c r="A363" s="153"/>
      <c r="B363" s="63"/>
      <c r="C363" s="365" t="s">
        <v>15</v>
      </c>
      <c r="D363" s="49"/>
      <c r="E363" s="9">
        <f>+G363-Adjustments!G363</f>
        <v>0</v>
      </c>
      <c r="F363" s="9">
        <f>F200+F229+F323+F353</f>
        <v>379378680.95652229</v>
      </c>
      <c r="G363" s="9">
        <f>G200+G229+G323+G353</f>
        <v>-20972049.120000001</v>
      </c>
      <c r="H363" s="9">
        <f>H200+H229+H323+H353</f>
        <v>0</v>
      </c>
      <c r="I363" s="9">
        <f>I200+I229+I323+I353</f>
        <v>358406631.83652228</v>
      </c>
      <c r="J363" s="9">
        <f>+I363-'ROR-Model'!I363</f>
        <v>0</v>
      </c>
      <c r="K363" s="9"/>
      <c r="L363" s="9"/>
      <c r="M363" s="9">
        <f>M200+M229+M323+M353</f>
        <v>345635374.41683167</v>
      </c>
      <c r="N363" s="9">
        <f>N200+N229+N323+N353</f>
        <v>12823771.4196906</v>
      </c>
      <c r="O363" s="136"/>
      <c r="P363" s="142"/>
      <c r="Q363" s="9">
        <f>Q200+Q229+Q323+Q353</f>
        <v>345635374.41683167</v>
      </c>
      <c r="R363" s="9">
        <f>R200+R229+R323+R353</f>
        <v>0</v>
      </c>
      <c r="S363" s="142"/>
      <c r="T363" s="9">
        <f>T200+T229+T323+T353</f>
        <v>12771257.4196906</v>
      </c>
      <c r="U363" s="9">
        <f>U200+U229+U323+U353</f>
        <v>52514</v>
      </c>
      <c r="V363" s="140"/>
      <c r="W363" s="9">
        <f>HLOOKUP($W$9,'ROR-Model'!$Q$10:$U$1263,Y363)</f>
        <v>345635374.41683167</v>
      </c>
      <c r="X363" s="156"/>
      <c r="Y363" s="918">
        <f t="shared" si="20"/>
        <v>354</v>
      </c>
      <c r="AA363" s="9">
        <v>12442563.945955401</v>
      </c>
      <c r="AC363" s="9">
        <f t="shared" si="21"/>
        <v>333192810.47087628</v>
      </c>
      <c r="AE363" s="44">
        <f t="shared" si="22"/>
        <v>26.778468804187614</v>
      </c>
    </row>
    <row r="364" spans="1:31">
      <c r="A364" s="153"/>
      <c r="B364" s="63"/>
      <c r="C364" s="365" t="s">
        <v>16</v>
      </c>
      <c r="D364" s="49"/>
      <c r="E364" s="9">
        <f>+G364-Adjustments!G364</f>
        <v>0</v>
      </c>
      <c r="F364" s="9">
        <f>F201+F230+F324</f>
        <v>104646790.0980107</v>
      </c>
      <c r="G364" s="9">
        <f>G201+G230+G324</f>
        <v>0</v>
      </c>
      <c r="H364" s="9">
        <f>H201+H230+H324</f>
        <v>0</v>
      </c>
      <c r="I364" s="9">
        <f>I201+I230+I324</f>
        <v>104646790.0980107</v>
      </c>
      <c r="J364" s="9">
        <f>+I364-'ROR-Model'!I364</f>
        <v>0</v>
      </c>
      <c r="K364" s="9"/>
      <c r="L364" s="9"/>
      <c r="M364" s="9">
        <f>M201+M230+M324</f>
        <v>104646826.0980107</v>
      </c>
      <c r="N364" s="9">
        <f>N201+N230+N324</f>
        <v>-36</v>
      </c>
      <c r="O364" s="136"/>
      <c r="P364" s="142"/>
      <c r="Q364" s="9">
        <f>Q201+Q230+Q324</f>
        <v>0</v>
      </c>
      <c r="R364" s="9">
        <f>R201+R230+R324</f>
        <v>104646826.0980107</v>
      </c>
      <c r="S364" s="142"/>
      <c r="T364" s="9">
        <f>T201+T230+T324</f>
        <v>0</v>
      </c>
      <c r="U364" s="9">
        <f>U201+U230+U324</f>
        <v>-36</v>
      </c>
      <c r="V364" s="140"/>
      <c r="W364" s="9">
        <f>HLOOKUP($W$9,'ROR-Model'!$Q$10:$U$1263,Y364)</f>
        <v>0</v>
      </c>
      <c r="X364" s="156"/>
      <c r="Y364" s="918">
        <f t="shared" si="20"/>
        <v>355</v>
      </c>
      <c r="AA364" s="9">
        <v>0</v>
      </c>
      <c r="AC364" s="9" t="str">
        <f t="shared" si="21"/>
        <v/>
      </c>
      <c r="AE364" s="44" t="str">
        <f t="shared" si="22"/>
        <v/>
      </c>
    </row>
    <row r="365" spans="1:31">
      <c r="A365" s="651"/>
      <c r="B365" s="63"/>
      <c r="C365" s="365" t="s">
        <v>537</v>
      </c>
      <c r="D365" s="711"/>
      <c r="E365" s="652">
        <f>+G365-Adjustments!G365</f>
        <v>0</v>
      </c>
      <c r="F365" s="652">
        <f>F325</f>
        <v>176960</v>
      </c>
      <c r="G365" s="652">
        <f>G325</f>
        <v>0</v>
      </c>
      <c r="H365" s="652">
        <f>H325</f>
        <v>0</v>
      </c>
      <c r="I365" s="652">
        <f>I325</f>
        <v>176960</v>
      </c>
      <c r="J365" s="9">
        <f>+I365-'ROR-Model'!I365</f>
        <v>0</v>
      </c>
      <c r="K365" s="652"/>
      <c r="L365" s="652"/>
      <c r="M365" s="652">
        <f>M325</f>
        <v>0</v>
      </c>
      <c r="N365" s="652">
        <f>N325</f>
        <v>176960</v>
      </c>
      <c r="O365" s="712"/>
      <c r="P365" s="713"/>
      <c r="Q365" s="652">
        <f>Q325</f>
        <v>0</v>
      </c>
      <c r="R365" s="652">
        <f>R325</f>
        <v>0</v>
      </c>
      <c r="S365" s="713"/>
      <c r="T365" s="652">
        <f>T325</f>
        <v>0</v>
      </c>
      <c r="U365" s="652">
        <f>U325</f>
        <v>176960</v>
      </c>
      <c r="V365" s="714"/>
      <c r="W365" s="652">
        <f>HLOOKUP($W$9,'ROR-Model'!$Q$10:$U$1263,Y365)</f>
        <v>0</v>
      </c>
      <c r="X365" s="715"/>
      <c r="Y365" s="918">
        <f t="shared" si="20"/>
        <v>356</v>
      </c>
      <c r="AA365" s="652">
        <v>0</v>
      </c>
      <c r="AC365" s="652" t="str">
        <f t="shared" si="21"/>
        <v/>
      </c>
      <c r="AE365" s="44" t="str">
        <f t="shared" si="22"/>
        <v/>
      </c>
    </row>
    <row r="366" spans="1:31">
      <c r="A366" s="153"/>
      <c r="B366" s="63"/>
      <c r="C366" s="365" t="s">
        <v>17</v>
      </c>
      <c r="D366" s="49"/>
      <c r="E366" s="9">
        <f>+G366-Adjustments!G366</f>
        <v>0</v>
      </c>
      <c r="F366" s="9">
        <f>F202+F231+F326+F354</f>
        <v>431437243.065467</v>
      </c>
      <c r="G366" s="9">
        <f>G202+G231+G326+G354</f>
        <v>0</v>
      </c>
      <c r="H366" s="9">
        <f>H202+H231+H326+H354</f>
        <v>0</v>
      </c>
      <c r="I366" s="9">
        <f>I202+I231+I326+I354</f>
        <v>431437243.065467</v>
      </c>
      <c r="J366" s="9">
        <f>+I366-'ROR-Model'!I366</f>
        <v>0</v>
      </c>
      <c r="K366" s="9"/>
      <c r="L366" s="9"/>
      <c r="M366" s="9">
        <f>M202+M231+M326+M354</f>
        <v>412645469.44515759</v>
      </c>
      <c r="N366" s="9">
        <f>N202+N231+N326+N354</f>
        <v>18791773.620309401</v>
      </c>
      <c r="O366" s="136"/>
      <c r="P366" s="142"/>
      <c r="Q366" s="9">
        <f>Q202+Q231+Q326+Q354</f>
        <v>0</v>
      </c>
      <c r="R366" s="9">
        <f>R202+R231+R326+R354</f>
        <v>412645469.44515759</v>
      </c>
      <c r="S366" s="142"/>
      <c r="T366" s="9">
        <f>T202+T231+T326+T354</f>
        <v>0</v>
      </c>
      <c r="U366" s="9">
        <f>U202+U231+U326+U354</f>
        <v>18791773.620309401</v>
      </c>
      <c r="V366" s="140"/>
      <c r="W366" s="9">
        <f>HLOOKUP($W$9,'ROR-Model'!$Q$10:$U$1263,Y366)</f>
        <v>0</v>
      </c>
      <c r="X366" s="156"/>
      <c r="Y366" s="918">
        <f t="shared" si="20"/>
        <v>357</v>
      </c>
      <c r="AA366" s="9">
        <v>0</v>
      </c>
      <c r="AC366" s="9" t="str">
        <f t="shared" si="21"/>
        <v/>
      </c>
      <c r="AE366" s="44" t="str">
        <f t="shared" si="22"/>
        <v/>
      </c>
    </row>
    <row r="367" spans="1:31" ht="13.5" thickBot="1">
      <c r="A367" s="153"/>
      <c r="B367" s="63"/>
      <c r="C367" s="365"/>
      <c r="D367" s="49"/>
      <c r="E367" s="175">
        <f>+G367-Adjustments!G367</f>
        <v>0</v>
      </c>
      <c r="F367" s="175"/>
      <c r="G367" s="175"/>
      <c r="H367" s="175"/>
      <c r="I367" s="175"/>
      <c r="J367" s="9">
        <f>+I367-'ROR-Model'!I367</f>
        <v>0</v>
      </c>
      <c r="K367" s="9"/>
      <c r="L367" s="175"/>
      <c r="M367" s="175"/>
      <c r="N367" s="175"/>
      <c r="O367" s="136"/>
      <c r="P367" s="229"/>
      <c r="Q367" s="175"/>
      <c r="R367" s="175"/>
      <c r="S367" s="229"/>
      <c r="T367" s="175"/>
      <c r="U367" s="175"/>
      <c r="V367" s="140"/>
      <c r="W367" s="175"/>
      <c r="X367" s="156"/>
      <c r="Y367" s="918">
        <f t="shared" si="20"/>
        <v>358</v>
      </c>
      <c r="AA367" s="175"/>
      <c r="AC367" s="175" t="str">
        <f t="shared" si="21"/>
        <v/>
      </c>
      <c r="AE367" s="44" t="str">
        <f t="shared" si="22"/>
        <v/>
      </c>
    </row>
    <row r="368" spans="1:31">
      <c r="A368" s="153"/>
      <c r="B368" s="63"/>
      <c r="C368" s="63" t="s">
        <v>647</v>
      </c>
      <c r="D368" s="49"/>
      <c r="E368" s="9">
        <f>+G368-Adjustments!G368</f>
        <v>0</v>
      </c>
      <c r="F368" s="9">
        <f>F203+F232+F327+F355</f>
        <v>915639674.12</v>
      </c>
      <c r="G368" s="9">
        <f>G203+G232+G327+G355</f>
        <v>-20972049.120000001</v>
      </c>
      <c r="H368" s="9">
        <f>H203+H232+H327+H355</f>
        <v>0</v>
      </c>
      <c r="I368" s="9">
        <f>I203+I232+I327+I355</f>
        <v>894667625</v>
      </c>
      <c r="J368" s="9">
        <f>+I368-'ROR-Model'!I368</f>
        <v>0</v>
      </c>
      <c r="K368" s="9"/>
      <c r="L368" s="9"/>
      <c r="M368" s="9">
        <f>M203+M232+M327+M355</f>
        <v>862927669.96000004</v>
      </c>
      <c r="N368" s="9">
        <f>N203+N232+N327+N355</f>
        <v>31739955.039999999</v>
      </c>
      <c r="O368" s="136"/>
      <c r="P368" s="142"/>
      <c r="Q368" s="9">
        <f>Q203+Q232+Q327+Q355</f>
        <v>345635374.41683167</v>
      </c>
      <c r="R368" s="9">
        <f>R203+R232+R327+R355</f>
        <v>517292295.54316831</v>
      </c>
      <c r="S368" s="142"/>
      <c r="T368" s="9">
        <f>T203+T232+T327+T355</f>
        <v>12771257.4196906</v>
      </c>
      <c r="U368" s="9">
        <f>U203+U232+U327+U355</f>
        <v>18968697.620309401</v>
      </c>
      <c r="V368" s="140"/>
      <c r="W368" s="9">
        <f>HLOOKUP($W$9,'ROR-Model'!$Q$10:$U$1263,Y368)</f>
        <v>345635374.41683167</v>
      </c>
      <c r="X368" s="156"/>
      <c r="Y368" s="918">
        <f t="shared" si="20"/>
        <v>359</v>
      </c>
      <c r="AA368" s="9">
        <v>12442563.945955401</v>
      </c>
      <c r="AC368" s="9">
        <f t="shared" si="21"/>
        <v>333192810.47087628</v>
      </c>
      <c r="AE368" s="44">
        <f t="shared" si="22"/>
        <v>26.778468804187614</v>
      </c>
    </row>
    <row r="369" spans="1:31">
      <c r="A369" s="153"/>
      <c r="B369" s="63"/>
      <c r="C369" s="63"/>
      <c r="D369" s="49"/>
      <c r="E369" s="9">
        <f>+G369-Adjustments!G369</f>
        <v>0</v>
      </c>
      <c r="F369" s="9"/>
      <c r="G369" s="9"/>
      <c r="H369" s="9"/>
      <c r="I369" s="9"/>
      <c r="J369" s="9">
        <f>+I369-'ROR-Model'!I369</f>
        <v>0</v>
      </c>
      <c r="K369" s="9"/>
      <c r="L369" s="9"/>
      <c r="M369" s="9"/>
      <c r="N369" s="9"/>
      <c r="O369" s="136"/>
      <c r="P369" s="142"/>
      <c r="Q369" s="9"/>
      <c r="R369" s="9"/>
      <c r="S369" s="142"/>
      <c r="T369" s="9"/>
      <c r="U369" s="9"/>
      <c r="V369" s="140"/>
      <c r="W369" s="9"/>
      <c r="X369" s="156"/>
      <c r="Y369" s="918">
        <f t="shared" si="20"/>
        <v>360</v>
      </c>
      <c r="AA369" s="9"/>
      <c r="AC369" s="9" t="str">
        <f t="shared" si="21"/>
        <v/>
      </c>
      <c r="AE369" s="44" t="str">
        <f t="shared" si="22"/>
        <v/>
      </c>
    </row>
    <row r="370" spans="1:31">
      <c r="A370" s="153"/>
      <c r="B370" s="365"/>
      <c r="C370" s="63" t="s">
        <v>57</v>
      </c>
      <c r="D370" s="49"/>
      <c r="E370" s="9">
        <f>+G370-Adjustments!G370</f>
        <v>0</v>
      </c>
      <c r="F370" s="9">
        <f t="shared" ref="F370:I372" si="23">F205+F234+F329+F357</f>
        <v>105750543.48</v>
      </c>
      <c r="G370" s="9">
        <f t="shared" si="23"/>
        <v>0</v>
      </c>
      <c r="H370" s="9">
        <f t="shared" si="23"/>
        <v>0</v>
      </c>
      <c r="I370" s="9">
        <f t="shared" si="23"/>
        <v>105750543.48</v>
      </c>
      <c r="J370" s="9">
        <f>+I370-'ROR-Model'!I370</f>
        <v>0</v>
      </c>
      <c r="K370" s="9"/>
      <c r="L370" s="9"/>
      <c r="M370" s="9">
        <f t="shared" ref="M370:N372" si="24">M205+M234+M329+M357</f>
        <v>102028079.61</v>
      </c>
      <c r="N370" s="9">
        <f t="shared" si="24"/>
        <v>3722463.87</v>
      </c>
      <c r="O370" s="136"/>
      <c r="P370" s="142"/>
      <c r="Q370" s="9">
        <f t="shared" ref="Q370:R372" si="25">Q205+Q234+Q329+Q357</f>
        <v>102028079.61</v>
      </c>
      <c r="R370" s="9">
        <f t="shared" si="25"/>
        <v>0</v>
      </c>
      <c r="S370" s="142"/>
      <c r="T370" s="9">
        <f t="shared" ref="T370:U372" si="26">T205+T234+T329+T357</f>
        <v>3573465.87</v>
      </c>
      <c r="U370" s="9">
        <f t="shared" si="26"/>
        <v>148998</v>
      </c>
      <c r="V370" s="140"/>
      <c r="W370" s="9">
        <f>HLOOKUP($W$9,'ROR-Model'!$Q$10:$U$1263,Y370)</f>
        <v>102028079.61</v>
      </c>
      <c r="X370" s="156"/>
      <c r="Y370" s="918">
        <f t="shared" si="20"/>
        <v>361</v>
      </c>
      <c r="AA370" s="9">
        <v>3393280.62</v>
      </c>
      <c r="AC370" s="9">
        <f t="shared" si="21"/>
        <v>98634798.989999995</v>
      </c>
      <c r="AE370" s="44">
        <f t="shared" si="22"/>
        <v>29.067681113270257</v>
      </c>
    </row>
    <row r="371" spans="1:31">
      <c r="A371" s="153"/>
      <c r="B371" s="365"/>
      <c r="C371" s="365" t="s">
        <v>58</v>
      </c>
      <c r="D371" s="49"/>
      <c r="E371" s="9">
        <f>+G371-Adjustments!G371</f>
        <v>0</v>
      </c>
      <c r="F371" s="9">
        <f t="shared" si="23"/>
        <v>76744935</v>
      </c>
      <c r="G371" s="9">
        <f t="shared" si="23"/>
        <v>0</v>
      </c>
      <c r="H371" s="9">
        <f t="shared" si="23"/>
        <v>0</v>
      </c>
      <c r="I371" s="9">
        <f t="shared" si="23"/>
        <v>76744935</v>
      </c>
      <c r="J371" s="9">
        <f>+I371-'ROR-Model'!I371</f>
        <v>0</v>
      </c>
      <c r="K371" s="9"/>
      <c r="L371" s="9"/>
      <c r="M371" s="9">
        <f t="shared" si="24"/>
        <v>76080323</v>
      </c>
      <c r="N371" s="9">
        <f t="shared" si="24"/>
        <v>664612</v>
      </c>
      <c r="O371" s="136"/>
      <c r="P371" s="142"/>
      <c r="Q371" s="9">
        <f t="shared" si="25"/>
        <v>76080323</v>
      </c>
      <c r="R371" s="9">
        <f t="shared" si="25"/>
        <v>0</v>
      </c>
      <c r="S371" s="142"/>
      <c r="T371" s="9">
        <f t="shared" si="26"/>
        <v>0</v>
      </c>
      <c r="U371" s="9">
        <f t="shared" si="26"/>
        <v>664612</v>
      </c>
      <c r="V371" s="140"/>
      <c r="W371" s="9">
        <f>HLOOKUP($W$9,'ROR-Model'!$Q$10:$U$1263,Y371)</f>
        <v>76080323</v>
      </c>
      <c r="X371" s="156"/>
      <c r="Y371" s="918">
        <f t="shared" si="20"/>
        <v>362</v>
      </c>
      <c r="AA371" s="9">
        <v>0</v>
      </c>
      <c r="AC371" s="9" t="str">
        <f t="shared" si="21"/>
        <v/>
      </c>
      <c r="AE371" s="44" t="str">
        <f t="shared" si="22"/>
        <v/>
      </c>
    </row>
    <row r="372" spans="1:31">
      <c r="A372" s="153"/>
      <c r="C372" s="63" t="s">
        <v>33</v>
      </c>
      <c r="D372" s="49"/>
      <c r="E372" s="157">
        <f>+G372-Adjustments!G372</f>
        <v>0</v>
      </c>
      <c r="F372" s="157">
        <f t="shared" si="23"/>
        <v>182495478.48000002</v>
      </c>
      <c r="G372" s="157">
        <f t="shared" si="23"/>
        <v>0</v>
      </c>
      <c r="H372" s="157">
        <f t="shared" si="23"/>
        <v>0</v>
      </c>
      <c r="I372" s="157">
        <f t="shared" si="23"/>
        <v>182495478.48000002</v>
      </c>
      <c r="J372" s="9">
        <f>+I372-'ROR-Model'!I372</f>
        <v>0</v>
      </c>
      <c r="K372" s="9"/>
      <c r="L372" s="157"/>
      <c r="M372" s="157">
        <f t="shared" si="24"/>
        <v>178108402.61000001</v>
      </c>
      <c r="N372" s="157">
        <f t="shared" si="24"/>
        <v>4387075.87</v>
      </c>
      <c r="O372" s="136"/>
      <c r="P372" s="226"/>
      <c r="Q372" s="157">
        <f t="shared" si="25"/>
        <v>178108402.61000001</v>
      </c>
      <c r="R372" s="157">
        <f t="shared" si="25"/>
        <v>0</v>
      </c>
      <c r="S372" s="226"/>
      <c r="T372" s="157">
        <f t="shared" si="26"/>
        <v>3573465.87</v>
      </c>
      <c r="U372" s="157">
        <f t="shared" si="26"/>
        <v>813610</v>
      </c>
      <c r="V372" s="140"/>
      <c r="W372" s="157">
        <f>HLOOKUP($W$9,'ROR-Model'!$Q$10:$U$1263,Y372)</f>
        <v>178108402.61000001</v>
      </c>
      <c r="X372" s="156"/>
      <c r="Y372" s="918">
        <f t="shared" si="20"/>
        <v>363</v>
      </c>
      <c r="AA372" s="157">
        <v>3393280.62</v>
      </c>
      <c r="AC372" s="157">
        <f t="shared" si="21"/>
        <v>174715121.99000001</v>
      </c>
      <c r="AE372" s="44">
        <f t="shared" si="22"/>
        <v>51.488556814378647</v>
      </c>
    </row>
    <row r="373" spans="1:31">
      <c r="A373" s="153"/>
      <c r="B373" s="49"/>
      <c r="C373" s="49"/>
      <c r="D373" s="49"/>
      <c r="E373" s="9"/>
      <c r="F373" s="9"/>
      <c r="G373" s="9"/>
      <c r="H373" s="9"/>
      <c r="I373" s="9"/>
      <c r="J373" s="9">
        <f>+I373-'ROR-Model'!I373</f>
        <v>0</v>
      </c>
      <c r="K373" s="9"/>
      <c r="L373" s="9"/>
      <c r="M373" s="9"/>
      <c r="N373" s="9"/>
      <c r="O373" s="136"/>
      <c r="P373" s="142"/>
      <c r="Q373" s="9"/>
      <c r="R373" s="9"/>
      <c r="S373" s="142"/>
      <c r="T373" s="9"/>
      <c r="U373" s="9"/>
      <c r="V373" s="140"/>
      <c r="W373" s="9"/>
      <c r="X373" s="156"/>
      <c r="Y373" s="918">
        <f t="shared" si="20"/>
        <v>364</v>
      </c>
      <c r="AA373" s="9"/>
      <c r="AC373" s="9" t="str">
        <f t="shared" si="21"/>
        <v/>
      </c>
      <c r="AE373" s="44" t="str">
        <f t="shared" si="22"/>
        <v/>
      </c>
    </row>
    <row r="374" spans="1:31">
      <c r="A374" s="153"/>
      <c r="B374" s="49"/>
      <c r="C374" s="49"/>
      <c r="D374" s="49"/>
      <c r="E374" s="9"/>
      <c r="F374" s="9"/>
      <c r="G374" s="9"/>
      <c r="H374" s="9"/>
      <c r="I374" s="9"/>
      <c r="J374" s="9">
        <f>+I374-'ROR-Model'!I374</f>
        <v>0</v>
      </c>
      <c r="K374" s="9"/>
      <c r="L374" s="9"/>
      <c r="M374" s="9"/>
      <c r="N374" s="9"/>
      <c r="O374" s="136"/>
      <c r="P374" s="142"/>
      <c r="Q374" s="9"/>
      <c r="R374" s="9"/>
      <c r="S374" s="142"/>
      <c r="T374" s="9"/>
      <c r="U374" s="9"/>
      <c r="V374" s="140"/>
      <c r="W374" s="9"/>
      <c r="X374" s="156"/>
      <c r="Y374" s="918">
        <f t="shared" si="20"/>
        <v>365</v>
      </c>
      <c r="AA374" s="9"/>
      <c r="AC374" s="9" t="str">
        <f t="shared" si="21"/>
        <v/>
      </c>
      <c r="AE374" s="44" t="str">
        <f t="shared" si="22"/>
        <v/>
      </c>
    </row>
    <row r="375" spans="1:31">
      <c r="A375" s="130" t="s">
        <v>157</v>
      </c>
      <c r="B375" s="49"/>
      <c r="C375" s="49"/>
      <c r="D375" s="49"/>
      <c r="E375" s="9"/>
      <c r="F375" s="9"/>
      <c r="G375" s="9"/>
      <c r="H375" s="9"/>
      <c r="I375" s="9"/>
      <c r="J375" s="9">
        <f>+I375-'ROR-Model'!I375</f>
        <v>0</v>
      </c>
      <c r="K375" s="9"/>
      <c r="L375" s="9"/>
      <c r="M375" s="9"/>
      <c r="N375" s="9"/>
      <c r="O375" s="136"/>
      <c r="P375" s="142"/>
      <c r="Q375" s="9"/>
      <c r="R375" s="9"/>
      <c r="S375" s="142"/>
      <c r="T375" s="9"/>
      <c r="U375" s="9"/>
      <c r="V375" s="140"/>
      <c r="W375" s="9"/>
      <c r="X375" s="156"/>
      <c r="Y375" s="918">
        <f t="shared" si="20"/>
        <v>366</v>
      </c>
      <c r="AA375" s="9"/>
      <c r="AC375" s="9" t="str">
        <f t="shared" si="21"/>
        <v/>
      </c>
      <c r="AE375" s="44" t="str">
        <f t="shared" si="22"/>
        <v/>
      </c>
    </row>
    <row r="376" spans="1:31">
      <c r="A376" s="153"/>
      <c r="B376" s="49"/>
      <c r="C376" s="49"/>
      <c r="D376" s="49"/>
      <c r="E376" s="9"/>
      <c r="F376" s="9"/>
      <c r="G376" s="9"/>
      <c r="H376" s="9"/>
      <c r="I376" s="9"/>
      <c r="J376" s="9">
        <f>+I376-'ROR-Model'!I376</f>
        <v>0</v>
      </c>
      <c r="K376" s="9"/>
      <c r="L376" s="9"/>
      <c r="M376" s="9"/>
      <c r="N376" s="9"/>
      <c r="O376" s="136"/>
      <c r="P376" s="142"/>
      <c r="Q376" s="9"/>
      <c r="R376" s="9"/>
      <c r="S376" s="142"/>
      <c r="T376" s="9"/>
      <c r="U376" s="9"/>
      <c r="V376" s="140"/>
      <c r="W376" s="9"/>
      <c r="X376" s="156"/>
      <c r="Y376" s="918">
        <f t="shared" si="20"/>
        <v>367</v>
      </c>
      <c r="AA376" s="9"/>
      <c r="AC376" s="9" t="str">
        <f t="shared" si="21"/>
        <v/>
      </c>
      <c r="AE376" s="44" t="str">
        <f t="shared" si="22"/>
        <v/>
      </c>
    </row>
    <row r="377" spans="1:31">
      <c r="A377" s="154"/>
      <c r="B377" s="49" t="s">
        <v>158</v>
      </c>
      <c r="C377" s="49"/>
      <c r="D377" s="49"/>
      <c r="E377" s="9"/>
      <c r="F377" s="9"/>
      <c r="G377" s="9"/>
      <c r="H377" s="9"/>
      <c r="I377" s="9"/>
      <c r="J377" s="9">
        <f>+I377-'ROR-Model'!I377</f>
        <v>0</v>
      </c>
      <c r="K377" s="9"/>
      <c r="L377" s="9"/>
      <c r="M377" s="9"/>
      <c r="N377" s="9"/>
      <c r="O377" s="136"/>
      <c r="P377" s="142"/>
      <c r="Q377" s="9"/>
      <c r="R377" s="9"/>
      <c r="S377" s="142"/>
      <c r="T377" s="9"/>
      <c r="U377" s="9"/>
      <c r="V377" s="140"/>
      <c r="W377" s="9"/>
      <c r="X377" s="156"/>
      <c r="Y377" s="918">
        <f t="shared" si="20"/>
        <v>368</v>
      </c>
      <c r="AA377" s="9"/>
      <c r="AC377" s="9" t="str">
        <f t="shared" si="21"/>
        <v/>
      </c>
      <c r="AE377" s="44" t="str">
        <f t="shared" si="22"/>
        <v/>
      </c>
    </row>
    <row r="378" spans="1:31">
      <c r="A378" s="154"/>
      <c r="B378" s="49"/>
      <c r="C378" s="49"/>
      <c r="D378" s="49"/>
      <c r="E378" s="9"/>
      <c r="F378" s="9"/>
      <c r="G378" s="9"/>
      <c r="H378" s="9"/>
      <c r="I378" s="9"/>
      <c r="J378" s="9">
        <f>+I378-'ROR-Model'!I378</f>
        <v>0</v>
      </c>
      <c r="K378" s="9"/>
      <c r="L378" s="9"/>
      <c r="M378" s="9"/>
      <c r="N378" s="9"/>
      <c r="O378" s="136"/>
      <c r="P378" s="142"/>
      <c r="Q378" s="9"/>
      <c r="R378" s="9"/>
      <c r="S378" s="142"/>
      <c r="T378" s="9"/>
      <c r="U378" s="9"/>
      <c r="V378" s="140"/>
      <c r="W378" s="9"/>
      <c r="X378" s="156"/>
      <c r="Y378" s="918">
        <f t="shared" si="20"/>
        <v>369</v>
      </c>
      <c r="AA378" s="9"/>
      <c r="AC378" s="9" t="str">
        <f t="shared" si="21"/>
        <v/>
      </c>
      <c r="AE378" s="44" t="str">
        <f t="shared" si="22"/>
        <v/>
      </c>
    </row>
    <row r="379" spans="1:31">
      <c r="A379" s="154">
        <v>483</v>
      </c>
      <c r="B379" s="49" t="s">
        <v>159</v>
      </c>
      <c r="C379" s="49"/>
      <c r="D379" s="49"/>
      <c r="E379" s="9"/>
      <c r="F379" s="9"/>
      <c r="G379" s="9"/>
      <c r="H379" s="9"/>
      <c r="I379" s="9"/>
      <c r="J379" s="9">
        <f>+I379-'ROR-Model'!I379</f>
        <v>0</v>
      </c>
      <c r="K379" s="9"/>
      <c r="L379" s="9"/>
      <c r="M379" s="9"/>
      <c r="N379" s="9"/>
      <c r="O379" s="136"/>
      <c r="P379" s="142"/>
      <c r="Q379" s="9"/>
      <c r="R379" s="9"/>
      <c r="S379" s="142"/>
      <c r="T379" s="9"/>
      <c r="U379" s="9"/>
      <c r="V379" s="140"/>
      <c r="W379" s="9"/>
      <c r="X379" s="156"/>
      <c r="Y379" s="918">
        <f t="shared" si="20"/>
        <v>370</v>
      </c>
      <c r="AA379" s="9"/>
      <c r="AC379" s="9" t="str">
        <f t="shared" si="21"/>
        <v/>
      </c>
      <c r="AE379" s="44" t="str">
        <f t="shared" si="22"/>
        <v/>
      </c>
    </row>
    <row r="380" spans="1:31">
      <c r="A380" s="154"/>
      <c r="B380" s="49"/>
      <c r="C380" s="49" t="s">
        <v>13</v>
      </c>
      <c r="D380" s="49"/>
      <c r="E380" s="357" t="s">
        <v>548</v>
      </c>
      <c r="F380" s="357">
        <f>'Other Rev'!$H$15</f>
        <v>1922718.8614775999</v>
      </c>
      <c r="G380" s="9">
        <f>+Adjustments!U380</f>
        <v>0</v>
      </c>
      <c r="H380" s="9"/>
      <c r="I380" s="9">
        <f>SUM($F$380:$H$380)</f>
        <v>1922718.8614775999</v>
      </c>
      <c r="J380" s="9">
        <f>+I380-'ROR-Model'!I380</f>
        <v>0</v>
      </c>
      <c r="K380" s="9"/>
      <c r="L380" s="9" t="s">
        <v>13</v>
      </c>
      <c r="M380" s="9">
        <f>VLOOKUP($L380,$L$2:$N$7,2,FALSE)*I380</f>
        <v>1922718.8614775999</v>
      </c>
      <c r="N380" s="9">
        <f>VLOOKUP($L380,$L$2:$N$7,3,FALSE)*I380</f>
        <v>0</v>
      </c>
      <c r="O380" s="136"/>
      <c r="P380" s="216" t="s">
        <v>548</v>
      </c>
      <c r="Q380" s="9">
        <f>IF(P380="G",M380,IF(P380="PT",0,ERR))</f>
        <v>0</v>
      </c>
      <c r="R380" s="9">
        <f>IF(P380="PT",M380,IF(P380="G",0,ERR))</f>
        <v>1922718.8614775999</v>
      </c>
      <c r="S380" s="142" t="s">
        <v>548</v>
      </c>
      <c r="T380" s="9">
        <f>IF(S380="G",N380,IF(S380="PT",0,ERR))</f>
        <v>0</v>
      </c>
      <c r="U380" s="9">
        <f>IF(S380="PT",N380,IF(S380="G",0,ERR))</f>
        <v>0</v>
      </c>
      <c r="V380" s="140"/>
      <c r="W380" s="9">
        <f>HLOOKUP($W$9,'ROR-Model'!$Q$10:$U$1263,Y380)</f>
        <v>0</v>
      </c>
      <c r="X380" s="156"/>
      <c r="Y380" s="918">
        <f t="shared" si="20"/>
        <v>371</v>
      </c>
      <c r="AA380" s="9">
        <v>0</v>
      </c>
      <c r="AC380" s="9" t="str">
        <f t="shared" si="21"/>
        <v/>
      </c>
      <c r="AE380" s="44" t="str">
        <f t="shared" si="22"/>
        <v/>
      </c>
    </row>
    <row r="381" spans="1:31">
      <c r="A381" s="154"/>
      <c r="B381" s="49"/>
      <c r="C381" s="49" t="s">
        <v>24</v>
      </c>
      <c r="D381" s="49"/>
      <c r="E381" s="357" t="s">
        <v>548</v>
      </c>
      <c r="F381" s="357">
        <f>'Other Rev'!$H$16</f>
        <v>71559.988522400032</v>
      </c>
      <c r="G381" s="9">
        <f>+Adjustments!U381</f>
        <v>0</v>
      </c>
      <c r="H381" s="9"/>
      <c r="I381" s="9">
        <f>SUM($F$381:$H$381)</f>
        <v>71559.988522400032</v>
      </c>
      <c r="J381" s="9">
        <f>+I381-'ROR-Model'!I381</f>
        <v>0</v>
      </c>
      <c r="K381" s="9"/>
      <c r="L381" s="9" t="s">
        <v>24</v>
      </c>
      <c r="M381" s="9">
        <f>VLOOKUP($L381,$L$2:$N$7,2,FALSE)*I381</f>
        <v>0</v>
      </c>
      <c r="N381" s="9">
        <f>VLOOKUP($L381,$L$2:$N$7,3,FALSE)*I381</f>
        <v>71559.988522400032</v>
      </c>
      <c r="O381" s="136"/>
      <c r="P381" s="216" t="s">
        <v>548</v>
      </c>
      <c r="Q381" s="9">
        <f>IF(P381="G",M381,IF(P381="PT",0,ERR))</f>
        <v>0</v>
      </c>
      <c r="R381" s="9">
        <f>IF(P381="PT",M381,IF(P381="G",0,ERR))</f>
        <v>0</v>
      </c>
      <c r="S381" s="216" t="s">
        <v>548</v>
      </c>
      <c r="T381" s="9">
        <f>IF(S381="G",N381,IF(S381="PT",0,ERR))</f>
        <v>0</v>
      </c>
      <c r="U381" s="9">
        <f>IF(S381="PT",N381,IF(S381="G",0,ERR))</f>
        <v>71559.988522400032</v>
      </c>
      <c r="V381" s="140"/>
      <c r="W381" s="9">
        <f>HLOOKUP($W$9,'ROR-Model'!$Q$10:$U$1263,Y381)</f>
        <v>0</v>
      </c>
      <c r="X381" s="156"/>
      <c r="Y381" s="918">
        <f t="shared" si="20"/>
        <v>372</v>
      </c>
      <c r="AA381" s="9">
        <v>0</v>
      </c>
      <c r="AC381" s="9" t="str">
        <f t="shared" si="21"/>
        <v/>
      </c>
      <c r="AE381" s="44" t="str">
        <f t="shared" si="22"/>
        <v/>
      </c>
    </row>
    <row r="382" spans="1:31">
      <c r="A382" s="154"/>
      <c r="B382" s="49"/>
      <c r="C382" s="49" t="s">
        <v>160</v>
      </c>
      <c r="D382" s="49"/>
      <c r="E382" s="157"/>
      <c r="F382" s="157">
        <f>SUM(F380:F381)</f>
        <v>1994278.85</v>
      </c>
      <c r="G382" s="157">
        <f>SUM(G380:G381)</f>
        <v>0</v>
      </c>
      <c r="H382" s="157">
        <f>SUM(H380:H381)</f>
        <v>0</v>
      </c>
      <c r="I382" s="157">
        <f>SUM(I380:I381)</f>
        <v>1994278.85</v>
      </c>
      <c r="J382" s="9">
        <f>+I382-'ROR-Model'!I382</f>
        <v>0</v>
      </c>
      <c r="K382" s="9"/>
      <c r="L382" s="157"/>
      <c r="M382" s="157">
        <f>SUM(M380:M381)</f>
        <v>1922718.8614775999</v>
      </c>
      <c r="N382" s="157">
        <f>SUM(N380:N381)</f>
        <v>71559.988522400032</v>
      </c>
      <c r="O382" s="136"/>
      <c r="P382" s="216"/>
      <c r="Q382" s="157">
        <f>SUM(Q380:Q381)</f>
        <v>0</v>
      </c>
      <c r="R382" s="157">
        <f>SUM(R380:R381)</f>
        <v>1922718.8614775999</v>
      </c>
      <c r="S382" s="226"/>
      <c r="T382" s="157">
        <f>SUM(T380:T381)</f>
        <v>0</v>
      </c>
      <c r="U382" s="157">
        <f>SUM(U380:U381)</f>
        <v>71559.988522400032</v>
      </c>
      <c r="V382" s="140"/>
      <c r="W382" s="157">
        <f>HLOOKUP($W$9,'ROR-Model'!$Q$10:$U$1263,Y382)</f>
        <v>0</v>
      </c>
      <c r="X382" s="156"/>
      <c r="Y382" s="918">
        <f t="shared" si="20"/>
        <v>373</v>
      </c>
      <c r="AA382" s="157">
        <v>0</v>
      </c>
      <c r="AC382" s="157" t="str">
        <f t="shared" si="21"/>
        <v/>
      </c>
      <c r="AE382" s="44" t="str">
        <f t="shared" si="22"/>
        <v/>
      </c>
    </row>
    <row r="383" spans="1:31">
      <c r="A383" s="154"/>
      <c r="B383" s="49"/>
      <c r="C383" s="49"/>
      <c r="D383" s="49"/>
      <c r="E383" s="9"/>
      <c r="F383" s="9"/>
      <c r="G383" s="9"/>
      <c r="H383" s="9"/>
      <c r="I383" s="9"/>
      <c r="J383" s="9">
        <f>+I383-'ROR-Model'!I383</f>
        <v>0</v>
      </c>
      <c r="K383" s="9"/>
      <c r="L383" s="9"/>
      <c r="M383" s="9"/>
      <c r="N383" s="9"/>
      <c r="O383" s="136"/>
      <c r="P383" s="216"/>
      <c r="Q383" s="9"/>
      <c r="R383" s="9"/>
      <c r="S383" s="142"/>
      <c r="T383" s="9"/>
      <c r="U383" s="9"/>
      <c r="V383" s="140"/>
      <c r="W383" s="9"/>
      <c r="X383" s="156"/>
      <c r="Y383" s="918">
        <f t="shared" si="20"/>
        <v>374</v>
      </c>
      <c r="AA383" s="9"/>
      <c r="AC383" s="9" t="str">
        <f t="shared" si="21"/>
        <v/>
      </c>
      <c r="AE383" s="44" t="str">
        <f t="shared" si="22"/>
        <v/>
      </c>
    </row>
    <row r="384" spans="1:31">
      <c r="A384" s="154">
        <v>487</v>
      </c>
      <c r="B384" s="49" t="s">
        <v>163</v>
      </c>
      <c r="C384" s="49"/>
      <c r="D384" s="49"/>
      <c r="E384" s="9"/>
      <c r="F384" s="9"/>
      <c r="G384" s="9"/>
      <c r="H384" s="9"/>
      <c r="I384" s="9"/>
      <c r="J384" s="9">
        <f>+I384-'ROR-Model'!I384</f>
        <v>0</v>
      </c>
      <c r="K384" s="9"/>
      <c r="L384" s="9"/>
      <c r="M384" s="9"/>
      <c r="N384" s="9"/>
      <c r="O384" s="136"/>
      <c r="P384" s="216"/>
      <c r="Q384" s="9"/>
      <c r="R384" s="9"/>
      <c r="S384" s="142"/>
      <c r="T384" s="9"/>
      <c r="U384" s="9"/>
      <c r="V384" s="140"/>
      <c r="W384" s="9"/>
      <c r="X384" s="156"/>
      <c r="Y384" s="918">
        <f t="shared" si="20"/>
        <v>375</v>
      </c>
      <c r="AA384" s="9"/>
      <c r="AC384" s="9" t="str">
        <f t="shared" si="21"/>
        <v/>
      </c>
      <c r="AE384" s="44" t="str">
        <f t="shared" si="22"/>
        <v/>
      </c>
    </row>
    <row r="385" spans="1:31">
      <c r="A385" s="154"/>
      <c r="B385" s="49"/>
      <c r="C385" s="49" t="s">
        <v>13</v>
      </c>
      <c r="D385" s="49"/>
      <c r="E385" s="357" t="s">
        <v>549</v>
      </c>
      <c r="F385" s="357">
        <f>'Other Rev'!$H$20</f>
        <v>2002957.85</v>
      </c>
      <c r="G385" s="9">
        <f>+Adjustments!U385</f>
        <v>0</v>
      </c>
      <c r="H385" s="9"/>
      <c r="I385" s="9">
        <f>SUM($F$385:$H$385)</f>
        <v>2002957.85</v>
      </c>
      <c r="J385" s="9">
        <f>+I385-'ROR-Model'!I385</f>
        <v>0</v>
      </c>
      <c r="K385" s="9"/>
      <c r="L385" s="9" t="s">
        <v>13</v>
      </c>
      <c r="M385" s="9">
        <f>VLOOKUP($L385,$L$2:$N$7,2,FALSE)*I385</f>
        <v>2002957.85</v>
      </c>
      <c r="N385" s="9">
        <f>VLOOKUP($L385,$L$2:$N$7,3,FALSE)*I385</f>
        <v>0</v>
      </c>
      <c r="O385" s="136"/>
      <c r="P385" s="216" t="s">
        <v>549</v>
      </c>
      <c r="Q385" s="9">
        <f>IF(P385="G",M385,IF(P385="PT",0,ERR))</f>
        <v>2002957.85</v>
      </c>
      <c r="R385" s="9">
        <f>IF(P385="PT",M385,IF(P385="G",0,ERR))</f>
        <v>0</v>
      </c>
      <c r="S385" s="142" t="s">
        <v>549</v>
      </c>
      <c r="T385" s="9">
        <f>IF(S385="G",N385,IF(S385="PT",0,ERR))</f>
        <v>0</v>
      </c>
      <c r="U385" s="9">
        <f>IF(S385="PT",N385,IF(S385="G",0,ERR))</f>
        <v>0</v>
      </c>
      <c r="V385" s="140"/>
      <c r="W385" s="9">
        <f>HLOOKUP($W$9,'ROR-Model'!$Q$10:$U$1263,Y385)</f>
        <v>2002957.85</v>
      </c>
      <c r="X385" s="156"/>
      <c r="Y385" s="918">
        <f t="shared" si="20"/>
        <v>376</v>
      </c>
      <c r="AA385" s="9">
        <v>0</v>
      </c>
      <c r="AC385" s="9" t="str">
        <f t="shared" si="21"/>
        <v/>
      </c>
      <c r="AE385" s="44" t="str">
        <f t="shared" si="22"/>
        <v/>
      </c>
    </row>
    <row r="386" spans="1:31">
      <c r="A386" s="154"/>
      <c r="B386" s="49"/>
      <c r="C386" s="49" t="s">
        <v>24</v>
      </c>
      <c r="D386" s="49"/>
      <c r="E386" s="357" t="s">
        <v>549</v>
      </c>
      <c r="F386" s="357">
        <f>'Other Rev'!$H$21</f>
        <v>101544.61</v>
      </c>
      <c r="G386" s="9">
        <f>+Adjustments!U386</f>
        <v>0</v>
      </c>
      <c r="H386" s="9"/>
      <c r="I386" s="9">
        <f>SUM($F$386:$H$386)</f>
        <v>101544.61</v>
      </c>
      <c r="J386" s="9">
        <f>+I386-'ROR-Model'!I386</f>
        <v>0</v>
      </c>
      <c r="K386" s="9"/>
      <c r="L386" s="9" t="s">
        <v>24</v>
      </c>
      <c r="M386" s="9">
        <f>VLOOKUP($L386,$L$2:$N$7,2,FALSE)*I386</f>
        <v>0</v>
      </c>
      <c r="N386" s="9">
        <f>VLOOKUP($L386,$L$2:$N$7,3,FALSE)*I386</f>
        <v>101544.61</v>
      </c>
      <c r="O386" s="136"/>
      <c r="P386" s="216" t="s">
        <v>549</v>
      </c>
      <c r="Q386" s="9">
        <f>IF(P386="G",M386,IF(P386="PT",0,ERR))</f>
        <v>0</v>
      </c>
      <c r="R386" s="9">
        <f>IF(P386="PT",M386,IF(P386="G",0,ERR))</f>
        <v>0</v>
      </c>
      <c r="S386" s="142" t="s">
        <v>549</v>
      </c>
      <c r="T386" s="9">
        <f>IF(S386="G",N386,IF(S386="PT",0,ERR))</f>
        <v>101544.61</v>
      </c>
      <c r="U386" s="9">
        <f>IF(S386="PT",N386,IF(S386="G",0,ERR))</f>
        <v>0</v>
      </c>
      <c r="V386" s="140"/>
      <c r="W386" s="9">
        <f>HLOOKUP($W$9,'ROR-Model'!$Q$10:$U$1263,Y386)</f>
        <v>0</v>
      </c>
      <c r="X386" s="156"/>
      <c r="Y386" s="918">
        <f t="shared" si="20"/>
        <v>377</v>
      </c>
      <c r="AA386" s="9">
        <v>93422.829999999987</v>
      </c>
      <c r="AC386" s="9">
        <f t="shared" si="21"/>
        <v>-93422.829999999987</v>
      </c>
      <c r="AE386" s="44">
        <f t="shared" si="22"/>
        <v>-1</v>
      </c>
    </row>
    <row r="387" spans="1:31">
      <c r="A387" s="154"/>
      <c r="B387" s="49"/>
      <c r="C387" s="49" t="s">
        <v>160</v>
      </c>
      <c r="D387" s="49"/>
      <c r="E387" s="157"/>
      <c r="F387" s="157">
        <f>SUM(F385:F386)</f>
        <v>2104502.46</v>
      </c>
      <c r="G387" s="157">
        <f>SUM(G385:G386)</f>
        <v>0</v>
      </c>
      <c r="H387" s="157">
        <f>SUM(H385:H386)</f>
        <v>0</v>
      </c>
      <c r="I387" s="157">
        <f>SUM(I385:I386)</f>
        <v>2104502.46</v>
      </c>
      <c r="J387" s="9">
        <f>+I387-'ROR-Model'!I387</f>
        <v>0</v>
      </c>
      <c r="K387" s="9"/>
      <c r="L387" s="157"/>
      <c r="M387" s="157">
        <f>SUM(M385:M386)</f>
        <v>2002957.85</v>
      </c>
      <c r="N387" s="157">
        <f>SUM(N385:N386)</f>
        <v>101544.61</v>
      </c>
      <c r="O387" s="136"/>
      <c r="P387" s="216"/>
      <c r="Q387" s="157">
        <f>SUM(Q385:Q386)</f>
        <v>2002957.85</v>
      </c>
      <c r="R387" s="157">
        <f>SUM(R385:R386)</f>
        <v>0</v>
      </c>
      <c r="S387" s="226"/>
      <c r="T387" s="157">
        <f>SUM(T385:T386)</f>
        <v>101544.61</v>
      </c>
      <c r="U387" s="157">
        <f>SUM(U385:U386)</f>
        <v>0</v>
      </c>
      <c r="V387" s="140"/>
      <c r="W387" s="157">
        <f>HLOOKUP($W$9,'ROR-Model'!$Q$10:$U$1263,Y387)</f>
        <v>2002957.85</v>
      </c>
      <c r="X387" s="156"/>
      <c r="Y387" s="918">
        <f t="shared" si="20"/>
        <v>378</v>
      </c>
      <c r="AA387" s="157">
        <v>93422.829999999987</v>
      </c>
      <c r="AC387" s="157">
        <f t="shared" si="21"/>
        <v>1909535.02</v>
      </c>
      <c r="AE387" s="44">
        <f t="shared" si="22"/>
        <v>20.439704299259617</v>
      </c>
    </row>
    <row r="388" spans="1:31">
      <c r="A388" s="154"/>
      <c r="B388" s="49"/>
      <c r="C388" s="49"/>
      <c r="D388" s="49"/>
      <c r="E388" s="9"/>
      <c r="F388" s="9"/>
      <c r="G388" s="9"/>
      <c r="H388" s="9"/>
      <c r="I388" s="9"/>
      <c r="J388" s="9">
        <f>+I388-'ROR-Model'!I388</f>
        <v>0</v>
      </c>
      <c r="K388" s="9"/>
      <c r="L388" s="9"/>
      <c r="M388" s="9"/>
      <c r="N388" s="9"/>
      <c r="O388" s="136"/>
      <c r="P388" s="216"/>
      <c r="Q388" s="9"/>
      <c r="R388" s="9"/>
      <c r="S388" s="142"/>
      <c r="T388" s="9"/>
      <c r="U388" s="9"/>
      <c r="V388" s="140"/>
      <c r="W388" s="9"/>
      <c r="X388" s="156"/>
      <c r="Y388" s="918">
        <f t="shared" si="20"/>
        <v>379</v>
      </c>
      <c r="AA388" s="9"/>
      <c r="AC388" s="9" t="str">
        <f t="shared" si="21"/>
        <v/>
      </c>
      <c r="AE388" s="44" t="str">
        <f t="shared" si="22"/>
        <v/>
      </c>
    </row>
    <row r="389" spans="1:31">
      <c r="A389" s="154">
        <v>4860</v>
      </c>
      <c r="B389" s="49" t="s">
        <v>300</v>
      </c>
      <c r="C389" s="49"/>
      <c r="D389" s="49"/>
      <c r="E389" s="9"/>
      <c r="F389" s="9"/>
      <c r="G389" s="9"/>
      <c r="H389" s="9"/>
      <c r="I389" s="9"/>
      <c r="J389" s="9">
        <f>+I389-'ROR-Model'!I389</f>
        <v>0</v>
      </c>
      <c r="K389" s="9"/>
      <c r="L389" s="9"/>
      <c r="M389" s="9"/>
      <c r="N389" s="9"/>
      <c r="O389" s="136"/>
      <c r="P389" s="216"/>
      <c r="Q389" s="9"/>
      <c r="R389" s="9"/>
      <c r="S389" s="142"/>
      <c r="T389" s="9"/>
      <c r="U389" s="9"/>
      <c r="V389" s="140"/>
      <c r="W389" s="9"/>
      <c r="X389" s="156"/>
      <c r="Y389" s="918">
        <f t="shared" si="20"/>
        <v>380</v>
      </c>
      <c r="AA389" s="9"/>
      <c r="AC389" s="9" t="str">
        <f t="shared" si="21"/>
        <v/>
      </c>
      <c r="AE389" s="44" t="str">
        <f t="shared" si="22"/>
        <v/>
      </c>
    </row>
    <row r="390" spans="1:31">
      <c r="A390" s="154"/>
      <c r="B390" s="49"/>
      <c r="C390" s="49" t="s">
        <v>13</v>
      </c>
      <c r="D390" s="49"/>
      <c r="E390" s="357" t="s">
        <v>549</v>
      </c>
      <c r="F390" s="357">
        <f>'Other Rev'!$H$25</f>
        <v>0</v>
      </c>
      <c r="G390" s="9">
        <f>+Adjustments!U390</f>
        <v>0</v>
      </c>
      <c r="H390" s="9"/>
      <c r="I390" s="9">
        <f>SUM($F$390:$H$390)</f>
        <v>0</v>
      </c>
      <c r="J390" s="9">
        <f>+I390-'ROR-Model'!I390</f>
        <v>0</v>
      </c>
      <c r="K390" s="9"/>
      <c r="L390" s="9" t="s">
        <v>13</v>
      </c>
      <c r="M390" s="9">
        <f>VLOOKUP($L390,$L$2:$N$7,2,FALSE)*I390</f>
        <v>0</v>
      </c>
      <c r="N390" s="9">
        <f>VLOOKUP($L390,$L$2:$N$7,3,FALSE)*I390</f>
        <v>0</v>
      </c>
      <c r="O390" s="136"/>
      <c r="P390" s="216" t="s">
        <v>549</v>
      </c>
      <c r="Q390" s="9">
        <f>IF(P390="G",M390,IF(P390="PT",0,ERR))</f>
        <v>0</v>
      </c>
      <c r="R390" s="9">
        <f>IF(P390="PT",M390,IF(P390="G",0,ERR))</f>
        <v>0</v>
      </c>
      <c r="S390" s="142" t="s">
        <v>549</v>
      </c>
      <c r="T390" s="9">
        <f>IF(S390="G",N390,IF(S390="PT",0,ERR))</f>
        <v>0</v>
      </c>
      <c r="U390" s="9">
        <f>IF(S390="PT",N390,IF(S390="G",0,ERR))</f>
        <v>0</v>
      </c>
      <c r="V390" s="140"/>
      <c r="W390" s="9">
        <f>HLOOKUP($W$9,'ROR-Model'!$Q$10:$U$1263,Y390)</f>
        <v>0</v>
      </c>
      <c r="X390" s="156"/>
      <c r="Y390" s="918">
        <f t="shared" si="20"/>
        <v>381</v>
      </c>
      <c r="AA390" s="9">
        <v>0</v>
      </c>
      <c r="AC390" s="9" t="str">
        <f t="shared" si="21"/>
        <v/>
      </c>
      <c r="AE390" s="44" t="str">
        <f t="shared" si="22"/>
        <v/>
      </c>
    </row>
    <row r="391" spans="1:31">
      <c r="A391" s="154"/>
      <c r="B391" s="49"/>
      <c r="C391" s="49" t="s">
        <v>24</v>
      </c>
      <c r="D391" s="49"/>
      <c r="E391" s="357" t="s">
        <v>549</v>
      </c>
      <c r="F391" s="357">
        <f>'Other Rev'!$H$26</f>
        <v>0</v>
      </c>
      <c r="G391" s="9">
        <f>+Adjustments!U391</f>
        <v>0</v>
      </c>
      <c r="H391" s="9"/>
      <c r="I391" s="9">
        <f>SUM($F$391:$H$391)</f>
        <v>0</v>
      </c>
      <c r="J391" s="9">
        <f>+I391-'ROR-Model'!I391</f>
        <v>0</v>
      </c>
      <c r="K391" s="9"/>
      <c r="L391" s="9" t="s">
        <v>24</v>
      </c>
      <c r="M391" s="9">
        <f>VLOOKUP($L391,$L$2:$N$7,2,FALSE)*I391</f>
        <v>0</v>
      </c>
      <c r="N391" s="9">
        <f>VLOOKUP($L391,$L$2:$N$7,3,FALSE)*I391</f>
        <v>0</v>
      </c>
      <c r="O391" s="136"/>
      <c r="P391" s="216" t="s">
        <v>549</v>
      </c>
      <c r="Q391" s="9">
        <f>IF(P391="G",M391,IF(P391="PT",0,ERR))</f>
        <v>0</v>
      </c>
      <c r="R391" s="9">
        <f>IF(P391="PT",M391,IF(P391="G",0,ERR))</f>
        <v>0</v>
      </c>
      <c r="S391" s="142" t="s">
        <v>549</v>
      </c>
      <c r="T391" s="9">
        <f>IF(S391="G",N391,IF(S391="PT",0,ERR))</f>
        <v>0</v>
      </c>
      <c r="U391" s="9">
        <f>IF(S391="PT",N391,IF(S391="G",0,ERR))</f>
        <v>0</v>
      </c>
      <c r="V391" s="140"/>
      <c r="W391" s="9">
        <f>HLOOKUP($W$9,'ROR-Model'!$Q$10:$U$1263,Y391)</f>
        <v>0</v>
      </c>
      <c r="X391" s="156"/>
      <c r="Y391" s="918">
        <f t="shared" si="20"/>
        <v>382</v>
      </c>
      <c r="AA391" s="9">
        <v>0</v>
      </c>
      <c r="AC391" s="9" t="str">
        <f t="shared" si="21"/>
        <v/>
      </c>
      <c r="AE391" s="44" t="str">
        <f t="shared" si="22"/>
        <v/>
      </c>
    </row>
    <row r="392" spans="1:31">
      <c r="A392" s="154"/>
      <c r="B392" s="49"/>
      <c r="C392" s="49" t="s">
        <v>160</v>
      </c>
      <c r="D392" s="49"/>
      <c r="E392" s="157"/>
      <c r="F392" s="157">
        <f>SUM(F390:F391)</f>
        <v>0</v>
      </c>
      <c r="G392" s="157">
        <f>SUM(G390:G391)</f>
        <v>0</v>
      </c>
      <c r="H392" s="157">
        <f>SUM(H390:H391)</f>
        <v>0</v>
      </c>
      <c r="I392" s="157">
        <f>SUM(I390:I391)</f>
        <v>0</v>
      </c>
      <c r="J392" s="9">
        <f>+I392-'ROR-Model'!I392</f>
        <v>0</v>
      </c>
      <c r="K392" s="9"/>
      <c r="L392" s="157"/>
      <c r="M392" s="157">
        <f>SUM(M390:M391)</f>
        <v>0</v>
      </c>
      <c r="N392" s="157">
        <f>SUM(N390:N391)</f>
        <v>0</v>
      </c>
      <c r="O392" s="136"/>
      <c r="P392" s="216"/>
      <c r="Q392" s="157">
        <f>SUM(Q390:Q391)</f>
        <v>0</v>
      </c>
      <c r="R392" s="157">
        <f>SUM(R390:R391)</f>
        <v>0</v>
      </c>
      <c r="S392" s="226"/>
      <c r="T392" s="157">
        <f>SUM(T390:T391)</f>
        <v>0</v>
      </c>
      <c r="U392" s="157">
        <f>SUM(U390:U391)</f>
        <v>0</v>
      </c>
      <c r="V392" s="140"/>
      <c r="W392" s="157">
        <f>HLOOKUP($W$9,'ROR-Model'!$Q$10:$U$1263,Y392)</f>
        <v>0</v>
      </c>
      <c r="X392" s="156"/>
      <c r="Y392" s="918">
        <f t="shared" si="20"/>
        <v>383</v>
      </c>
      <c r="AA392" s="157">
        <v>0</v>
      </c>
      <c r="AC392" s="157" t="str">
        <f t="shared" si="21"/>
        <v/>
      </c>
      <c r="AE392" s="44" t="str">
        <f t="shared" si="22"/>
        <v/>
      </c>
    </row>
    <row r="393" spans="1:31">
      <c r="A393" s="154"/>
      <c r="B393" s="49"/>
      <c r="C393" s="49"/>
      <c r="D393" s="49"/>
      <c r="E393" s="9"/>
      <c r="F393" s="9"/>
      <c r="G393" s="9"/>
      <c r="H393" s="9"/>
      <c r="I393" s="9"/>
      <c r="J393" s="9">
        <f>+I393-'ROR-Model'!I393</f>
        <v>0</v>
      </c>
      <c r="K393" s="9"/>
      <c r="L393" s="9"/>
      <c r="M393" s="9"/>
      <c r="N393" s="9"/>
      <c r="O393" s="136"/>
      <c r="P393" s="216"/>
      <c r="Q393" s="9"/>
      <c r="R393" s="9"/>
      <c r="S393" s="142"/>
      <c r="T393" s="9"/>
      <c r="U393" s="9"/>
      <c r="V393" s="140"/>
      <c r="W393" s="9"/>
      <c r="X393" s="156"/>
      <c r="Y393" s="918">
        <f t="shared" si="20"/>
        <v>384</v>
      </c>
      <c r="AA393" s="9"/>
      <c r="AC393" s="9" t="str">
        <f t="shared" si="21"/>
        <v/>
      </c>
      <c r="AE393" s="44" t="str">
        <f t="shared" si="22"/>
        <v/>
      </c>
    </row>
    <row r="394" spans="1:31">
      <c r="A394" s="154">
        <v>4861</v>
      </c>
      <c r="B394" s="49" t="s">
        <v>301</v>
      </c>
      <c r="C394" s="49"/>
      <c r="D394" s="49"/>
      <c r="E394" s="9"/>
      <c r="F394" s="9"/>
      <c r="G394" s="9"/>
      <c r="H394" s="9"/>
      <c r="I394" s="9"/>
      <c r="J394" s="9">
        <f>+I394-'ROR-Model'!I394</f>
        <v>0</v>
      </c>
      <c r="K394" s="9"/>
      <c r="L394" s="9"/>
      <c r="M394" s="9"/>
      <c r="N394" s="9"/>
      <c r="O394" s="136"/>
      <c r="P394" s="216"/>
      <c r="Q394" s="9"/>
      <c r="R394" s="9"/>
      <c r="S394" s="142"/>
      <c r="T394" s="9"/>
      <c r="U394" s="9"/>
      <c r="V394" s="140"/>
      <c r="W394" s="9"/>
      <c r="X394" s="156"/>
      <c r="Y394" s="918">
        <f t="shared" si="20"/>
        <v>385</v>
      </c>
      <c r="AA394" s="9"/>
      <c r="AC394" s="9" t="str">
        <f t="shared" si="21"/>
        <v/>
      </c>
      <c r="AE394" s="44" t="str">
        <f t="shared" si="22"/>
        <v/>
      </c>
    </row>
    <row r="395" spans="1:31">
      <c r="A395" s="154"/>
      <c r="B395" s="49"/>
      <c r="C395" s="49" t="s">
        <v>13</v>
      </c>
      <c r="D395" s="49"/>
      <c r="E395" s="357" t="s">
        <v>549</v>
      </c>
      <c r="F395" s="357">
        <f>'Other Rev'!$H$30</f>
        <v>2201.5</v>
      </c>
      <c r="G395" s="9">
        <f>+Adjustments!U395</f>
        <v>0</v>
      </c>
      <c r="H395" s="9"/>
      <c r="I395" s="9">
        <f>SUM($F$395:$H$395)</f>
        <v>2201.5</v>
      </c>
      <c r="J395" s="9">
        <f>+I395-'ROR-Model'!I395</f>
        <v>0</v>
      </c>
      <c r="K395" s="9"/>
      <c r="L395" s="9" t="s">
        <v>13</v>
      </c>
      <c r="M395" s="9">
        <f>VLOOKUP($L395,$L$2:$N$7,2,FALSE)*I395</f>
        <v>2201.5</v>
      </c>
      <c r="N395" s="9">
        <f>VLOOKUP($L395,$L$2:$N$7,3,FALSE)*I395</f>
        <v>0</v>
      </c>
      <c r="O395" s="136"/>
      <c r="P395" s="216" t="s">
        <v>549</v>
      </c>
      <c r="Q395" s="9">
        <f>IF(P395="G",M395,IF(P395="PT",0,ERR))</f>
        <v>2201.5</v>
      </c>
      <c r="R395" s="9">
        <f>IF(P395="PT",M395,IF(P395="G",0,ERR))</f>
        <v>0</v>
      </c>
      <c r="S395" s="142" t="s">
        <v>549</v>
      </c>
      <c r="T395" s="9">
        <f>IF(S395="G",N395,IF(S395="PT",0,ERR))</f>
        <v>0</v>
      </c>
      <c r="U395" s="9">
        <f>IF(S395="PT",N395,IF(S395="G",0,ERR))</f>
        <v>0</v>
      </c>
      <c r="V395" s="140"/>
      <c r="W395" s="9">
        <f>HLOOKUP($W$9,'ROR-Model'!$Q$10:$U$1263,Y395)</f>
        <v>2201.5</v>
      </c>
      <c r="X395" s="156"/>
      <c r="Y395" s="918">
        <f t="shared" si="20"/>
        <v>386</v>
      </c>
      <c r="AA395" s="9">
        <v>0</v>
      </c>
      <c r="AC395" s="9" t="str">
        <f t="shared" si="21"/>
        <v/>
      </c>
      <c r="AE395" s="44" t="str">
        <f t="shared" si="22"/>
        <v/>
      </c>
    </row>
    <row r="396" spans="1:31">
      <c r="A396" s="154"/>
      <c r="B396" s="49"/>
      <c r="C396" s="49" t="s">
        <v>24</v>
      </c>
      <c r="D396" s="49"/>
      <c r="E396" s="357" t="s">
        <v>549</v>
      </c>
      <c r="F396" s="357">
        <f>'Other Rev'!$H$31</f>
        <v>823.5</v>
      </c>
      <c r="G396" s="9">
        <f>+Adjustments!U396</f>
        <v>0</v>
      </c>
      <c r="H396" s="9"/>
      <c r="I396" s="9">
        <f>SUM($F$396:$H$396)</f>
        <v>823.5</v>
      </c>
      <c r="J396" s="9">
        <f>+I396-'ROR-Model'!I396</f>
        <v>0</v>
      </c>
      <c r="K396" s="9"/>
      <c r="L396" s="9" t="s">
        <v>24</v>
      </c>
      <c r="M396" s="9">
        <f>VLOOKUP($L396,$L$2:$N$7,2,FALSE)*I396</f>
        <v>0</v>
      </c>
      <c r="N396" s="9">
        <f>VLOOKUP($L396,$L$2:$N$7,3,FALSE)*I396</f>
        <v>823.5</v>
      </c>
      <c r="O396" s="136"/>
      <c r="P396" s="216" t="s">
        <v>549</v>
      </c>
      <c r="Q396" s="9">
        <f>IF(P396="G",M396,IF(P396="PT",0,ERR))</f>
        <v>0</v>
      </c>
      <c r="R396" s="9">
        <f>IF(P396="PT",M396,IF(P396="G",0,ERR))</f>
        <v>0</v>
      </c>
      <c r="S396" s="142" t="s">
        <v>549</v>
      </c>
      <c r="T396" s="9">
        <f>IF(S396="G",N396,IF(S396="PT",0,ERR))</f>
        <v>823.5</v>
      </c>
      <c r="U396" s="9">
        <f>IF(S396="PT",N396,IF(S396="G",0,ERR))</f>
        <v>0</v>
      </c>
      <c r="V396" s="140"/>
      <c r="W396" s="9">
        <f>HLOOKUP($W$9,'ROR-Model'!$Q$10:$U$1263,Y396)</f>
        <v>0</v>
      </c>
      <c r="X396" s="156"/>
      <c r="Y396" s="918">
        <f t="shared" si="20"/>
        <v>387</v>
      </c>
      <c r="AA396" s="9">
        <v>0</v>
      </c>
      <c r="AC396" s="9" t="str">
        <f t="shared" si="21"/>
        <v/>
      </c>
      <c r="AE396" s="44" t="str">
        <f t="shared" si="22"/>
        <v/>
      </c>
    </row>
    <row r="397" spans="1:31">
      <c r="A397" s="154"/>
      <c r="B397" s="49"/>
      <c r="C397" s="49" t="s">
        <v>160</v>
      </c>
      <c r="D397" s="49"/>
      <c r="E397" s="157"/>
      <c r="F397" s="157">
        <f>SUM(F395:F396)</f>
        <v>3025</v>
      </c>
      <c r="G397" s="157">
        <f>SUM(G395:G396)</f>
        <v>0</v>
      </c>
      <c r="H397" s="157">
        <f>SUM(H395:H396)</f>
        <v>0</v>
      </c>
      <c r="I397" s="157">
        <f>SUM(I395:I396)</f>
        <v>3025</v>
      </c>
      <c r="J397" s="9">
        <f>+I397-'ROR-Model'!I397</f>
        <v>0</v>
      </c>
      <c r="K397" s="9"/>
      <c r="L397" s="157"/>
      <c r="M397" s="157">
        <f>SUM(M395:M396)</f>
        <v>2201.5</v>
      </c>
      <c r="N397" s="157">
        <f>SUM(N395:N396)</f>
        <v>823.5</v>
      </c>
      <c r="O397" s="136"/>
      <c r="P397" s="216"/>
      <c r="Q397" s="157">
        <f>SUM(Q395:Q396)</f>
        <v>2201.5</v>
      </c>
      <c r="R397" s="157">
        <f>SUM(R395:R396)</f>
        <v>0</v>
      </c>
      <c r="S397" s="226"/>
      <c r="T397" s="157">
        <f>SUM(T395:T396)</f>
        <v>823.5</v>
      </c>
      <c r="U397" s="157">
        <f>SUM(U395:U396)</f>
        <v>0</v>
      </c>
      <c r="V397" s="140"/>
      <c r="W397" s="157">
        <f>HLOOKUP($W$9,'ROR-Model'!$Q$10:$U$1263,Y397)</f>
        <v>2201.5</v>
      </c>
      <c r="X397" s="156"/>
      <c r="Y397" s="918">
        <f t="shared" si="20"/>
        <v>388</v>
      </c>
      <c r="AA397" s="157">
        <v>0</v>
      </c>
      <c r="AC397" s="157" t="str">
        <f t="shared" si="21"/>
        <v/>
      </c>
      <c r="AE397" s="44" t="str">
        <f t="shared" si="22"/>
        <v/>
      </c>
    </row>
    <row r="398" spans="1:31">
      <c r="A398" s="154"/>
      <c r="B398" s="49"/>
      <c r="C398" s="49"/>
      <c r="D398" s="49"/>
      <c r="E398" s="9"/>
      <c r="F398" s="9"/>
      <c r="G398" s="9"/>
      <c r="H398" s="9"/>
      <c r="I398" s="9"/>
      <c r="J398" s="9">
        <f>+I398-'ROR-Model'!I398</f>
        <v>0</v>
      </c>
      <c r="K398" s="9"/>
      <c r="L398" s="9"/>
      <c r="M398" s="9"/>
      <c r="N398" s="9"/>
      <c r="O398" s="136"/>
      <c r="P398" s="216"/>
      <c r="Q398" s="9"/>
      <c r="R398" s="9"/>
      <c r="S398" s="142"/>
      <c r="T398" s="9"/>
      <c r="U398" s="9"/>
      <c r="V398" s="140"/>
      <c r="W398" s="9"/>
      <c r="X398" s="156"/>
      <c r="Y398" s="918">
        <f t="shared" ref="Y398:Y461" si="27">Y397+1</f>
        <v>389</v>
      </c>
      <c r="AA398" s="9"/>
      <c r="AC398" s="9" t="str">
        <f t="shared" si="21"/>
        <v/>
      </c>
      <c r="AE398" s="44" t="str">
        <f t="shared" si="22"/>
        <v/>
      </c>
    </row>
    <row r="399" spans="1:31">
      <c r="A399" s="154">
        <v>4862</v>
      </c>
      <c r="B399" s="49" t="s">
        <v>302</v>
      </c>
      <c r="C399" s="49"/>
      <c r="D399" s="49"/>
      <c r="E399" s="9"/>
      <c r="F399" s="9"/>
      <c r="G399" s="9"/>
      <c r="H399" s="9"/>
      <c r="I399" s="9"/>
      <c r="J399" s="9">
        <f>+I399-'ROR-Model'!I399</f>
        <v>0</v>
      </c>
      <c r="K399" s="9"/>
      <c r="L399" s="9"/>
      <c r="M399" s="9"/>
      <c r="N399" s="9"/>
      <c r="O399" s="136"/>
      <c r="P399" s="216"/>
      <c r="Q399" s="9"/>
      <c r="R399" s="9"/>
      <c r="S399" s="142"/>
      <c r="T399" s="9"/>
      <c r="U399" s="9"/>
      <c r="V399" s="140"/>
      <c r="W399" s="9"/>
      <c r="X399" s="156"/>
      <c r="Y399" s="918">
        <f t="shared" si="27"/>
        <v>390</v>
      </c>
      <c r="AA399" s="9"/>
      <c r="AC399" s="9" t="str">
        <f t="shared" si="21"/>
        <v/>
      </c>
      <c r="AE399" s="44" t="str">
        <f t="shared" si="22"/>
        <v/>
      </c>
    </row>
    <row r="400" spans="1:31">
      <c r="A400" s="154"/>
      <c r="B400" s="49"/>
      <c r="C400" s="49" t="s">
        <v>13</v>
      </c>
      <c r="D400" s="49"/>
      <c r="E400" s="357" t="s">
        <v>549</v>
      </c>
      <c r="F400" s="357">
        <f>'Other Rev'!$H$35</f>
        <v>72082.070000000007</v>
      </c>
      <c r="G400" s="9">
        <f>+Adjustments!U400</f>
        <v>0</v>
      </c>
      <c r="H400" s="9"/>
      <c r="I400" s="9">
        <f>SUM($F$400:$H$400)</f>
        <v>72082.070000000007</v>
      </c>
      <c r="J400" s="9">
        <f>+I400-'ROR-Model'!I400</f>
        <v>0</v>
      </c>
      <c r="K400" s="9"/>
      <c r="L400" s="9" t="s">
        <v>13</v>
      </c>
      <c r="M400" s="9">
        <f>VLOOKUP($L400,$L$2:$N$7,2,FALSE)*I400</f>
        <v>72082.070000000007</v>
      </c>
      <c r="N400" s="9">
        <f>VLOOKUP($L400,$L$2:$N$7,3,FALSE)*I400</f>
        <v>0</v>
      </c>
      <c r="O400" s="136"/>
      <c r="P400" s="216" t="s">
        <v>549</v>
      </c>
      <c r="Q400" s="9">
        <f>IF(P400="G",M400,IF(P400="PT",0,ERR))</f>
        <v>72082.070000000007</v>
      </c>
      <c r="R400" s="9">
        <f>IF(P400="PT",M400,IF(P400="G",0,ERR))</f>
        <v>0</v>
      </c>
      <c r="S400" s="142" t="s">
        <v>549</v>
      </c>
      <c r="T400" s="9">
        <f>IF(S400="G",N400,IF(S400="PT",0,ERR))</f>
        <v>0</v>
      </c>
      <c r="U400" s="9">
        <f>IF(S400="PT",N400,IF(S400="G",0,ERR))</f>
        <v>0</v>
      </c>
      <c r="V400" s="140"/>
      <c r="W400" s="9">
        <f>HLOOKUP($W$9,'ROR-Model'!$Q$10:$U$1263,Y400)</f>
        <v>72082.070000000007</v>
      </c>
      <c r="X400" s="156"/>
      <c r="Y400" s="918">
        <f t="shared" si="27"/>
        <v>391</v>
      </c>
      <c r="AA400" s="9">
        <v>0</v>
      </c>
      <c r="AC400" s="9" t="str">
        <f t="shared" si="21"/>
        <v/>
      </c>
      <c r="AE400" s="44" t="str">
        <f t="shared" si="22"/>
        <v/>
      </c>
    </row>
    <row r="401" spans="1:31">
      <c r="A401" s="154"/>
      <c r="B401" s="49"/>
      <c r="C401" s="49" t="s">
        <v>24</v>
      </c>
      <c r="D401" s="49"/>
      <c r="E401" s="357" t="s">
        <v>549</v>
      </c>
      <c r="F401" s="357">
        <f>'Other Rev'!$H$36</f>
        <v>957</v>
      </c>
      <c r="G401" s="9">
        <f>+Adjustments!U401</f>
        <v>0</v>
      </c>
      <c r="H401" s="9"/>
      <c r="I401" s="9">
        <f>SUM($F$401:$H$401)</f>
        <v>957</v>
      </c>
      <c r="J401" s="9">
        <f>+I401-'ROR-Model'!I401</f>
        <v>0</v>
      </c>
      <c r="K401" s="9"/>
      <c r="L401" s="9" t="s">
        <v>24</v>
      </c>
      <c r="M401" s="9">
        <f>VLOOKUP($L401,$L$2:$N$7,2,FALSE)*I401</f>
        <v>0</v>
      </c>
      <c r="N401" s="9">
        <f>VLOOKUP($L401,$L$2:$N$7,3,FALSE)*I401</f>
        <v>957</v>
      </c>
      <c r="O401" s="136"/>
      <c r="P401" s="216" t="s">
        <v>549</v>
      </c>
      <c r="Q401" s="9">
        <f>IF(P401="G",M401,IF(P401="PT",0,ERR))</f>
        <v>0</v>
      </c>
      <c r="R401" s="9">
        <f>IF(P401="PT",M401,IF(P401="G",0,ERR))</f>
        <v>0</v>
      </c>
      <c r="S401" s="142" t="s">
        <v>549</v>
      </c>
      <c r="T401" s="9">
        <f>IF(S401="G",N401,IF(S401="PT",0,ERR))</f>
        <v>957</v>
      </c>
      <c r="U401" s="9">
        <f>IF(S401="PT",N401,IF(S401="G",0,ERR))</f>
        <v>0</v>
      </c>
      <c r="V401" s="140"/>
      <c r="W401" s="9">
        <f>HLOOKUP($W$9,'ROR-Model'!$Q$10:$U$1263,Y401)</f>
        <v>0</v>
      </c>
      <c r="X401" s="156"/>
      <c r="Y401" s="918">
        <f t="shared" si="27"/>
        <v>392</v>
      </c>
      <c r="AA401" s="9">
        <v>0</v>
      </c>
      <c r="AC401" s="9" t="str">
        <f t="shared" ref="AC401:AC464" si="28">IF(ABS(AA401)&gt;0,W401-AA401,"")</f>
        <v/>
      </c>
      <c r="AE401" s="44" t="str">
        <f t="shared" si="22"/>
        <v/>
      </c>
    </row>
    <row r="402" spans="1:31">
      <c r="A402" s="154"/>
      <c r="B402" s="49"/>
      <c r="C402" s="49" t="s">
        <v>160</v>
      </c>
      <c r="D402" s="49"/>
      <c r="E402" s="157"/>
      <c r="F402" s="157">
        <f>SUM(F400:F401)</f>
        <v>73039.070000000007</v>
      </c>
      <c r="G402" s="157">
        <f>SUM(G400:G401)</f>
        <v>0</v>
      </c>
      <c r="H402" s="157">
        <f>SUM(H400:H401)</f>
        <v>0</v>
      </c>
      <c r="I402" s="157">
        <f>SUM(I400:I401)</f>
        <v>73039.070000000007</v>
      </c>
      <c r="J402" s="9">
        <f>+I402-'ROR-Model'!I402</f>
        <v>0</v>
      </c>
      <c r="K402" s="9"/>
      <c r="L402" s="157"/>
      <c r="M402" s="157">
        <f>SUM(M400:M401)</f>
        <v>72082.070000000007</v>
      </c>
      <c r="N402" s="157">
        <f>SUM(N400:N401)</f>
        <v>957</v>
      </c>
      <c r="O402" s="136"/>
      <c r="P402" s="216"/>
      <c r="Q402" s="157">
        <f>SUM(Q400:Q401)</f>
        <v>72082.070000000007</v>
      </c>
      <c r="R402" s="157">
        <f>SUM(R400:R401)</f>
        <v>0</v>
      </c>
      <c r="S402" s="226"/>
      <c r="T402" s="157">
        <f>SUM(T400:T401)</f>
        <v>957</v>
      </c>
      <c r="U402" s="157">
        <f>SUM(U400:U401)</f>
        <v>0</v>
      </c>
      <c r="V402" s="140"/>
      <c r="W402" s="157">
        <f>HLOOKUP($W$9,'ROR-Model'!$Q$10:$U$1263,Y402)</f>
        <v>72082.070000000007</v>
      </c>
      <c r="X402" s="156"/>
      <c r="Y402" s="918">
        <f t="shared" si="27"/>
        <v>393</v>
      </c>
      <c r="AA402" s="157">
        <v>0</v>
      </c>
      <c r="AC402" s="157" t="str">
        <f t="shared" si="28"/>
        <v/>
      </c>
      <c r="AE402" s="44" t="str">
        <f t="shared" ref="AE402:AE465" si="29">IF(ABS(AA402)&gt;0,AC402/AA402,"")</f>
        <v/>
      </c>
    </row>
    <row r="403" spans="1:31">
      <c r="A403" s="154"/>
      <c r="B403" s="49"/>
      <c r="C403" s="49"/>
      <c r="D403" s="49"/>
      <c r="E403" s="9"/>
      <c r="F403" s="9"/>
      <c r="G403" s="9"/>
      <c r="H403" s="9"/>
      <c r="I403" s="9"/>
      <c r="J403" s="9">
        <f>+I403-'ROR-Model'!I403</f>
        <v>0</v>
      </c>
      <c r="K403" s="9"/>
      <c r="L403" s="9"/>
      <c r="M403" s="9"/>
      <c r="N403" s="9"/>
      <c r="O403" s="136"/>
      <c r="P403" s="216"/>
      <c r="Q403" s="9"/>
      <c r="R403" s="9"/>
      <c r="S403" s="142"/>
      <c r="T403" s="9"/>
      <c r="U403" s="9"/>
      <c r="V403" s="140"/>
      <c r="W403" s="9"/>
      <c r="X403" s="156"/>
      <c r="Y403" s="918">
        <f t="shared" si="27"/>
        <v>394</v>
      </c>
      <c r="AA403" s="9"/>
      <c r="AC403" s="9" t="str">
        <f t="shared" si="28"/>
        <v/>
      </c>
      <c r="AE403" s="44" t="str">
        <f t="shared" si="29"/>
        <v/>
      </c>
    </row>
    <row r="404" spans="1:31">
      <c r="A404" s="195" t="s">
        <v>395</v>
      </c>
      <c r="B404" s="52" t="s">
        <v>303</v>
      </c>
      <c r="C404" s="52"/>
      <c r="D404" s="52"/>
      <c r="E404" s="9"/>
      <c r="F404" s="9"/>
      <c r="G404" s="9"/>
      <c r="H404" s="9"/>
      <c r="I404" s="9"/>
      <c r="J404" s="9">
        <f>+I404-'ROR-Model'!I404</f>
        <v>0</v>
      </c>
      <c r="K404" s="9"/>
      <c r="L404" s="9"/>
      <c r="M404" s="9"/>
      <c r="N404" s="9"/>
      <c r="O404" s="136"/>
      <c r="P404" s="216"/>
      <c r="Q404" s="9"/>
      <c r="R404" s="9"/>
      <c r="S404" s="142"/>
      <c r="T404" s="9"/>
      <c r="U404" s="9"/>
      <c r="V404" s="140"/>
      <c r="W404" s="9"/>
      <c r="X404" s="156"/>
      <c r="Y404" s="918">
        <f t="shared" si="27"/>
        <v>395</v>
      </c>
      <c r="AA404" s="9"/>
      <c r="AC404" s="9" t="str">
        <f t="shared" si="28"/>
        <v/>
      </c>
      <c r="AE404" s="44" t="str">
        <f t="shared" si="29"/>
        <v/>
      </c>
    </row>
    <row r="405" spans="1:31">
      <c r="A405" s="195"/>
      <c r="B405" s="52"/>
      <c r="C405" s="52" t="s">
        <v>13</v>
      </c>
      <c r="D405" s="52"/>
      <c r="E405" s="357" t="s">
        <v>549</v>
      </c>
      <c r="F405" s="357">
        <f>'Other Rev'!$H$40</f>
        <v>2374708</v>
      </c>
      <c r="G405" s="9">
        <f>+Adjustments!U405</f>
        <v>0</v>
      </c>
      <c r="H405" s="9"/>
      <c r="I405" s="9">
        <f>SUM($F$405:$H$405)</f>
        <v>2374708</v>
      </c>
      <c r="J405" s="9">
        <f>+I405-'ROR-Model'!I405</f>
        <v>0</v>
      </c>
      <c r="K405" s="9"/>
      <c r="L405" s="9" t="s">
        <v>13</v>
      </c>
      <c r="M405" s="9">
        <f>VLOOKUP($L405,$L$2:$N$7,2,FALSE)*I405</f>
        <v>2374708</v>
      </c>
      <c r="N405" s="9">
        <f>VLOOKUP($L405,$L$2:$N$7,3,FALSE)*I405</f>
        <v>0</v>
      </c>
      <c r="O405" s="136"/>
      <c r="P405" s="216" t="s">
        <v>549</v>
      </c>
      <c r="Q405" s="9">
        <f>IF(P405="G",M405,IF(P405="PT",0,ERR))</f>
        <v>2374708</v>
      </c>
      <c r="R405" s="9">
        <f>IF(P405="PT",M405,IF(P405="G",0,ERR))</f>
        <v>0</v>
      </c>
      <c r="S405" s="142" t="s">
        <v>549</v>
      </c>
      <c r="T405" s="9">
        <f>IF(S405="G",N405,IF(S405="PT",0,ERR))</f>
        <v>0</v>
      </c>
      <c r="U405" s="9">
        <f>IF(S405="PT",N405,IF(S405="G",0,ERR))</f>
        <v>0</v>
      </c>
      <c r="V405" s="140"/>
      <c r="W405" s="9">
        <f>HLOOKUP($W$9,'ROR-Model'!$Q$10:$U$1263,Y405)</f>
        <v>2374708</v>
      </c>
      <c r="X405" s="156"/>
      <c r="Y405" s="918">
        <f t="shared" si="27"/>
        <v>396</v>
      </c>
      <c r="AA405" s="9">
        <v>0</v>
      </c>
      <c r="AC405" s="9" t="str">
        <f t="shared" si="28"/>
        <v/>
      </c>
      <c r="AE405" s="44" t="str">
        <f t="shared" si="29"/>
        <v/>
      </c>
    </row>
    <row r="406" spans="1:31">
      <c r="A406" s="195"/>
      <c r="B406" s="52"/>
      <c r="C406" s="52" t="s">
        <v>24</v>
      </c>
      <c r="D406" s="52"/>
      <c r="E406" s="357" t="s">
        <v>549</v>
      </c>
      <c r="F406" s="357">
        <f>'Other Rev'!$H$41</f>
        <v>9075</v>
      </c>
      <c r="G406" s="9">
        <f>+Adjustments!U406</f>
        <v>0</v>
      </c>
      <c r="H406" s="9"/>
      <c r="I406" s="9">
        <f>SUM($F$406:$H$406)</f>
        <v>9075</v>
      </c>
      <c r="J406" s="9">
        <f>+I406-'ROR-Model'!I406</f>
        <v>0</v>
      </c>
      <c r="K406" s="9"/>
      <c r="L406" s="9" t="s">
        <v>24</v>
      </c>
      <c r="M406" s="9">
        <f>VLOOKUP($L406,$L$2:$N$7,2,FALSE)*I406</f>
        <v>0</v>
      </c>
      <c r="N406" s="9">
        <f>VLOOKUP($L406,$L$2:$N$7,3,FALSE)*I406</f>
        <v>9075</v>
      </c>
      <c r="O406" s="136"/>
      <c r="P406" s="216" t="s">
        <v>549</v>
      </c>
      <c r="Q406" s="9">
        <f>IF(P406="G",M406,IF(P406="PT",0,ERR))</f>
        <v>0</v>
      </c>
      <c r="R406" s="9">
        <f>IF(P406="PT",M406,IF(P406="G",0,ERR))</f>
        <v>0</v>
      </c>
      <c r="S406" s="142" t="s">
        <v>549</v>
      </c>
      <c r="T406" s="9">
        <f>IF(S406="G",N406,IF(S406="PT",0,ERR))</f>
        <v>9075</v>
      </c>
      <c r="U406" s="9">
        <f>IF(S406="PT",N406,IF(S406="G",0,ERR))</f>
        <v>0</v>
      </c>
      <c r="V406" s="140"/>
      <c r="W406" s="9">
        <f>HLOOKUP($W$9,'ROR-Model'!$Q$10:$U$1263,Y406)</f>
        <v>0</v>
      </c>
      <c r="X406" s="156"/>
      <c r="Y406" s="918">
        <f t="shared" si="27"/>
        <v>397</v>
      </c>
      <c r="AA406" s="9">
        <v>10630</v>
      </c>
      <c r="AC406" s="9">
        <f t="shared" si="28"/>
        <v>-10630</v>
      </c>
      <c r="AE406" s="44">
        <f t="shared" si="29"/>
        <v>-1</v>
      </c>
    </row>
    <row r="407" spans="1:31">
      <c r="A407" s="195"/>
      <c r="B407" s="52"/>
      <c r="C407" s="52" t="s">
        <v>160</v>
      </c>
      <c r="D407" s="52"/>
      <c r="E407" s="157"/>
      <c r="F407" s="157">
        <f>SUM(F405:F406)</f>
        <v>2383783</v>
      </c>
      <c r="G407" s="157">
        <f>SUM(G405:G406)</f>
        <v>0</v>
      </c>
      <c r="H407" s="157">
        <f>SUM(H405:H406)</f>
        <v>0</v>
      </c>
      <c r="I407" s="157">
        <f>SUM(I405:I406)</f>
        <v>2383783</v>
      </c>
      <c r="J407" s="9">
        <f>+I407-'ROR-Model'!I407</f>
        <v>0</v>
      </c>
      <c r="K407" s="9"/>
      <c r="L407" s="157"/>
      <c r="M407" s="157">
        <f>SUM(M405:M406)</f>
        <v>2374708</v>
      </c>
      <c r="N407" s="157">
        <f>SUM(N405:N406)</f>
        <v>9075</v>
      </c>
      <c r="O407" s="136"/>
      <c r="P407" s="216"/>
      <c r="Q407" s="157">
        <f>SUM(Q405:Q406)</f>
        <v>2374708</v>
      </c>
      <c r="R407" s="157">
        <f>SUM(R405:R406)</f>
        <v>0</v>
      </c>
      <c r="S407" s="226"/>
      <c r="T407" s="157">
        <f>SUM(T405:T406)</f>
        <v>9075</v>
      </c>
      <c r="U407" s="157">
        <f>SUM(U405:U406)</f>
        <v>0</v>
      </c>
      <c r="V407" s="140"/>
      <c r="W407" s="157">
        <f>HLOOKUP($W$9,'ROR-Model'!$Q$10:$U$1263,Y407)</f>
        <v>2374708</v>
      </c>
      <c r="X407" s="156"/>
      <c r="Y407" s="918">
        <f t="shared" si="27"/>
        <v>398</v>
      </c>
      <c r="AA407" s="157">
        <v>10630</v>
      </c>
      <c r="AC407" s="157">
        <f t="shared" si="28"/>
        <v>2364078</v>
      </c>
      <c r="AE407" s="44">
        <f t="shared" si="29"/>
        <v>222.39680150517404</v>
      </c>
    </row>
    <row r="408" spans="1:31">
      <c r="A408" s="195"/>
      <c r="B408" s="52"/>
      <c r="C408" s="52"/>
      <c r="D408" s="52"/>
      <c r="E408" s="9"/>
      <c r="F408" s="9"/>
      <c r="G408" s="9"/>
      <c r="H408" s="9"/>
      <c r="I408" s="9"/>
      <c r="J408" s="9">
        <f>+I408-'ROR-Model'!I408</f>
        <v>0</v>
      </c>
      <c r="K408" s="9"/>
      <c r="L408" s="9"/>
      <c r="M408" s="9"/>
      <c r="N408" s="9"/>
      <c r="O408" s="136"/>
      <c r="P408" s="216"/>
      <c r="Q408" s="9"/>
      <c r="R408" s="9"/>
      <c r="S408" s="142"/>
      <c r="T408" s="9"/>
      <c r="U408" s="9"/>
      <c r="V408" s="140"/>
      <c r="W408" s="9"/>
      <c r="X408" s="156"/>
      <c r="Y408" s="918">
        <f t="shared" si="27"/>
        <v>399</v>
      </c>
      <c r="AA408" s="9"/>
      <c r="AC408" s="9" t="str">
        <f t="shared" si="28"/>
        <v/>
      </c>
      <c r="AE408" s="44" t="str">
        <f t="shared" si="29"/>
        <v/>
      </c>
    </row>
    <row r="409" spans="1:31">
      <c r="A409" s="195" t="s">
        <v>396</v>
      </c>
      <c r="B409" s="52" t="s">
        <v>304</v>
      </c>
      <c r="C409" s="52"/>
      <c r="D409" s="52"/>
      <c r="E409" s="9"/>
      <c r="F409" s="9"/>
      <c r="G409" s="9"/>
      <c r="H409" s="9"/>
      <c r="I409" s="9"/>
      <c r="J409" s="9">
        <f>+I409-'ROR-Model'!I409</f>
        <v>0</v>
      </c>
      <c r="K409" s="9"/>
      <c r="L409" s="9"/>
      <c r="M409" s="9"/>
      <c r="N409" s="9"/>
      <c r="O409" s="136"/>
      <c r="P409" s="216"/>
      <c r="Q409" s="9"/>
      <c r="R409" s="9"/>
      <c r="S409" s="142"/>
      <c r="T409" s="9"/>
      <c r="U409" s="9"/>
      <c r="V409" s="140"/>
      <c r="W409" s="9"/>
      <c r="X409" s="156"/>
      <c r="Y409" s="918">
        <f t="shared" si="27"/>
        <v>400</v>
      </c>
      <c r="AA409" s="9"/>
      <c r="AC409" s="9" t="str">
        <f t="shared" si="28"/>
        <v/>
      </c>
      <c r="AE409" s="44" t="str">
        <f t="shared" si="29"/>
        <v/>
      </c>
    </row>
    <row r="410" spans="1:31">
      <c r="A410" s="195"/>
      <c r="B410" s="52"/>
      <c r="C410" s="52" t="s">
        <v>13</v>
      </c>
      <c r="D410" s="52"/>
      <c r="E410" s="357" t="s">
        <v>549</v>
      </c>
      <c r="F410" s="357">
        <f>'Other Rev'!$H$45</f>
        <v>0</v>
      </c>
      <c r="G410" s="9">
        <f>+Adjustments!U410</f>
        <v>0</v>
      </c>
      <c r="H410" s="9"/>
      <c r="I410" s="9">
        <f>SUM($F$410:$H$410)</f>
        <v>0</v>
      </c>
      <c r="J410" s="9">
        <f>+I410-'ROR-Model'!I410</f>
        <v>0</v>
      </c>
      <c r="K410" s="9"/>
      <c r="L410" s="9" t="s">
        <v>13</v>
      </c>
      <c r="M410" s="9">
        <f>VLOOKUP($L410,$L$2:$N$7,2,FALSE)*I410</f>
        <v>0</v>
      </c>
      <c r="N410" s="9">
        <f>VLOOKUP($L410,$L$2:$N$7,3,FALSE)*I410</f>
        <v>0</v>
      </c>
      <c r="O410" s="136"/>
      <c r="P410" s="216" t="s">
        <v>549</v>
      </c>
      <c r="Q410" s="9">
        <f>IF(P410="G",M410,IF(P410="PT",0,ERR))</f>
        <v>0</v>
      </c>
      <c r="R410" s="9">
        <f>IF(P410="PT",M410,IF(P410="G",0,ERR))</f>
        <v>0</v>
      </c>
      <c r="S410" s="142" t="s">
        <v>549</v>
      </c>
      <c r="T410" s="9">
        <f>IF(S410="G",N410,IF(S410="PT",0,ERR))</f>
        <v>0</v>
      </c>
      <c r="U410" s="9">
        <f>IF(S410="PT",N410,IF(S410="G",0,ERR))</f>
        <v>0</v>
      </c>
      <c r="V410" s="140"/>
      <c r="W410" s="9">
        <f>HLOOKUP($W$9,'ROR-Model'!$Q$10:$U$1263,Y410)</f>
        <v>0</v>
      </c>
      <c r="X410" s="156"/>
      <c r="Y410" s="918">
        <f t="shared" si="27"/>
        <v>401</v>
      </c>
      <c r="AA410" s="9">
        <v>0</v>
      </c>
      <c r="AC410" s="9" t="str">
        <f t="shared" si="28"/>
        <v/>
      </c>
      <c r="AE410" s="44" t="str">
        <f t="shared" si="29"/>
        <v/>
      </c>
    </row>
    <row r="411" spans="1:31">
      <c r="A411" s="195"/>
      <c r="B411" s="52"/>
      <c r="C411" s="52" t="s">
        <v>24</v>
      </c>
      <c r="D411" s="52"/>
      <c r="E411" s="357" t="s">
        <v>549</v>
      </c>
      <c r="F411" s="357">
        <f>'Other Rev'!$H$46</f>
        <v>0</v>
      </c>
      <c r="G411" s="9">
        <f>+Adjustments!U411</f>
        <v>0</v>
      </c>
      <c r="H411" s="9"/>
      <c r="I411" s="9">
        <f>SUM($F$411:$H$411)</f>
        <v>0</v>
      </c>
      <c r="J411" s="9">
        <f>+I411-'ROR-Model'!I411</f>
        <v>0</v>
      </c>
      <c r="K411" s="9"/>
      <c r="L411" s="9" t="s">
        <v>24</v>
      </c>
      <c r="M411" s="9">
        <f>VLOOKUP($L411,$L$2:$N$7,2,FALSE)*I411</f>
        <v>0</v>
      </c>
      <c r="N411" s="9">
        <f>VLOOKUP($L411,$L$2:$N$7,3,FALSE)*I411</f>
        <v>0</v>
      </c>
      <c r="O411" s="136"/>
      <c r="P411" s="216" t="s">
        <v>549</v>
      </c>
      <c r="Q411" s="9">
        <f>IF(P411="G",M411,IF(P411="PT",0,ERR))</f>
        <v>0</v>
      </c>
      <c r="R411" s="9">
        <f>IF(P411="PT",M411,IF(P411="G",0,ERR))</f>
        <v>0</v>
      </c>
      <c r="S411" s="142" t="s">
        <v>549</v>
      </c>
      <c r="T411" s="9">
        <f>IF(S411="G",N411,IF(S411="PT",0,ERR))</f>
        <v>0</v>
      </c>
      <c r="U411" s="9">
        <f>IF(S411="PT",N411,IF(S411="G",0,ERR))</f>
        <v>0</v>
      </c>
      <c r="V411" s="140"/>
      <c r="W411" s="9">
        <f>HLOOKUP($W$9,'ROR-Model'!$Q$10:$U$1263,Y411)</f>
        <v>0</v>
      </c>
      <c r="X411" s="156"/>
      <c r="Y411" s="918">
        <f t="shared" si="27"/>
        <v>402</v>
      </c>
      <c r="AA411" s="9">
        <v>0</v>
      </c>
      <c r="AC411" s="9" t="str">
        <f t="shared" si="28"/>
        <v/>
      </c>
      <c r="AE411" s="44" t="str">
        <f t="shared" si="29"/>
        <v/>
      </c>
    </row>
    <row r="412" spans="1:31">
      <c r="A412" s="195"/>
      <c r="B412" s="52"/>
      <c r="C412" s="52" t="s">
        <v>160</v>
      </c>
      <c r="D412" s="52"/>
      <c r="E412" s="157"/>
      <c r="F412" s="157">
        <f>SUM(F410:F411)</f>
        <v>0</v>
      </c>
      <c r="G412" s="157">
        <f>SUM(G410:G411)</f>
        <v>0</v>
      </c>
      <c r="H412" s="157">
        <f>SUM(H410:H411)</f>
        <v>0</v>
      </c>
      <c r="I412" s="157">
        <f>SUM(I410:I411)</f>
        <v>0</v>
      </c>
      <c r="J412" s="9">
        <f>+I412-'ROR-Model'!I412</f>
        <v>0</v>
      </c>
      <c r="K412" s="9"/>
      <c r="L412" s="157"/>
      <c r="M412" s="157">
        <f>SUM(M410:M411)</f>
        <v>0</v>
      </c>
      <c r="N412" s="157">
        <f>SUM(N410:N411)</f>
        <v>0</v>
      </c>
      <c r="O412" s="136"/>
      <c r="P412" s="216"/>
      <c r="Q412" s="157">
        <f>SUM(Q410:Q411)</f>
        <v>0</v>
      </c>
      <c r="R412" s="157">
        <f>SUM(R410:R411)</f>
        <v>0</v>
      </c>
      <c r="S412" s="226"/>
      <c r="T412" s="157">
        <f>SUM(T410:T411)</f>
        <v>0</v>
      </c>
      <c r="U412" s="157">
        <f>SUM(U410:U411)</f>
        <v>0</v>
      </c>
      <c r="V412" s="140"/>
      <c r="W412" s="157">
        <f>HLOOKUP($W$9,'ROR-Model'!$Q$10:$U$1263,Y412)</f>
        <v>0</v>
      </c>
      <c r="X412" s="156"/>
      <c r="Y412" s="918">
        <f t="shared" si="27"/>
        <v>403</v>
      </c>
      <c r="AA412" s="157">
        <v>0</v>
      </c>
      <c r="AC412" s="157" t="str">
        <f t="shared" si="28"/>
        <v/>
      </c>
      <c r="AE412" s="44" t="str">
        <f t="shared" si="29"/>
        <v/>
      </c>
    </row>
    <row r="413" spans="1:31">
      <c r="A413" s="195"/>
      <c r="B413" s="52"/>
      <c r="C413" s="52"/>
      <c r="D413" s="52"/>
      <c r="E413" s="9"/>
      <c r="F413" s="9"/>
      <c r="G413" s="9"/>
      <c r="H413" s="9"/>
      <c r="I413" s="9"/>
      <c r="J413" s="9">
        <f>+I413-'ROR-Model'!I413</f>
        <v>0</v>
      </c>
      <c r="K413" s="9"/>
      <c r="L413" s="9"/>
      <c r="M413" s="9"/>
      <c r="N413" s="9"/>
      <c r="O413" s="136"/>
      <c r="P413" s="216"/>
      <c r="Q413" s="9"/>
      <c r="R413" s="9"/>
      <c r="S413" s="142"/>
      <c r="T413" s="9"/>
      <c r="U413" s="9"/>
      <c r="V413" s="140"/>
      <c r="W413" s="9"/>
      <c r="X413" s="156"/>
      <c r="Y413" s="918">
        <f t="shared" si="27"/>
        <v>404</v>
      </c>
      <c r="AA413" s="9"/>
      <c r="AC413" s="9" t="str">
        <f t="shared" si="28"/>
        <v/>
      </c>
      <c r="AE413" s="44" t="str">
        <f t="shared" si="29"/>
        <v/>
      </c>
    </row>
    <row r="414" spans="1:31">
      <c r="A414" s="195" t="s">
        <v>397</v>
      </c>
      <c r="B414" s="52" t="s">
        <v>305</v>
      </c>
      <c r="C414" s="52"/>
      <c r="D414" s="52"/>
      <c r="E414" s="9"/>
      <c r="F414" s="9"/>
      <c r="G414" s="9"/>
      <c r="H414" s="9"/>
      <c r="I414" s="9"/>
      <c r="J414" s="9">
        <f>+I414-'ROR-Model'!I414</f>
        <v>0</v>
      </c>
      <c r="K414" s="9"/>
      <c r="L414" s="9"/>
      <c r="M414" s="9"/>
      <c r="N414" s="9"/>
      <c r="O414" s="136"/>
      <c r="P414" s="216"/>
      <c r="Q414" s="9"/>
      <c r="R414" s="9"/>
      <c r="S414" s="142"/>
      <c r="T414" s="9"/>
      <c r="U414" s="9"/>
      <c r="V414" s="140"/>
      <c r="W414" s="9"/>
      <c r="X414" s="156"/>
      <c r="Y414" s="918">
        <f t="shared" si="27"/>
        <v>405</v>
      </c>
      <c r="AA414" s="9"/>
      <c r="AC414" s="9" t="str">
        <f t="shared" si="28"/>
        <v/>
      </c>
      <c r="AE414" s="44" t="str">
        <f t="shared" si="29"/>
        <v/>
      </c>
    </row>
    <row r="415" spans="1:31">
      <c r="A415" s="195"/>
      <c r="B415" s="52"/>
      <c r="C415" s="52" t="s">
        <v>13</v>
      </c>
      <c r="D415" s="52"/>
      <c r="E415" s="357" t="s">
        <v>549</v>
      </c>
      <c r="F415" s="357">
        <f>'Other Rev'!$H$50</f>
        <v>245060</v>
      </c>
      <c r="G415" s="9">
        <f>+Adjustments!U415</f>
        <v>0</v>
      </c>
      <c r="H415" s="9"/>
      <c r="I415" s="9">
        <f>SUM($F$415:$H$415)</f>
        <v>245060</v>
      </c>
      <c r="J415" s="9">
        <f>+I415-'ROR-Model'!I415</f>
        <v>0</v>
      </c>
      <c r="K415" s="9"/>
      <c r="L415" s="9" t="s">
        <v>13</v>
      </c>
      <c r="M415" s="9">
        <f>VLOOKUP($L415,$L$2:$N$7,2,FALSE)*I415</f>
        <v>245060</v>
      </c>
      <c r="N415" s="9">
        <f>VLOOKUP($L415,$L$2:$N$7,3,FALSE)*I415</f>
        <v>0</v>
      </c>
      <c r="O415" s="136"/>
      <c r="P415" s="216" t="s">
        <v>549</v>
      </c>
      <c r="Q415" s="9">
        <f>IF(P415="G",M415,IF(P415="PT",0,ERR))</f>
        <v>245060</v>
      </c>
      <c r="R415" s="9">
        <f>IF(P415="PT",M415,IF(P415="G",0,ERR))</f>
        <v>0</v>
      </c>
      <c r="S415" s="142" t="s">
        <v>549</v>
      </c>
      <c r="T415" s="9">
        <f>IF(S415="G",N415,IF(S415="PT",0,ERR))</f>
        <v>0</v>
      </c>
      <c r="U415" s="9">
        <f>IF(S415="PT",N415,IF(S415="G",0,ERR))</f>
        <v>0</v>
      </c>
      <c r="V415" s="140"/>
      <c r="W415" s="9">
        <f>HLOOKUP($W$9,'ROR-Model'!$Q$10:$U$1263,Y415)</f>
        <v>245060</v>
      </c>
      <c r="X415" s="156"/>
      <c r="Y415" s="918">
        <f t="shared" si="27"/>
        <v>406</v>
      </c>
      <c r="AA415" s="9">
        <v>0</v>
      </c>
      <c r="AC415" s="9" t="str">
        <f t="shared" si="28"/>
        <v/>
      </c>
      <c r="AE415" s="44" t="str">
        <f t="shared" si="29"/>
        <v/>
      </c>
    </row>
    <row r="416" spans="1:31">
      <c r="A416" s="195"/>
      <c r="B416" s="52"/>
      <c r="C416" s="52" t="s">
        <v>24</v>
      </c>
      <c r="D416" s="52"/>
      <c r="E416" s="357" t="s">
        <v>549</v>
      </c>
      <c r="F416" s="357">
        <f>'Other Rev'!$H$51</f>
        <v>5040</v>
      </c>
      <c r="G416" s="9">
        <f>+Adjustments!U416</f>
        <v>0</v>
      </c>
      <c r="H416" s="9"/>
      <c r="I416" s="9">
        <f>SUM($F$416:$H$416)</f>
        <v>5040</v>
      </c>
      <c r="J416" s="9">
        <f>+I416-'ROR-Model'!I416</f>
        <v>0</v>
      </c>
      <c r="K416" s="9"/>
      <c r="L416" s="9" t="s">
        <v>24</v>
      </c>
      <c r="M416" s="9">
        <f>VLOOKUP($L416,$L$2:$N$7,2,FALSE)*I416</f>
        <v>0</v>
      </c>
      <c r="N416" s="9">
        <f>VLOOKUP($L416,$L$2:$N$7,3,FALSE)*I416</f>
        <v>5040</v>
      </c>
      <c r="O416" s="136"/>
      <c r="P416" s="216" t="s">
        <v>549</v>
      </c>
      <c r="Q416" s="9">
        <f>IF(P416="G",M416,IF(P416="PT",0,ERR))</f>
        <v>0</v>
      </c>
      <c r="R416" s="9">
        <f>IF(P416="PT",M416,IF(P416="G",0,ERR))</f>
        <v>0</v>
      </c>
      <c r="S416" s="142" t="s">
        <v>549</v>
      </c>
      <c r="T416" s="9">
        <f>IF(S416="G",N416,IF(S416="PT",0,ERR))</f>
        <v>5040</v>
      </c>
      <c r="U416" s="9">
        <f>IF(S416="PT",N416,IF(S416="G",0,ERR))</f>
        <v>0</v>
      </c>
      <c r="V416" s="140"/>
      <c r="W416" s="9">
        <f>HLOOKUP($W$9,'ROR-Model'!$Q$10:$U$1263,Y416)</f>
        <v>0</v>
      </c>
      <c r="X416" s="156"/>
      <c r="Y416" s="918">
        <f t="shared" si="27"/>
        <v>407</v>
      </c>
      <c r="AA416" s="9">
        <v>4940</v>
      </c>
      <c r="AC416" s="9">
        <f t="shared" si="28"/>
        <v>-4940</v>
      </c>
      <c r="AE416" s="44">
        <f t="shared" si="29"/>
        <v>-1</v>
      </c>
    </row>
    <row r="417" spans="1:31">
      <c r="A417" s="195"/>
      <c r="B417" s="52"/>
      <c r="C417" s="52" t="s">
        <v>160</v>
      </c>
      <c r="D417" s="52"/>
      <c r="E417" s="157"/>
      <c r="F417" s="157">
        <f>SUM(F415:F416)</f>
        <v>250100</v>
      </c>
      <c r="G417" s="157">
        <f>SUM(G415:G416)</f>
        <v>0</v>
      </c>
      <c r="H417" s="157">
        <f>SUM(H415:H416)</f>
        <v>0</v>
      </c>
      <c r="I417" s="157">
        <f>SUM(I415:I416)</f>
        <v>250100</v>
      </c>
      <c r="J417" s="9">
        <f>+I417-'ROR-Model'!I417</f>
        <v>0</v>
      </c>
      <c r="K417" s="9"/>
      <c r="L417" s="157"/>
      <c r="M417" s="157">
        <f>SUM(M415:M416)</f>
        <v>245060</v>
      </c>
      <c r="N417" s="157">
        <f>SUM(N415:N416)</f>
        <v>5040</v>
      </c>
      <c r="O417" s="136"/>
      <c r="P417" s="216"/>
      <c r="Q417" s="157">
        <f>SUM(Q415:Q416)</f>
        <v>245060</v>
      </c>
      <c r="R417" s="157">
        <f>SUM(R415:R416)</f>
        <v>0</v>
      </c>
      <c r="S417" s="226"/>
      <c r="T417" s="157">
        <f>SUM(T415:T416)</f>
        <v>5040</v>
      </c>
      <c r="U417" s="157">
        <f>SUM(U415:U416)</f>
        <v>0</v>
      </c>
      <c r="V417" s="140"/>
      <c r="W417" s="157">
        <f>HLOOKUP($W$9,'ROR-Model'!$Q$10:$U$1263,Y417)</f>
        <v>245060</v>
      </c>
      <c r="X417" s="156"/>
      <c r="Y417" s="918">
        <f t="shared" si="27"/>
        <v>408</v>
      </c>
      <c r="AA417" s="157">
        <v>4940</v>
      </c>
      <c r="AC417" s="157">
        <f t="shared" si="28"/>
        <v>240120</v>
      </c>
      <c r="AE417" s="44">
        <f t="shared" si="29"/>
        <v>48.607287449392715</v>
      </c>
    </row>
    <row r="418" spans="1:31">
      <c r="A418" s="195"/>
      <c r="B418" s="52"/>
      <c r="C418" s="52"/>
      <c r="D418" s="52"/>
      <c r="E418" s="9"/>
      <c r="F418" s="9"/>
      <c r="G418" s="9"/>
      <c r="H418" s="9"/>
      <c r="I418" s="9"/>
      <c r="J418" s="9">
        <f>+I418-'ROR-Model'!I418</f>
        <v>0</v>
      </c>
      <c r="K418" s="9"/>
      <c r="L418" s="9"/>
      <c r="M418" s="9"/>
      <c r="N418" s="9"/>
      <c r="O418" s="136"/>
      <c r="P418" s="216"/>
      <c r="Q418" s="9"/>
      <c r="R418" s="9"/>
      <c r="S418" s="142"/>
      <c r="T418" s="9"/>
      <c r="U418" s="9"/>
      <c r="V418" s="140"/>
      <c r="W418" s="9"/>
      <c r="X418" s="156"/>
      <c r="Y418" s="918">
        <f t="shared" si="27"/>
        <v>409</v>
      </c>
      <c r="AA418" s="9"/>
      <c r="AC418" s="9" t="str">
        <f t="shared" si="28"/>
        <v/>
      </c>
      <c r="AE418" s="44" t="str">
        <f t="shared" si="29"/>
        <v/>
      </c>
    </row>
    <row r="419" spans="1:31">
      <c r="A419" s="195" t="s">
        <v>398</v>
      </c>
      <c r="B419" s="52" t="s">
        <v>399</v>
      </c>
      <c r="C419" s="52"/>
      <c r="D419" s="52"/>
      <c r="E419" s="9"/>
      <c r="F419" s="9"/>
      <c r="G419" s="9"/>
      <c r="H419" s="9"/>
      <c r="I419" s="9"/>
      <c r="J419" s="9">
        <f>+I419-'ROR-Model'!I419</f>
        <v>0</v>
      </c>
      <c r="K419" s="9"/>
      <c r="L419" s="9"/>
      <c r="M419" s="9"/>
      <c r="N419" s="9"/>
      <c r="O419" s="136"/>
      <c r="P419" s="216"/>
      <c r="Q419" s="9"/>
      <c r="R419" s="9"/>
      <c r="S419" s="142"/>
      <c r="T419" s="9"/>
      <c r="U419" s="9"/>
      <c r="V419" s="140"/>
      <c r="W419" s="9"/>
      <c r="X419" s="156"/>
      <c r="Y419" s="918">
        <f t="shared" si="27"/>
        <v>410</v>
      </c>
      <c r="AA419" s="9"/>
      <c r="AC419" s="9" t="str">
        <f t="shared" si="28"/>
        <v/>
      </c>
      <c r="AE419" s="44" t="str">
        <f t="shared" si="29"/>
        <v/>
      </c>
    </row>
    <row r="420" spans="1:31">
      <c r="A420" s="195"/>
      <c r="B420" s="52"/>
      <c r="C420" s="52" t="s">
        <v>13</v>
      </c>
      <c r="D420" s="52"/>
      <c r="E420" s="357" t="s">
        <v>549</v>
      </c>
      <c r="F420" s="357">
        <f>'Other Rev'!$H$55</f>
        <v>0</v>
      </c>
      <c r="G420" s="9">
        <f>+Adjustments!U420</f>
        <v>0</v>
      </c>
      <c r="H420" s="9"/>
      <c r="I420" s="9">
        <f>SUM($F$420:$H$420)</f>
        <v>0</v>
      </c>
      <c r="J420" s="9">
        <f>+I420-'ROR-Model'!I420</f>
        <v>0</v>
      </c>
      <c r="K420" s="9"/>
      <c r="L420" s="9" t="s">
        <v>13</v>
      </c>
      <c r="M420" s="9">
        <f>VLOOKUP($L420,$L$2:$N$7,2,FALSE)*I420</f>
        <v>0</v>
      </c>
      <c r="N420" s="9">
        <f>VLOOKUP($L420,$L$2:$N$7,3,FALSE)*I420</f>
        <v>0</v>
      </c>
      <c r="O420" s="136"/>
      <c r="P420" s="216" t="s">
        <v>549</v>
      </c>
      <c r="Q420" s="9">
        <f>IF(P420="G",M420,IF(P420="PT",0,ERR))</f>
        <v>0</v>
      </c>
      <c r="R420" s="9">
        <f>IF(P420="PT",M420,IF(P420="G",0,ERR))</f>
        <v>0</v>
      </c>
      <c r="S420" s="142" t="s">
        <v>549</v>
      </c>
      <c r="T420" s="9">
        <f>IF(S420="G",N420,IF(S420="PT",0,ERR))</f>
        <v>0</v>
      </c>
      <c r="U420" s="9">
        <f>IF(S420="PT",N420,IF(S420="G",0,ERR))</f>
        <v>0</v>
      </c>
      <c r="V420" s="140"/>
      <c r="W420" s="9">
        <f>HLOOKUP($W$9,'ROR-Model'!$Q$10:$U$1263,Y420)</f>
        <v>0</v>
      </c>
      <c r="X420" s="156"/>
      <c r="Y420" s="918">
        <f t="shared" si="27"/>
        <v>411</v>
      </c>
      <c r="AA420" s="9">
        <v>0</v>
      </c>
      <c r="AC420" s="9" t="str">
        <f t="shared" si="28"/>
        <v/>
      </c>
      <c r="AE420" s="44" t="str">
        <f t="shared" si="29"/>
        <v/>
      </c>
    </row>
    <row r="421" spans="1:31">
      <c r="A421" s="195"/>
      <c r="B421" s="52"/>
      <c r="C421" s="52" t="s">
        <v>24</v>
      </c>
      <c r="D421" s="52"/>
      <c r="E421" s="357" t="s">
        <v>549</v>
      </c>
      <c r="F421" s="357">
        <f>'Other Rev'!$H$56</f>
        <v>0</v>
      </c>
      <c r="G421" s="9">
        <f>+Adjustments!U421</f>
        <v>0</v>
      </c>
      <c r="H421" s="9"/>
      <c r="I421" s="9">
        <f>SUM($F$421:$H$421)</f>
        <v>0</v>
      </c>
      <c r="J421" s="9">
        <f>+I421-'ROR-Model'!I421</f>
        <v>0</v>
      </c>
      <c r="K421" s="9"/>
      <c r="L421" s="9" t="s">
        <v>24</v>
      </c>
      <c r="M421" s="9">
        <f>VLOOKUP($L421,$L$2:$N$7,2,FALSE)*I421</f>
        <v>0</v>
      </c>
      <c r="N421" s="9">
        <f>VLOOKUP($L421,$L$2:$N$7,3,FALSE)*I421</f>
        <v>0</v>
      </c>
      <c r="O421" s="136"/>
      <c r="P421" s="216" t="s">
        <v>549</v>
      </c>
      <c r="Q421" s="9">
        <f>IF(P421="G",M421,IF(P421="PT",0,ERR))</f>
        <v>0</v>
      </c>
      <c r="R421" s="9">
        <f>IF(P421="PT",M421,IF(P421="G",0,ERR))</f>
        <v>0</v>
      </c>
      <c r="S421" s="142" t="s">
        <v>549</v>
      </c>
      <c r="T421" s="9">
        <f>IF(S421="G",N421,IF(S421="PT",0,ERR))</f>
        <v>0</v>
      </c>
      <c r="U421" s="9">
        <f>IF(S421="PT",N421,IF(S421="G",0,ERR))</f>
        <v>0</v>
      </c>
      <c r="V421" s="140"/>
      <c r="W421" s="9">
        <f>HLOOKUP($W$9,'ROR-Model'!$Q$10:$U$1263,Y421)</f>
        <v>0</v>
      </c>
      <c r="X421" s="156"/>
      <c r="Y421" s="918">
        <f t="shared" si="27"/>
        <v>412</v>
      </c>
      <c r="AA421" s="9">
        <v>0</v>
      </c>
      <c r="AC421" s="9" t="str">
        <f t="shared" si="28"/>
        <v/>
      </c>
      <c r="AE421" s="44" t="str">
        <f t="shared" si="29"/>
        <v/>
      </c>
    </row>
    <row r="422" spans="1:31">
      <c r="A422" s="195"/>
      <c r="B422" s="52"/>
      <c r="C422" s="52" t="s">
        <v>160</v>
      </c>
      <c r="D422" s="52"/>
      <c r="E422" s="157"/>
      <c r="F422" s="157">
        <f>SUM(F420:F421)</f>
        <v>0</v>
      </c>
      <c r="G422" s="157">
        <f>SUM(G420:G421)</f>
        <v>0</v>
      </c>
      <c r="H422" s="157">
        <f>SUM(H420:H421)</f>
        <v>0</v>
      </c>
      <c r="I422" s="157">
        <f>SUM(I420:I421)</f>
        <v>0</v>
      </c>
      <c r="J422" s="9">
        <f>+I422-'ROR-Model'!I422</f>
        <v>0</v>
      </c>
      <c r="K422" s="9"/>
      <c r="L422" s="157"/>
      <c r="M422" s="157">
        <f>SUM(M420:M421)</f>
        <v>0</v>
      </c>
      <c r="N422" s="157">
        <f>SUM(N420:N421)</f>
        <v>0</v>
      </c>
      <c r="O422" s="136"/>
      <c r="P422" s="216"/>
      <c r="Q422" s="157">
        <f>SUM(Q420:Q421)</f>
        <v>0</v>
      </c>
      <c r="R422" s="157">
        <f>SUM(R420:R421)</f>
        <v>0</v>
      </c>
      <c r="S422" s="226"/>
      <c r="T422" s="157">
        <f>SUM(T420:T421)</f>
        <v>0</v>
      </c>
      <c r="U422" s="157">
        <f>SUM(U420:U421)</f>
        <v>0</v>
      </c>
      <c r="V422" s="140"/>
      <c r="W422" s="157">
        <f>HLOOKUP($W$9,'ROR-Model'!$Q$10:$U$1263,Y422)</f>
        <v>0</v>
      </c>
      <c r="X422" s="156"/>
      <c r="Y422" s="918">
        <f t="shared" si="27"/>
        <v>413</v>
      </c>
      <c r="AA422" s="157">
        <v>0</v>
      </c>
      <c r="AC422" s="157" t="str">
        <f t="shared" si="28"/>
        <v/>
      </c>
      <c r="AE422" s="44" t="str">
        <f t="shared" si="29"/>
        <v/>
      </c>
    </row>
    <row r="423" spans="1:31">
      <c r="A423" s="195"/>
      <c r="B423" s="52"/>
      <c r="C423" s="52"/>
      <c r="D423" s="52"/>
      <c r="E423" s="9"/>
      <c r="F423" s="9"/>
      <c r="G423" s="9"/>
      <c r="H423" s="9"/>
      <c r="I423" s="9"/>
      <c r="J423" s="9">
        <f>+I423-'ROR-Model'!I423</f>
        <v>0</v>
      </c>
      <c r="K423" s="9"/>
      <c r="L423" s="9"/>
      <c r="M423" s="9"/>
      <c r="N423" s="9"/>
      <c r="O423" s="136"/>
      <c r="P423" s="216"/>
      <c r="Q423" s="9"/>
      <c r="R423" s="9"/>
      <c r="S423" s="142"/>
      <c r="T423" s="9"/>
      <c r="U423" s="9"/>
      <c r="V423" s="140"/>
      <c r="W423" s="9"/>
      <c r="X423" s="156"/>
      <c r="Y423" s="918">
        <f t="shared" si="27"/>
        <v>414</v>
      </c>
      <c r="AA423" s="9"/>
      <c r="AC423" s="9" t="str">
        <f t="shared" si="28"/>
        <v/>
      </c>
      <c r="AE423" s="44" t="str">
        <f t="shared" si="29"/>
        <v/>
      </c>
    </row>
    <row r="424" spans="1:31">
      <c r="A424" s="195" t="s">
        <v>400</v>
      </c>
      <c r="B424" s="52" t="s">
        <v>306</v>
      </c>
      <c r="C424" s="52"/>
      <c r="D424" s="52"/>
      <c r="E424" s="9"/>
      <c r="F424" s="9"/>
      <c r="G424" s="9"/>
      <c r="H424" s="9"/>
      <c r="I424" s="9"/>
      <c r="J424" s="9">
        <f>+I424-'ROR-Model'!I424</f>
        <v>0</v>
      </c>
      <c r="K424" s="9"/>
      <c r="L424" s="9"/>
      <c r="M424" s="9"/>
      <c r="N424" s="9"/>
      <c r="O424" s="136"/>
      <c r="P424" s="216"/>
      <c r="Q424" s="9"/>
      <c r="R424" s="9"/>
      <c r="S424" s="142"/>
      <c r="T424" s="9"/>
      <c r="U424" s="9"/>
      <c r="V424" s="140"/>
      <c r="W424" s="9"/>
      <c r="X424" s="156"/>
      <c r="Y424" s="918">
        <f t="shared" si="27"/>
        <v>415</v>
      </c>
      <c r="AA424" s="9"/>
      <c r="AC424" s="9" t="str">
        <f t="shared" si="28"/>
        <v/>
      </c>
      <c r="AE424" s="44" t="str">
        <f t="shared" si="29"/>
        <v/>
      </c>
    </row>
    <row r="425" spans="1:31">
      <c r="A425" s="195"/>
      <c r="B425" s="52"/>
      <c r="C425" s="52" t="s">
        <v>13</v>
      </c>
      <c r="D425" s="52"/>
      <c r="E425" s="357" t="s">
        <v>549</v>
      </c>
      <c r="F425" s="357">
        <f>'Other Rev'!$H$60</f>
        <v>0</v>
      </c>
      <c r="G425" s="9">
        <f>+Adjustments!U425</f>
        <v>0</v>
      </c>
      <c r="H425" s="9"/>
      <c r="I425" s="9">
        <f>SUM($F$425:$H$425)</f>
        <v>0</v>
      </c>
      <c r="J425" s="9">
        <f>+I425-'ROR-Model'!I425</f>
        <v>0</v>
      </c>
      <c r="K425" s="9"/>
      <c r="L425" s="9" t="s">
        <v>13</v>
      </c>
      <c r="M425" s="9">
        <f>VLOOKUP($L425,$L$2:$N$7,2,FALSE)*I425</f>
        <v>0</v>
      </c>
      <c r="N425" s="9">
        <f>VLOOKUP($L425,$L$2:$N$7,3,FALSE)*I425</f>
        <v>0</v>
      </c>
      <c r="O425" s="136"/>
      <c r="P425" s="216" t="s">
        <v>549</v>
      </c>
      <c r="Q425" s="9">
        <f>IF(P425="G",M425,IF(P425="PT",0,ERR))</f>
        <v>0</v>
      </c>
      <c r="R425" s="9">
        <f>IF(P425="PT",M425,IF(P425="G",0,ERR))</f>
        <v>0</v>
      </c>
      <c r="S425" s="142" t="s">
        <v>549</v>
      </c>
      <c r="T425" s="9">
        <f>IF(S425="G",N425,IF(S425="PT",0,ERR))</f>
        <v>0</v>
      </c>
      <c r="U425" s="9">
        <f>IF(S425="PT",N425,IF(S425="G",0,ERR))</f>
        <v>0</v>
      </c>
      <c r="V425" s="140"/>
      <c r="W425" s="9">
        <f>HLOOKUP($W$9,'ROR-Model'!$Q$10:$U$1263,Y425)</f>
        <v>0</v>
      </c>
      <c r="X425" s="156"/>
      <c r="Y425" s="918">
        <f t="shared" si="27"/>
        <v>416</v>
      </c>
      <c r="AA425" s="9">
        <v>0</v>
      </c>
      <c r="AC425" s="9" t="str">
        <f t="shared" si="28"/>
        <v/>
      </c>
      <c r="AE425" s="44" t="str">
        <f t="shared" si="29"/>
        <v/>
      </c>
    </row>
    <row r="426" spans="1:31">
      <c r="A426" s="195"/>
      <c r="B426" s="52"/>
      <c r="C426" s="52" t="s">
        <v>24</v>
      </c>
      <c r="D426" s="52"/>
      <c r="E426" s="357" t="s">
        <v>549</v>
      </c>
      <c r="F426" s="357">
        <f>'Other Rev'!$H$61</f>
        <v>0</v>
      </c>
      <c r="G426" s="9">
        <f>+Adjustments!U426</f>
        <v>0</v>
      </c>
      <c r="H426" s="9"/>
      <c r="I426" s="9">
        <f>SUM($F$426:$H$426)</f>
        <v>0</v>
      </c>
      <c r="J426" s="9">
        <f>+I426-'ROR-Model'!I426</f>
        <v>0</v>
      </c>
      <c r="K426" s="9"/>
      <c r="L426" s="9" t="s">
        <v>24</v>
      </c>
      <c r="M426" s="9">
        <f>VLOOKUP($L426,$L$2:$N$7,2,FALSE)*I426</f>
        <v>0</v>
      </c>
      <c r="N426" s="9">
        <f>VLOOKUP($L426,$L$2:$N$7,3,FALSE)*I426</f>
        <v>0</v>
      </c>
      <c r="O426" s="136"/>
      <c r="P426" s="216" t="s">
        <v>549</v>
      </c>
      <c r="Q426" s="9">
        <f>IF(P426="G",M426,IF(P426="PT",0,ERR))</f>
        <v>0</v>
      </c>
      <c r="R426" s="9">
        <f>IF(P426="PT",M426,IF(P426="G",0,ERR))</f>
        <v>0</v>
      </c>
      <c r="S426" s="142" t="s">
        <v>549</v>
      </c>
      <c r="T426" s="9">
        <f>IF(S426="G",N426,IF(S426="PT",0,ERR))</f>
        <v>0</v>
      </c>
      <c r="U426" s="9">
        <f>IF(S426="PT",N426,IF(S426="G",0,ERR))</f>
        <v>0</v>
      </c>
      <c r="V426" s="140"/>
      <c r="W426" s="9">
        <f>HLOOKUP($W$9,'ROR-Model'!$Q$10:$U$1263,Y426)</f>
        <v>0</v>
      </c>
      <c r="X426" s="156"/>
      <c r="Y426" s="918">
        <f t="shared" si="27"/>
        <v>417</v>
      </c>
      <c r="AA426" s="9">
        <v>0</v>
      </c>
      <c r="AC426" s="9" t="str">
        <f t="shared" si="28"/>
        <v/>
      </c>
      <c r="AE426" s="44" t="str">
        <f t="shared" si="29"/>
        <v/>
      </c>
    </row>
    <row r="427" spans="1:31">
      <c r="A427" s="195"/>
      <c r="B427" s="52"/>
      <c r="C427" s="52" t="s">
        <v>160</v>
      </c>
      <c r="D427" s="52"/>
      <c r="E427" s="157"/>
      <c r="F427" s="157">
        <f>SUM(F425:F426)</f>
        <v>0</v>
      </c>
      <c r="G427" s="157">
        <f>SUM(G425:G426)</f>
        <v>0</v>
      </c>
      <c r="H427" s="157">
        <f>SUM(H425:H426)</f>
        <v>0</v>
      </c>
      <c r="I427" s="157">
        <f>SUM(I425:I426)</f>
        <v>0</v>
      </c>
      <c r="J427" s="9">
        <f>+I427-'ROR-Model'!I427</f>
        <v>0</v>
      </c>
      <c r="K427" s="9"/>
      <c r="L427" s="157"/>
      <c r="M427" s="157">
        <f>SUM(M425:M426)</f>
        <v>0</v>
      </c>
      <c r="N427" s="157">
        <f>SUM(N425:N426)</f>
        <v>0</v>
      </c>
      <c r="O427" s="136"/>
      <c r="P427" s="216"/>
      <c r="Q427" s="157">
        <f>SUM(Q425:Q426)</f>
        <v>0</v>
      </c>
      <c r="R427" s="157">
        <f>SUM(R425:R426)</f>
        <v>0</v>
      </c>
      <c r="S427" s="226"/>
      <c r="T427" s="157">
        <f>SUM(T425:T426)</f>
        <v>0</v>
      </c>
      <c r="U427" s="157">
        <f>SUM(U425:U426)</f>
        <v>0</v>
      </c>
      <c r="V427" s="140"/>
      <c r="W427" s="157">
        <f>HLOOKUP($W$9,'ROR-Model'!$Q$10:$U$1263,Y427)</f>
        <v>0</v>
      </c>
      <c r="X427" s="156"/>
      <c r="Y427" s="918">
        <f t="shared" si="27"/>
        <v>418</v>
      </c>
      <c r="AA427" s="157">
        <v>0</v>
      </c>
      <c r="AC427" s="157" t="str">
        <f t="shared" si="28"/>
        <v/>
      </c>
      <c r="AE427" s="44" t="str">
        <f t="shared" si="29"/>
        <v/>
      </c>
    </row>
    <row r="428" spans="1:31">
      <c r="A428" s="195"/>
      <c r="B428" s="52"/>
      <c r="C428" s="52"/>
      <c r="D428" s="52"/>
      <c r="E428" s="9"/>
      <c r="F428" s="9"/>
      <c r="G428" s="9"/>
      <c r="H428" s="9"/>
      <c r="I428" s="9"/>
      <c r="J428" s="9">
        <f>+I428-'ROR-Model'!I428</f>
        <v>0</v>
      </c>
      <c r="K428" s="9"/>
      <c r="L428" s="9"/>
      <c r="M428" s="9"/>
      <c r="N428" s="9"/>
      <c r="O428" s="136"/>
      <c r="P428" s="216"/>
      <c r="Q428" s="9"/>
      <c r="R428" s="9"/>
      <c r="S428" s="142"/>
      <c r="T428" s="9"/>
      <c r="U428" s="9"/>
      <c r="V428" s="140"/>
      <c r="W428" s="9"/>
      <c r="X428" s="156"/>
      <c r="Y428" s="918">
        <f t="shared" si="27"/>
        <v>419</v>
      </c>
      <c r="AA428" s="9"/>
      <c r="AC428" s="9" t="str">
        <f t="shared" si="28"/>
        <v/>
      </c>
      <c r="AE428" s="44" t="str">
        <f t="shared" si="29"/>
        <v/>
      </c>
    </row>
    <row r="429" spans="1:31">
      <c r="A429" s="196" t="s">
        <v>401</v>
      </c>
      <c r="B429" s="52" t="s">
        <v>307</v>
      </c>
      <c r="C429" s="52"/>
      <c r="D429" s="52"/>
      <c r="E429" s="9"/>
      <c r="F429" s="9"/>
      <c r="G429" s="9"/>
      <c r="H429" s="9"/>
      <c r="I429" s="9"/>
      <c r="J429" s="9">
        <f>+I429-'ROR-Model'!I429</f>
        <v>0</v>
      </c>
      <c r="K429" s="9"/>
      <c r="L429" s="9"/>
      <c r="M429" s="9"/>
      <c r="N429" s="9"/>
      <c r="O429" s="136"/>
      <c r="P429" s="216"/>
      <c r="Q429" s="9"/>
      <c r="R429" s="9"/>
      <c r="S429" s="142"/>
      <c r="T429" s="9"/>
      <c r="U429" s="9"/>
      <c r="V429" s="140"/>
      <c r="W429" s="9"/>
      <c r="X429" s="156"/>
      <c r="Y429" s="918">
        <f t="shared" si="27"/>
        <v>420</v>
      </c>
      <c r="AA429" s="9"/>
      <c r="AC429" s="9" t="str">
        <f t="shared" si="28"/>
        <v/>
      </c>
      <c r="AE429" s="44" t="str">
        <f t="shared" si="29"/>
        <v/>
      </c>
    </row>
    <row r="430" spans="1:31">
      <c r="A430" s="195"/>
      <c r="B430" s="52"/>
      <c r="C430" s="52" t="s">
        <v>13</v>
      </c>
      <c r="D430" s="52"/>
      <c r="E430" s="357" t="s">
        <v>549</v>
      </c>
      <c r="F430" s="357">
        <f>'Other Rev'!$H$65</f>
        <v>0</v>
      </c>
      <c r="G430" s="9">
        <f>+Adjustments!U430</f>
        <v>0</v>
      </c>
      <c r="H430" s="9"/>
      <c r="I430" s="9">
        <f>SUM($F$430:$H$430)</f>
        <v>0</v>
      </c>
      <c r="J430" s="9">
        <f>+I430-'ROR-Model'!I430</f>
        <v>0</v>
      </c>
      <c r="K430" s="9"/>
      <c r="L430" s="9" t="s">
        <v>13</v>
      </c>
      <c r="M430" s="9">
        <f>VLOOKUP($L430,$L$2:$N$7,2,FALSE)*I430</f>
        <v>0</v>
      </c>
      <c r="N430" s="9">
        <f>VLOOKUP($L430,$L$2:$N$7,3,FALSE)*I430</f>
        <v>0</v>
      </c>
      <c r="O430" s="136"/>
      <c r="P430" s="216" t="s">
        <v>549</v>
      </c>
      <c r="Q430" s="9">
        <f>IF(P430="G",M430,IF(P430="PT",0,ERR))</f>
        <v>0</v>
      </c>
      <c r="R430" s="9">
        <f>IF(P430="PT",M430,IF(P430="G",0,ERR))</f>
        <v>0</v>
      </c>
      <c r="S430" s="142" t="s">
        <v>549</v>
      </c>
      <c r="T430" s="9">
        <f>IF(S430="G",N430,IF(S430="PT",0,ERR))</f>
        <v>0</v>
      </c>
      <c r="U430" s="9">
        <f>IF(S430="PT",N430,IF(S430="G",0,ERR))</f>
        <v>0</v>
      </c>
      <c r="V430" s="140"/>
      <c r="W430" s="9">
        <f>HLOOKUP($W$9,'ROR-Model'!$Q$10:$U$1263,Y430)</f>
        <v>0</v>
      </c>
      <c r="X430" s="156"/>
      <c r="Y430" s="918">
        <f t="shared" si="27"/>
        <v>421</v>
      </c>
      <c r="AA430" s="9">
        <v>0</v>
      </c>
      <c r="AC430" s="9" t="str">
        <f t="shared" si="28"/>
        <v/>
      </c>
      <c r="AE430" s="44" t="str">
        <f t="shared" si="29"/>
        <v/>
      </c>
    </row>
    <row r="431" spans="1:31">
      <c r="A431" s="195"/>
      <c r="B431" s="52"/>
      <c r="C431" s="52" t="s">
        <v>24</v>
      </c>
      <c r="D431" s="52"/>
      <c r="E431" s="357" t="s">
        <v>549</v>
      </c>
      <c r="F431" s="357">
        <f>'Other Rev'!$H$66</f>
        <v>0</v>
      </c>
      <c r="G431" s="9">
        <f>+Adjustments!U431</f>
        <v>0</v>
      </c>
      <c r="H431" s="9"/>
      <c r="I431" s="9">
        <f>SUM($F$431:$H$431)</f>
        <v>0</v>
      </c>
      <c r="J431" s="9">
        <f>+I431-'ROR-Model'!I431</f>
        <v>0</v>
      </c>
      <c r="K431" s="9"/>
      <c r="L431" s="9" t="s">
        <v>24</v>
      </c>
      <c r="M431" s="9">
        <f>VLOOKUP($L431,$L$2:$N$7,2,FALSE)*I431</f>
        <v>0</v>
      </c>
      <c r="N431" s="9">
        <f>VLOOKUP($L431,$L$2:$N$7,3,FALSE)*I431</f>
        <v>0</v>
      </c>
      <c r="O431" s="136"/>
      <c r="P431" s="216" t="s">
        <v>549</v>
      </c>
      <c r="Q431" s="9">
        <f>IF(P431="G",M431,IF(P431="PT",0,ERR))</f>
        <v>0</v>
      </c>
      <c r="R431" s="9">
        <f>IF(P431="PT",M431,IF(P431="G",0,ERR))</f>
        <v>0</v>
      </c>
      <c r="S431" s="142" t="s">
        <v>549</v>
      </c>
      <c r="T431" s="9">
        <f>IF(S431="G",N431,IF(S431="PT",0,ERR))</f>
        <v>0</v>
      </c>
      <c r="U431" s="9">
        <f>IF(S431="PT",N431,IF(S431="G",0,ERR))</f>
        <v>0</v>
      </c>
      <c r="V431" s="140"/>
      <c r="W431" s="9">
        <f>HLOOKUP($W$9,'ROR-Model'!$Q$10:$U$1263,Y431)</f>
        <v>0</v>
      </c>
      <c r="X431" s="156"/>
      <c r="Y431" s="918">
        <f t="shared" si="27"/>
        <v>422</v>
      </c>
      <c r="AA431" s="9">
        <v>0</v>
      </c>
      <c r="AC431" s="9" t="str">
        <f t="shared" si="28"/>
        <v/>
      </c>
      <c r="AE431" s="44" t="str">
        <f t="shared" si="29"/>
        <v/>
      </c>
    </row>
    <row r="432" spans="1:31">
      <c r="A432" s="195"/>
      <c r="B432" s="52"/>
      <c r="C432" s="52" t="s">
        <v>160</v>
      </c>
      <c r="D432" s="52"/>
      <c r="E432" s="157"/>
      <c r="F432" s="157">
        <f>SUM(F430:F431)</f>
        <v>0</v>
      </c>
      <c r="G432" s="157">
        <f>SUM(G430:G431)</f>
        <v>0</v>
      </c>
      <c r="H432" s="157">
        <f>SUM(H430:H431)</f>
        <v>0</v>
      </c>
      <c r="I432" s="157">
        <f>SUM(I430:I431)</f>
        <v>0</v>
      </c>
      <c r="J432" s="9">
        <f>+I432-'ROR-Model'!I432</f>
        <v>0</v>
      </c>
      <c r="K432" s="9"/>
      <c r="L432" s="157"/>
      <c r="M432" s="157">
        <f>SUM(M430:M431)</f>
        <v>0</v>
      </c>
      <c r="N432" s="157">
        <f>SUM(N430:N431)</f>
        <v>0</v>
      </c>
      <c r="O432" s="136"/>
      <c r="P432" s="216"/>
      <c r="Q432" s="157">
        <f>SUM(Q430:Q431)</f>
        <v>0</v>
      </c>
      <c r="R432" s="157">
        <f>SUM(R430:R431)</f>
        <v>0</v>
      </c>
      <c r="S432" s="226"/>
      <c r="T432" s="157">
        <f>SUM(T430:T431)</f>
        <v>0</v>
      </c>
      <c r="U432" s="157">
        <f>SUM(U430:U431)</f>
        <v>0</v>
      </c>
      <c r="V432" s="140"/>
      <c r="W432" s="157">
        <f>HLOOKUP($W$9,'ROR-Model'!$Q$10:$U$1263,Y432)</f>
        <v>0</v>
      </c>
      <c r="X432" s="156"/>
      <c r="Y432" s="918">
        <f t="shared" si="27"/>
        <v>423</v>
      </c>
      <c r="AA432" s="157">
        <v>0</v>
      </c>
      <c r="AC432" s="157" t="str">
        <f t="shared" si="28"/>
        <v/>
      </c>
      <c r="AE432" s="44" t="str">
        <f t="shared" si="29"/>
        <v/>
      </c>
    </row>
    <row r="433" spans="1:31">
      <c r="A433" s="195"/>
      <c r="B433" s="52"/>
      <c r="C433" s="52"/>
      <c r="D433" s="52"/>
      <c r="E433" s="9"/>
      <c r="F433" s="9"/>
      <c r="G433" s="9"/>
      <c r="H433" s="9"/>
      <c r="I433" s="9"/>
      <c r="J433" s="9">
        <f>+I433-'ROR-Model'!I433</f>
        <v>0</v>
      </c>
      <c r="K433" s="9"/>
      <c r="L433" s="9"/>
      <c r="M433" s="9"/>
      <c r="N433" s="9"/>
      <c r="O433" s="136"/>
      <c r="P433" s="216"/>
      <c r="Q433" s="9"/>
      <c r="R433" s="9"/>
      <c r="S433" s="142"/>
      <c r="T433" s="9"/>
      <c r="U433" s="9"/>
      <c r="V433" s="140"/>
      <c r="W433" s="9"/>
      <c r="X433" s="156"/>
      <c r="Y433" s="918">
        <f t="shared" si="27"/>
        <v>424</v>
      </c>
      <c r="AA433" s="9"/>
      <c r="AC433" s="9" t="str">
        <f t="shared" si="28"/>
        <v/>
      </c>
      <c r="AE433" s="44" t="str">
        <f t="shared" si="29"/>
        <v/>
      </c>
    </row>
    <row r="434" spans="1:31">
      <c r="A434" s="195" t="s">
        <v>402</v>
      </c>
      <c r="B434" s="52" t="s">
        <v>309</v>
      </c>
      <c r="C434" s="52"/>
      <c r="D434" s="52"/>
      <c r="E434" s="9"/>
      <c r="F434" s="9"/>
      <c r="G434" s="9"/>
      <c r="H434" s="9"/>
      <c r="I434" s="9"/>
      <c r="J434" s="9">
        <f>+I434-'ROR-Model'!I434</f>
        <v>0</v>
      </c>
      <c r="K434" s="9"/>
      <c r="L434" s="9"/>
      <c r="M434" s="9"/>
      <c r="N434" s="9"/>
      <c r="O434" s="136"/>
      <c r="P434" s="216"/>
      <c r="Q434" s="9"/>
      <c r="R434" s="9"/>
      <c r="S434" s="142"/>
      <c r="T434" s="9"/>
      <c r="U434" s="9"/>
      <c r="V434" s="140"/>
      <c r="W434" s="9"/>
      <c r="X434" s="156"/>
      <c r="Y434" s="918">
        <f t="shared" si="27"/>
        <v>425</v>
      </c>
      <c r="AA434" s="9"/>
      <c r="AC434" s="9" t="str">
        <f t="shared" si="28"/>
        <v/>
      </c>
      <c r="AE434" s="44" t="str">
        <f t="shared" si="29"/>
        <v/>
      </c>
    </row>
    <row r="435" spans="1:31">
      <c r="A435" s="195"/>
      <c r="B435" s="52"/>
      <c r="C435" s="52" t="s">
        <v>13</v>
      </c>
      <c r="D435" s="52"/>
      <c r="E435" s="357" t="s">
        <v>549</v>
      </c>
      <c r="F435" s="357">
        <f>'Other Rev'!$H$70</f>
        <v>0</v>
      </c>
      <c r="G435" s="9">
        <f>+Adjustments!U435</f>
        <v>0</v>
      </c>
      <c r="H435" s="9"/>
      <c r="I435" s="9">
        <f>SUM($F$435:$H$435)</f>
        <v>0</v>
      </c>
      <c r="J435" s="9">
        <f>+I435-'ROR-Model'!I435</f>
        <v>0</v>
      </c>
      <c r="K435" s="9"/>
      <c r="L435" s="9" t="s">
        <v>13</v>
      </c>
      <c r="M435" s="9">
        <f>VLOOKUP($L435,$L$2:$N$7,2,FALSE)*I435</f>
        <v>0</v>
      </c>
      <c r="N435" s="9">
        <f>VLOOKUP($L435,$L$2:$N$7,3,FALSE)*I435</f>
        <v>0</v>
      </c>
      <c r="O435" s="136"/>
      <c r="P435" s="216" t="s">
        <v>549</v>
      </c>
      <c r="Q435" s="9">
        <f>IF(P435="G",M435,IF(P435="PT",0,ERR))</f>
        <v>0</v>
      </c>
      <c r="R435" s="9">
        <f>IF(P435="PT",M435,IF(P435="G",0,ERR))</f>
        <v>0</v>
      </c>
      <c r="S435" s="142" t="s">
        <v>549</v>
      </c>
      <c r="T435" s="9">
        <f>IF(S435="G",N435,IF(S435="PT",0,ERR))</f>
        <v>0</v>
      </c>
      <c r="U435" s="9">
        <f>IF(S435="PT",N435,IF(S435="G",0,ERR))</f>
        <v>0</v>
      </c>
      <c r="V435" s="140"/>
      <c r="W435" s="9">
        <f>HLOOKUP($W$9,'ROR-Model'!$Q$10:$U$1263,Y435)</f>
        <v>0</v>
      </c>
      <c r="X435" s="156"/>
      <c r="Y435" s="918">
        <f t="shared" si="27"/>
        <v>426</v>
      </c>
      <c r="AA435" s="9">
        <v>0</v>
      </c>
      <c r="AC435" s="9" t="str">
        <f t="shared" si="28"/>
        <v/>
      </c>
      <c r="AE435" s="44" t="str">
        <f t="shared" si="29"/>
        <v/>
      </c>
    </row>
    <row r="436" spans="1:31">
      <c r="A436" s="195"/>
      <c r="B436" s="52"/>
      <c r="C436" s="52" t="s">
        <v>24</v>
      </c>
      <c r="D436" s="52"/>
      <c r="E436" s="9" t="s">
        <v>549</v>
      </c>
      <c r="F436" s="9">
        <f>'Other Rev'!$H$71</f>
        <v>0</v>
      </c>
      <c r="G436" s="9">
        <f>+Adjustments!U436</f>
        <v>0</v>
      </c>
      <c r="H436" s="9"/>
      <c r="I436" s="9">
        <f>SUM($F$436:$H$436)</f>
        <v>0</v>
      </c>
      <c r="J436" s="9">
        <f>+I436-'ROR-Model'!I436</f>
        <v>0</v>
      </c>
      <c r="K436" s="9"/>
      <c r="L436" s="9" t="s">
        <v>24</v>
      </c>
      <c r="M436" s="9">
        <f>VLOOKUP($L436,$L$2:$N$7,2,FALSE)*I436</f>
        <v>0</v>
      </c>
      <c r="N436" s="9">
        <f>VLOOKUP($L436,$L$2:$N$7,3,FALSE)*I436</f>
        <v>0</v>
      </c>
      <c r="O436" s="136"/>
      <c r="P436" s="216" t="s">
        <v>549</v>
      </c>
      <c r="Q436" s="9">
        <f>IF(P436="G",M436,IF(P436="PT",0,ERR))</f>
        <v>0</v>
      </c>
      <c r="R436" s="9">
        <f>IF(P436="PT",M436,IF(P436="G",0,ERR))</f>
        <v>0</v>
      </c>
      <c r="S436" s="142" t="s">
        <v>549</v>
      </c>
      <c r="T436" s="9">
        <f>IF(S436="G",N436,IF(S436="PT",0,ERR))</f>
        <v>0</v>
      </c>
      <c r="U436" s="9">
        <f>IF(S436="PT",N436,IF(S436="G",0,ERR))</f>
        <v>0</v>
      </c>
      <c r="V436" s="140"/>
      <c r="W436" s="9">
        <f>HLOOKUP($W$9,'ROR-Model'!$Q$10:$U$1263,Y436)</f>
        <v>0</v>
      </c>
      <c r="X436" s="156"/>
      <c r="Y436" s="918">
        <f t="shared" si="27"/>
        <v>427</v>
      </c>
      <c r="AA436" s="9">
        <v>0</v>
      </c>
      <c r="AC436" s="9" t="str">
        <f t="shared" si="28"/>
        <v/>
      </c>
      <c r="AE436" s="44" t="str">
        <f t="shared" si="29"/>
        <v/>
      </c>
    </row>
    <row r="437" spans="1:31">
      <c r="A437" s="195"/>
      <c r="B437" s="52"/>
      <c r="C437" s="52" t="s">
        <v>160</v>
      </c>
      <c r="D437" s="52"/>
      <c r="E437" s="157"/>
      <c r="F437" s="157">
        <f>SUM(F435:F436)</f>
        <v>0</v>
      </c>
      <c r="G437" s="157">
        <f>SUM(G435:G436)</f>
        <v>0</v>
      </c>
      <c r="H437" s="157">
        <f>SUM(H435:H436)</f>
        <v>0</v>
      </c>
      <c r="I437" s="157">
        <f>SUM(I435:I436)</f>
        <v>0</v>
      </c>
      <c r="J437" s="9">
        <f>+I437-'ROR-Model'!I437</f>
        <v>0</v>
      </c>
      <c r="K437" s="9"/>
      <c r="L437" s="157"/>
      <c r="M437" s="157">
        <f>SUM(M435:M436)</f>
        <v>0</v>
      </c>
      <c r="N437" s="157">
        <f>SUM(N435:N436)</f>
        <v>0</v>
      </c>
      <c r="O437" s="136"/>
      <c r="P437" s="216"/>
      <c r="Q437" s="157">
        <f>SUM(Q435:Q436)</f>
        <v>0</v>
      </c>
      <c r="R437" s="157">
        <f>SUM(R435:R436)</f>
        <v>0</v>
      </c>
      <c r="S437" s="226"/>
      <c r="T437" s="157">
        <f>SUM(T435:T436)</f>
        <v>0</v>
      </c>
      <c r="U437" s="157">
        <f>SUM(U435:U436)</f>
        <v>0</v>
      </c>
      <c r="V437" s="140"/>
      <c r="W437" s="157">
        <f>HLOOKUP($W$9,'ROR-Model'!$Q$10:$U$1263,Y437)</f>
        <v>0</v>
      </c>
      <c r="X437" s="156"/>
      <c r="Y437" s="918">
        <f t="shared" si="27"/>
        <v>428</v>
      </c>
      <c r="AA437" s="157">
        <v>0</v>
      </c>
      <c r="AC437" s="157" t="str">
        <f t="shared" si="28"/>
        <v/>
      </c>
      <c r="AE437" s="44" t="str">
        <f t="shared" si="29"/>
        <v/>
      </c>
    </row>
    <row r="438" spans="1:31">
      <c r="A438" s="195"/>
      <c r="B438" s="52"/>
      <c r="C438" s="52"/>
      <c r="D438" s="52"/>
      <c r="E438" s="9"/>
      <c r="F438" s="9"/>
      <c r="G438" s="9"/>
      <c r="H438" s="9"/>
      <c r="I438" s="9"/>
      <c r="J438" s="9">
        <f>+I438-'ROR-Model'!I438</f>
        <v>0</v>
      </c>
      <c r="K438" s="9"/>
      <c r="L438" s="9"/>
      <c r="M438" s="9"/>
      <c r="N438" s="9"/>
      <c r="O438" s="136"/>
      <c r="P438" s="216"/>
      <c r="Q438" s="9"/>
      <c r="R438" s="9"/>
      <c r="S438" s="142"/>
      <c r="T438" s="9"/>
      <c r="U438" s="9"/>
      <c r="V438" s="140"/>
      <c r="W438" s="9"/>
      <c r="X438" s="156"/>
      <c r="Y438" s="918">
        <f t="shared" si="27"/>
        <v>429</v>
      </c>
      <c r="AA438" s="9"/>
      <c r="AC438" s="9" t="str">
        <f t="shared" si="28"/>
        <v/>
      </c>
      <c r="AE438" s="44" t="str">
        <f t="shared" si="29"/>
        <v/>
      </c>
    </row>
    <row r="439" spans="1:31">
      <c r="A439" s="195" t="s">
        <v>403</v>
      </c>
      <c r="B439" s="52" t="s">
        <v>310</v>
      </c>
      <c r="C439" s="52"/>
      <c r="D439" s="52"/>
      <c r="E439" s="9"/>
      <c r="F439" s="9"/>
      <c r="G439" s="9"/>
      <c r="H439" s="9"/>
      <c r="I439" s="9"/>
      <c r="J439" s="9">
        <f>+I439-'ROR-Model'!I439</f>
        <v>0</v>
      </c>
      <c r="K439" s="9"/>
      <c r="L439" s="9"/>
      <c r="M439" s="9"/>
      <c r="N439" s="9"/>
      <c r="O439" s="136"/>
      <c r="P439" s="216"/>
      <c r="Q439" s="9"/>
      <c r="R439" s="9"/>
      <c r="S439" s="142"/>
      <c r="T439" s="9"/>
      <c r="U439" s="9"/>
      <c r="V439" s="140"/>
      <c r="W439" s="9"/>
      <c r="X439" s="156"/>
      <c r="Y439" s="918">
        <f t="shared" si="27"/>
        <v>430</v>
      </c>
      <c r="AA439" s="9"/>
      <c r="AC439" s="9" t="str">
        <f t="shared" si="28"/>
        <v/>
      </c>
      <c r="AE439" s="44" t="str">
        <f t="shared" si="29"/>
        <v/>
      </c>
    </row>
    <row r="440" spans="1:31">
      <c r="A440" s="195"/>
      <c r="B440" s="52"/>
      <c r="C440" s="52" t="s">
        <v>13</v>
      </c>
      <c r="D440" s="52"/>
      <c r="E440" s="357" t="s">
        <v>549</v>
      </c>
      <c r="F440" s="357">
        <f>'Other Rev'!$H$75</f>
        <v>0</v>
      </c>
      <c r="G440" s="9">
        <f>+Adjustments!U440</f>
        <v>0</v>
      </c>
      <c r="H440" s="9"/>
      <c r="I440" s="9">
        <f>SUM($F$440:$H$440)</f>
        <v>0</v>
      </c>
      <c r="J440" s="9">
        <f>+I440-'ROR-Model'!I440</f>
        <v>0</v>
      </c>
      <c r="K440" s="9"/>
      <c r="L440" s="9" t="s">
        <v>13</v>
      </c>
      <c r="M440" s="9">
        <f>VLOOKUP($L440,$L$2:$N$7,2,FALSE)*I440</f>
        <v>0</v>
      </c>
      <c r="N440" s="9">
        <f>VLOOKUP($L440,$L$2:$N$7,3,FALSE)*I440</f>
        <v>0</v>
      </c>
      <c r="O440" s="136"/>
      <c r="P440" s="216" t="s">
        <v>549</v>
      </c>
      <c r="Q440" s="9">
        <f>IF(P440="G",M440,IF(P440="PT",0,ERR))</f>
        <v>0</v>
      </c>
      <c r="R440" s="9">
        <f>IF(P440="PT",M440,IF(P440="G",0,ERR))</f>
        <v>0</v>
      </c>
      <c r="S440" s="142" t="s">
        <v>549</v>
      </c>
      <c r="T440" s="9">
        <f>IF(S440="G",N440,IF(S440="PT",0,ERR))</f>
        <v>0</v>
      </c>
      <c r="U440" s="9">
        <f>IF(S440="PT",N440,IF(S440="G",0,ERR))</f>
        <v>0</v>
      </c>
      <c r="V440" s="140"/>
      <c r="W440" s="9">
        <f>HLOOKUP($W$9,'ROR-Model'!$Q$10:$U$1263,Y440)</f>
        <v>0</v>
      </c>
      <c r="X440" s="156"/>
      <c r="Y440" s="918">
        <f t="shared" si="27"/>
        <v>431</v>
      </c>
      <c r="AA440" s="9">
        <v>0</v>
      </c>
      <c r="AC440" s="9" t="str">
        <f t="shared" si="28"/>
        <v/>
      </c>
      <c r="AE440" s="44" t="str">
        <f t="shared" si="29"/>
        <v/>
      </c>
    </row>
    <row r="441" spans="1:31">
      <c r="A441" s="195"/>
      <c r="B441" s="52"/>
      <c r="C441" s="52" t="s">
        <v>24</v>
      </c>
      <c r="D441" s="52"/>
      <c r="E441" s="357" t="s">
        <v>549</v>
      </c>
      <c r="F441" s="357">
        <f>'Other Rev'!$H$76</f>
        <v>0</v>
      </c>
      <c r="G441" s="9">
        <f>+Adjustments!U441</f>
        <v>0</v>
      </c>
      <c r="H441" s="9"/>
      <c r="I441" s="9">
        <f>SUM($F$441:$H$441)</f>
        <v>0</v>
      </c>
      <c r="J441" s="9">
        <f>+I441-'ROR-Model'!I441</f>
        <v>0</v>
      </c>
      <c r="K441" s="9"/>
      <c r="L441" s="9" t="s">
        <v>24</v>
      </c>
      <c r="M441" s="9">
        <f>VLOOKUP($L441,$L$2:$N$7,2,FALSE)*I441</f>
        <v>0</v>
      </c>
      <c r="N441" s="9">
        <f>VLOOKUP($L441,$L$2:$N$7,3,FALSE)*I441</f>
        <v>0</v>
      </c>
      <c r="O441" s="136"/>
      <c r="P441" s="216" t="s">
        <v>549</v>
      </c>
      <c r="Q441" s="9">
        <f>IF(P441="G",M441,IF(P441="PT",0,ERR))</f>
        <v>0</v>
      </c>
      <c r="R441" s="9">
        <f>IF(P441="PT",M441,IF(P441="G",0,ERR))</f>
        <v>0</v>
      </c>
      <c r="S441" s="142" t="s">
        <v>549</v>
      </c>
      <c r="T441" s="9">
        <f>IF(S441="G",N441,IF(S441="PT",0,ERR))</f>
        <v>0</v>
      </c>
      <c r="U441" s="9">
        <f>IF(S441="PT",N441,IF(S441="G",0,ERR))</f>
        <v>0</v>
      </c>
      <c r="V441" s="140"/>
      <c r="W441" s="9">
        <f>HLOOKUP($W$9,'ROR-Model'!$Q$10:$U$1263,Y441)</f>
        <v>0</v>
      </c>
      <c r="X441" s="156"/>
      <c r="Y441" s="918">
        <f t="shared" si="27"/>
        <v>432</v>
      </c>
      <c r="AA441" s="9">
        <v>0</v>
      </c>
      <c r="AC441" s="9" t="str">
        <f t="shared" si="28"/>
        <v/>
      </c>
      <c r="AE441" s="44" t="str">
        <f t="shared" si="29"/>
        <v/>
      </c>
    </row>
    <row r="442" spans="1:31">
      <c r="A442" s="195"/>
      <c r="B442" s="52"/>
      <c r="C442" s="52" t="s">
        <v>160</v>
      </c>
      <c r="D442" s="52"/>
      <c r="E442" s="157"/>
      <c r="F442" s="157">
        <f>SUM(F440:F441)</f>
        <v>0</v>
      </c>
      <c r="G442" s="157">
        <f>SUM(G440:G441)</f>
        <v>0</v>
      </c>
      <c r="H442" s="157">
        <f>SUM(H440:H441)</f>
        <v>0</v>
      </c>
      <c r="I442" s="157">
        <f>SUM(I440:I441)</f>
        <v>0</v>
      </c>
      <c r="J442" s="9">
        <f>+I442-'ROR-Model'!I442</f>
        <v>0</v>
      </c>
      <c r="K442" s="9"/>
      <c r="L442" s="157"/>
      <c r="M442" s="157">
        <f>SUM(M440:M441)</f>
        <v>0</v>
      </c>
      <c r="N442" s="157">
        <f>SUM(N440:N441)</f>
        <v>0</v>
      </c>
      <c r="O442" s="136"/>
      <c r="P442" s="216"/>
      <c r="Q442" s="157">
        <f>SUM(Q440:Q441)</f>
        <v>0</v>
      </c>
      <c r="R442" s="157">
        <f>SUM(R440:R441)</f>
        <v>0</v>
      </c>
      <c r="S442" s="226"/>
      <c r="T442" s="157">
        <f>SUM(T440:T441)</f>
        <v>0</v>
      </c>
      <c r="U442" s="157">
        <f>SUM(U440:U441)</f>
        <v>0</v>
      </c>
      <c r="V442" s="140"/>
      <c r="W442" s="157">
        <f>HLOOKUP($W$9,'ROR-Model'!$Q$10:$U$1263,Y442)</f>
        <v>0</v>
      </c>
      <c r="X442" s="156"/>
      <c r="Y442" s="918">
        <f t="shared" si="27"/>
        <v>433</v>
      </c>
      <c r="AA442" s="157">
        <v>0</v>
      </c>
      <c r="AC442" s="157" t="str">
        <f t="shared" si="28"/>
        <v/>
      </c>
      <c r="AE442" s="44" t="str">
        <f t="shared" si="29"/>
        <v/>
      </c>
    </row>
    <row r="443" spans="1:31">
      <c r="A443" s="195"/>
      <c r="B443" s="52"/>
      <c r="C443" s="52"/>
      <c r="D443" s="52"/>
      <c r="E443" s="9"/>
      <c r="F443" s="9"/>
      <c r="G443" s="9"/>
      <c r="H443" s="9"/>
      <c r="I443" s="9"/>
      <c r="J443" s="9">
        <f>+I443-'ROR-Model'!I443</f>
        <v>0</v>
      </c>
      <c r="K443" s="9"/>
      <c r="L443" s="9"/>
      <c r="M443" s="9"/>
      <c r="N443" s="9"/>
      <c r="O443" s="136"/>
      <c r="P443" s="216"/>
      <c r="Q443" s="9"/>
      <c r="R443" s="9"/>
      <c r="S443" s="142"/>
      <c r="T443" s="9"/>
      <c r="U443" s="9"/>
      <c r="V443" s="140"/>
      <c r="W443" s="9"/>
      <c r="X443" s="156"/>
      <c r="Y443" s="918">
        <f t="shared" si="27"/>
        <v>434</v>
      </c>
      <c r="AA443" s="9"/>
      <c r="AC443" s="9" t="str">
        <f t="shared" si="28"/>
        <v/>
      </c>
      <c r="AE443" s="44" t="str">
        <f t="shared" si="29"/>
        <v/>
      </c>
    </row>
    <row r="444" spans="1:31">
      <c r="A444" s="195" t="s">
        <v>404</v>
      </c>
      <c r="B444" s="52" t="s">
        <v>311</v>
      </c>
      <c r="C444" s="52"/>
      <c r="D444" s="52"/>
      <c r="E444" s="9"/>
      <c r="F444" s="9"/>
      <c r="G444" s="9"/>
      <c r="H444" s="9"/>
      <c r="I444" s="9"/>
      <c r="J444" s="9">
        <f>+I444-'ROR-Model'!I444</f>
        <v>0</v>
      </c>
      <c r="K444" s="9"/>
      <c r="L444" s="9"/>
      <c r="M444" s="9"/>
      <c r="N444" s="9"/>
      <c r="O444" s="136"/>
      <c r="P444" s="216"/>
      <c r="Q444" s="9"/>
      <c r="R444" s="9"/>
      <c r="S444" s="142"/>
      <c r="T444" s="9"/>
      <c r="U444" s="9"/>
      <c r="V444" s="140"/>
      <c r="W444" s="9"/>
      <c r="X444" s="156"/>
      <c r="Y444" s="918">
        <f t="shared" si="27"/>
        <v>435</v>
      </c>
      <c r="AA444" s="9"/>
      <c r="AC444" s="9" t="str">
        <f t="shared" si="28"/>
        <v/>
      </c>
      <c r="AE444" s="44" t="str">
        <f t="shared" si="29"/>
        <v/>
      </c>
    </row>
    <row r="445" spans="1:31">
      <c r="A445" s="195"/>
      <c r="B445" s="52"/>
      <c r="C445" s="52" t="s">
        <v>13</v>
      </c>
      <c r="D445" s="52"/>
      <c r="E445" s="357" t="s">
        <v>549</v>
      </c>
      <c r="F445" s="357">
        <f>'Other Rev'!$H$80</f>
        <v>0</v>
      </c>
      <c r="G445" s="9">
        <f>+Adjustments!U445</f>
        <v>0</v>
      </c>
      <c r="H445" s="9"/>
      <c r="I445" s="9">
        <f>SUM($F$445:$H$445)</f>
        <v>0</v>
      </c>
      <c r="J445" s="9">
        <f>+I445-'ROR-Model'!I445</f>
        <v>0</v>
      </c>
      <c r="K445" s="9"/>
      <c r="L445" s="9" t="s">
        <v>13</v>
      </c>
      <c r="M445" s="9">
        <f>VLOOKUP($L445,$L$2:$N$7,2,FALSE)*I445</f>
        <v>0</v>
      </c>
      <c r="N445" s="9">
        <f>VLOOKUP($L445,$L$2:$N$7,3,FALSE)*I445</f>
        <v>0</v>
      </c>
      <c r="O445" s="136"/>
      <c r="P445" s="216" t="s">
        <v>549</v>
      </c>
      <c r="Q445" s="9">
        <f>IF(P445="G",M445,IF(P445="PT",0,ERR))</f>
        <v>0</v>
      </c>
      <c r="R445" s="9">
        <f>IF(P445="PT",M445,IF(P445="G",0,ERR))</f>
        <v>0</v>
      </c>
      <c r="S445" s="142" t="s">
        <v>549</v>
      </c>
      <c r="T445" s="9">
        <f>IF(S445="G",N445,IF(S445="PT",0,ERR))</f>
        <v>0</v>
      </c>
      <c r="U445" s="9">
        <f>IF(S445="PT",N445,IF(S445="G",0,ERR))</f>
        <v>0</v>
      </c>
      <c r="V445" s="140"/>
      <c r="W445" s="9">
        <f>HLOOKUP($W$9,'ROR-Model'!$Q$10:$U$1263,Y445)</f>
        <v>0</v>
      </c>
      <c r="X445" s="156"/>
      <c r="Y445" s="918">
        <f t="shared" si="27"/>
        <v>436</v>
      </c>
      <c r="AA445" s="9">
        <v>0</v>
      </c>
      <c r="AC445" s="9" t="str">
        <f t="shared" si="28"/>
        <v/>
      </c>
      <c r="AE445" s="44" t="str">
        <f t="shared" si="29"/>
        <v/>
      </c>
    </row>
    <row r="446" spans="1:31">
      <c r="A446" s="195"/>
      <c r="B446" s="52"/>
      <c r="C446" s="52" t="s">
        <v>24</v>
      </c>
      <c r="D446" s="52"/>
      <c r="E446" s="357" t="s">
        <v>549</v>
      </c>
      <c r="F446" s="357">
        <f>'Other Rev'!$H$81</f>
        <v>0</v>
      </c>
      <c r="G446" s="9">
        <f>+Adjustments!U446</f>
        <v>0</v>
      </c>
      <c r="H446" s="9"/>
      <c r="I446" s="9">
        <f>SUM($F$446:$H$446)</f>
        <v>0</v>
      </c>
      <c r="J446" s="9">
        <f>+I446-'ROR-Model'!I446</f>
        <v>0</v>
      </c>
      <c r="K446" s="9"/>
      <c r="L446" s="9" t="s">
        <v>24</v>
      </c>
      <c r="M446" s="9">
        <f>VLOOKUP($L446,$L$2:$N$7,2,FALSE)*I446</f>
        <v>0</v>
      </c>
      <c r="N446" s="9">
        <f>VLOOKUP($L446,$L$2:$N$7,3,FALSE)*I446</f>
        <v>0</v>
      </c>
      <c r="O446" s="136"/>
      <c r="P446" s="216" t="s">
        <v>549</v>
      </c>
      <c r="Q446" s="9">
        <f>IF(P446="G",M446,IF(P446="PT",0,ERR))</f>
        <v>0</v>
      </c>
      <c r="R446" s="9">
        <f>IF(P446="PT",M446,IF(P446="G",0,ERR))</f>
        <v>0</v>
      </c>
      <c r="S446" s="142" t="s">
        <v>549</v>
      </c>
      <c r="T446" s="9">
        <f>IF(S446="G",N446,IF(S446="PT",0,ERR))</f>
        <v>0</v>
      </c>
      <c r="U446" s="9">
        <f>IF(S446="PT",N446,IF(S446="G",0,ERR))</f>
        <v>0</v>
      </c>
      <c r="V446" s="140"/>
      <c r="W446" s="9">
        <f>HLOOKUP($W$9,'ROR-Model'!$Q$10:$U$1263,Y446)</f>
        <v>0</v>
      </c>
      <c r="X446" s="156"/>
      <c r="Y446" s="918">
        <f t="shared" si="27"/>
        <v>437</v>
      </c>
      <c r="AA446" s="9">
        <v>0</v>
      </c>
      <c r="AC446" s="9" t="str">
        <f t="shared" si="28"/>
        <v/>
      </c>
      <c r="AE446" s="44" t="str">
        <f t="shared" si="29"/>
        <v/>
      </c>
    </row>
    <row r="447" spans="1:31">
      <c r="A447" s="195"/>
      <c r="B447" s="52"/>
      <c r="C447" s="52" t="s">
        <v>160</v>
      </c>
      <c r="D447" s="52"/>
      <c r="E447" s="157"/>
      <c r="F447" s="157">
        <f>SUM(F445:F446)</f>
        <v>0</v>
      </c>
      <c r="G447" s="157">
        <f>SUM(G445:G446)</f>
        <v>0</v>
      </c>
      <c r="H447" s="157">
        <f>SUM(H445:H446)</f>
        <v>0</v>
      </c>
      <c r="I447" s="157">
        <f>SUM(I445:I446)</f>
        <v>0</v>
      </c>
      <c r="J447" s="9">
        <f>+I447-'ROR-Model'!I447</f>
        <v>0</v>
      </c>
      <c r="K447" s="9"/>
      <c r="L447" s="157"/>
      <c r="M447" s="157">
        <f>SUM(M445:M446)</f>
        <v>0</v>
      </c>
      <c r="N447" s="157">
        <f>SUM(N445:N446)</f>
        <v>0</v>
      </c>
      <c r="O447" s="136"/>
      <c r="P447" s="216"/>
      <c r="Q447" s="157">
        <f>SUM(Q445:Q446)</f>
        <v>0</v>
      </c>
      <c r="R447" s="157">
        <f>SUM(R445:R446)</f>
        <v>0</v>
      </c>
      <c r="S447" s="226"/>
      <c r="T447" s="157">
        <f>SUM(T445:T446)</f>
        <v>0</v>
      </c>
      <c r="U447" s="157">
        <f>SUM(U445:U446)</f>
        <v>0</v>
      </c>
      <c r="V447" s="140"/>
      <c r="W447" s="157">
        <f>HLOOKUP($W$9,'ROR-Model'!$Q$10:$U$1263,Y447)</f>
        <v>0</v>
      </c>
      <c r="X447" s="156"/>
      <c r="Y447" s="918">
        <f t="shared" si="27"/>
        <v>438</v>
      </c>
      <c r="AA447" s="157">
        <v>0</v>
      </c>
      <c r="AC447" s="157" t="str">
        <f t="shared" si="28"/>
        <v/>
      </c>
      <c r="AE447" s="44" t="str">
        <f t="shared" si="29"/>
        <v/>
      </c>
    </row>
    <row r="448" spans="1:31">
      <c r="A448" s="195"/>
      <c r="B448" s="52"/>
      <c r="C448" s="52"/>
      <c r="D448" s="52"/>
      <c r="E448" s="9"/>
      <c r="F448" s="9"/>
      <c r="G448" s="9"/>
      <c r="H448" s="9"/>
      <c r="I448" s="9"/>
      <c r="J448" s="9">
        <f>+I448-'ROR-Model'!I448</f>
        <v>0</v>
      </c>
      <c r="K448" s="9"/>
      <c r="L448" s="9"/>
      <c r="M448" s="9"/>
      <c r="N448" s="9"/>
      <c r="O448" s="136"/>
      <c r="P448" s="216"/>
      <c r="Q448" s="9"/>
      <c r="R448" s="9"/>
      <c r="S448" s="142"/>
      <c r="T448" s="9"/>
      <c r="U448" s="9"/>
      <c r="V448" s="140"/>
      <c r="W448" s="9"/>
      <c r="X448" s="156"/>
      <c r="Y448" s="918">
        <f t="shared" si="27"/>
        <v>439</v>
      </c>
      <c r="AA448" s="9"/>
      <c r="AC448" s="9" t="str">
        <f t="shared" si="28"/>
        <v/>
      </c>
      <c r="AE448" s="44" t="str">
        <f t="shared" si="29"/>
        <v/>
      </c>
    </row>
    <row r="449" spans="1:31">
      <c r="A449" s="195" t="s">
        <v>405</v>
      </c>
      <c r="B449" s="52" t="s">
        <v>312</v>
      </c>
      <c r="C449" s="52"/>
      <c r="D449" s="52"/>
      <c r="E449" s="9"/>
      <c r="F449" s="9"/>
      <c r="G449" s="9"/>
      <c r="H449" s="9"/>
      <c r="I449" s="9"/>
      <c r="J449" s="9">
        <f>+I449-'ROR-Model'!I449</f>
        <v>0</v>
      </c>
      <c r="K449" s="9"/>
      <c r="L449" s="9"/>
      <c r="M449" s="9"/>
      <c r="N449" s="9"/>
      <c r="O449" s="136"/>
      <c r="P449" s="216"/>
      <c r="Q449" s="9"/>
      <c r="R449" s="9"/>
      <c r="S449" s="142"/>
      <c r="T449" s="9"/>
      <c r="U449" s="9"/>
      <c r="V449" s="140"/>
      <c r="W449" s="9"/>
      <c r="X449" s="156"/>
      <c r="Y449" s="918">
        <f t="shared" si="27"/>
        <v>440</v>
      </c>
      <c r="AA449" s="9"/>
      <c r="AC449" s="9" t="str">
        <f t="shared" si="28"/>
        <v/>
      </c>
      <c r="AE449" s="44" t="str">
        <f t="shared" si="29"/>
        <v/>
      </c>
    </row>
    <row r="450" spans="1:31">
      <c r="A450" s="195"/>
      <c r="B450" s="52"/>
      <c r="C450" s="52" t="s">
        <v>13</v>
      </c>
      <c r="D450" s="52"/>
      <c r="E450" s="357" t="s">
        <v>549</v>
      </c>
      <c r="F450" s="357">
        <f>'Other Rev'!$H$85</f>
        <v>0</v>
      </c>
      <c r="G450" s="9">
        <f>+Adjustments!U450</f>
        <v>0</v>
      </c>
      <c r="H450" s="9"/>
      <c r="I450" s="9">
        <f>SUM($F$450:$H$450)</f>
        <v>0</v>
      </c>
      <c r="J450" s="9">
        <f>+I450-'ROR-Model'!I450</f>
        <v>0</v>
      </c>
      <c r="K450" s="9"/>
      <c r="L450" s="9" t="s">
        <v>13</v>
      </c>
      <c r="M450" s="9">
        <f>VLOOKUP($L450,$L$2:$N$7,2,FALSE)*I450</f>
        <v>0</v>
      </c>
      <c r="N450" s="9">
        <f>VLOOKUP($L450,$L$2:$N$7,3,FALSE)*I450</f>
        <v>0</v>
      </c>
      <c r="O450" s="136"/>
      <c r="P450" s="216" t="s">
        <v>549</v>
      </c>
      <c r="Q450" s="9">
        <f>IF(P450="G",M450,IF(P450="PT",0,ERR))</f>
        <v>0</v>
      </c>
      <c r="R450" s="9">
        <f>IF(P450="PT",M450,IF(P450="G",0,ERR))</f>
        <v>0</v>
      </c>
      <c r="S450" s="142" t="s">
        <v>549</v>
      </c>
      <c r="T450" s="9">
        <f>IF(S450="G",N450,IF(S450="PT",0,ERR))</f>
        <v>0</v>
      </c>
      <c r="U450" s="9">
        <f>IF(S450="PT",N450,IF(S450="G",0,ERR))</f>
        <v>0</v>
      </c>
      <c r="V450" s="140"/>
      <c r="W450" s="9">
        <f>HLOOKUP($W$9,'ROR-Model'!$Q$10:$U$1263,Y450)</f>
        <v>0</v>
      </c>
      <c r="X450" s="156"/>
      <c r="Y450" s="918">
        <f t="shared" si="27"/>
        <v>441</v>
      </c>
      <c r="AA450" s="9">
        <v>0</v>
      </c>
      <c r="AC450" s="9" t="str">
        <f t="shared" si="28"/>
        <v/>
      </c>
      <c r="AE450" s="44" t="str">
        <f t="shared" si="29"/>
        <v/>
      </c>
    </row>
    <row r="451" spans="1:31">
      <c r="A451" s="195"/>
      <c r="B451" s="52"/>
      <c r="C451" s="52" t="s">
        <v>24</v>
      </c>
      <c r="D451" s="52"/>
      <c r="E451" s="357" t="s">
        <v>549</v>
      </c>
      <c r="F451" s="357">
        <f>'Other Rev'!$H$86</f>
        <v>0</v>
      </c>
      <c r="G451" s="9">
        <f>+Adjustments!U451</f>
        <v>0</v>
      </c>
      <c r="H451" s="9"/>
      <c r="I451" s="9">
        <f>SUM($F$451:$H$451)</f>
        <v>0</v>
      </c>
      <c r="J451" s="9">
        <f>+I451-'ROR-Model'!I451</f>
        <v>0</v>
      </c>
      <c r="K451" s="9"/>
      <c r="L451" s="9" t="s">
        <v>24</v>
      </c>
      <c r="M451" s="9">
        <f>VLOOKUP($L451,$L$2:$N$7,2,FALSE)*I451</f>
        <v>0</v>
      </c>
      <c r="N451" s="9">
        <f>VLOOKUP($L451,$L$2:$N$7,3,FALSE)*I451</f>
        <v>0</v>
      </c>
      <c r="O451" s="136"/>
      <c r="P451" s="216" t="s">
        <v>549</v>
      </c>
      <c r="Q451" s="9">
        <f>IF(P451="G",M451,IF(P451="PT",0,ERR))</f>
        <v>0</v>
      </c>
      <c r="R451" s="9">
        <f>IF(P451="PT",M451,IF(P451="G",0,ERR))</f>
        <v>0</v>
      </c>
      <c r="S451" s="142" t="s">
        <v>549</v>
      </c>
      <c r="T451" s="9">
        <f>IF(S451="G",N451,IF(S451="PT",0,ERR))</f>
        <v>0</v>
      </c>
      <c r="U451" s="9">
        <f>IF(S451="PT",N451,IF(S451="G",0,ERR))</f>
        <v>0</v>
      </c>
      <c r="V451" s="140"/>
      <c r="W451" s="9">
        <f>HLOOKUP($W$9,'ROR-Model'!$Q$10:$U$1263,Y451)</f>
        <v>0</v>
      </c>
      <c r="X451" s="156"/>
      <c r="Y451" s="918">
        <f t="shared" si="27"/>
        <v>442</v>
      </c>
      <c r="AA451" s="9">
        <v>0</v>
      </c>
      <c r="AC451" s="9" t="str">
        <f t="shared" si="28"/>
        <v/>
      </c>
      <c r="AE451" s="44" t="str">
        <f t="shared" si="29"/>
        <v/>
      </c>
    </row>
    <row r="452" spans="1:31">
      <c r="A452" s="195"/>
      <c r="B452" s="52"/>
      <c r="C452" s="52" t="s">
        <v>160</v>
      </c>
      <c r="D452" s="52"/>
      <c r="E452" s="157"/>
      <c r="F452" s="157">
        <f>SUM(F450:F451)</f>
        <v>0</v>
      </c>
      <c r="G452" s="157">
        <f>SUM(G450:G451)</f>
        <v>0</v>
      </c>
      <c r="H452" s="157">
        <f>SUM(H450:H451)</f>
        <v>0</v>
      </c>
      <c r="I452" s="157">
        <f>SUM(I450:I451)</f>
        <v>0</v>
      </c>
      <c r="J452" s="9">
        <f>+I452-'ROR-Model'!I452</f>
        <v>0</v>
      </c>
      <c r="K452" s="9"/>
      <c r="L452" s="157"/>
      <c r="M452" s="157">
        <f>SUM(M450:M451)</f>
        <v>0</v>
      </c>
      <c r="N452" s="157">
        <f>SUM(N450:N451)</f>
        <v>0</v>
      </c>
      <c r="O452" s="136"/>
      <c r="P452" s="216"/>
      <c r="Q452" s="157">
        <f>SUM(Q450:Q451)</f>
        <v>0</v>
      </c>
      <c r="R452" s="157">
        <f>SUM(R450:R451)</f>
        <v>0</v>
      </c>
      <c r="S452" s="226"/>
      <c r="T452" s="157">
        <f>SUM(T450:T451)</f>
        <v>0</v>
      </c>
      <c r="U452" s="157">
        <f>SUM(U450:U451)</f>
        <v>0</v>
      </c>
      <c r="V452" s="140"/>
      <c r="W452" s="157">
        <f>HLOOKUP($W$9,'ROR-Model'!$Q$10:$U$1263,Y452)</f>
        <v>0</v>
      </c>
      <c r="X452" s="156"/>
      <c r="Y452" s="918">
        <f t="shared" si="27"/>
        <v>443</v>
      </c>
      <c r="AA452" s="157">
        <v>0</v>
      </c>
      <c r="AC452" s="157" t="str">
        <f t="shared" si="28"/>
        <v/>
      </c>
      <c r="AE452" s="44" t="str">
        <f t="shared" si="29"/>
        <v/>
      </c>
    </row>
    <row r="453" spans="1:31">
      <c r="A453" s="154"/>
      <c r="B453" s="49"/>
      <c r="C453" s="49"/>
      <c r="D453" s="49"/>
      <c r="E453" s="9"/>
      <c r="F453" s="9"/>
      <c r="G453" s="9"/>
      <c r="H453" s="9"/>
      <c r="I453" s="9"/>
      <c r="J453" s="9">
        <f>+I453-'ROR-Model'!I453</f>
        <v>0</v>
      </c>
      <c r="K453" s="9"/>
      <c r="L453" s="9"/>
      <c r="M453" s="9"/>
      <c r="N453" s="9"/>
      <c r="O453" s="136"/>
      <c r="P453" s="216"/>
      <c r="Q453" s="9"/>
      <c r="R453" s="9"/>
      <c r="S453" s="142"/>
      <c r="T453" s="9"/>
      <c r="U453" s="9"/>
      <c r="V453" s="140"/>
      <c r="W453" s="9"/>
      <c r="X453" s="156"/>
      <c r="Y453" s="918">
        <f t="shared" si="27"/>
        <v>444</v>
      </c>
      <c r="AA453" s="9"/>
      <c r="AC453" s="9" t="str">
        <f t="shared" si="28"/>
        <v/>
      </c>
      <c r="AE453" s="44" t="str">
        <f t="shared" si="29"/>
        <v/>
      </c>
    </row>
    <row r="454" spans="1:31">
      <c r="A454" s="154">
        <v>4891</v>
      </c>
      <c r="B454" s="172" t="s">
        <v>275</v>
      </c>
      <c r="C454" s="49"/>
      <c r="D454" s="49"/>
      <c r="E454" s="9"/>
      <c r="F454" s="9"/>
      <c r="G454" s="9"/>
      <c r="H454" s="9"/>
      <c r="I454" s="9"/>
      <c r="J454" s="9">
        <f>+I454-'ROR-Model'!I454</f>
        <v>0</v>
      </c>
      <c r="K454" s="9"/>
      <c r="L454" s="9"/>
      <c r="M454" s="9"/>
      <c r="N454" s="9"/>
      <c r="O454" s="136"/>
      <c r="P454" s="216"/>
      <c r="Q454" s="9"/>
      <c r="R454" s="9"/>
      <c r="S454" s="142"/>
      <c r="T454" s="9"/>
      <c r="U454" s="9"/>
      <c r="V454" s="140"/>
      <c r="W454" s="9"/>
      <c r="X454" s="156"/>
      <c r="Y454" s="918">
        <f t="shared" si="27"/>
        <v>445</v>
      </c>
      <c r="AA454" s="9"/>
      <c r="AC454" s="9" t="str">
        <f t="shared" si="28"/>
        <v/>
      </c>
      <c r="AE454" s="44" t="str">
        <f t="shared" si="29"/>
        <v/>
      </c>
    </row>
    <row r="455" spans="1:31">
      <c r="A455" s="154"/>
      <c r="B455" s="49"/>
      <c r="C455" s="49" t="s">
        <v>13</v>
      </c>
      <c r="D455" s="49"/>
      <c r="E455" s="357" t="s">
        <v>549</v>
      </c>
      <c r="F455" s="357">
        <f>'Other Rev'!$H$90</f>
        <v>0</v>
      </c>
      <c r="G455" s="9">
        <f>+Adjustments!U455</f>
        <v>0</v>
      </c>
      <c r="H455" s="9"/>
      <c r="I455" s="9">
        <f>SUM($F$455:$H$455)</f>
        <v>0</v>
      </c>
      <c r="J455" s="9">
        <f>+I455-'ROR-Model'!I455</f>
        <v>0</v>
      </c>
      <c r="K455" s="9"/>
      <c r="L455" s="9" t="s">
        <v>13</v>
      </c>
      <c r="M455" s="9">
        <f>VLOOKUP($L455,$L$2:$N$7,2,FALSE)*I455</f>
        <v>0</v>
      </c>
      <c r="N455" s="9">
        <f>VLOOKUP($L455,$L$2:$N$7,3,FALSE)*I455</f>
        <v>0</v>
      </c>
      <c r="O455" s="136"/>
      <c r="P455" s="216" t="s">
        <v>549</v>
      </c>
      <c r="Q455" s="9">
        <f>IF(P455="G",M455,IF(P455="PT",0,ERR))</f>
        <v>0</v>
      </c>
      <c r="R455" s="9">
        <f>IF(P455="PT",M455,IF(P455="G",0,ERR))</f>
        <v>0</v>
      </c>
      <c r="S455" s="142" t="s">
        <v>549</v>
      </c>
      <c r="T455" s="9">
        <f>IF(S455="G",N455,IF(S455="PT",0,ERR))</f>
        <v>0</v>
      </c>
      <c r="U455" s="9">
        <f>IF(S455="PT",N455,IF(S455="G",0,ERR))</f>
        <v>0</v>
      </c>
      <c r="V455" s="140"/>
      <c r="W455" s="9">
        <f>HLOOKUP($W$9,'ROR-Model'!$Q$10:$U$1263,Y455)</f>
        <v>0</v>
      </c>
      <c r="X455" s="156"/>
      <c r="Y455" s="918">
        <f t="shared" si="27"/>
        <v>446</v>
      </c>
      <c r="AA455" s="9">
        <v>0</v>
      </c>
      <c r="AC455" s="9" t="str">
        <f t="shared" si="28"/>
        <v/>
      </c>
      <c r="AE455" s="44" t="str">
        <f t="shared" si="29"/>
        <v/>
      </c>
    </row>
    <row r="456" spans="1:31">
      <c r="A456" s="154"/>
      <c r="B456" s="49"/>
      <c r="C456" s="49" t="s">
        <v>24</v>
      </c>
      <c r="D456" s="49"/>
      <c r="E456" s="357" t="s">
        <v>549</v>
      </c>
      <c r="F456" s="357">
        <f>'Other Rev'!$H$91</f>
        <v>0</v>
      </c>
      <c r="G456" s="9">
        <f>+Adjustments!U456</f>
        <v>0</v>
      </c>
      <c r="H456" s="9"/>
      <c r="I456" s="9">
        <f>SUM($F$456:$H$456)</f>
        <v>0</v>
      </c>
      <c r="J456" s="9">
        <f>+I456-'ROR-Model'!I456</f>
        <v>0</v>
      </c>
      <c r="K456" s="9"/>
      <c r="L456" s="9" t="s">
        <v>24</v>
      </c>
      <c r="M456" s="9">
        <f>VLOOKUP($L456,$L$2:$N$7,2,FALSE)*I456</f>
        <v>0</v>
      </c>
      <c r="N456" s="9">
        <f>VLOOKUP($L456,$L$2:$N$7,3,FALSE)*I456</f>
        <v>0</v>
      </c>
      <c r="O456" s="136"/>
      <c r="P456" s="216" t="s">
        <v>549</v>
      </c>
      <c r="Q456" s="9">
        <f>IF(P456="G",M456,IF(P456="PT",0,ERR))</f>
        <v>0</v>
      </c>
      <c r="R456" s="9">
        <f>IF(P456="PT",M456,IF(P456="G",0,ERR))</f>
        <v>0</v>
      </c>
      <c r="S456" s="142" t="s">
        <v>549</v>
      </c>
      <c r="T456" s="9">
        <f>IF(S456="G",N456,IF(S456="PT",0,ERR))</f>
        <v>0</v>
      </c>
      <c r="U456" s="9">
        <f>IF(S456="PT",N456,IF(S456="G",0,ERR))</f>
        <v>0</v>
      </c>
      <c r="V456" s="140"/>
      <c r="W456" s="9">
        <f>HLOOKUP($W$9,'ROR-Model'!$Q$10:$U$1263,Y456)</f>
        <v>0</v>
      </c>
      <c r="X456" s="156"/>
      <c r="Y456" s="918">
        <f t="shared" si="27"/>
        <v>447</v>
      </c>
      <c r="AA456" s="9">
        <v>0</v>
      </c>
      <c r="AC456" s="9" t="str">
        <f t="shared" si="28"/>
        <v/>
      </c>
      <c r="AE456" s="44" t="str">
        <f t="shared" si="29"/>
        <v/>
      </c>
    </row>
    <row r="457" spans="1:31">
      <c r="A457" s="154"/>
      <c r="B457" s="49"/>
      <c r="C457" s="49" t="s">
        <v>160</v>
      </c>
      <c r="D457" s="49"/>
      <c r="E457" s="157"/>
      <c r="F457" s="157">
        <f>SUM(F455:F456)</f>
        <v>0</v>
      </c>
      <c r="G457" s="157">
        <f>SUM(G455:G456)</f>
        <v>0</v>
      </c>
      <c r="H457" s="157">
        <f>SUM(H455:H456)</f>
        <v>0</v>
      </c>
      <c r="I457" s="157">
        <f>SUM(I455:I456)</f>
        <v>0</v>
      </c>
      <c r="J457" s="9">
        <f>+I457-'ROR-Model'!I457</f>
        <v>0</v>
      </c>
      <c r="K457" s="9"/>
      <c r="L457" s="157"/>
      <c r="M457" s="157">
        <f>SUM(M455:M456)</f>
        <v>0</v>
      </c>
      <c r="N457" s="157">
        <f>SUM(N455:N456)</f>
        <v>0</v>
      </c>
      <c r="O457" s="136"/>
      <c r="P457" s="216"/>
      <c r="Q457" s="157">
        <f>SUM(Q455:Q456)</f>
        <v>0</v>
      </c>
      <c r="R457" s="157">
        <f>SUM(R455:R456)</f>
        <v>0</v>
      </c>
      <c r="S457" s="226"/>
      <c r="T457" s="157">
        <f>SUM(T455:T456)</f>
        <v>0</v>
      </c>
      <c r="U457" s="157">
        <f>SUM(U455:U456)</f>
        <v>0</v>
      </c>
      <c r="V457" s="140"/>
      <c r="W457" s="157">
        <f>HLOOKUP($W$9,'ROR-Model'!$Q$10:$U$1263,Y457)</f>
        <v>0</v>
      </c>
      <c r="X457" s="156"/>
      <c r="Y457" s="918">
        <f t="shared" si="27"/>
        <v>448</v>
      </c>
      <c r="AA457" s="157">
        <v>0</v>
      </c>
      <c r="AC457" s="157" t="str">
        <f t="shared" si="28"/>
        <v/>
      </c>
      <c r="AE457" s="44" t="str">
        <f t="shared" si="29"/>
        <v/>
      </c>
    </row>
    <row r="458" spans="1:31">
      <c r="A458" s="154"/>
      <c r="B458" s="49"/>
      <c r="C458" s="49"/>
      <c r="D458" s="49"/>
      <c r="E458" s="9"/>
      <c r="F458" s="9"/>
      <c r="G458" s="9"/>
      <c r="H458" s="9"/>
      <c r="I458" s="9"/>
      <c r="J458" s="9">
        <f>+I458-'ROR-Model'!I458</f>
        <v>0</v>
      </c>
      <c r="K458" s="9"/>
      <c r="L458" s="9"/>
      <c r="M458" s="9"/>
      <c r="N458" s="9"/>
      <c r="O458" s="136"/>
      <c r="P458" s="216"/>
      <c r="Q458" s="9"/>
      <c r="R458" s="9"/>
      <c r="S458" s="142"/>
      <c r="T458" s="9"/>
      <c r="U458" s="9"/>
      <c r="V458" s="140"/>
      <c r="W458" s="9"/>
      <c r="X458" s="156"/>
      <c r="Y458" s="918">
        <f t="shared" si="27"/>
        <v>449</v>
      </c>
      <c r="AA458" s="9"/>
      <c r="AC458" s="9" t="str">
        <f t="shared" si="28"/>
        <v/>
      </c>
      <c r="AE458" s="44" t="str">
        <f t="shared" si="29"/>
        <v/>
      </c>
    </row>
    <row r="459" spans="1:31">
      <c r="A459" s="154">
        <v>490</v>
      </c>
      <c r="B459" s="49" t="s">
        <v>314</v>
      </c>
      <c r="C459" s="49"/>
      <c r="D459" s="49"/>
      <c r="E459" s="9"/>
      <c r="F459" s="9"/>
      <c r="G459" s="9"/>
      <c r="H459" s="9"/>
      <c r="I459" s="9"/>
      <c r="J459" s="9">
        <f>+I459-'ROR-Model'!I459</f>
        <v>0</v>
      </c>
      <c r="K459" s="9"/>
      <c r="L459" s="9"/>
      <c r="M459" s="9"/>
      <c r="N459" s="9"/>
      <c r="O459" s="136"/>
      <c r="P459" s="216"/>
      <c r="Q459" s="9"/>
      <c r="R459" s="9"/>
      <c r="S459" s="142"/>
      <c r="T459" s="9"/>
      <c r="U459" s="9"/>
      <c r="V459" s="140"/>
      <c r="W459" s="9"/>
      <c r="X459" s="156"/>
      <c r="Y459" s="918">
        <f t="shared" si="27"/>
        <v>450</v>
      </c>
      <c r="AA459" s="9"/>
      <c r="AC459" s="9" t="str">
        <f t="shared" si="28"/>
        <v/>
      </c>
      <c r="AE459" s="44" t="str">
        <f t="shared" si="29"/>
        <v/>
      </c>
    </row>
    <row r="460" spans="1:31">
      <c r="A460" s="154"/>
      <c r="B460" s="49"/>
      <c r="C460" s="49" t="s">
        <v>13</v>
      </c>
      <c r="D460" s="49"/>
      <c r="E460" s="357" t="s">
        <v>548</v>
      </c>
      <c r="F460" s="357">
        <f>'Other Rev'!$H$95</f>
        <v>5277157.1893031001</v>
      </c>
      <c r="G460" s="9">
        <f>+Adjustments!U460</f>
        <v>0</v>
      </c>
      <c r="H460" s="9"/>
      <c r="I460" s="9">
        <f>SUM($F$460:$H$460)</f>
        <v>5277157.1893031001</v>
      </c>
      <c r="J460" s="9">
        <f>+I460-'ROR-Model'!I460</f>
        <v>0</v>
      </c>
      <c r="K460" s="9"/>
      <c r="L460" s="9" t="s">
        <v>13</v>
      </c>
      <c r="M460" s="9">
        <f>VLOOKUP($L460,$L$2:$N$7,2,FALSE)*I460</f>
        <v>5277157.1893031001</v>
      </c>
      <c r="N460" s="9">
        <f>VLOOKUP($L460,$L$2:$N$7,3,FALSE)*I460</f>
        <v>0</v>
      </c>
      <c r="O460" s="136"/>
      <c r="P460" s="216" t="s">
        <v>548</v>
      </c>
      <c r="Q460" s="9">
        <f>IF(P460="G",M460,IF(P460="PT",0,ERR))</f>
        <v>0</v>
      </c>
      <c r="R460" s="9">
        <f>IF(P460="PT",M460,IF(P460="G",0,ERR))</f>
        <v>5277157.1893031001</v>
      </c>
      <c r="S460" s="142" t="s">
        <v>548</v>
      </c>
      <c r="T460" s="9">
        <f>IF(S460="G",N460,IF(S460="PT",0,ERR))</f>
        <v>0</v>
      </c>
      <c r="U460" s="9">
        <f>IF(S460="PT",N460,IF(S460="G",0,ERR))</f>
        <v>0</v>
      </c>
      <c r="V460" s="140"/>
      <c r="W460" s="9">
        <f>HLOOKUP($W$9,'ROR-Model'!$Q$10:$U$1263,Y460)</f>
        <v>0</v>
      </c>
      <c r="X460" s="156"/>
      <c r="Y460" s="918">
        <f t="shared" si="27"/>
        <v>451</v>
      </c>
      <c r="AA460" s="9">
        <v>0</v>
      </c>
      <c r="AC460" s="9" t="str">
        <f t="shared" si="28"/>
        <v/>
      </c>
      <c r="AE460" s="44" t="str">
        <f t="shared" si="29"/>
        <v/>
      </c>
    </row>
    <row r="461" spans="1:31">
      <c r="A461" s="154"/>
      <c r="B461" s="49"/>
      <c r="C461" s="49" t="s">
        <v>24</v>
      </c>
      <c r="D461" s="49"/>
      <c r="E461" s="357" t="s">
        <v>548</v>
      </c>
      <c r="F461" s="357">
        <f>'Other Rev'!$H$96</f>
        <v>179117.15069690009</v>
      </c>
      <c r="G461" s="9">
        <f>+Adjustments!U461</f>
        <v>0</v>
      </c>
      <c r="H461" s="9"/>
      <c r="I461" s="9">
        <f>SUM($F$461:$H$461)</f>
        <v>179117.15069690009</v>
      </c>
      <c r="J461" s="9">
        <f>+I461-'ROR-Model'!I461</f>
        <v>0</v>
      </c>
      <c r="K461" s="9"/>
      <c r="L461" s="9" t="s">
        <v>24</v>
      </c>
      <c r="M461" s="9">
        <f>VLOOKUP($L461,$L$2:$N$7,2,FALSE)*I461</f>
        <v>0</v>
      </c>
      <c r="N461" s="9">
        <f>VLOOKUP($L461,$L$2:$N$7,3,FALSE)*I461</f>
        <v>179117.15069690009</v>
      </c>
      <c r="O461" s="136"/>
      <c r="P461" s="216" t="s">
        <v>548</v>
      </c>
      <c r="Q461" s="9">
        <f>IF(P461="G",M461,IF(P461="PT",0,ERR))</f>
        <v>0</v>
      </c>
      <c r="R461" s="9">
        <f>IF(P461="PT",M461,IF(P461="G",0,ERR))</f>
        <v>0</v>
      </c>
      <c r="S461" s="216" t="s">
        <v>548</v>
      </c>
      <c r="T461" s="9">
        <f>IF(S461="G",N461,IF(S461="PT",0,ERR))</f>
        <v>0</v>
      </c>
      <c r="U461" s="9">
        <f>IF(S461="PT",N461,IF(S461="G",0,ERR))</f>
        <v>179117.15069690009</v>
      </c>
      <c r="V461" s="140"/>
      <c r="W461" s="9">
        <f>HLOOKUP($W$9,'ROR-Model'!$Q$10:$U$1263,Y461)</f>
        <v>0</v>
      </c>
      <c r="X461" s="156"/>
      <c r="Y461" s="918">
        <f t="shared" si="27"/>
        <v>452</v>
      </c>
      <c r="AA461" s="9">
        <v>0</v>
      </c>
      <c r="AC461" s="9" t="str">
        <f t="shared" si="28"/>
        <v/>
      </c>
      <c r="AE461" s="44" t="str">
        <f t="shared" si="29"/>
        <v/>
      </c>
    </row>
    <row r="462" spans="1:31">
      <c r="A462" s="154"/>
      <c r="B462" s="49"/>
      <c r="C462" s="49" t="s">
        <v>160</v>
      </c>
      <c r="D462" s="49"/>
      <c r="E462" s="157"/>
      <c r="F462" s="157">
        <f>SUM(F460:F461)</f>
        <v>5456274.3399999999</v>
      </c>
      <c r="G462" s="157">
        <f>SUM(G460:G461)</f>
        <v>0</v>
      </c>
      <c r="H462" s="157">
        <f>SUM(H460:H461)</f>
        <v>0</v>
      </c>
      <c r="I462" s="157">
        <f>SUM(I460:I461)</f>
        <v>5456274.3399999999</v>
      </c>
      <c r="J462" s="9">
        <f>+I462-'ROR-Model'!I462</f>
        <v>0</v>
      </c>
      <c r="K462" s="9"/>
      <c r="L462" s="157"/>
      <c r="M462" s="157">
        <f>SUM(M460:M461)</f>
        <v>5277157.1893031001</v>
      </c>
      <c r="N462" s="157">
        <f>SUM(N460:N461)</f>
        <v>179117.15069690009</v>
      </c>
      <c r="O462" s="136"/>
      <c r="P462" s="216"/>
      <c r="Q462" s="157">
        <f>SUM(Q460:Q461)</f>
        <v>0</v>
      </c>
      <c r="R462" s="157">
        <f>SUM(R460:R461)</f>
        <v>5277157.1893031001</v>
      </c>
      <c r="S462" s="226"/>
      <c r="T462" s="157">
        <f>SUM(T460:T461)</f>
        <v>0</v>
      </c>
      <c r="U462" s="157">
        <f>SUM(U460:U461)</f>
        <v>179117.15069690009</v>
      </c>
      <c r="V462" s="140"/>
      <c r="W462" s="157">
        <f>HLOOKUP($W$9,'ROR-Model'!$Q$10:$U$1263,Y462)</f>
        <v>0</v>
      </c>
      <c r="X462" s="156"/>
      <c r="Y462" s="918">
        <f t="shared" ref="Y462:Y525" si="30">Y461+1</f>
        <v>453</v>
      </c>
      <c r="AA462" s="157">
        <v>0</v>
      </c>
      <c r="AC462" s="157" t="str">
        <f t="shared" si="28"/>
        <v/>
      </c>
      <c r="AE462" s="44" t="str">
        <f t="shared" si="29"/>
        <v/>
      </c>
    </row>
    <row r="463" spans="1:31">
      <c r="A463" s="154"/>
      <c r="B463" s="49"/>
      <c r="C463" s="49"/>
      <c r="D463" s="49"/>
      <c r="E463" s="9"/>
      <c r="F463" s="9"/>
      <c r="G463" s="9"/>
      <c r="H463" s="9"/>
      <c r="I463" s="9"/>
      <c r="J463" s="9">
        <f>+I463-'ROR-Model'!I463</f>
        <v>0</v>
      </c>
      <c r="K463" s="9"/>
      <c r="L463" s="9"/>
      <c r="M463" s="9"/>
      <c r="N463" s="9"/>
      <c r="O463" s="136"/>
      <c r="P463" s="216"/>
      <c r="Q463" s="9"/>
      <c r="R463" s="9"/>
      <c r="S463" s="142"/>
      <c r="T463" s="9"/>
      <c r="U463" s="9"/>
      <c r="V463" s="140"/>
      <c r="W463" s="9"/>
      <c r="X463" s="156"/>
      <c r="Y463" s="918">
        <f t="shared" si="30"/>
        <v>454</v>
      </c>
      <c r="AA463" s="9"/>
      <c r="AC463" s="9" t="str">
        <f t="shared" si="28"/>
        <v/>
      </c>
      <c r="AE463" s="44" t="str">
        <f t="shared" si="29"/>
        <v/>
      </c>
    </row>
    <row r="464" spans="1:31">
      <c r="A464" s="154">
        <v>491</v>
      </c>
      <c r="B464" s="49" t="s">
        <v>315</v>
      </c>
      <c r="C464" s="49"/>
      <c r="D464" s="49"/>
      <c r="E464" s="9"/>
      <c r="F464" s="9"/>
      <c r="G464" s="9"/>
      <c r="H464" s="9"/>
      <c r="I464" s="9"/>
      <c r="J464" s="9">
        <f>+I464-'ROR-Model'!I464</f>
        <v>0</v>
      </c>
      <c r="K464" s="9"/>
      <c r="L464" s="9"/>
      <c r="M464" s="9"/>
      <c r="N464" s="9"/>
      <c r="O464" s="136"/>
      <c r="P464" s="216"/>
      <c r="Q464" s="9"/>
      <c r="R464" s="9"/>
      <c r="S464" s="142"/>
      <c r="T464" s="9"/>
      <c r="U464" s="9"/>
      <c r="V464" s="140"/>
      <c r="W464" s="9"/>
      <c r="X464" s="156"/>
      <c r="Y464" s="918">
        <f t="shared" si="30"/>
        <v>455</v>
      </c>
      <c r="AA464" s="9"/>
      <c r="AC464" s="9" t="str">
        <f t="shared" si="28"/>
        <v/>
      </c>
      <c r="AE464" s="44" t="str">
        <f t="shared" si="29"/>
        <v/>
      </c>
    </row>
    <row r="465" spans="1:31">
      <c r="A465" s="154"/>
      <c r="B465" s="49"/>
      <c r="C465" s="49" t="s">
        <v>13</v>
      </c>
      <c r="D465" s="49"/>
      <c r="E465" s="357" t="s">
        <v>548</v>
      </c>
      <c r="F465" s="357">
        <f>'Other Rev'!$H$100</f>
        <v>0</v>
      </c>
      <c r="G465" s="9">
        <f>+Adjustments!U465</f>
        <v>0</v>
      </c>
      <c r="H465" s="9"/>
      <c r="I465" s="9">
        <f>SUM($F$465:$H$465)</f>
        <v>0</v>
      </c>
      <c r="J465" s="9">
        <f>+I465-'ROR-Model'!I465</f>
        <v>0</v>
      </c>
      <c r="K465" s="9"/>
      <c r="L465" s="9" t="s">
        <v>13</v>
      </c>
      <c r="M465" s="9">
        <f>VLOOKUP($L465,$L$2:$N$7,2,FALSE)*I465</f>
        <v>0</v>
      </c>
      <c r="N465" s="9">
        <f>VLOOKUP($L465,$L$2:$N$7,3,FALSE)*I465</f>
        <v>0</v>
      </c>
      <c r="O465" s="136"/>
      <c r="P465" s="216" t="s">
        <v>548</v>
      </c>
      <c r="Q465" s="9">
        <f>IF(P465="G",M465,IF(P465="PT",0,ERR))</f>
        <v>0</v>
      </c>
      <c r="R465" s="9">
        <f>IF(P465="PT",M465,IF(P465="G",0,ERR))</f>
        <v>0</v>
      </c>
      <c r="S465" s="142" t="s">
        <v>548</v>
      </c>
      <c r="T465" s="9">
        <f>IF(S465="G",N465,IF(S465="PT",0,ERR))</f>
        <v>0</v>
      </c>
      <c r="U465" s="9">
        <f>IF(S465="PT",N465,IF(S465="G",0,ERR))</f>
        <v>0</v>
      </c>
      <c r="V465" s="140"/>
      <c r="W465" s="9">
        <f>HLOOKUP($W$9,'ROR-Model'!$Q$10:$U$1263,Y465)</f>
        <v>0</v>
      </c>
      <c r="X465" s="156"/>
      <c r="Y465" s="918">
        <f t="shared" si="30"/>
        <v>456</v>
      </c>
      <c r="AA465" s="9">
        <v>0</v>
      </c>
      <c r="AC465" s="9" t="str">
        <f t="shared" ref="AC465:AC528" si="31">IF(ABS(AA465)&gt;0,W465-AA465,"")</f>
        <v/>
      </c>
      <c r="AE465" s="44" t="str">
        <f t="shared" si="29"/>
        <v/>
      </c>
    </row>
    <row r="466" spans="1:31">
      <c r="A466" s="154"/>
      <c r="B466" s="49"/>
      <c r="C466" s="49" t="s">
        <v>24</v>
      </c>
      <c r="D466" s="49"/>
      <c r="E466" s="357" t="s">
        <v>549</v>
      </c>
      <c r="F466" s="357">
        <f>'Other Rev'!$H$101</f>
        <v>0</v>
      </c>
      <c r="G466" s="9">
        <f>+Adjustments!U466</f>
        <v>0</v>
      </c>
      <c r="H466" s="9"/>
      <c r="I466" s="9">
        <f>SUM($F$466:$H$466)</f>
        <v>0</v>
      </c>
      <c r="J466" s="9">
        <f>+I466-'ROR-Model'!I466</f>
        <v>0</v>
      </c>
      <c r="K466" s="9"/>
      <c r="L466" s="9" t="s">
        <v>24</v>
      </c>
      <c r="M466" s="9">
        <f>VLOOKUP($L466,$L$2:$N$7,2,FALSE)*I466</f>
        <v>0</v>
      </c>
      <c r="N466" s="9">
        <f>VLOOKUP($L466,$L$2:$N$7,3,FALSE)*I466</f>
        <v>0</v>
      </c>
      <c r="O466" s="136"/>
      <c r="P466" s="216" t="s">
        <v>549</v>
      </c>
      <c r="Q466" s="9">
        <f>IF(P466="G",M466,IF(P466="PT",0,ERR))</f>
        <v>0</v>
      </c>
      <c r="R466" s="9">
        <f>IF(P466="PT",M466,IF(P466="G",0,ERR))</f>
        <v>0</v>
      </c>
      <c r="S466" s="142" t="s">
        <v>549</v>
      </c>
      <c r="T466" s="9">
        <f>IF(S466="G",N466,IF(S466="PT",0,ERR))</f>
        <v>0</v>
      </c>
      <c r="U466" s="9">
        <f>IF(S466="PT",N466,IF(S466="G",0,ERR))</f>
        <v>0</v>
      </c>
      <c r="V466" s="140"/>
      <c r="W466" s="9">
        <f>HLOOKUP($W$9,'ROR-Model'!$Q$10:$U$1263,Y466)</f>
        <v>0</v>
      </c>
      <c r="X466" s="156"/>
      <c r="Y466" s="918">
        <f t="shared" si="30"/>
        <v>457</v>
      </c>
      <c r="AA466" s="9">
        <v>0</v>
      </c>
      <c r="AC466" s="9" t="str">
        <f t="shared" si="31"/>
        <v/>
      </c>
      <c r="AE466" s="44" t="str">
        <f t="shared" ref="AE466:AE529" si="32">IF(ABS(AA466)&gt;0,AC466/AA466,"")</f>
        <v/>
      </c>
    </row>
    <row r="467" spans="1:31">
      <c r="A467" s="154"/>
      <c r="B467" s="49"/>
      <c r="C467" s="49" t="s">
        <v>160</v>
      </c>
      <c r="D467" s="49"/>
      <c r="E467" s="157"/>
      <c r="F467" s="157">
        <f>SUM(F465:F466)</f>
        <v>0</v>
      </c>
      <c r="G467" s="157">
        <f>SUM(G465:G466)</f>
        <v>0</v>
      </c>
      <c r="H467" s="157">
        <f>SUM(H465:H466)</f>
        <v>0</v>
      </c>
      <c r="I467" s="157">
        <f>SUM(I465:I466)</f>
        <v>0</v>
      </c>
      <c r="J467" s="9">
        <f>+I467-'ROR-Model'!I467</f>
        <v>0</v>
      </c>
      <c r="K467" s="9"/>
      <c r="L467" s="157"/>
      <c r="M467" s="157">
        <f>SUM(M465:M466)</f>
        <v>0</v>
      </c>
      <c r="N467" s="157">
        <f>SUM(N465:N466)</f>
        <v>0</v>
      </c>
      <c r="O467" s="136"/>
      <c r="P467" s="216"/>
      <c r="Q467" s="157">
        <f>SUM(Q465:Q466)</f>
        <v>0</v>
      </c>
      <c r="R467" s="157">
        <f>SUM(R465:R466)</f>
        <v>0</v>
      </c>
      <c r="S467" s="226"/>
      <c r="T467" s="157">
        <f>SUM(T465:T466)</f>
        <v>0</v>
      </c>
      <c r="U467" s="157">
        <f>SUM(U465:U466)</f>
        <v>0</v>
      </c>
      <c r="V467" s="140"/>
      <c r="W467" s="157">
        <f>HLOOKUP($W$9,'ROR-Model'!$Q$10:$U$1263,Y467)</f>
        <v>0</v>
      </c>
      <c r="X467" s="156"/>
      <c r="Y467" s="918">
        <f t="shared" si="30"/>
        <v>458</v>
      </c>
      <c r="AA467" s="157">
        <v>0</v>
      </c>
      <c r="AC467" s="157" t="str">
        <f t="shared" si="31"/>
        <v/>
      </c>
      <c r="AE467" s="44" t="str">
        <f t="shared" si="32"/>
        <v/>
      </c>
    </row>
    <row r="468" spans="1:31">
      <c r="A468" s="154"/>
      <c r="B468" s="49"/>
      <c r="C468" s="49"/>
      <c r="D468" s="49"/>
      <c r="E468" s="9"/>
      <c r="F468" s="9"/>
      <c r="G468" s="9"/>
      <c r="H468" s="9"/>
      <c r="I468" s="9"/>
      <c r="J468" s="9">
        <f>+I468-'ROR-Model'!I468</f>
        <v>0</v>
      </c>
      <c r="K468" s="9"/>
      <c r="L468" s="9"/>
      <c r="M468" s="9"/>
      <c r="N468" s="9"/>
      <c r="O468" s="136"/>
      <c r="P468" s="216"/>
      <c r="Q468" s="9"/>
      <c r="R468" s="9"/>
      <c r="S468" s="142"/>
      <c r="T468" s="9"/>
      <c r="U468" s="9"/>
      <c r="V468" s="140"/>
      <c r="W468" s="9"/>
      <c r="X468" s="156"/>
      <c r="Y468" s="918">
        <f t="shared" si="30"/>
        <v>459</v>
      </c>
      <c r="AA468" s="9"/>
      <c r="AC468" s="9" t="str">
        <f t="shared" si="31"/>
        <v/>
      </c>
      <c r="AE468" s="44" t="str">
        <f t="shared" si="32"/>
        <v/>
      </c>
    </row>
    <row r="469" spans="1:31">
      <c r="A469" s="154">
        <v>492</v>
      </c>
      <c r="B469" s="49" t="s">
        <v>316</v>
      </c>
      <c r="C469" s="49"/>
      <c r="D469" s="49"/>
      <c r="E469" s="9"/>
      <c r="F469" s="9"/>
      <c r="G469" s="9"/>
      <c r="H469" s="9"/>
      <c r="I469" s="9"/>
      <c r="J469" s="9">
        <f>+I469-'ROR-Model'!I469</f>
        <v>0</v>
      </c>
      <c r="K469" s="9"/>
      <c r="L469" s="9"/>
      <c r="M469" s="9"/>
      <c r="N469" s="9"/>
      <c r="O469" s="136"/>
      <c r="P469" s="216"/>
      <c r="Q469" s="9"/>
      <c r="R469" s="9"/>
      <c r="S469" s="142"/>
      <c r="T469" s="9"/>
      <c r="U469" s="9"/>
      <c r="V469" s="140"/>
      <c r="W469" s="9"/>
      <c r="X469" s="156"/>
      <c r="Y469" s="918">
        <f t="shared" si="30"/>
        <v>460</v>
      </c>
      <c r="AA469" s="9"/>
      <c r="AC469" s="9" t="str">
        <f t="shared" si="31"/>
        <v/>
      </c>
      <c r="AE469" s="44" t="str">
        <f t="shared" si="32"/>
        <v/>
      </c>
    </row>
    <row r="470" spans="1:31">
      <c r="A470" s="154"/>
      <c r="B470" s="49"/>
      <c r="C470" s="49" t="s">
        <v>13</v>
      </c>
      <c r="D470" s="49"/>
      <c r="E470" s="357" t="s">
        <v>548</v>
      </c>
      <c r="F470" s="357">
        <f>'Other Rev'!$H$105</f>
        <v>1746447.8848289</v>
      </c>
      <c r="G470" s="9">
        <f>+Adjustments!U470</f>
        <v>0</v>
      </c>
      <c r="H470" s="9"/>
      <c r="I470" s="9">
        <f>SUM($F$470:$H$470)</f>
        <v>1746447.8848289</v>
      </c>
      <c r="J470" s="9">
        <f>+I470-'ROR-Model'!I470</f>
        <v>0</v>
      </c>
      <c r="K470" s="9"/>
      <c r="L470" s="9" t="s">
        <v>13</v>
      </c>
      <c r="M470" s="9">
        <f>VLOOKUP($L470,$L$2:$N$7,2,FALSE)*I470</f>
        <v>1746447.8848289</v>
      </c>
      <c r="N470" s="9">
        <f>VLOOKUP($L470,$L$2:$N$7,3,FALSE)*I470</f>
        <v>0</v>
      </c>
      <c r="O470" s="136"/>
      <c r="P470" s="216" t="s">
        <v>548</v>
      </c>
      <c r="Q470" s="9">
        <f>IF(P470="G",M470,IF(P470="PT",0,ERR))</f>
        <v>0</v>
      </c>
      <c r="R470" s="9">
        <f>IF(P470="PT",M470,IF(P470="G",0,ERR))</f>
        <v>1746447.8848289</v>
      </c>
      <c r="S470" s="142" t="s">
        <v>548</v>
      </c>
      <c r="T470" s="9">
        <f>IF(S470="G",N470,IF(S470="PT",0,ERR))</f>
        <v>0</v>
      </c>
      <c r="U470" s="9">
        <f>IF(S470="PT",N470,IF(S470="G",0,ERR))</f>
        <v>0</v>
      </c>
      <c r="V470" s="140"/>
      <c r="W470" s="9">
        <f>HLOOKUP($W$9,'ROR-Model'!$Q$10:$U$1263,Y470)</f>
        <v>0</v>
      </c>
      <c r="X470" s="156"/>
      <c r="Y470" s="918">
        <f t="shared" si="30"/>
        <v>461</v>
      </c>
      <c r="AA470" s="9">
        <v>0</v>
      </c>
      <c r="AC470" s="9" t="str">
        <f t="shared" si="31"/>
        <v/>
      </c>
      <c r="AE470" s="44" t="str">
        <f t="shared" si="32"/>
        <v/>
      </c>
    </row>
    <row r="471" spans="1:31">
      <c r="A471" s="154"/>
      <c r="B471" s="49"/>
      <c r="C471" s="49" t="s">
        <v>24</v>
      </c>
      <c r="D471" s="49"/>
      <c r="E471" s="357" t="s">
        <v>548</v>
      </c>
      <c r="F471" s="357">
        <f>'Other Rev'!$H$106</f>
        <v>62998.605171099989</v>
      </c>
      <c r="G471" s="9">
        <f>+Adjustments!U471</f>
        <v>0</v>
      </c>
      <c r="H471" s="9"/>
      <c r="I471" s="9">
        <f>SUM($F$471:$H$471)</f>
        <v>62998.605171099989</v>
      </c>
      <c r="J471" s="9">
        <f>+I471-'ROR-Model'!I471</f>
        <v>0</v>
      </c>
      <c r="K471" s="9"/>
      <c r="L471" s="9" t="s">
        <v>24</v>
      </c>
      <c r="M471" s="9">
        <f>VLOOKUP($L471,$L$2:$N$7,2,FALSE)*I471</f>
        <v>0</v>
      </c>
      <c r="N471" s="9">
        <f>VLOOKUP($L471,$L$2:$N$7,3,FALSE)*I471</f>
        <v>62998.605171099989</v>
      </c>
      <c r="O471" s="136"/>
      <c r="P471" s="216" t="s">
        <v>548</v>
      </c>
      <c r="Q471" s="9">
        <f>IF(P471="G",M471,IF(P471="PT",0,ERR))</f>
        <v>0</v>
      </c>
      <c r="R471" s="9">
        <f>IF(P471="PT",M471,IF(P471="G",0,ERR))</f>
        <v>0</v>
      </c>
      <c r="S471" s="216" t="s">
        <v>548</v>
      </c>
      <c r="T471" s="9">
        <f>IF(S471="G",N471,IF(S471="PT",0,ERR))</f>
        <v>0</v>
      </c>
      <c r="U471" s="9">
        <f>IF(S471="PT",N471,IF(S471="G",0,ERR))</f>
        <v>62998.605171099989</v>
      </c>
      <c r="V471" s="140"/>
      <c r="W471" s="9">
        <f>HLOOKUP($W$9,'ROR-Model'!$Q$10:$U$1263,Y471)</f>
        <v>0</v>
      </c>
      <c r="X471" s="156"/>
      <c r="Y471" s="918">
        <f t="shared" si="30"/>
        <v>462</v>
      </c>
      <c r="AA471" s="9">
        <v>0</v>
      </c>
      <c r="AC471" s="9" t="str">
        <f t="shared" si="31"/>
        <v/>
      </c>
      <c r="AE471" s="44" t="str">
        <f t="shared" si="32"/>
        <v/>
      </c>
    </row>
    <row r="472" spans="1:31">
      <c r="A472" s="154"/>
      <c r="B472" s="49"/>
      <c r="C472" s="49" t="s">
        <v>160</v>
      </c>
      <c r="D472" s="49"/>
      <c r="E472" s="157"/>
      <c r="F472" s="157">
        <f>SUM(F470:F471)</f>
        <v>1809446.49</v>
      </c>
      <c r="G472" s="157">
        <f>SUM(G470:G471)</f>
        <v>0</v>
      </c>
      <c r="H472" s="157">
        <f>SUM(H470:H471)</f>
        <v>0</v>
      </c>
      <c r="I472" s="157">
        <f>SUM(I470:I471)</f>
        <v>1809446.49</v>
      </c>
      <c r="J472" s="9">
        <f>+I472-'ROR-Model'!I472</f>
        <v>0</v>
      </c>
      <c r="K472" s="9"/>
      <c r="L472" s="157"/>
      <c r="M472" s="157">
        <f>SUM(M470:M471)</f>
        <v>1746447.8848289</v>
      </c>
      <c r="N472" s="157">
        <f>SUM(N470:N471)</f>
        <v>62998.605171099989</v>
      </c>
      <c r="O472" s="136"/>
      <c r="P472" s="216"/>
      <c r="Q472" s="157">
        <f>SUM(Q470:Q471)</f>
        <v>0</v>
      </c>
      <c r="R472" s="157">
        <f>SUM(R470:R471)</f>
        <v>1746447.8848289</v>
      </c>
      <c r="S472" s="226"/>
      <c r="T472" s="157">
        <f>SUM(T470:T471)</f>
        <v>0</v>
      </c>
      <c r="U472" s="157">
        <f>SUM(U470:U471)</f>
        <v>62998.605171099989</v>
      </c>
      <c r="V472" s="140"/>
      <c r="W472" s="157">
        <f>HLOOKUP($W$9,'ROR-Model'!$Q$10:$U$1263,Y472)</f>
        <v>0</v>
      </c>
      <c r="X472" s="156"/>
      <c r="Y472" s="918">
        <f t="shared" si="30"/>
        <v>463</v>
      </c>
      <c r="AA472" s="157">
        <v>0</v>
      </c>
      <c r="AC472" s="157" t="str">
        <f t="shared" si="31"/>
        <v/>
      </c>
      <c r="AE472" s="44" t="str">
        <f t="shared" si="32"/>
        <v/>
      </c>
    </row>
    <row r="473" spans="1:31">
      <c r="A473" s="154"/>
      <c r="B473" s="49"/>
      <c r="C473" s="49"/>
      <c r="D473" s="49"/>
      <c r="E473" s="9"/>
      <c r="F473" s="9"/>
      <c r="G473" s="9"/>
      <c r="H473" s="9"/>
      <c r="I473" s="9"/>
      <c r="J473" s="9">
        <f>+I473-'ROR-Model'!I473</f>
        <v>0</v>
      </c>
      <c r="K473" s="9"/>
      <c r="L473" s="9"/>
      <c r="M473" s="9"/>
      <c r="N473" s="9"/>
      <c r="O473" s="136"/>
      <c r="P473" s="216"/>
      <c r="Q473" s="9"/>
      <c r="R473" s="9"/>
      <c r="S473" s="142"/>
      <c r="T473" s="9"/>
      <c r="U473" s="9"/>
      <c r="V473" s="140"/>
      <c r="W473" s="9"/>
      <c r="X473" s="156"/>
      <c r="Y473" s="918">
        <f t="shared" si="30"/>
        <v>464</v>
      </c>
      <c r="AA473" s="9"/>
      <c r="AC473" s="9" t="str">
        <f t="shared" si="31"/>
        <v/>
      </c>
      <c r="AE473" s="44" t="str">
        <f t="shared" si="32"/>
        <v/>
      </c>
    </row>
    <row r="474" spans="1:31">
      <c r="A474" s="154">
        <v>493</v>
      </c>
      <c r="B474" s="49" t="s">
        <v>317</v>
      </c>
      <c r="C474" s="49"/>
      <c r="D474" s="49"/>
      <c r="E474" s="9"/>
      <c r="F474" s="9"/>
      <c r="G474" s="9"/>
      <c r="H474" s="9"/>
      <c r="I474" s="9"/>
      <c r="J474" s="9">
        <f>+I474-'ROR-Model'!I474</f>
        <v>0</v>
      </c>
      <c r="K474" s="9"/>
      <c r="L474" s="9"/>
      <c r="M474" s="9"/>
      <c r="N474" s="9"/>
      <c r="O474" s="136"/>
      <c r="P474" s="216"/>
      <c r="Q474" s="9"/>
      <c r="R474" s="9"/>
      <c r="S474" s="142"/>
      <c r="T474" s="9"/>
      <c r="U474" s="9"/>
      <c r="V474" s="140"/>
      <c r="W474" s="9"/>
      <c r="X474" s="156"/>
      <c r="Y474" s="918">
        <f t="shared" si="30"/>
        <v>465</v>
      </c>
      <c r="AA474" s="9"/>
      <c r="AC474" s="9" t="str">
        <f t="shared" si="31"/>
        <v/>
      </c>
      <c r="AE474" s="44" t="str">
        <f t="shared" si="32"/>
        <v/>
      </c>
    </row>
    <row r="475" spans="1:31">
      <c r="A475" s="154"/>
      <c r="B475" s="49"/>
      <c r="C475" s="49" t="s">
        <v>13</v>
      </c>
      <c r="D475" s="49"/>
      <c r="E475" s="357" t="s">
        <v>548</v>
      </c>
      <c r="F475" s="357">
        <f>'Other Rev'!$H$110</f>
        <v>0</v>
      </c>
      <c r="G475" s="9">
        <f>+Adjustments!U475</f>
        <v>0</v>
      </c>
      <c r="H475" s="9"/>
      <c r="I475" s="9">
        <f>SUM($F$475:$H$475)</f>
        <v>0</v>
      </c>
      <c r="J475" s="9">
        <f>+I475-'ROR-Model'!I475</f>
        <v>0</v>
      </c>
      <c r="K475" s="9"/>
      <c r="L475" s="9" t="s">
        <v>13</v>
      </c>
      <c r="M475" s="9">
        <f>VLOOKUP($L475,$L$2:$N$7,2,FALSE)*I475</f>
        <v>0</v>
      </c>
      <c r="N475" s="9">
        <f>VLOOKUP($L475,$L$2:$N$7,3,FALSE)*I475</f>
        <v>0</v>
      </c>
      <c r="O475" s="136"/>
      <c r="P475" s="216" t="s">
        <v>548</v>
      </c>
      <c r="Q475" s="9">
        <f>IF(P475="G",M475,IF(P475="PT",0,ERR))</f>
        <v>0</v>
      </c>
      <c r="R475" s="9">
        <f>IF(P475="PT",M475,IF(P475="G",0,ERR))</f>
        <v>0</v>
      </c>
      <c r="S475" s="142" t="s">
        <v>548</v>
      </c>
      <c r="T475" s="9">
        <f>IF(S475="G",N475,IF(S475="PT",0,ERR))</f>
        <v>0</v>
      </c>
      <c r="U475" s="9">
        <f>IF(S475="PT",N475,IF(S475="G",0,ERR))</f>
        <v>0</v>
      </c>
      <c r="V475" s="140"/>
      <c r="W475" s="9">
        <f>HLOOKUP($W$9,'ROR-Model'!$Q$10:$U$1263,Y475)</f>
        <v>0</v>
      </c>
      <c r="X475" s="156"/>
      <c r="Y475" s="918">
        <f t="shared" si="30"/>
        <v>466</v>
      </c>
      <c r="AA475" s="9">
        <v>0</v>
      </c>
      <c r="AC475" s="9" t="str">
        <f t="shared" si="31"/>
        <v/>
      </c>
      <c r="AE475" s="44" t="str">
        <f t="shared" si="32"/>
        <v/>
      </c>
    </row>
    <row r="476" spans="1:31">
      <c r="A476" s="154"/>
      <c r="B476" s="49"/>
      <c r="C476" s="49" t="s">
        <v>24</v>
      </c>
      <c r="D476" s="49"/>
      <c r="E476" s="357" t="s">
        <v>549</v>
      </c>
      <c r="F476" s="357">
        <f>'Other Rev'!$H$111</f>
        <v>0</v>
      </c>
      <c r="G476" s="9">
        <f>+Adjustments!U476</f>
        <v>0</v>
      </c>
      <c r="H476" s="9"/>
      <c r="I476" s="9">
        <f>SUM($F$476:$H$476)</f>
        <v>0</v>
      </c>
      <c r="J476" s="9">
        <f>+I476-'ROR-Model'!I476</f>
        <v>0</v>
      </c>
      <c r="K476" s="9"/>
      <c r="L476" s="9" t="s">
        <v>24</v>
      </c>
      <c r="M476" s="9">
        <f>VLOOKUP($L476,$L$2:$N$7,2,FALSE)*I476</f>
        <v>0</v>
      </c>
      <c r="N476" s="9">
        <f>VLOOKUP($L476,$L$2:$N$7,3,FALSE)*I476</f>
        <v>0</v>
      </c>
      <c r="O476" s="136"/>
      <c r="P476" s="216" t="s">
        <v>549</v>
      </c>
      <c r="Q476" s="9">
        <f>IF(P476="G",M476,IF(P476="PT",0,ERR))</f>
        <v>0</v>
      </c>
      <c r="R476" s="9">
        <f>IF(P476="PT",M476,IF(P476="G",0,ERR))</f>
        <v>0</v>
      </c>
      <c r="S476" s="142" t="s">
        <v>549</v>
      </c>
      <c r="T476" s="9">
        <f>IF(S476="G",N476,IF(S476="PT",0,ERR))</f>
        <v>0</v>
      </c>
      <c r="U476" s="9">
        <f>IF(S476="PT",N476,IF(S476="G",0,ERR))</f>
        <v>0</v>
      </c>
      <c r="V476" s="140"/>
      <c r="W476" s="9">
        <f>HLOOKUP($W$9,'ROR-Model'!$Q$10:$U$1263,Y476)</f>
        <v>0</v>
      </c>
      <c r="X476" s="156"/>
      <c r="Y476" s="918">
        <f t="shared" si="30"/>
        <v>467</v>
      </c>
      <c r="AA476" s="9">
        <v>0</v>
      </c>
      <c r="AC476" s="9" t="str">
        <f t="shared" si="31"/>
        <v/>
      </c>
      <c r="AE476" s="44" t="str">
        <f t="shared" si="32"/>
        <v/>
      </c>
    </row>
    <row r="477" spans="1:31">
      <c r="A477" s="154"/>
      <c r="B477" s="49"/>
      <c r="C477" s="49" t="s">
        <v>160</v>
      </c>
      <c r="D477" s="49"/>
      <c r="E477" s="157"/>
      <c r="F477" s="157">
        <f>SUM(F475:F476)</f>
        <v>0</v>
      </c>
      <c r="G477" s="157">
        <f>SUM(G475:G476)</f>
        <v>0</v>
      </c>
      <c r="H477" s="157">
        <f>SUM(H475:H476)</f>
        <v>0</v>
      </c>
      <c r="I477" s="157">
        <f>SUM(I475:I476)</f>
        <v>0</v>
      </c>
      <c r="J477" s="9">
        <f>+I477-'ROR-Model'!I477</f>
        <v>0</v>
      </c>
      <c r="K477" s="9"/>
      <c r="L477" s="157"/>
      <c r="M477" s="157">
        <f>SUM(M475:M476)</f>
        <v>0</v>
      </c>
      <c r="N477" s="157">
        <f>SUM(N475:N476)</f>
        <v>0</v>
      </c>
      <c r="O477" s="136"/>
      <c r="P477" s="216"/>
      <c r="Q477" s="157">
        <f>SUM(Q475:Q476)</f>
        <v>0</v>
      </c>
      <c r="R477" s="157">
        <f>SUM(R475:R476)</f>
        <v>0</v>
      </c>
      <c r="S477" s="226"/>
      <c r="T477" s="157">
        <f>SUM(T475:T476)</f>
        <v>0</v>
      </c>
      <c r="U477" s="157">
        <f>SUM(U475:U476)</f>
        <v>0</v>
      </c>
      <c r="V477" s="140"/>
      <c r="W477" s="157">
        <f>HLOOKUP($W$9,'ROR-Model'!$Q$10:$U$1263,Y477)</f>
        <v>0</v>
      </c>
      <c r="X477" s="156"/>
      <c r="Y477" s="918">
        <f t="shared" si="30"/>
        <v>468</v>
      </c>
      <c r="AA477" s="157">
        <v>0</v>
      </c>
      <c r="AC477" s="157" t="str">
        <f t="shared" si="31"/>
        <v/>
      </c>
      <c r="AE477" s="44" t="str">
        <f t="shared" si="32"/>
        <v/>
      </c>
    </row>
    <row r="478" spans="1:31">
      <c r="A478" s="154"/>
      <c r="B478" s="49"/>
      <c r="C478" s="49"/>
      <c r="D478" s="49"/>
      <c r="E478" s="9"/>
      <c r="F478" s="9"/>
      <c r="G478" s="9"/>
      <c r="H478" s="9"/>
      <c r="I478" s="9"/>
      <c r="J478" s="9">
        <f>+I478-'ROR-Model'!I478</f>
        <v>0</v>
      </c>
      <c r="K478" s="9"/>
      <c r="L478" s="9"/>
      <c r="M478" s="9"/>
      <c r="N478" s="9"/>
      <c r="O478" s="136"/>
      <c r="P478" s="216"/>
      <c r="Q478" s="9"/>
      <c r="R478" s="9"/>
      <c r="S478" s="142"/>
      <c r="T478" s="9"/>
      <c r="U478" s="9"/>
      <c r="V478" s="140"/>
      <c r="W478" s="9"/>
      <c r="X478" s="156"/>
      <c r="Y478" s="918">
        <f t="shared" si="30"/>
        <v>469</v>
      </c>
      <c r="AA478" s="9"/>
      <c r="AC478" s="9" t="str">
        <f t="shared" si="31"/>
        <v/>
      </c>
      <c r="AE478" s="44" t="str">
        <f t="shared" si="32"/>
        <v/>
      </c>
    </row>
    <row r="479" spans="1:31">
      <c r="A479" s="154">
        <v>495</v>
      </c>
      <c r="B479" s="49" t="s">
        <v>320</v>
      </c>
      <c r="C479" s="49"/>
      <c r="D479" s="49"/>
      <c r="E479" s="9"/>
      <c r="F479" s="9"/>
      <c r="G479" s="9"/>
      <c r="H479" s="9"/>
      <c r="I479" s="9"/>
      <c r="J479" s="9">
        <f>+I479-'ROR-Model'!I479</f>
        <v>0</v>
      </c>
      <c r="K479" s="9"/>
      <c r="L479" s="9"/>
      <c r="M479" s="9"/>
      <c r="N479" s="9"/>
      <c r="O479" s="136"/>
      <c r="P479" s="216"/>
      <c r="Q479" s="9"/>
      <c r="R479" s="9"/>
      <c r="S479" s="142"/>
      <c r="T479" s="9"/>
      <c r="U479" s="9"/>
      <c r="V479" s="140"/>
      <c r="W479" s="9"/>
      <c r="X479" s="156"/>
      <c r="Y479" s="918">
        <f t="shared" si="30"/>
        <v>470</v>
      </c>
      <c r="AA479" s="9"/>
      <c r="AC479" s="9" t="str">
        <f t="shared" si="31"/>
        <v/>
      </c>
      <c r="AE479" s="44" t="str">
        <f t="shared" si="32"/>
        <v/>
      </c>
    </row>
    <row r="480" spans="1:31">
      <c r="A480" s="154"/>
      <c r="B480" s="49"/>
      <c r="C480" s="49" t="s">
        <v>13</v>
      </c>
      <c r="D480" s="49"/>
      <c r="E480" s="357" t="s">
        <v>548</v>
      </c>
      <c r="F480" s="357">
        <f>'Other Rev'!$H$115</f>
        <v>-263367.86752480001</v>
      </c>
      <c r="G480" s="9">
        <f>+Adjustments!U480</f>
        <v>0</v>
      </c>
      <c r="H480" s="9"/>
      <c r="I480" s="9">
        <f>SUM($F$480:$H$480)</f>
        <v>-263367.86752480001</v>
      </c>
      <c r="J480" s="9">
        <f>+I480-'ROR-Model'!I480</f>
        <v>0</v>
      </c>
      <c r="K480" s="9"/>
      <c r="L480" s="9" t="s">
        <v>13</v>
      </c>
      <c r="M480" s="9">
        <f>VLOOKUP($L480,$L$2:$N$7,2,FALSE)*I480</f>
        <v>-263367.86752480001</v>
      </c>
      <c r="N480" s="9">
        <f>VLOOKUP($L480,$L$2:$N$7,3,FALSE)*I480</f>
        <v>0</v>
      </c>
      <c r="O480" s="136"/>
      <c r="P480" s="216" t="s">
        <v>548</v>
      </c>
      <c r="Q480" s="9">
        <f>IF(P480="G",M480,IF(P480="PT",0,ERR))</f>
        <v>0</v>
      </c>
      <c r="R480" s="9">
        <f>IF(P480="PT",M480,IF(P480="G",0,ERR))</f>
        <v>-263367.86752480001</v>
      </c>
      <c r="S480" s="142" t="s">
        <v>548</v>
      </c>
      <c r="T480" s="9">
        <f>IF(S480="G",N480,IF(S480="PT",0,ERR))</f>
        <v>0</v>
      </c>
      <c r="U480" s="9">
        <f>IF(S480="PT",N480,IF(S480="G",0,ERR))</f>
        <v>0</v>
      </c>
      <c r="V480" s="140"/>
      <c r="W480" s="9">
        <f>HLOOKUP($W$9,'ROR-Model'!$Q$10:$U$1263,Y480)</f>
        <v>0</v>
      </c>
      <c r="X480" s="156"/>
      <c r="Y480" s="918">
        <f t="shared" si="30"/>
        <v>471</v>
      </c>
      <c r="AA480" s="9">
        <v>0</v>
      </c>
      <c r="AC480" s="9" t="str">
        <f t="shared" si="31"/>
        <v/>
      </c>
      <c r="AE480" s="44" t="str">
        <f t="shared" si="32"/>
        <v/>
      </c>
    </row>
    <row r="481" spans="1:31">
      <c r="A481" s="154"/>
      <c r="B481" s="49"/>
      <c r="C481" s="49" t="s">
        <v>24</v>
      </c>
      <c r="D481" s="49"/>
      <c r="E481" s="357" t="s">
        <v>549</v>
      </c>
      <c r="F481" s="357">
        <f>'Other Rev'!$H$116</f>
        <v>-9909.1524752000041</v>
      </c>
      <c r="G481" s="9">
        <f>+Adjustments!U481</f>
        <v>0</v>
      </c>
      <c r="H481" s="9"/>
      <c r="I481" s="9">
        <f>SUM($F$481:$H$481)</f>
        <v>-9909.1524752000041</v>
      </c>
      <c r="J481" s="9">
        <f>+I481-'ROR-Model'!I481</f>
        <v>0</v>
      </c>
      <c r="K481" s="9"/>
      <c r="L481" s="9" t="s">
        <v>24</v>
      </c>
      <c r="M481" s="9">
        <f>VLOOKUP($L481,$L$2:$N$7,2,FALSE)*I481</f>
        <v>0</v>
      </c>
      <c r="N481" s="9">
        <f>VLOOKUP($L481,$L$2:$N$7,3,FALSE)*I481</f>
        <v>-9909.1524752000041</v>
      </c>
      <c r="O481" s="136"/>
      <c r="P481" s="216" t="s">
        <v>549</v>
      </c>
      <c r="Q481" s="9">
        <f>IF(P481="G",M481,IF(P481="PT",0,ERR))</f>
        <v>0</v>
      </c>
      <c r="R481" s="9">
        <f>IF(P481="PT",M481,IF(P481="G",0,ERR))</f>
        <v>0</v>
      </c>
      <c r="S481" s="142" t="s">
        <v>549</v>
      </c>
      <c r="T481" s="9">
        <f>IF(S481="G",N481,IF(S481="PT",0,ERR))</f>
        <v>-9909.1524752000041</v>
      </c>
      <c r="U481" s="9">
        <f>IF(S481="PT",N481,IF(S481="G",0,ERR))</f>
        <v>0</v>
      </c>
      <c r="V481" s="140"/>
      <c r="W481" s="9">
        <f>HLOOKUP($W$9,'ROR-Model'!$Q$10:$U$1263,Y481)</f>
        <v>0</v>
      </c>
      <c r="X481" s="156"/>
      <c r="Y481" s="918">
        <f t="shared" si="30"/>
        <v>472</v>
      </c>
      <c r="AA481" s="9">
        <v>-8007.0298092999947</v>
      </c>
      <c r="AC481" s="9">
        <f t="shared" si="31"/>
        <v>8007.0298092999947</v>
      </c>
      <c r="AE481" s="44">
        <f t="shared" si="32"/>
        <v>-1</v>
      </c>
    </row>
    <row r="482" spans="1:31">
      <c r="A482" s="154"/>
      <c r="B482" s="49"/>
      <c r="C482" s="49" t="s">
        <v>160</v>
      </c>
      <c r="D482" s="49"/>
      <c r="E482" s="157"/>
      <c r="F482" s="157">
        <f>SUM(F480:F481)</f>
        <v>-273277.02</v>
      </c>
      <c r="G482" s="157">
        <f>SUM(G480:G481)</f>
        <v>0</v>
      </c>
      <c r="H482" s="157">
        <f>SUM(H480:H481)</f>
        <v>0</v>
      </c>
      <c r="I482" s="157">
        <f>SUM(I480:I481)</f>
        <v>-273277.02</v>
      </c>
      <c r="J482" s="9">
        <f>+I482-'ROR-Model'!I482</f>
        <v>0</v>
      </c>
      <c r="K482" s="9"/>
      <c r="L482" s="157"/>
      <c r="M482" s="157">
        <f>SUM(M480:M481)</f>
        <v>-263367.86752480001</v>
      </c>
      <c r="N482" s="157">
        <f>SUM(N480:N481)</f>
        <v>-9909.1524752000041</v>
      </c>
      <c r="O482" s="136"/>
      <c r="P482" s="216"/>
      <c r="Q482" s="157">
        <f>SUM(Q480:Q481)</f>
        <v>0</v>
      </c>
      <c r="R482" s="157">
        <f>SUM(R480:R481)</f>
        <v>-263367.86752480001</v>
      </c>
      <c r="S482" s="226"/>
      <c r="T482" s="157">
        <f>SUM(T480:T481)</f>
        <v>-9909.1524752000041</v>
      </c>
      <c r="U482" s="157">
        <f>SUM(U480:U481)</f>
        <v>0</v>
      </c>
      <c r="V482" s="140"/>
      <c r="W482" s="157">
        <f>HLOOKUP($W$9,'ROR-Model'!$Q$10:$U$1263,Y482)</f>
        <v>0</v>
      </c>
      <c r="X482" s="156"/>
      <c r="Y482" s="918">
        <f t="shared" si="30"/>
        <v>473</v>
      </c>
      <c r="AA482" s="157">
        <v>-8007.0298092999947</v>
      </c>
      <c r="AC482" s="157">
        <f t="shared" si="31"/>
        <v>8007.0298092999947</v>
      </c>
      <c r="AE482" s="44">
        <f t="shared" si="32"/>
        <v>-1</v>
      </c>
    </row>
    <row r="483" spans="1:31">
      <c r="A483" s="154"/>
      <c r="B483" s="49"/>
      <c r="C483" s="49"/>
      <c r="D483" s="49"/>
      <c r="E483" s="9"/>
      <c r="F483" s="9"/>
      <c r="G483" s="9"/>
      <c r="H483" s="9"/>
      <c r="I483" s="9"/>
      <c r="J483" s="9">
        <f>+I483-'ROR-Model'!I483</f>
        <v>0</v>
      </c>
      <c r="K483" s="9"/>
      <c r="L483" s="9"/>
      <c r="M483" s="9"/>
      <c r="N483" s="9"/>
      <c r="O483" s="136"/>
      <c r="P483" s="216"/>
      <c r="Q483" s="9"/>
      <c r="R483" s="9"/>
      <c r="S483" s="142"/>
      <c r="T483" s="9"/>
      <c r="U483" s="9"/>
      <c r="V483" s="140"/>
      <c r="W483" s="9"/>
      <c r="X483" s="156"/>
      <c r="Y483" s="918">
        <f t="shared" si="30"/>
        <v>474</v>
      </c>
      <c r="AA483" s="9"/>
      <c r="AC483" s="9" t="str">
        <f t="shared" si="31"/>
        <v/>
      </c>
      <c r="AE483" s="44" t="str">
        <f t="shared" si="32"/>
        <v/>
      </c>
    </row>
    <row r="484" spans="1:31">
      <c r="A484" s="154">
        <v>4951</v>
      </c>
      <c r="B484" s="49" t="s">
        <v>321</v>
      </c>
      <c r="C484" s="49"/>
      <c r="D484" s="49"/>
      <c r="E484" s="9"/>
      <c r="F484" s="9"/>
      <c r="G484" s="9"/>
      <c r="H484" s="9"/>
      <c r="I484" s="9"/>
      <c r="J484" s="9">
        <f>+I484-'ROR-Model'!I484</f>
        <v>0</v>
      </c>
      <c r="K484" s="9"/>
      <c r="L484" s="9"/>
      <c r="M484" s="9"/>
      <c r="N484" s="9"/>
      <c r="O484" s="136"/>
      <c r="P484" s="216"/>
      <c r="Q484" s="9"/>
      <c r="R484" s="9"/>
      <c r="S484" s="142"/>
      <c r="T484" s="9"/>
      <c r="U484" s="9"/>
      <c r="V484" s="140"/>
      <c r="W484" s="9"/>
      <c r="X484" s="156"/>
      <c r="Y484" s="918">
        <f t="shared" si="30"/>
        <v>475</v>
      </c>
      <c r="AA484" s="9"/>
      <c r="AC484" s="9" t="str">
        <f t="shared" si="31"/>
        <v/>
      </c>
      <c r="AE484" s="44" t="str">
        <f t="shared" si="32"/>
        <v/>
      </c>
    </row>
    <row r="485" spans="1:31">
      <c r="A485" s="154"/>
      <c r="B485" s="49"/>
      <c r="C485" s="49" t="s">
        <v>13</v>
      </c>
      <c r="D485" s="49"/>
      <c r="E485" s="357" t="s">
        <v>548</v>
      </c>
      <c r="F485" s="357">
        <f>'Other Rev'!$H$120</f>
        <v>10370524.584048901</v>
      </c>
      <c r="G485" s="9">
        <f>+Adjustments!U485</f>
        <v>0</v>
      </c>
      <c r="H485" s="9"/>
      <c r="I485" s="9">
        <f>SUM($F$485:$H$485)</f>
        <v>10370524.584048901</v>
      </c>
      <c r="J485" s="9">
        <f>+I485-'ROR-Model'!I485</f>
        <v>0</v>
      </c>
      <c r="K485" s="9"/>
      <c r="L485" s="9" t="s">
        <v>13</v>
      </c>
      <c r="M485" s="9">
        <f>VLOOKUP($L485,$L$2:$N$7,2,FALSE)*I485</f>
        <v>10370524.584048901</v>
      </c>
      <c r="N485" s="9">
        <f>VLOOKUP($L485,$L$2:$N$7,3,FALSE)*I485</f>
        <v>0</v>
      </c>
      <c r="O485" s="136"/>
      <c r="P485" s="216" t="s">
        <v>548</v>
      </c>
      <c r="Q485" s="9">
        <f>IF(P485="G",M485,IF(P485="PT",0,ERR))</f>
        <v>0</v>
      </c>
      <c r="R485" s="9">
        <f>IF(P485="PT",M485,IF(P485="G",0,ERR))</f>
        <v>10370524.584048901</v>
      </c>
      <c r="S485" s="142" t="s">
        <v>548</v>
      </c>
      <c r="T485" s="9">
        <f>IF(S485="G",N485,IF(S485="PT",0,ERR))</f>
        <v>0</v>
      </c>
      <c r="U485" s="9">
        <f>IF(S485="PT",N485,IF(S485="G",0,ERR))</f>
        <v>0</v>
      </c>
      <c r="V485" s="140"/>
      <c r="W485" s="9">
        <f>HLOOKUP($W$9,'ROR-Model'!$Q$10:$U$1263,Y485)</f>
        <v>0</v>
      </c>
      <c r="X485" s="156"/>
      <c r="Y485" s="918">
        <f t="shared" si="30"/>
        <v>476</v>
      </c>
      <c r="AA485" s="9">
        <v>0</v>
      </c>
      <c r="AC485" s="9" t="str">
        <f t="shared" si="31"/>
        <v/>
      </c>
      <c r="AE485" s="44" t="str">
        <f t="shared" si="32"/>
        <v/>
      </c>
    </row>
    <row r="486" spans="1:31">
      <c r="A486" s="154"/>
      <c r="B486" s="49"/>
      <c r="C486" s="49" t="s">
        <v>24</v>
      </c>
      <c r="D486" s="49"/>
      <c r="E486" s="357" t="s">
        <v>548</v>
      </c>
      <c r="F486" s="357">
        <f>'Other Rev'!$H$121</f>
        <v>375650.00595109991</v>
      </c>
      <c r="G486" s="9">
        <f>+Adjustments!U486</f>
        <v>0</v>
      </c>
      <c r="H486" s="9"/>
      <c r="I486" s="9">
        <f>SUM($F$486:$H$486)</f>
        <v>375650.00595109991</v>
      </c>
      <c r="J486" s="9">
        <f>+I486-'ROR-Model'!I486</f>
        <v>0</v>
      </c>
      <c r="K486" s="9"/>
      <c r="L486" s="9" t="s">
        <v>24</v>
      </c>
      <c r="M486" s="9">
        <f>VLOOKUP($L486,$L$2:$N$7,2,FALSE)*I486</f>
        <v>0</v>
      </c>
      <c r="N486" s="9">
        <f>VLOOKUP($L486,$L$2:$N$7,3,FALSE)*I486</f>
        <v>375650.00595109991</v>
      </c>
      <c r="O486" s="136"/>
      <c r="P486" s="216" t="s">
        <v>548</v>
      </c>
      <c r="Q486" s="9">
        <f>IF(P486="G",M486,IF(P486="PT",0,ERR))</f>
        <v>0</v>
      </c>
      <c r="R486" s="9">
        <f>IF(P486="PT",M486,IF(P486="G",0,ERR))</f>
        <v>0</v>
      </c>
      <c r="S486" s="142" t="s">
        <v>548</v>
      </c>
      <c r="T486" s="9">
        <f>IF(S486="G",N486,IF(S486="PT",0,ERR))</f>
        <v>0</v>
      </c>
      <c r="U486" s="9">
        <f>IF(S486="PT",N486,IF(S486="G",0,ERR))</f>
        <v>375650.00595109991</v>
      </c>
      <c r="V486" s="140"/>
      <c r="W486" s="9">
        <f>HLOOKUP($W$9,'ROR-Model'!$Q$10:$U$1263,Y486)</f>
        <v>0</v>
      </c>
      <c r="X486" s="156"/>
      <c r="Y486" s="918">
        <f t="shared" si="30"/>
        <v>477</v>
      </c>
      <c r="AA486" s="9">
        <v>0</v>
      </c>
      <c r="AC486" s="9" t="str">
        <f t="shared" si="31"/>
        <v/>
      </c>
      <c r="AE486" s="44" t="str">
        <f t="shared" si="32"/>
        <v/>
      </c>
    </row>
    <row r="487" spans="1:31">
      <c r="A487" s="154"/>
      <c r="B487" s="49"/>
      <c r="C487" s="49" t="s">
        <v>160</v>
      </c>
      <c r="D487" s="49"/>
      <c r="E487" s="157"/>
      <c r="F487" s="157">
        <f>SUM(F485:F486)</f>
        <v>10746174.59</v>
      </c>
      <c r="G487" s="157">
        <f>SUM(G485:G486)</f>
        <v>0</v>
      </c>
      <c r="H487" s="157">
        <f>SUM(H485:H486)</f>
        <v>0</v>
      </c>
      <c r="I487" s="157">
        <f>SUM(I485:I486)</f>
        <v>10746174.59</v>
      </c>
      <c r="J487" s="9">
        <f>+I487-'ROR-Model'!I487</f>
        <v>0</v>
      </c>
      <c r="K487" s="9"/>
      <c r="L487" s="157"/>
      <c r="M487" s="157">
        <f>SUM(M485:M486)</f>
        <v>10370524.584048901</v>
      </c>
      <c r="N487" s="157">
        <f>SUM(N485:N486)</f>
        <v>375650.00595109991</v>
      </c>
      <c r="O487" s="136"/>
      <c r="P487" s="216"/>
      <c r="Q487" s="157">
        <f>SUM(Q485:Q486)</f>
        <v>0</v>
      </c>
      <c r="R487" s="157">
        <f>SUM(R485:R486)</f>
        <v>10370524.584048901</v>
      </c>
      <c r="S487" s="226"/>
      <c r="T487" s="157">
        <f>SUM(T485:T486)</f>
        <v>0</v>
      </c>
      <c r="U487" s="157">
        <f>SUM(U485:U486)</f>
        <v>375650.00595109991</v>
      </c>
      <c r="V487" s="140"/>
      <c r="W487" s="157">
        <f>HLOOKUP($W$9,'ROR-Model'!$Q$10:$U$1263,Y487)</f>
        <v>0</v>
      </c>
      <c r="X487" s="156"/>
      <c r="Y487" s="918">
        <f t="shared" si="30"/>
        <v>478</v>
      </c>
      <c r="AA487" s="157">
        <v>0</v>
      </c>
      <c r="AC487" s="157" t="str">
        <f t="shared" si="31"/>
        <v/>
      </c>
      <c r="AE487" s="44" t="str">
        <f t="shared" si="32"/>
        <v/>
      </c>
    </row>
    <row r="488" spans="1:31">
      <c r="A488" s="154"/>
      <c r="B488" s="49"/>
      <c r="C488" s="49"/>
      <c r="D488" s="49"/>
      <c r="E488" s="9"/>
      <c r="F488" s="9"/>
      <c r="G488" s="9"/>
      <c r="H488" s="9"/>
      <c r="I488" s="9"/>
      <c r="J488" s="9">
        <f>+I488-'ROR-Model'!I488</f>
        <v>0</v>
      </c>
      <c r="K488" s="9"/>
      <c r="L488" s="9"/>
      <c r="M488" s="9"/>
      <c r="N488" s="9"/>
      <c r="O488" s="136"/>
      <c r="P488" s="216"/>
      <c r="Q488" s="9"/>
      <c r="R488" s="9"/>
      <c r="S488" s="142"/>
      <c r="T488" s="9"/>
      <c r="U488" s="9"/>
      <c r="V488" s="140"/>
      <c r="W488" s="9"/>
      <c r="X488" s="156"/>
      <c r="Y488" s="918">
        <f t="shared" si="30"/>
        <v>479</v>
      </c>
      <c r="AA488" s="9"/>
      <c r="AC488" s="9" t="str">
        <f t="shared" si="31"/>
        <v/>
      </c>
      <c r="AE488" s="44" t="str">
        <f t="shared" si="32"/>
        <v/>
      </c>
    </row>
    <row r="489" spans="1:31">
      <c r="A489" s="154">
        <v>4952</v>
      </c>
      <c r="B489" s="49" t="s">
        <v>322</v>
      </c>
      <c r="C489" s="49"/>
      <c r="D489" s="49"/>
      <c r="E489" s="9"/>
      <c r="F489" s="9"/>
      <c r="G489" s="9"/>
      <c r="H489" s="9"/>
      <c r="I489" s="9"/>
      <c r="J489" s="9">
        <f>+I489-'ROR-Model'!I489</f>
        <v>0</v>
      </c>
      <c r="K489" s="9"/>
      <c r="L489" s="9"/>
      <c r="M489" s="9"/>
      <c r="N489" s="9"/>
      <c r="O489" s="136"/>
      <c r="P489" s="216"/>
      <c r="Q489" s="9"/>
      <c r="R489" s="9"/>
      <c r="S489" s="142"/>
      <c r="T489" s="9"/>
      <c r="U489" s="9"/>
      <c r="V489" s="140"/>
      <c r="W489" s="9"/>
      <c r="X489" s="156"/>
      <c r="Y489" s="918">
        <f t="shared" si="30"/>
        <v>480</v>
      </c>
      <c r="AA489" s="9"/>
      <c r="AC489" s="9" t="str">
        <f t="shared" si="31"/>
        <v/>
      </c>
      <c r="AE489" s="44" t="str">
        <f t="shared" si="32"/>
        <v/>
      </c>
    </row>
    <row r="490" spans="1:31">
      <c r="A490" s="154"/>
      <c r="B490" s="49"/>
      <c r="C490" s="49" t="s">
        <v>13</v>
      </c>
      <c r="D490" s="49"/>
      <c r="E490" s="357" t="s">
        <v>548</v>
      </c>
      <c r="F490" s="357">
        <f>'Other Rev'!$H$125</f>
        <v>118657.68864000001</v>
      </c>
      <c r="G490" s="9">
        <f>+Adjustments!U490</f>
        <v>0</v>
      </c>
      <c r="H490" s="9"/>
      <c r="I490" s="9">
        <f>SUM($F$490:$H$490)</f>
        <v>118657.68864000001</v>
      </c>
      <c r="J490" s="9">
        <f>+I490-'ROR-Model'!I490</f>
        <v>0</v>
      </c>
      <c r="K490" s="9"/>
      <c r="L490" s="9" t="s">
        <v>13</v>
      </c>
      <c r="M490" s="9">
        <f>VLOOKUP($L490,$L$2:$N$7,2,FALSE)*I490</f>
        <v>118657.68864000001</v>
      </c>
      <c r="N490" s="9">
        <f>VLOOKUP($L490,$L$2:$N$7,3,FALSE)*I490</f>
        <v>0</v>
      </c>
      <c r="O490" s="136"/>
      <c r="P490" s="216" t="s">
        <v>548</v>
      </c>
      <c r="Q490" s="9">
        <f>IF(P490="G",M490,IF(P490="PT",0,ERR))</f>
        <v>0</v>
      </c>
      <c r="R490" s="9">
        <f>IF(P490="PT",M490,IF(P490="G",0,ERR))</f>
        <v>118657.68864000001</v>
      </c>
      <c r="S490" s="142" t="s">
        <v>548</v>
      </c>
      <c r="T490" s="9">
        <f>IF(S490="G",N490,IF(S490="PT",0,ERR))</f>
        <v>0</v>
      </c>
      <c r="U490" s="9">
        <f>IF(S490="PT",N490,IF(S490="G",0,ERR))</f>
        <v>0</v>
      </c>
      <c r="V490" s="140"/>
      <c r="W490" s="9">
        <f>HLOOKUP($W$9,'ROR-Model'!$Q$10:$U$1263,Y490)</f>
        <v>0</v>
      </c>
      <c r="X490" s="156"/>
      <c r="Y490" s="918">
        <f t="shared" si="30"/>
        <v>481</v>
      </c>
      <c r="AA490" s="9">
        <v>0</v>
      </c>
      <c r="AC490" s="9" t="str">
        <f t="shared" si="31"/>
        <v/>
      </c>
      <c r="AE490" s="44" t="str">
        <f t="shared" si="32"/>
        <v/>
      </c>
    </row>
    <row r="491" spans="1:31">
      <c r="A491" s="154"/>
      <c r="B491" s="49"/>
      <c r="C491" s="49" t="s">
        <v>24</v>
      </c>
      <c r="D491" s="49"/>
      <c r="E491" s="357" t="s">
        <v>548</v>
      </c>
      <c r="F491" s="357">
        <f>'Other Rev'!$H$126</f>
        <v>4187.3113599999997</v>
      </c>
      <c r="G491" s="9">
        <f>+Adjustments!U491</f>
        <v>0</v>
      </c>
      <c r="H491" s="9"/>
      <c r="I491" s="9">
        <f>SUM($F$491:$H$491)</f>
        <v>4187.3113599999997</v>
      </c>
      <c r="J491" s="9">
        <f>+I491-'ROR-Model'!I491</f>
        <v>0</v>
      </c>
      <c r="K491" s="9"/>
      <c r="L491" s="9" t="s">
        <v>24</v>
      </c>
      <c r="M491" s="9">
        <f>VLOOKUP($L491,$L$2:$N$7,2,FALSE)*I491</f>
        <v>0</v>
      </c>
      <c r="N491" s="9">
        <f>VLOOKUP($L491,$L$2:$N$7,3,FALSE)*I491</f>
        <v>4187.3113599999997</v>
      </c>
      <c r="O491" s="136"/>
      <c r="P491" s="216" t="s">
        <v>548</v>
      </c>
      <c r="Q491" s="9">
        <f>IF(P491="G",M491,IF(P491="PT",0,ERR))</f>
        <v>0</v>
      </c>
      <c r="R491" s="9">
        <f>IF(P491="PT",M491,IF(P491="G",0,ERR))</f>
        <v>0</v>
      </c>
      <c r="S491" s="142" t="s">
        <v>548</v>
      </c>
      <c r="T491" s="9">
        <f>IF(S491="G",N491,IF(S491="PT",0,ERR))</f>
        <v>0</v>
      </c>
      <c r="U491" s="9">
        <f>IF(S491="PT",N491,IF(S491="G",0,ERR))</f>
        <v>4187.3113599999997</v>
      </c>
      <c r="V491" s="140"/>
      <c r="W491" s="9">
        <f>HLOOKUP($W$9,'ROR-Model'!$Q$10:$U$1263,Y491)</f>
        <v>0</v>
      </c>
      <c r="X491" s="156"/>
      <c r="Y491" s="918">
        <f t="shared" si="30"/>
        <v>482</v>
      </c>
      <c r="AA491" s="9">
        <v>0</v>
      </c>
      <c r="AC491" s="9" t="str">
        <f t="shared" si="31"/>
        <v/>
      </c>
      <c r="AE491" s="44" t="str">
        <f t="shared" si="32"/>
        <v/>
      </c>
    </row>
    <row r="492" spans="1:31">
      <c r="A492" s="154"/>
      <c r="B492" s="49"/>
      <c r="C492" s="49" t="s">
        <v>160</v>
      </c>
      <c r="D492" s="49"/>
      <c r="E492" s="157"/>
      <c r="F492" s="157">
        <f>SUM(F490:F491)</f>
        <v>122845</v>
      </c>
      <c r="G492" s="157">
        <f>SUM(G490:G491)</f>
        <v>0</v>
      </c>
      <c r="H492" s="157">
        <f>SUM(H490:H491)</f>
        <v>0</v>
      </c>
      <c r="I492" s="157">
        <f>SUM(I490:I491)</f>
        <v>122845</v>
      </c>
      <c r="J492" s="9">
        <f>+I492-'ROR-Model'!I492</f>
        <v>0</v>
      </c>
      <c r="K492" s="9"/>
      <c r="L492" s="157"/>
      <c r="M492" s="157">
        <f>SUM(M490:M491)</f>
        <v>118657.68864000001</v>
      </c>
      <c r="N492" s="157">
        <f>SUM(N490:N491)</f>
        <v>4187.3113599999997</v>
      </c>
      <c r="O492" s="136"/>
      <c r="P492" s="216"/>
      <c r="Q492" s="157">
        <f>SUM(Q490:Q491)</f>
        <v>0</v>
      </c>
      <c r="R492" s="157">
        <f>SUM(R490:R491)</f>
        <v>118657.68864000001</v>
      </c>
      <c r="S492" s="226"/>
      <c r="T492" s="157">
        <f>SUM(T490:T491)</f>
        <v>0</v>
      </c>
      <c r="U492" s="157">
        <f>SUM(U490:U491)</f>
        <v>4187.3113599999997</v>
      </c>
      <c r="V492" s="140"/>
      <c r="W492" s="157">
        <f>HLOOKUP($W$9,'ROR-Model'!$Q$10:$U$1263,Y492)</f>
        <v>0</v>
      </c>
      <c r="X492" s="156"/>
      <c r="Y492" s="918">
        <f t="shared" si="30"/>
        <v>483</v>
      </c>
      <c r="AA492" s="157">
        <v>0</v>
      </c>
      <c r="AC492" s="157" t="str">
        <f t="shared" si="31"/>
        <v/>
      </c>
      <c r="AE492" s="44" t="str">
        <f t="shared" si="32"/>
        <v/>
      </c>
    </row>
    <row r="493" spans="1:31">
      <c r="A493" s="154"/>
      <c r="B493" s="49"/>
      <c r="C493" s="49"/>
      <c r="D493" s="49"/>
      <c r="E493" s="9"/>
      <c r="F493" s="9"/>
      <c r="G493" s="9"/>
      <c r="H493" s="9"/>
      <c r="I493" s="9"/>
      <c r="J493" s="9">
        <f>+I493-'ROR-Model'!I493</f>
        <v>0</v>
      </c>
      <c r="K493" s="9"/>
      <c r="L493" s="9"/>
      <c r="M493" s="9"/>
      <c r="N493" s="9"/>
      <c r="O493" s="136"/>
      <c r="P493" s="216"/>
      <c r="Q493" s="9"/>
      <c r="R493" s="9"/>
      <c r="S493" s="142"/>
      <c r="T493" s="9"/>
      <c r="U493" s="9"/>
      <c r="V493" s="140"/>
      <c r="W493" s="9"/>
      <c r="X493" s="156"/>
      <c r="Y493" s="918">
        <f t="shared" si="30"/>
        <v>484</v>
      </c>
      <c r="AA493" s="9"/>
      <c r="AC493" s="9" t="str">
        <f t="shared" si="31"/>
        <v/>
      </c>
      <c r="AE493" s="44" t="str">
        <f t="shared" si="32"/>
        <v/>
      </c>
    </row>
    <row r="494" spans="1:31">
      <c r="A494" s="154">
        <v>4974</v>
      </c>
      <c r="B494" s="49" t="s">
        <v>326</v>
      </c>
      <c r="C494" s="49"/>
      <c r="D494" s="49"/>
      <c r="E494" s="9"/>
      <c r="F494" s="9"/>
      <c r="G494" s="9"/>
      <c r="H494" s="9"/>
      <c r="I494" s="9"/>
      <c r="J494" s="9">
        <f>+I494-'ROR-Model'!I494</f>
        <v>0</v>
      </c>
      <c r="K494" s="9"/>
      <c r="L494" s="9"/>
      <c r="M494" s="9"/>
      <c r="N494" s="9"/>
      <c r="O494" s="136"/>
      <c r="P494" s="216"/>
      <c r="Q494" s="9"/>
      <c r="R494" s="9"/>
      <c r="S494" s="142"/>
      <c r="T494" s="9"/>
      <c r="U494" s="9"/>
      <c r="V494" s="140"/>
      <c r="W494" s="9"/>
      <c r="X494" s="156"/>
      <c r="Y494" s="918">
        <f t="shared" si="30"/>
        <v>485</v>
      </c>
      <c r="AA494" s="9"/>
      <c r="AC494" s="9" t="str">
        <f t="shared" si="31"/>
        <v/>
      </c>
      <c r="AE494" s="44" t="str">
        <f t="shared" si="32"/>
        <v/>
      </c>
    </row>
    <row r="495" spans="1:31">
      <c r="A495" s="153"/>
      <c r="B495" s="49"/>
      <c r="C495" s="49" t="s">
        <v>13</v>
      </c>
      <c r="D495" s="49"/>
      <c r="E495" s="357" t="s">
        <v>549</v>
      </c>
      <c r="F495" s="357">
        <f>'Other Rev'!$H$130</f>
        <v>0</v>
      </c>
      <c r="G495" s="9">
        <f>+Adjustments!U495</f>
        <v>0</v>
      </c>
      <c r="H495" s="9"/>
      <c r="I495" s="9">
        <f>SUM($F$495:$H$495)</f>
        <v>0</v>
      </c>
      <c r="J495" s="9">
        <f>+I495-'ROR-Model'!I495</f>
        <v>0</v>
      </c>
      <c r="K495" s="9"/>
      <c r="L495" s="9" t="s">
        <v>13</v>
      </c>
      <c r="M495" s="9">
        <f>VLOOKUP($L495,$L$2:$N$7,2,FALSE)*I495</f>
        <v>0</v>
      </c>
      <c r="N495" s="9">
        <f>VLOOKUP($L495,$L$2:$N$7,3,FALSE)*I495</f>
        <v>0</v>
      </c>
      <c r="O495" s="136"/>
      <c r="P495" s="216" t="s">
        <v>549</v>
      </c>
      <c r="Q495" s="9">
        <f>IF(P495="G",M495,IF(P495="PT",0,ERR))</f>
        <v>0</v>
      </c>
      <c r="R495" s="9">
        <f>IF(P495="PT",M495,IF(P495="G",0,ERR))</f>
        <v>0</v>
      </c>
      <c r="S495" s="142" t="s">
        <v>549</v>
      </c>
      <c r="T495" s="9">
        <f>IF(S495="G",N495,IF(S495="PT",0,ERR))</f>
        <v>0</v>
      </c>
      <c r="U495" s="9">
        <f>IF(S495="PT",N495,IF(S495="G",0,ERR))</f>
        <v>0</v>
      </c>
      <c r="V495" s="140"/>
      <c r="W495" s="9">
        <f>HLOOKUP($W$9,'ROR-Model'!$Q$10:$U$1263,Y495)</f>
        <v>0</v>
      </c>
      <c r="X495" s="156"/>
      <c r="Y495" s="918">
        <f t="shared" si="30"/>
        <v>486</v>
      </c>
      <c r="AA495" s="9">
        <v>0</v>
      </c>
      <c r="AC495" s="9" t="str">
        <f t="shared" si="31"/>
        <v/>
      </c>
      <c r="AE495" s="44" t="str">
        <f t="shared" si="32"/>
        <v/>
      </c>
    </row>
    <row r="496" spans="1:31">
      <c r="A496" s="153"/>
      <c r="B496" s="49"/>
      <c r="C496" s="49" t="s">
        <v>24</v>
      </c>
      <c r="D496" s="49"/>
      <c r="E496" s="357" t="s">
        <v>549</v>
      </c>
      <c r="F496" s="357">
        <f>'Other Rev'!$H$131</f>
        <v>0</v>
      </c>
      <c r="G496" s="9">
        <f>+Adjustments!U496</f>
        <v>0</v>
      </c>
      <c r="H496" s="9"/>
      <c r="I496" s="9">
        <f>SUM($F$496:$H$496)</f>
        <v>0</v>
      </c>
      <c r="J496" s="9">
        <f>+I496-'ROR-Model'!I496</f>
        <v>0</v>
      </c>
      <c r="K496" s="9"/>
      <c r="L496" s="9" t="s">
        <v>24</v>
      </c>
      <c r="M496" s="9">
        <f>VLOOKUP($L496,$L$2:$N$7,2,FALSE)*I496</f>
        <v>0</v>
      </c>
      <c r="N496" s="9">
        <f>VLOOKUP($L496,$L$2:$N$7,3,FALSE)*I496</f>
        <v>0</v>
      </c>
      <c r="O496" s="136"/>
      <c r="P496" s="216" t="s">
        <v>549</v>
      </c>
      <c r="Q496" s="9">
        <f>IF(P496="G",M496,IF(P496="PT",0,ERR))</f>
        <v>0</v>
      </c>
      <c r="R496" s="9">
        <f>IF(P496="PT",M496,IF(P496="G",0,ERR))</f>
        <v>0</v>
      </c>
      <c r="S496" s="142" t="s">
        <v>549</v>
      </c>
      <c r="T496" s="9">
        <f>IF(S496="G",N496,IF(S496="PT",0,ERR))</f>
        <v>0</v>
      </c>
      <c r="U496" s="9">
        <f>IF(S496="PT",N496,IF(S496="G",0,ERR))</f>
        <v>0</v>
      </c>
      <c r="V496" s="140"/>
      <c r="W496" s="9">
        <f>HLOOKUP($W$9,'ROR-Model'!$Q$10:$U$1263,Y496)</f>
        <v>0</v>
      </c>
      <c r="X496" s="156"/>
      <c r="Y496" s="918">
        <f t="shared" si="30"/>
        <v>487</v>
      </c>
      <c r="AA496" s="9">
        <v>0</v>
      </c>
      <c r="AC496" s="9" t="str">
        <f t="shared" si="31"/>
        <v/>
      </c>
      <c r="AE496" s="44" t="str">
        <f t="shared" si="32"/>
        <v/>
      </c>
    </row>
    <row r="497" spans="1:31">
      <c r="A497" s="153"/>
      <c r="B497" s="49"/>
      <c r="C497" s="49" t="s">
        <v>160</v>
      </c>
      <c r="D497" s="49"/>
      <c r="E497" s="157"/>
      <c r="F497" s="157">
        <f>SUM(F495:F496)</f>
        <v>0</v>
      </c>
      <c r="G497" s="157">
        <f>SUM(G495:G496)</f>
        <v>0</v>
      </c>
      <c r="H497" s="157">
        <f>SUM(H495:H496)</f>
        <v>0</v>
      </c>
      <c r="I497" s="157">
        <f>SUM(I495:I496)</f>
        <v>0</v>
      </c>
      <c r="J497" s="9">
        <f>+I497-'ROR-Model'!I497</f>
        <v>0</v>
      </c>
      <c r="K497" s="9"/>
      <c r="L497" s="157"/>
      <c r="M497" s="157">
        <f>SUM(M495:M496)</f>
        <v>0</v>
      </c>
      <c r="N497" s="157">
        <f>SUM(N495:N496)</f>
        <v>0</v>
      </c>
      <c r="O497" s="136"/>
      <c r="P497" s="226"/>
      <c r="Q497" s="157">
        <f>SUM(Q495:Q496)</f>
        <v>0</v>
      </c>
      <c r="R497" s="157">
        <f>SUM(R495:R496)</f>
        <v>0</v>
      </c>
      <c r="S497" s="226"/>
      <c r="T497" s="157">
        <f>SUM(T495:T496)</f>
        <v>0</v>
      </c>
      <c r="U497" s="157">
        <f>SUM(U495:U496)</f>
        <v>0</v>
      </c>
      <c r="V497" s="140"/>
      <c r="W497" s="157">
        <f>HLOOKUP($W$9,'ROR-Model'!$Q$10:$U$1263,Y497)</f>
        <v>0</v>
      </c>
      <c r="X497" s="156"/>
      <c r="Y497" s="918">
        <f t="shared" si="30"/>
        <v>488</v>
      </c>
      <c r="AA497" s="157">
        <v>0</v>
      </c>
      <c r="AC497" s="157" t="str">
        <f t="shared" si="31"/>
        <v/>
      </c>
      <c r="AE497" s="44" t="str">
        <f t="shared" si="32"/>
        <v/>
      </c>
    </row>
    <row r="498" spans="1:31" ht="13.5" thickBot="1">
      <c r="A498" s="153"/>
      <c r="B498" s="49"/>
      <c r="C498" s="49"/>
      <c r="D498" s="49"/>
      <c r="E498" s="26"/>
      <c r="F498" s="26"/>
      <c r="G498" s="26"/>
      <c r="H498" s="26"/>
      <c r="I498" s="26"/>
      <c r="J498" s="9">
        <f>+I498-'ROR-Model'!I498</f>
        <v>0</v>
      </c>
      <c r="K498" s="9"/>
      <c r="L498" s="26"/>
      <c r="M498" s="26"/>
      <c r="N498" s="26"/>
      <c r="O498" s="136"/>
      <c r="P498" s="227"/>
      <c r="Q498" s="26"/>
      <c r="R498" s="26"/>
      <c r="S498" s="227"/>
      <c r="T498" s="26"/>
      <c r="U498" s="26"/>
      <c r="V498" s="140"/>
      <c r="W498" s="26"/>
      <c r="X498" s="156"/>
      <c r="Y498" s="918">
        <f t="shared" si="30"/>
        <v>489</v>
      </c>
      <c r="AA498" s="26"/>
      <c r="AC498" s="26" t="str">
        <f t="shared" si="31"/>
        <v/>
      </c>
      <c r="AE498" s="44" t="str">
        <f t="shared" si="32"/>
        <v/>
      </c>
    </row>
    <row r="499" spans="1:31" ht="25.5" customHeight="1" thickTop="1">
      <c r="A499" s="130" t="s">
        <v>538</v>
      </c>
      <c r="B499" s="49"/>
      <c r="C499" s="49"/>
      <c r="D499" s="49"/>
      <c r="E499" s="9"/>
      <c r="F499" s="9"/>
      <c r="G499" s="9"/>
      <c r="H499" s="9"/>
      <c r="I499" s="9"/>
      <c r="J499" s="9">
        <f>+I499-'ROR-Model'!I499</f>
        <v>0</v>
      </c>
      <c r="K499" s="9"/>
      <c r="L499" s="9"/>
      <c r="M499" s="9"/>
      <c r="N499" s="9"/>
      <c r="O499" s="136"/>
      <c r="P499" s="142"/>
      <c r="Q499" s="9"/>
      <c r="R499" s="9"/>
      <c r="S499" s="142"/>
      <c r="T499" s="9"/>
      <c r="U499" s="9"/>
      <c r="V499" s="140"/>
      <c r="W499" s="9"/>
      <c r="X499" s="156"/>
      <c r="Y499" s="918">
        <f t="shared" si="30"/>
        <v>490</v>
      </c>
      <c r="AA499" s="9"/>
      <c r="AC499" s="9" t="str">
        <f t="shared" si="31"/>
        <v/>
      </c>
      <c r="AE499" s="44" t="str">
        <f t="shared" si="32"/>
        <v/>
      </c>
    </row>
    <row r="500" spans="1:31">
      <c r="A500" s="153"/>
      <c r="B500" s="58" t="s">
        <v>541</v>
      </c>
      <c r="C500" s="49"/>
      <c r="D500" s="49"/>
      <c r="E500" s="31"/>
      <c r="F500" s="31"/>
      <c r="G500" s="9"/>
      <c r="H500" s="9"/>
      <c r="I500" s="9"/>
      <c r="J500" s="9">
        <f>+I500-'ROR-Model'!I500</f>
        <v>0</v>
      </c>
      <c r="K500" s="9"/>
      <c r="L500" s="9"/>
      <c r="M500" s="9"/>
      <c r="N500" s="9"/>
      <c r="O500" s="136"/>
      <c r="P500" s="142"/>
      <c r="Q500" s="9"/>
      <c r="R500" s="9"/>
      <c r="S500" s="142"/>
      <c r="T500" s="9"/>
      <c r="U500" s="9"/>
      <c r="V500" s="140"/>
      <c r="W500" s="9"/>
      <c r="X500" s="156"/>
      <c r="Y500" s="918">
        <f t="shared" si="30"/>
        <v>491</v>
      </c>
      <c r="AA500" s="9"/>
      <c r="AC500" s="9" t="str">
        <f t="shared" si="31"/>
        <v/>
      </c>
      <c r="AE500" s="44" t="str">
        <f t="shared" si="32"/>
        <v/>
      </c>
    </row>
    <row r="501" spans="1:31">
      <c r="A501" s="153"/>
      <c r="B501" s="49"/>
      <c r="C501" s="49" t="s">
        <v>542</v>
      </c>
      <c r="D501" s="49"/>
      <c r="E501" s="357"/>
      <c r="F501" s="357">
        <f>F380+F460+F465+F470+F475+F480+F485+F490</f>
        <v>19172138.340773702</v>
      </c>
      <c r="G501" s="357">
        <f>G380+G460+G465+G470+G475+G480+G485+G490</f>
        <v>0</v>
      </c>
      <c r="H501" s="357">
        <f>H380+H460+H465+H470+H475+H480+H485+H490</f>
        <v>0</v>
      </c>
      <c r="I501" s="357">
        <f>I380+I460+I465+I470+I475+I480+I485+I490</f>
        <v>19172138.340773702</v>
      </c>
      <c r="J501" s="9">
        <f>+I501-'ROR-Model'!I501</f>
        <v>0</v>
      </c>
      <c r="K501" s="9"/>
      <c r="L501" s="9"/>
      <c r="M501" s="357">
        <f>M380+M460+M465+M470+M475+M480+M485+M490</f>
        <v>19172138.340773702</v>
      </c>
      <c r="N501" s="357">
        <f>N380+N460+N465+N470+N475+N480+N485+N490</f>
        <v>0</v>
      </c>
      <c r="O501" s="136"/>
      <c r="P501" s="142"/>
      <c r="Q501" s="357">
        <f>Q380+Q460+Q465+Q470+Q475+Q480+Q485+Q490</f>
        <v>0</v>
      </c>
      <c r="R501" s="357">
        <f>R380+R460+R465+R470+R475+R480+R485+R490</f>
        <v>19172138.340773702</v>
      </c>
      <c r="S501" s="142"/>
      <c r="T501" s="357">
        <f>T380+T460+T465+T470+T475+T480+T485+T490</f>
        <v>0</v>
      </c>
      <c r="U501" s="357">
        <f>U380+U460+U465+U470+U475+U480+U485+U490</f>
        <v>0</v>
      </c>
      <c r="V501" s="140"/>
      <c r="W501" s="9">
        <f>HLOOKUP($W$9,'ROR-Model'!$Q$10:$U$1263,Y501)</f>
        <v>0</v>
      </c>
      <c r="X501" s="156"/>
      <c r="Y501" s="918">
        <f t="shared" si="30"/>
        <v>492</v>
      </c>
      <c r="AA501" s="9">
        <v>0</v>
      </c>
      <c r="AC501" s="9" t="str">
        <f t="shared" si="31"/>
        <v/>
      </c>
      <c r="AE501" s="44" t="str">
        <f t="shared" si="32"/>
        <v/>
      </c>
    </row>
    <row r="502" spans="1:31">
      <c r="A502" s="153"/>
      <c r="B502" s="49"/>
      <c r="C502" s="49" t="s">
        <v>543</v>
      </c>
      <c r="D502" s="49"/>
      <c r="E502" s="358"/>
      <c r="F502" s="358">
        <f>+F495+F455+F450+F445+F440+F435+F430+F425+F420+F415+F410+F405+F400+F395+F390+F385</f>
        <v>4697009.42</v>
      </c>
      <c r="G502" s="358">
        <f>+G495+G455+G450+G445+G440+G435+G430+G425+G420+G415+G410+G405+G400+G395+G390+G385</f>
        <v>0</v>
      </c>
      <c r="H502" s="358">
        <f>+H495+H455+H450+H445+H440+H435+H430+H425+H420+H415+H410+H405+H400+H395+H390+H385</f>
        <v>0</v>
      </c>
      <c r="I502" s="358">
        <f>+I495+I455+I450+I445+I440+I435+I430+I425+I420+I415+I410+I405+I400+I395+I390+I385</f>
        <v>4697009.42</v>
      </c>
      <c r="J502" s="9">
        <f>+I502-'ROR-Model'!I502</f>
        <v>0</v>
      </c>
      <c r="K502" s="9"/>
      <c r="L502" s="9"/>
      <c r="M502" s="358">
        <f>+M495+M455+M450+M445+M440+M435+M430+M425+M420+M415+M410+M405+M400+M395+M390+M385</f>
        <v>4697009.42</v>
      </c>
      <c r="N502" s="358">
        <f>+N495+N455+N450+N445+N440+N435+N430+N425+N420+N415+N410+N405+N400+N395+N390+N385</f>
        <v>0</v>
      </c>
      <c r="O502" s="136"/>
      <c r="P502" s="142"/>
      <c r="Q502" s="358">
        <f>+Q495+Q455+Q450+Q445+Q440+Q435+Q430+Q425+Q420+Q415+Q410+Q405+Q400+Q395+Q390+Q385</f>
        <v>4697009.42</v>
      </c>
      <c r="R502" s="358">
        <f>+R495+R455+R450+R445+R440+R435+R430+R425+R420+R415+R410+R405+R400+R395+R390+R385</f>
        <v>0</v>
      </c>
      <c r="S502" s="142"/>
      <c r="T502" s="358">
        <f>+T495+T455+T450+T445+T440+T435+T430+T425+T420+T415+T410+T405+T400+T395+T390+T385</f>
        <v>0</v>
      </c>
      <c r="U502" s="358">
        <f>+U495+U455+U450+U445+U440+U435+U430+U425+U420+U415+U410+U405+U400+U395+U390+U385</f>
        <v>0</v>
      </c>
      <c r="V502" s="140"/>
      <c r="W502" s="9">
        <f>HLOOKUP($W$9,'ROR-Model'!$Q$10:$U$1263,Y502)</f>
        <v>4697009.42</v>
      </c>
      <c r="X502" s="156"/>
      <c r="Y502" s="918">
        <f t="shared" si="30"/>
        <v>493</v>
      </c>
      <c r="AA502" s="9">
        <v>0</v>
      </c>
      <c r="AC502" s="9" t="str">
        <f t="shared" si="31"/>
        <v/>
      </c>
      <c r="AE502" s="44" t="str">
        <f t="shared" si="32"/>
        <v/>
      </c>
    </row>
    <row r="503" spans="1:31">
      <c r="A503" s="153"/>
      <c r="B503" s="49"/>
      <c r="C503" s="58" t="s">
        <v>544</v>
      </c>
      <c r="D503" s="49"/>
      <c r="E503" s="157"/>
      <c r="F503" s="157">
        <f>F380+F385+F390+F395+F400+F405+F410+F415+F420+F425+F430+F435+F440+F445+F450+F455+F460+F465+F470+F475+F480+F485+F490+F495</f>
        <v>23869147.760773696</v>
      </c>
      <c r="G503" s="157">
        <f>G380+G385+G390+G395+G400+G405+G410+G415+G420+G425+G430+G435+G440+G445+G450+G455+G460+G465+G470+G475+G480+G485+G490+G495</f>
        <v>0</v>
      </c>
      <c r="H503" s="157">
        <f>H380+H385+H390+H395+H400+H405+H410+H415+H420+H425+H430+H435+H440+H445+H450+H455+H460+H465+H470+H475+H480+H485+H490+H495</f>
        <v>0</v>
      </c>
      <c r="I503" s="157">
        <f>I380+I385+I390+I395+I400+I405+I410+I415+I420+I425+I430+I435+I440+I445+I450+I455+I460+I465+I470+I475+I480+I485+I490+I495</f>
        <v>23869147.760773696</v>
      </c>
      <c r="J503" s="9">
        <f>+I503-'ROR-Model'!I503</f>
        <v>0</v>
      </c>
      <c r="K503" s="9"/>
      <c r="L503" s="157"/>
      <c r="M503" s="157">
        <f>M380+M385+M390+M395+M400+M405+M410+M415+M420+M425+M430+M435+M440+M445+M450+M455+M460+M465+M470+M475+M480+M485+M490+M495</f>
        <v>23869147.760773696</v>
      </c>
      <c r="N503" s="157">
        <f>N380+N385+N390+N395+N400+N405+N410+N415+N420+N425+N430+N435+N440+N445+N450+N455+N460+N465+N470+N475+N480+N485+N490+N495</f>
        <v>0</v>
      </c>
      <c r="O503" s="136"/>
      <c r="P503" s="226"/>
      <c r="Q503" s="157">
        <f>Q380+Q385+Q390+Q395+Q400+Q405+Q410+Q415+Q420+Q425+Q430+Q435+Q440+Q445+Q450+Q455+Q460+Q465+Q470+Q475+Q480+Q485+Q490+Q495</f>
        <v>4697009.42</v>
      </c>
      <c r="R503" s="157">
        <f>R380+R385+R390+R395+R400+R405+R410+R415+R420+R425+R430+R435+R440+R445+R450+R455+R460+R465+R470+R475+R480+R485+R490+R495</f>
        <v>19172138.340773702</v>
      </c>
      <c r="S503" s="226"/>
      <c r="T503" s="157">
        <f>T380+T385+T390+T395+T400+T405+T410+T415+T420+T425+T430+T435+T440+T445+T450+T455+T460+T465+T470+T475+T480+T485+T490+T495</f>
        <v>0</v>
      </c>
      <c r="U503" s="157">
        <f>U380+U385+U390+U395+U400+U405+U410+U415+U420+U425+U430+U435+U440+U445+U450+U455+U460+U465+U470+U475+U480+U485+U490+U495</f>
        <v>0</v>
      </c>
      <c r="V503" s="140"/>
      <c r="W503" s="157">
        <f>HLOOKUP($W$9,'ROR-Model'!$Q$10:$U$1263,Y503)</f>
        <v>4697009.42</v>
      </c>
      <c r="X503" s="156"/>
      <c r="Y503" s="918">
        <f t="shared" si="30"/>
        <v>494</v>
      </c>
      <c r="AA503" s="157">
        <v>0</v>
      </c>
      <c r="AC503" s="157" t="str">
        <f t="shared" si="31"/>
        <v/>
      </c>
      <c r="AE503" s="44" t="str">
        <f t="shared" si="32"/>
        <v/>
      </c>
    </row>
    <row r="504" spans="1:31">
      <c r="A504" s="153"/>
      <c r="B504" s="58" t="s">
        <v>545</v>
      </c>
      <c r="C504" s="49"/>
      <c r="D504" s="49"/>
      <c r="E504" s="31"/>
      <c r="F504" s="31"/>
      <c r="G504" s="31"/>
      <c r="H504" s="31"/>
      <c r="I504" s="31"/>
      <c r="J504" s="9">
        <f>+I504-'ROR-Model'!I504</f>
        <v>0</v>
      </c>
      <c r="K504" s="9"/>
      <c r="L504" s="9"/>
      <c r="M504" s="31"/>
      <c r="N504" s="31"/>
      <c r="O504" s="136"/>
      <c r="P504" s="142"/>
      <c r="Q504" s="31"/>
      <c r="R504" s="31"/>
      <c r="S504" s="142"/>
      <c r="T504" s="31"/>
      <c r="U504" s="31"/>
      <c r="V504" s="140"/>
      <c r="W504" s="9"/>
      <c r="X504" s="156"/>
      <c r="Y504" s="918">
        <f t="shared" si="30"/>
        <v>495</v>
      </c>
      <c r="AA504" s="9"/>
      <c r="AC504" s="9" t="str">
        <f t="shared" si="31"/>
        <v/>
      </c>
      <c r="AE504" s="44" t="str">
        <f t="shared" si="32"/>
        <v/>
      </c>
    </row>
    <row r="505" spans="1:31">
      <c r="A505" s="153"/>
      <c r="B505" s="49"/>
      <c r="C505" s="49" t="s">
        <v>542</v>
      </c>
      <c r="D505" s="49"/>
      <c r="E505" s="358"/>
      <c r="F505" s="358">
        <f>+F491+F486+F471+F461+F381</f>
        <v>693513.06170149997</v>
      </c>
      <c r="G505" s="358">
        <f>+G491+G486+G471+G461+G381</f>
        <v>0</v>
      </c>
      <c r="H505" s="358">
        <f>+H491+H486+H471+H461+H381</f>
        <v>0</v>
      </c>
      <c r="I505" s="358">
        <f>+I491+I486+I471+I461+I381</f>
        <v>693513.06170149997</v>
      </c>
      <c r="J505" s="9">
        <f>+I505-'ROR-Model'!I505</f>
        <v>0</v>
      </c>
      <c r="K505" s="9"/>
      <c r="L505" s="9"/>
      <c r="M505" s="358">
        <f>+M491+M486+M471+M461+M381</f>
        <v>0</v>
      </c>
      <c r="N505" s="358">
        <f>+N491+N486+N471+N461+N381</f>
        <v>693513.06170149997</v>
      </c>
      <c r="O505" s="136"/>
      <c r="P505" s="142"/>
      <c r="Q505" s="358">
        <f>+Q491+Q486+Q471+Q461+Q381</f>
        <v>0</v>
      </c>
      <c r="R505" s="358">
        <f>+R491+R486+R471+R461+R381</f>
        <v>0</v>
      </c>
      <c r="S505" s="142"/>
      <c r="T505" s="358">
        <f>+T491+T486+T471+T461+T381</f>
        <v>0</v>
      </c>
      <c r="U505" s="358">
        <f>+U491+U486+U471+U461+U381</f>
        <v>693513.06170149997</v>
      </c>
      <c r="V505" s="140"/>
      <c r="W505" s="9">
        <f>HLOOKUP($W$9,'ROR-Model'!$Q$10:$U$1263,Y505)</f>
        <v>0</v>
      </c>
      <c r="X505" s="156"/>
      <c r="Y505" s="918">
        <f t="shared" si="30"/>
        <v>496</v>
      </c>
      <c r="AA505" s="9">
        <v>0</v>
      </c>
      <c r="AC505" s="9" t="str">
        <f t="shared" si="31"/>
        <v/>
      </c>
      <c r="AE505" s="44" t="str">
        <f t="shared" si="32"/>
        <v/>
      </c>
    </row>
    <row r="506" spans="1:31">
      <c r="A506" s="153"/>
      <c r="B506" s="49"/>
      <c r="C506" s="49" t="s">
        <v>543</v>
      </c>
      <c r="D506" s="49"/>
      <c r="E506" s="358"/>
      <c r="F506" s="358">
        <f>+F496+F481+F476+F466+F456+F451+F446+F431+F426+F421+F416+F411+F406+F401+F396+F391+F386</f>
        <v>107530.9575248</v>
      </c>
      <c r="G506" s="358">
        <f>+G496+G481+G476+G466+G456+G451+G446+G431+G426+G421+G416+G411+G406+G401+G396+G391+G386</f>
        <v>0</v>
      </c>
      <c r="H506" s="358">
        <f>+H496+H481+H476+H466+H456+H451+H446+H431+H426+H421+H416+H411+H406+H401+H396+H391+H386</f>
        <v>0</v>
      </c>
      <c r="I506" s="358">
        <f>+I496+I481+I476+I466+I456+I451+I446+I431+I426+I421+I416+I411+I406+I401+I396+I391+I386</f>
        <v>107530.9575248</v>
      </c>
      <c r="J506" s="9">
        <f>+I506-'ROR-Model'!I506</f>
        <v>0</v>
      </c>
      <c r="K506" s="9"/>
      <c r="L506" s="9"/>
      <c r="M506" s="358">
        <f>+M496+M481+M476+M466+M456+M451+M446+M431+M426+M421+M416+M411+M406+M401+M396+M391+M386</f>
        <v>0</v>
      </c>
      <c r="N506" s="358">
        <f>+N496+N481+N476+N466+N456+N451+N446+N431+N426+N421+N416+N411+N406+N401+N396+N391+N386</f>
        <v>107530.9575248</v>
      </c>
      <c r="O506" s="136"/>
      <c r="P506" s="142"/>
      <c r="Q506" s="358">
        <f>+Q496+Q481+Q476+Q466+Q456+Q451+Q446+Q431+Q426+Q421+Q416+Q411+Q406+Q401+Q396+Q391+Q386</f>
        <v>0</v>
      </c>
      <c r="R506" s="358">
        <f>+R496+R481+R476+R466+R456+R451+R446+R431+R426+R421+R416+R411+R406+R401+R396+R391+R386</f>
        <v>0</v>
      </c>
      <c r="S506" s="142"/>
      <c r="T506" s="358">
        <f>+T496+T481+T476+T466+T456+T451+T446+T431+T426+T421+T416+T411+T406+T401+T396+T391+T386</f>
        <v>107530.9575248</v>
      </c>
      <c r="U506" s="358">
        <f>+U496+U481+U476+U466+U456+U451+U446+U431+U426+U421+U416+U411+U406+U401+U396+U391+U386</f>
        <v>0</v>
      </c>
      <c r="V506" s="140"/>
      <c r="W506" s="9">
        <f>HLOOKUP($W$9,'ROR-Model'!$Q$10:$U$1263,Y506)</f>
        <v>0</v>
      </c>
      <c r="X506" s="156"/>
      <c r="Y506" s="918">
        <f t="shared" si="30"/>
        <v>497</v>
      </c>
      <c r="AA506" s="9">
        <v>100985.80019069999</v>
      </c>
      <c r="AC506" s="9">
        <f t="shared" si="31"/>
        <v>-100985.80019069999</v>
      </c>
      <c r="AE506" s="44">
        <f t="shared" si="32"/>
        <v>-1</v>
      </c>
    </row>
    <row r="507" spans="1:31">
      <c r="A507" s="153"/>
      <c r="B507" s="49"/>
      <c r="C507" s="58" t="s">
        <v>546</v>
      </c>
      <c r="D507" s="49"/>
      <c r="E507" s="157"/>
      <c r="F507" s="157">
        <f>F381+F386+F391+F396+F401+F406+F411+F416+F421+F426+F431+F436+F441+F446+F451+F456+F461+F466+F471+F476+F481+F486+F491+F496</f>
        <v>801044.01922630006</v>
      </c>
      <c r="G507" s="157">
        <f>G381+G386+G391+G396+G401+G406+G411+G416+G421+G426+G431+G436+G441+G446+G451+G456+G461+G466+G471+G476+G481+G486+G491+G496</f>
        <v>0</v>
      </c>
      <c r="H507" s="157">
        <f>H381+H386+H391+H396+H401+H406+H411+H416+H421+H426+H431+H436+H441+H446+H451+H456+H461+H466+H471+H476+H481+H486+H491+H496</f>
        <v>0</v>
      </c>
      <c r="I507" s="157">
        <f>I381+I386+I391+I396+I401+I406+I411+I416+I421+I426+I431+I436+I441+I446+I451+I456+I461+I466+I471+I476+I481+I486+I491+I496</f>
        <v>801044.01922630006</v>
      </c>
      <c r="J507" s="9">
        <f>+I507-'ROR-Model'!I507</f>
        <v>0</v>
      </c>
      <c r="K507" s="9"/>
      <c r="L507" s="157"/>
      <c r="M507" s="157">
        <f>M381+M386+M391+M396+M401+M406+M411+M416+M421+M426+M431+M436+M441+M446+M451+M456+M461+M466+M471+M476+M481+M486+M491+M496</f>
        <v>0</v>
      </c>
      <c r="N507" s="157">
        <f>N381+N386+N391+N396+N401+N406+N411+N416+N421+N426+N431+N436+N441+N446+N451+N456+N461+N466+N471+N476+N481+N486+N491+N496</f>
        <v>801044.01922630006</v>
      </c>
      <c r="O507" s="136"/>
      <c r="P507" s="226"/>
      <c r="Q507" s="157">
        <f>Q381+Q386+Q391+Q396+Q401+Q406+Q411+Q416+Q421+Q426+Q431+Q436+Q441+Q446+Q451+Q456+Q461+Q466+Q471+Q476+Q481+Q486+Q491+Q496</f>
        <v>0</v>
      </c>
      <c r="R507" s="157">
        <f>R381+R386+R391+R396+R401+R406+R411+R416+R421+R426+R431+R436+R441+R446+R451+R456+R461+R466+R471+R476+R481+R486+R491+R496</f>
        <v>0</v>
      </c>
      <c r="S507" s="226"/>
      <c r="T507" s="157">
        <f>T381+T386+T391+T396+T401+T406+T411+T416+T421+T426+T431+T436+T441+T446+T451+T456+T461+T466+T471+T476+T481+T486+T491+T496</f>
        <v>107530.9575248</v>
      </c>
      <c r="U507" s="157">
        <f>U381+U386+U391+U396+U401+U406+U411+U416+U421+U426+U431+U436+U441+U446+U451+U456+U461+U466+U471+U476+U481+U486+U491+U496</f>
        <v>693513.06170150009</v>
      </c>
      <c r="V507" s="140"/>
      <c r="W507" s="157">
        <f>HLOOKUP($W$9,'ROR-Model'!$Q$10:$U$1263,Y507)</f>
        <v>0</v>
      </c>
      <c r="X507" s="156"/>
      <c r="Y507" s="918">
        <f t="shared" si="30"/>
        <v>498</v>
      </c>
      <c r="AA507" s="157">
        <v>100985.80019069999</v>
      </c>
      <c r="AC507" s="157">
        <f t="shared" si="31"/>
        <v>-100985.80019069999</v>
      </c>
      <c r="AE507" s="44">
        <f t="shared" si="32"/>
        <v>-1</v>
      </c>
    </row>
    <row r="508" spans="1:31" ht="13.5" thickBot="1">
      <c r="A508" s="153"/>
      <c r="B508" s="49"/>
      <c r="C508" s="49"/>
      <c r="D508" s="49"/>
      <c r="E508" s="175"/>
      <c r="F508" s="175"/>
      <c r="G508" s="175"/>
      <c r="H508" s="175"/>
      <c r="I508" s="175"/>
      <c r="J508" s="9">
        <f>+I508-'ROR-Model'!I508</f>
        <v>0</v>
      </c>
      <c r="K508" s="9"/>
      <c r="L508" s="175"/>
      <c r="M508" s="175"/>
      <c r="N508" s="175"/>
      <c r="O508" s="136"/>
      <c r="P508" s="229"/>
      <c r="Q508" s="175"/>
      <c r="R508" s="175"/>
      <c r="S508" s="229"/>
      <c r="T508" s="175"/>
      <c r="U508" s="175"/>
      <c r="V508" s="140"/>
      <c r="W508" s="175"/>
      <c r="X508" s="156"/>
      <c r="Y508" s="918">
        <f t="shared" si="30"/>
        <v>499</v>
      </c>
      <c r="AA508" s="175"/>
      <c r="AC508" s="175" t="str">
        <f t="shared" si="31"/>
        <v/>
      </c>
      <c r="AE508" s="44" t="str">
        <f t="shared" si="32"/>
        <v/>
      </c>
    </row>
    <row r="509" spans="1:31">
      <c r="A509" s="153"/>
      <c r="B509" s="158" t="s">
        <v>547</v>
      </c>
      <c r="C509" s="49"/>
      <c r="D509" s="49"/>
      <c r="E509" s="9"/>
      <c r="F509" s="9">
        <f>F382+F387+F392+F397+F402+F407+F412+F417+F422+F427+F432+F437+F442+F447+F452+F457+F462+F467+F472+F477+F482+F487+F492+F497</f>
        <v>24670191.780000001</v>
      </c>
      <c r="G509" s="9">
        <f>G382+G387+G392+G397+G402+G407+G412+G417+G422+G427+G432+G437+G442+G447+G452+G457+G462+G467+G472+G477+G482+G487+G492+G497</f>
        <v>0</v>
      </c>
      <c r="H509" s="9">
        <f>H382+H387+H392+H397+H402+H407+H412+H417+H422+H427+H432+H437+H442+H447+H452+H457+H462+H467+H472+H477+H482+H487+H492+H497</f>
        <v>0</v>
      </c>
      <c r="I509" s="9">
        <f>I382+I387+I392+I397+I402+I407+I412+I417+I422+I427+I432+I437+I442+I447+I452+I457+I462+I467+I472+I477+I482+I487+I492+I497</f>
        <v>24670191.780000001</v>
      </c>
      <c r="J509" s="9">
        <f>+I509-'ROR-Model'!I509</f>
        <v>0</v>
      </c>
      <c r="K509" s="9"/>
      <c r="L509" s="9"/>
      <c r="M509" s="9">
        <f>M382+M387+M392+M397+M402+M407+M412+M417+M422+M427+M432+M437+M442+M447+M452+M457+M462+M467+M472+M477+M482+M487+M492+M497</f>
        <v>23869147.760773696</v>
      </c>
      <c r="N509" s="9">
        <f>N382+N387+N392+N397+N402+N407+N412+N417+N422+N427+N432+N437+N442+N447+N452+N457+N462+N467+N472+N477+N482+N487+N492+N497</f>
        <v>801044.01922630006</v>
      </c>
      <c r="O509" s="136"/>
      <c r="P509" s="142"/>
      <c r="Q509" s="9">
        <f>Q382+Q387+Q392+Q397+Q402+Q407+Q412+Q417+Q422+Q427+Q432+Q437+Q442+Q447+Q452+Q457+Q462+Q467+Q472+Q477+Q482+Q487+Q492+Q497</f>
        <v>4697009.42</v>
      </c>
      <c r="R509" s="9">
        <f>R382+R387+R392+R397+R402+R407+R412+R417+R422+R427+R432+R437+R442+R447+R452+R457+R462+R467+R472+R477+R482+R487+R492+R497</f>
        <v>19172138.340773702</v>
      </c>
      <c r="S509" s="142"/>
      <c r="T509" s="9">
        <f>T382+T387+T392+T397+T402+T407+T412+T417+T422+T427+T432+T437+T442+T447+T452+T457+T462+T467+T472+T477+T482+T487+T492+T497</f>
        <v>107530.9575248</v>
      </c>
      <c r="U509" s="9">
        <f>U382+U387+U392+U397+U402+U407+U412+U417+U422+U427+U432+U437+U442+U447+U452+U457+U462+U467+U472+U477+U482+U487+U492+U497</f>
        <v>693513.06170150009</v>
      </c>
      <c r="V509" s="140"/>
      <c r="W509" s="9">
        <f>HLOOKUP($W$9,'ROR-Model'!$Q$10:$U$1263,Y509)</f>
        <v>4697009.42</v>
      </c>
      <c r="X509" s="156"/>
      <c r="Y509" s="918">
        <f t="shared" si="30"/>
        <v>500</v>
      </c>
      <c r="AA509" s="9">
        <v>100985.80019069999</v>
      </c>
      <c r="AC509" s="9">
        <f t="shared" si="31"/>
        <v>4596023.6198092997</v>
      </c>
      <c r="AE509" s="44">
        <f t="shared" si="32"/>
        <v>45.511582926809922</v>
      </c>
    </row>
    <row r="510" spans="1:31" ht="13.5" thickBot="1">
      <c r="A510" s="52"/>
      <c r="B510" s="52"/>
      <c r="C510" s="52"/>
      <c r="D510" s="49">
        <f>+F502+F506</f>
        <v>4804540.3775247997</v>
      </c>
      <c r="E510" s="26"/>
      <c r="F510" s="26"/>
      <c r="G510" s="26"/>
      <c r="H510" s="26"/>
      <c r="I510" s="26"/>
      <c r="J510" s="9">
        <f>+I510-'ROR-Model'!I510</f>
        <v>0</v>
      </c>
      <c r="K510" s="9"/>
      <c r="L510" s="26"/>
      <c r="M510" s="230"/>
      <c r="N510" s="230"/>
      <c r="O510" s="136"/>
      <c r="P510" s="227"/>
      <c r="Q510" s="26"/>
      <c r="R510" s="26"/>
      <c r="S510" s="227"/>
      <c r="T510" s="26"/>
      <c r="U510" s="26"/>
      <c r="V510" s="140"/>
      <c r="W510" s="26"/>
      <c r="X510" s="156"/>
      <c r="Y510" s="918">
        <f t="shared" si="30"/>
        <v>501</v>
      </c>
      <c r="AA510" s="26"/>
      <c r="AC510" s="26" t="str">
        <f t="shared" si="31"/>
        <v/>
      </c>
      <c r="AE510" s="44" t="str">
        <f t="shared" si="32"/>
        <v/>
      </c>
    </row>
    <row r="511" spans="1:31" ht="13.5" thickTop="1">
      <c r="A511" s="52"/>
      <c r="B511" s="52"/>
      <c r="C511" s="52"/>
      <c r="D511" s="49"/>
      <c r="E511" s="9"/>
      <c r="F511" s="9"/>
      <c r="G511" s="9"/>
      <c r="H511" s="9"/>
      <c r="I511" s="9"/>
      <c r="J511" s="9">
        <f>+I511-'ROR-Model'!I511</f>
        <v>0</v>
      </c>
      <c r="K511" s="9"/>
      <c r="L511" s="9"/>
      <c r="M511" s="176"/>
      <c r="N511" s="176"/>
      <c r="O511" s="136"/>
      <c r="P511" s="142"/>
      <c r="Q511" s="9"/>
      <c r="R511" s="9"/>
      <c r="S511" s="142"/>
      <c r="T511" s="9"/>
      <c r="U511" s="9"/>
      <c r="V511" s="140"/>
      <c r="W511" s="9"/>
      <c r="X511" s="156"/>
      <c r="Y511" s="918">
        <f t="shared" si="30"/>
        <v>502</v>
      </c>
      <c r="AA511" s="9"/>
      <c r="AC511" s="9" t="str">
        <f t="shared" si="31"/>
        <v/>
      </c>
      <c r="AE511" s="44" t="str">
        <f t="shared" si="32"/>
        <v/>
      </c>
    </row>
    <row r="512" spans="1:31">
      <c r="A512" s="130" t="s">
        <v>327</v>
      </c>
      <c r="B512" s="49"/>
      <c r="C512" s="49"/>
      <c r="D512" s="49"/>
      <c r="E512" s="9"/>
      <c r="F512" s="9">
        <f>F368+F509</f>
        <v>940309865.89999998</v>
      </c>
      <c r="G512" s="9">
        <f>G368+G509</f>
        <v>-20972049.120000001</v>
      </c>
      <c r="H512" s="9">
        <f>H368+H509</f>
        <v>0</v>
      </c>
      <c r="I512" s="9">
        <f>I368+I509</f>
        <v>919337816.77999997</v>
      </c>
      <c r="J512" s="9">
        <f>+I512-'ROR-Model'!I512</f>
        <v>0</v>
      </c>
      <c r="K512" s="9"/>
      <c r="L512" s="9"/>
      <c r="M512" s="9">
        <f>M368+M509</f>
        <v>886796817.7207737</v>
      </c>
      <c r="N512" s="716">
        <f>N368+N509</f>
        <v>32540999.059226301</v>
      </c>
      <c r="O512" s="136"/>
      <c r="P512" s="142"/>
      <c r="Q512" s="9">
        <f>Q368+Q509</f>
        <v>350332383.83683169</v>
      </c>
      <c r="R512" s="9">
        <f>R368+R509</f>
        <v>536464433.88394201</v>
      </c>
      <c r="S512" s="142"/>
      <c r="T512" s="9">
        <f>T368+T509</f>
        <v>12878788.3772154</v>
      </c>
      <c r="U512" s="9">
        <f>U368+U509</f>
        <v>19662210.6820109</v>
      </c>
      <c r="V512" s="140"/>
      <c r="W512" s="9">
        <f>HLOOKUP($W$9,'ROR-Model'!$Q$10:$U$1263,Y512)</f>
        <v>350332383.83683169</v>
      </c>
      <c r="X512" s="156"/>
      <c r="Y512" s="918">
        <f t="shared" si="30"/>
        <v>503</v>
      </c>
      <c r="AA512" s="9">
        <v>12543549.746146102</v>
      </c>
      <c r="AC512" s="9">
        <f t="shared" si="31"/>
        <v>337788834.09068561</v>
      </c>
      <c r="AE512" s="44">
        <f t="shared" si="32"/>
        <v>26.929285642963098</v>
      </c>
    </row>
    <row r="513" spans="1:31">
      <c r="A513" s="153"/>
      <c r="B513" s="49"/>
      <c r="C513" s="49"/>
      <c r="D513" s="49"/>
      <c r="E513" s="9"/>
      <c r="F513" s="9"/>
      <c r="G513" s="9"/>
      <c r="H513" s="9"/>
      <c r="I513" s="9"/>
      <c r="J513" s="9">
        <f>+I513-'ROR-Model'!I513</f>
        <v>0</v>
      </c>
      <c r="K513" s="9"/>
      <c r="L513" s="9"/>
      <c r="M513" s="9"/>
      <c r="N513" s="9"/>
      <c r="O513" s="136"/>
      <c r="P513" s="142"/>
      <c r="Q513" s="9"/>
      <c r="R513" s="9"/>
      <c r="S513" s="142"/>
      <c r="T513" s="9"/>
      <c r="U513" s="9"/>
      <c r="V513" s="140"/>
      <c r="W513" s="9"/>
      <c r="X513" s="156"/>
      <c r="Y513" s="918">
        <f t="shared" si="30"/>
        <v>504</v>
      </c>
      <c r="AA513" s="9"/>
      <c r="AC513" s="9" t="str">
        <f t="shared" si="31"/>
        <v/>
      </c>
      <c r="AE513" s="44" t="str">
        <f t="shared" si="32"/>
        <v/>
      </c>
    </row>
    <row r="514" spans="1:31">
      <c r="A514" s="153"/>
      <c r="B514" s="49"/>
      <c r="C514" s="49"/>
      <c r="D514" s="49"/>
      <c r="E514" s="31"/>
      <c r="F514" s="31"/>
      <c r="G514" s="9"/>
      <c r="H514" s="9"/>
      <c r="I514" s="9"/>
      <c r="J514" s="9">
        <f>+I514-'ROR-Model'!I514</f>
        <v>0</v>
      </c>
      <c r="K514" s="9"/>
      <c r="L514" s="9"/>
      <c r="M514" s="9"/>
      <c r="N514" s="9"/>
      <c r="O514" s="136"/>
      <c r="P514" s="142"/>
      <c r="Q514" s="9"/>
      <c r="R514" s="9"/>
      <c r="S514" s="142"/>
      <c r="T514" s="9"/>
      <c r="U514" s="9"/>
      <c r="V514" s="140"/>
      <c r="W514" s="9"/>
      <c r="X514" s="156"/>
      <c r="Y514" s="918">
        <f t="shared" si="30"/>
        <v>505</v>
      </c>
      <c r="AA514" s="9"/>
      <c r="AC514" s="9" t="str">
        <f t="shared" si="31"/>
        <v/>
      </c>
      <c r="AE514" s="44" t="str">
        <f t="shared" si="32"/>
        <v/>
      </c>
    </row>
    <row r="515" spans="1:31">
      <c r="A515" s="1413" t="s">
        <v>328</v>
      </c>
      <c r="B515" s="1413"/>
      <c r="C515" s="1413"/>
      <c r="D515" s="1413"/>
      <c r="E515" s="9"/>
      <c r="F515" s="9"/>
      <c r="G515" s="9"/>
      <c r="H515" s="9"/>
      <c r="I515" s="9"/>
      <c r="J515" s="9">
        <f>+I515-'ROR-Model'!I515</f>
        <v>0</v>
      </c>
      <c r="K515" s="9"/>
      <c r="L515" s="9"/>
      <c r="M515" s="9"/>
      <c r="N515" s="9"/>
      <c r="O515" s="136"/>
      <c r="P515" s="142"/>
      <c r="Q515" s="9"/>
      <c r="R515" s="9"/>
      <c r="S515" s="142"/>
      <c r="T515" s="9"/>
      <c r="U515" s="9"/>
      <c r="V515" s="140"/>
      <c r="W515" s="9"/>
      <c r="X515" s="156"/>
      <c r="Y515" s="918">
        <f t="shared" si="30"/>
        <v>506</v>
      </c>
      <c r="AA515" s="9"/>
      <c r="AC515" s="9" t="str">
        <f t="shared" si="31"/>
        <v/>
      </c>
      <c r="AE515" s="44" t="str">
        <f t="shared" si="32"/>
        <v/>
      </c>
    </row>
    <row r="516" spans="1:31">
      <c r="A516" s="915"/>
      <c r="B516" s="55"/>
      <c r="C516" s="55"/>
      <c r="D516" s="55"/>
      <c r="E516" s="9"/>
      <c r="F516" s="9"/>
      <c r="G516" s="9"/>
      <c r="H516" s="9"/>
      <c r="I516" s="9"/>
      <c r="J516" s="9">
        <f>+I516-'ROR-Model'!I516</f>
        <v>0</v>
      </c>
      <c r="K516" s="9"/>
      <c r="L516" s="9"/>
      <c r="M516" s="9"/>
      <c r="N516" s="9"/>
      <c r="O516" s="136"/>
      <c r="P516" s="142"/>
      <c r="Q516" s="9"/>
      <c r="R516" s="9"/>
      <c r="S516" s="142"/>
      <c r="T516" s="9"/>
      <c r="U516" s="9"/>
      <c r="V516" s="140"/>
      <c r="W516" s="9"/>
      <c r="X516" s="156"/>
      <c r="Y516" s="918">
        <f t="shared" si="30"/>
        <v>507</v>
      </c>
      <c r="AA516" s="9"/>
      <c r="AC516" s="9" t="str">
        <f t="shared" si="31"/>
        <v/>
      </c>
      <c r="AE516" s="44" t="str">
        <f t="shared" si="32"/>
        <v/>
      </c>
    </row>
    <row r="517" spans="1:31">
      <c r="A517" s="130" t="s">
        <v>329</v>
      </c>
      <c r="B517" s="49"/>
      <c r="C517" s="49"/>
      <c r="D517" s="49"/>
      <c r="E517" s="9"/>
      <c r="F517" s="9"/>
      <c r="G517" s="9"/>
      <c r="H517" s="9"/>
      <c r="I517" s="9"/>
      <c r="J517" s="9">
        <f>+I517-'ROR-Model'!I517</f>
        <v>0</v>
      </c>
      <c r="K517" s="9"/>
      <c r="L517" s="9"/>
      <c r="M517" s="9"/>
      <c r="N517" s="9"/>
      <c r="O517" s="136"/>
      <c r="P517" s="142"/>
      <c r="Q517" s="9"/>
      <c r="R517" s="9"/>
      <c r="S517" s="142"/>
      <c r="T517" s="9"/>
      <c r="U517" s="9"/>
      <c r="V517" s="140"/>
      <c r="W517" s="9"/>
      <c r="X517" s="156"/>
      <c r="Y517" s="918">
        <f t="shared" si="30"/>
        <v>508</v>
      </c>
      <c r="AA517" s="9"/>
      <c r="AC517" s="9" t="str">
        <f t="shared" si="31"/>
        <v/>
      </c>
      <c r="AE517" s="44" t="str">
        <f t="shared" si="32"/>
        <v/>
      </c>
    </row>
    <row r="518" spans="1:31">
      <c r="A518" s="153"/>
      <c r="B518" s="49"/>
      <c r="C518" s="49"/>
      <c r="D518" s="49"/>
      <c r="E518" s="9"/>
      <c r="F518" s="9"/>
      <c r="G518" s="9"/>
      <c r="H518" s="9"/>
      <c r="I518" s="9"/>
      <c r="J518" s="9">
        <f>+I518-'ROR-Model'!I518</f>
        <v>0</v>
      </c>
      <c r="K518" s="9"/>
      <c r="L518" s="9"/>
      <c r="M518" s="9"/>
      <c r="N518" s="9"/>
      <c r="O518" s="136"/>
      <c r="P518" s="142"/>
      <c r="Q518" s="9"/>
      <c r="R518" s="9"/>
      <c r="S518" s="142"/>
      <c r="T518" s="9"/>
      <c r="U518" s="9"/>
      <c r="V518" s="140"/>
      <c r="W518" s="9"/>
      <c r="X518" s="156"/>
      <c r="Y518" s="918">
        <f t="shared" si="30"/>
        <v>509</v>
      </c>
      <c r="AA518" s="9"/>
      <c r="AC518" s="9" t="str">
        <f t="shared" si="31"/>
        <v/>
      </c>
      <c r="AE518" s="44" t="str">
        <f t="shared" si="32"/>
        <v/>
      </c>
    </row>
    <row r="519" spans="1:31">
      <c r="A519" s="154"/>
      <c r="B519" s="49" t="s">
        <v>158</v>
      </c>
      <c r="C519" s="49"/>
      <c r="D519" s="49"/>
      <c r="E519" s="9"/>
      <c r="F519" s="9"/>
      <c r="G519" s="9"/>
      <c r="H519" s="9"/>
      <c r="I519" s="9"/>
      <c r="J519" s="9">
        <f>+I519-'ROR-Model'!I519</f>
        <v>0</v>
      </c>
      <c r="K519" s="9"/>
      <c r="L519" s="9"/>
      <c r="M519" s="9"/>
      <c r="N519" s="9"/>
      <c r="O519" s="136"/>
      <c r="P519" s="142"/>
      <c r="Q519" s="9"/>
      <c r="R519" s="9"/>
      <c r="S519" s="142"/>
      <c r="T519" s="9"/>
      <c r="U519" s="9"/>
      <c r="V519" s="140"/>
      <c r="W519" s="9"/>
      <c r="X519" s="156"/>
      <c r="Y519" s="918">
        <f t="shared" si="30"/>
        <v>510</v>
      </c>
      <c r="AA519" s="9"/>
      <c r="AC519" s="9" t="str">
        <f t="shared" si="31"/>
        <v/>
      </c>
      <c r="AE519" s="44" t="str">
        <f t="shared" si="32"/>
        <v/>
      </c>
    </row>
    <row r="520" spans="1:31">
      <c r="A520" s="154"/>
      <c r="B520" s="49"/>
      <c r="C520" s="49"/>
      <c r="D520" s="49"/>
      <c r="E520" s="9"/>
      <c r="F520" s="9"/>
      <c r="G520" s="9"/>
      <c r="H520" s="9"/>
      <c r="I520" s="9"/>
      <c r="J520" s="9">
        <f>+I520-'ROR-Model'!I520</f>
        <v>0</v>
      </c>
      <c r="K520" s="9"/>
      <c r="L520" s="9"/>
      <c r="M520" s="9"/>
      <c r="N520" s="9"/>
      <c r="O520" s="136"/>
      <c r="P520" s="142"/>
      <c r="Q520" s="9"/>
      <c r="R520" s="9"/>
      <c r="S520" s="142"/>
      <c r="T520" s="9"/>
      <c r="U520" s="9"/>
      <c r="V520" s="140"/>
      <c r="W520" s="9"/>
      <c r="X520" s="156"/>
      <c r="Y520" s="918">
        <f t="shared" si="30"/>
        <v>511</v>
      </c>
      <c r="AA520" s="9"/>
      <c r="AC520" s="9" t="str">
        <f t="shared" si="31"/>
        <v/>
      </c>
      <c r="AE520" s="44" t="str">
        <f t="shared" si="32"/>
        <v/>
      </c>
    </row>
    <row r="521" spans="1:31">
      <c r="A521" s="154">
        <v>758</v>
      </c>
      <c r="B521" s="49" t="s">
        <v>330</v>
      </c>
      <c r="C521" s="49"/>
      <c r="D521" s="49"/>
      <c r="E521" s="9"/>
      <c r="F521" s="9"/>
      <c r="G521" s="9"/>
      <c r="H521" s="9"/>
      <c r="I521" s="9"/>
      <c r="J521" s="9">
        <f>+I521-'ROR-Model'!I521</f>
        <v>0</v>
      </c>
      <c r="K521" s="9"/>
      <c r="L521" s="9"/>
      <c r="M521" s="9"/>
      <c r="N521" s="9"/>
      <c r="O521" s="136"/>
      <c r="P521" s="142"/>
      <c r="Q521" s="9"/>
      <c r="R521" s="9"/>
      <c r="S521" s="142"/>
      <c r="T521" s="9"/>
      <c r="U521" s="9"/>
      <c r="V521" s="140"/>
      <c r="W521" s="9"/>
      <c r="X521" s="156"/>
      <c r="Y521" s="918">
        <f t="shared" si="30"/>
        <v>512</v>
      </c>
      <c r="AA521" s="9"/>
      <c r="AC521" s="9" t="str">
        <f t="shared" si="31"/>
        <v/>
      </c>
      <c r="AE521" s="44" t="str">
        <f t="shared" si="32"/>
        <v/>
      </c>
    </row>
    <row r="522" spans="1:31">
      <c r="A522" s="154"/>
      <c r="B522" s="49"/>
      <c r="C522" s="49" t="s">
        <v>13</v>
      </c>
      <c r="D522" s="49"/>
      <c r="E522" s="9" t="s">
        <v>548</v>
      </c>
      <c r="F522" s="9">
        <f>EXPENSES!F16</f>
        <v>20573059.9417121</v>
      </c>
      <c r="G522" s="9">
        <f>+Adjustments!U521</f>
        <v>0</v>
      </c>
      <c r="H522" s="9"/>
      <c r="I522" s="9">
        <f>SUM($F$522:$H$522)</f>
        <v>20573059.9417121</v>
      </c>
      <c r="J522" s="9">
        <f>+I522-'ROR-Model'!I522</f>
        <v>0</v>
      </c>
      <c r="K522" s="9"/>
      <c r="L522" s="9" t="s">
        <v>13</v>
      </c>
      <c r="M522" s="9">
        <f>VLOOKUP($L522,$L$2:$N$7,2,FALSE)*I522</f>
        <v>20573059.9417121</v>
      </c>
      <c r="N522" s="9">
        <f>VLOOKUP($L522,$L$2:$N$7,3,FALSE)*I522</f>
        <v>0</v>
      </c>
      <c r="O522" s="136"/>
      <c r="P522" s="216" t="s">
        <v>548</v>
      </c>
      <c r="Q522" s="9">
        <f>IF(P522="G",M522,IF(P522="PT",0,ERR))</f>
        <v>0</v>
      </c>
      <c r="R522" s="9">
        <f>IF(P522="PT",M522,IF(P522="G",0,ERR))</f>
        <v>20573059.9417121</v>
      </c>
      <c r="S522" s="142" t="s">
        <v>548</v>
      </c>
      <c r="T522" s="9">
        <f>IF(S522="G",N522,IF(S522="PT",0,ERR))</f>
        <v>0</v>
      </c>
      <c r="U522" s="9">
        <f>IF(S522="PT",N522,IF(S522="G",0,ERR))</f>
        <v>0</v>
      </c>
      <c r="V522" s="140"/>
      <c r="W522" s="9">
        <f>HLOOKUP($W$9,'ROR-Model'!$Q$10:$U$1263,Y522)</f>
        <v>0</v>
      </c>
      <c r="X522" s="156"/>
      <c r="Y522" s="918">
        <f t="shared" si="30"/>
        <v>513</v>
      </c>
      <c r="AA522" s="9">
        <v>0</v>
      </c>
      <c r="AC522" s="9" t="str">
        <f t="shared" si="31"/>
        <v/>
      </c>
      <c r="AE522" s="44" t="str">
        <f t="shared" si="32"/>
        <v/>
      </c>
    </row>
    <row r="523" spans="1:31">
      <c r="A523" s="154"/>
      <c r="B523" s="49"/>
      <c r="C523" s="49" t="s">
        <v>24</v>
      </c>
      <c r="D523" s="49"/>
      <c r="E523" s="9" t="s">
        <v>548</v>
      </c>
      <c r="F523" s="9">
        <f>EXPENSES!F17</f>
        <v>751115.9782879008</v>
      </c>
      <c r="G523" s="9">
        <f>+Adjustments!U522</f>
        <v>0</v>
      </c>
      <c r="H523" s="9"/>
      <c r="I523" s="9">
        <f>SUM($F$523:$H$523)</f>
        <v>751115.9782879008</v>
      </c>
      <c r="J523" s="9">
        <f>+I523-'ROR-Model'!I523</f>
        <v>0</v>
      </c>
      <c r="K523" s="9"/>
      <c r="L523" s="9" t="s">
        <v>24</v>
      </c>
      <c r="M523" s="9">
        <f>VLOOKUP($L523,$L$2:$N$7,2,FALSE)*I523</f>
        <v>0</v>
      </c>
      <c r="N523" s="9">
        <f>VLOOKUP($L523,$L$2:$N$7,3,FALSE)*I523</f>
        <v>751115.9782879008</v>
      </c>
      <c r="O523" s="136"/>
      <c r="P523" s="216" t="s">
        <v>548</v>
      </c>
      <c r="Q523" s="9">
        <f>IF(P523="G",M523,IF(P523="PT",0,ERR))</f>
        <v>0</v>
      </c>
      <c r="R523" s="9">
        <f>IF(P523="PT",M523,IF(P523="G",0,ERR))</f>
        <v>0</v>
      </c>
      <c r="S523" s="142" t="s">
        <v>548</v>
      </c>
      <c r="T523" s="9">
        <f>IF(S523="G",N523,IF(S523="PT",0,ERR))</f>
        <v>0</v>
      </c>
      <c r="U523" s="9">
        <f>IF(S523="PT",N523,IF(S523="G",0,ERR))</f>
        <v>751115.9782879008</v>
      </c>
      <c r="V523" s="140"/>
      <c r="W523" s="9">
        <f>HLOOKUP($W$9,'ROR-Model'!$Q$10:$U$1263,Y523)</f>
        <v>0</v>
      </c>
      <c r="X523" s="156"/>
      <c r="Y523" s="918">
        <f t="shared" si="30"/>
        <v>514</v>
      </c>
      <c r="AA523" s="9">
        <v>0</v>
      </c>
      <c r="AC523" s="9" t="str">
        <f t="shared" si="31"/>
        <v/>
      </c>
      <c r="AE523" s="44" t="str">
        <f t="shared" si="32"/>
        <v/>
      </c>
    </row>
    <row r="524" spans="1:31">
      <c r="A524" s="154"/>
      <c r="B524" s="49"/>
      <c r="C524" s="49" t="s">
        <v>160</v>
      </c>
      <c r="D524" s="49"/>
      <c r="E524" s="157"/>
      <c r="F524" s="157">
        <f>SUM(F522:F523)</f>
        <v>21324175.920000002</v>
      </c>
      <c r="G524" s="157">
        <f>SUM(G522:G523)</f>
        <v>0</v>
      </c>
      <c r="H524" s="157">
        <f>SUM(H522:H523)</f>
        <v>0</v>
      </c>
      <c r="I524" s="157">
        <f>SUM(I522:I523)</f>
        <v>21324175.920000002</v>
      </c>
      <c r="J524" s="9">
        <f>+I524-'ROR-Model'!I524</f>
        <v>0</v>
      </c>
      <c r="K524" s="9"/>
      <c r="L524" s="157"/>
      <c r="M524" s="157">
        <f>SUM(M522:M523)</f>
        <v>20573059.9417121</v>
      </c>
      <c r="N524" s="157">
        <f>SUM(N522:N523)</f>
        <v>751115.9782879008</v>
      </c>
      <c r="O524" s="136"/>
      <c r="P524" s="216"/>
      <c r="Q524" s="157">
        <f>SUM(Q522:Q523)</f>
        <v>0</v>
      </c>
      <c r="R524" s="157">
        <f>SUM(R522:R523)</f>
        <v>20573059.9417121</v>
      </c>
      <c r="S524" s="226"/>
      <c r="T524" s="157">
        <f>SUM(T522:T523)</f>
        <v>0</v>
      </c>
      <c r="U524" s="157">
        <f>SUM(U522:U523)</f>
        <v>751115.9782879008</v>
      </c>
      <c r="V524" s="140"/>
      <c r="W524" s="157">
        <f>HLOOKUP($W$9,'ROR-Model'!$Q$10:$U$1263,Y524)</f>
        <v>0</v>
      </c>
      <c r="X524" s="156"/>
      <c r="Y524" s="918">
        <f t="shared" si="30"/>
        <v>515</v>
      </c>
      <c r="AA524" s="157">
        <v>0</v>
      </c>
      <c r="AC524" s="157" t="str">
        <f t="shared" si="31"/>
        <v/>
      </c>
      <c r="AE524" s="44" t="str">
        <f t="shared" si="32"/>
        <v/>
      </c>
    </row>
    <row r="525" spans="1:31">
      <c r="A525" s="154"/>
      <c r="B525" s="49"/>
      <c r="C525" s="49"/>
      <c r="D525" s="49"/>
      <c r="E525" s="9"/>
      <c r="F525" s="9"/>
      <c r="G525" s="9"/>
      <c r="H525" s="9"/>
      <c r="I525" s="9"/>
      <c r="J525" s="9">
        <f>+I525-'ROR-Model'!I525</f>
        <v>0</v>
      </c>
      <c r="K525" s="9"/>
      <c r="L525" s="9"/>
      <c r="M525" s="9"/>
      <c r="N525" s="9"/>
      <c r="O525" s="136"/>
      <c r="P525" s="216"/>
      <c r="Q525" s="9"/>
      <c r="R525" s="9"/>
      <c r="S525" s="142"/>
      <c r="T525" s="9"/>
      <c r="U525" s="9"/>
      <c r="V525" s="140"/>
      <c r="W525" s="9"/>
      <c r="X525" s="156"/>
      <c r="Y525" s="918">
        <f t="shared" si="30"/>
        <v>516</v>
      </c>
      <c r="AA525" s="9"/>
      <c r="AC525" s="9" t="str">
        <f t="shared" si="31"/>
        <v/>
      </c>
      <c r="AE525" s="44" t="str">
        <f t="shared" si="32"/>
        <v/>
      </c>
    </row>
    <row r="526" spans="1:31">
      <c r="A526" s="154" t="s">
        <v>688</v>
      </c>
      <c r="B526" s="49" t="s">
        <v>331</v>
      </c>
      <c r="C526" s="49"/>
      <c r="D526" s="49"/>
      <c r="E526" s="9"/>
      <c r="F526" s="9"/>
      <c r="G526" s="9"/>
      <c r="H526" s="9"/>
      <c r="I526" s="9"/>
      <c r="J526" s="9">
        <f>+I526-'ROR-Model'!I526</f>
        <v>0</v>
      </c>
      <c r="K526" s="9"/>
      <c r="L526" s="9"/>
      <c r="M526" s="9"/>
      <c r="N526" s="9"/>
      <c r="O526" s="136"/>
      <c r="P526" s="216"/>
      <c r="Q526" s="9"/>
      <c r="R526" s="9"/>
      <c r="S526" s="142"/>
      <c r="T526" s="9"/>
      <c r="U526" s="9"/>
      <c r="V526" s="140"/>
      <c r="W526" s="9"/>
      <c r="X526" s="156"/>
      <c r="Y526" s="918">
        <f t="shared" ref="Y526:Y589" si="33">Y525+1</f>
        <v>517</v>
      </c>
      <c r="AA526" s="9"/>
      <c r="AC526" s="9" t="str">
        <f t="shared" si="31"/>
        <v/>
      </c>
      <c r="AE526" s="44" t="str">
        <f t="shared" si="32"/>
        <v/>
      </c>
    </row>
    <row r="527" spans="1:31">
      <c r="A527" s="154"/>
      <c r="B527" s="49"/>
      <c r="C527" s="49" t="s">
        <v>13</v>
      </c>
      <c r="D527" s="49"/>
      <c r="E527" s="9" t="s">
        <v>548</v>
      </c>
      <c r="F527" s="9">
        <f>EXPENSES!F21</f>
        <v>311269.64999999997</v>
      </c>
      <c r="G527" s="9">
        <f>+Adjustments!U526</f>
        <v>0</v>
      </c>
      <c r="H527" s="9"/>
      <c r="I527" s="9">
        <f>SUM($F$527:$H$527)</f>
        <v>311269.64999999997</v>
      </c>
      <c r="J527" s="9">
        <f>+I527-'ROR-Model'!I527</f>
        <v>0</v>
      </c>
      <c r="K527" s="9"/>
      <c r="L527" s="9" t="s">
        <v>13</v>
      </c>
      <c r="M527" s="9">
        <f>VLOOKUP($L527,$L$2:$N$7,2,FALSE)*I527</f>
        <v>311269.64999999997</v>
      </c>
      <c r="N527" s="9">
        <f>VLOOKUP($L527,$L$2:$N$7,3,FALSE)*I527</f>
        <v>0</v>
      </c>
      <c r="O527" s="136"/>
      <c r="P527" s="216" t="s">
        <v>548</v>
      </c>
      <c r="Q527" s="9">
        <f>IF(P527="G",M527,IF(P527="PT",0,ERR))</f>
        <v>0</v>
      </c>
      <c r="R527" s="9">
        <f>IF(P527="PT",M527,IF(P527="G",0,ERR))</f>
        <v>311269.64999999997</v>
      </c>
      <c r="S527" s="142" t="s">
        <v>548</v>
      </c>
      <c r="T527" s="9">
        <f>IF(S527="G",N527,IF(S527="PT",0,ERR))</f>
        <v>0</v>
      </c>
      <c r="U527" s="9">
        <f>IF(S527="PT",N527,IF(S527="G",0,ERR))</f>
        <v>0</v>
      </c>
      <c r="V527" s="140"/>
      <c r="W527" s="9">
        <f>HLOOKUP($W$9,'ROR-Model'!$Q$10:$U$1263,Y527)</f>
        <v>0</v>
      </c>
      <c r="X527" s="156"/>
      <c r="Y527" s="918">
        <f t="shared" si="33"/>
        <v>518</v>
      </c>
      <c r="AA527" s="9">
        <v>0</v>
      </c>
      <c r="AC527" s="9" t="str">
        <f t="shared" si="31"/>
        <v/>
      </c>
      <c r="AE527" s="44" t="str">
        <f t="shared" si="32"/>
        <v/>
      </c>
    </row>
    <row r="528" spans="1:31">
      <c r="A528" s="154"/>
      <c r="B528" s="49"/>
      <c r="C528" s="49" t="s">
        <v>24</v>
      </c>
      <c r="D528" s="49"/>
      <c r="E528" s="9" t="s">
        <v>548</v>
      </c>
      <c r="F528" s="9">
        <f>EXPENSES!F22</f>
        <v>0</v>
      </c>
      <c r="G528" s="9">
        <f>+Adjustments!U527</f>
        <v>0</v>
      </c>
      <c r="H528" s="9"/>
      <c r="I528" s="9">
        <f>SUM($F$528:$H$528)</f>
        <v>0</v>
      </c>
      <c r="J528" s="9">
        <f>+I528-'ROR-Model'!I528</f>
        <v>0</v>
      </c>
      <c r="K528" s="9"/>
      <c r="L528" s="9" t="s">
        <v>24</v>
      </c>
      <c r="M528" s="9">
        <f>VLOOKUP($L528,$L$2:$N$7,2,FALSE)*I528</f>
        <v>0</v>
      </c>
      <c r="N528" s="9">
        <f>VLOOKUP($L528,$L$2:$N$7,3,FALSE)*I528</f>
        <v>0</v>
      </c>
      <c r="O528" s="136"/>
      <c r="P528" s="216" t="s">
        <v>548</v>
      </c>
      <c r="Q528" s="9">
        <f>IF(P528="G",M528,IF(P528="PT",0,ERR))</f>
        <v>0</v>
      </c>
      <c r="R528" s="9">
        <f>IF(P528="PT",M528,IF(P528="G",0,ERR))</f>
        <v>0</v>
      </c>
      <c r="S528" s="142" t="s">
        <v>548</v>
      </c>
      <c r="T528" s="9">
        <f>IF(S528="G",N528,IF(S528="PT",0,ERR))</f>
        <v>0</v>
      </c>
      <c r="U528" s="9">
        <f>IF(S528="PT",N528,IF(S528="G",0,ERR))</f>
        <v>0</v>
      </c>
      <c r="V528" s="140"/>
      <c r="W528" s="9">
        <f>HLOOKUP($W$9,'ROR-Model'!$Q$10:$U$1263,Y528)</f>
        <v>0</v>
      </c>
      <c r="X528" s="156"/>
      <c r="Y528" s="918">
        <f t="shared" si="33"/>
        <v>519</v>
      </c>
      <c r="AA528" s="9">
        <v>0</v>
      </c>
      <c r="AC528" s="9" t="str">
        <f t="shared" si="31"/>
        <v/>
      </c>
      <c r="AE528" s="44" t="str">
        <f t="shared" si="32"/>
        <v/>
      </c>
    </row>
    <row r="529" spans="1:31">
      <c r="A529" s="154"/>
      <c r="B529" s="49"/>
      <c r="C529" s="49" t="s">
        <v>160</v>
      </c>
      <c r="D529" s="49"/>
      <c r="E529" s="157"/>
      <c r="F529" s="157">
        <f>SUM(F527:F528)</f>
        <v>311269.64999999997</v>
      </c>
      <c r="G529" s="157">
        <f>SUM(G527:G528)</f>
        <v>0</v>
      </c>
      <c r="H529" s="157">
        <f>SUM(H527:H528)</f>
        <v>0</v>
      </c>
      <c r="I529" s="157">
        <f>SUM(I527:I528)</f>
        <v>311269.64999999997</v>
      </c>
      <c r="J529" s="9">
        <f>+I529-'ROR-Model'!I529</f>
        <v>0</v>
      </c>
      <c r="K529" s="9"/>
      <c r="L529" s="157"/>
      <c r="M529" s="157">
        <f>SUM(M527:M528)</f>
        <v>311269.64999999997</v>
      </c>
      <c r="N529" s="157">
        <f>SUM(N527:N528)</f>
        <v>0</v>
      </c>
      <c r="O529" s="136"/>
      <c r="P529" s="216"/>
      <c r="Q529" s="157">
        <f>SUM(Q527:Q528)</f>
        <v>0</v>
      </c>
      <c r="R529" s="157">
        <f>SUM(R527:R528)</f>
        <v>311269.64999999997</v>
      </c>
      <c r="S529" s="226"/>
      <c r="T529" s="157">
        <f>SUM(T527:T528)</f>
        <v>0</v>
      </c>
      <c r="U529" s="157">
        <f>SUM(U527:U528)</f>
        <v>0</v>
      </c>
      <c r="V529" s="140"/>
      <c r="W529" s="157">
        <f>HLOOKUP($W$9,'ROR-Model'!$Q$10:$U$1263,Y529)</f>
        <v>0</v>
      </c>
      <c r="X529" s="156"/>
      <c r="Y529" s="918">
        <f t="shared" si="33"/>
        <v>520</v>
      </c>
      <c r="AA529" s="157">
        <v>0</v>
      </c>
      <c r="AC529" s="157" t="str">
        <f t="shared" ref="AC529:AC592" si="34">IF(ABS(AA529)&gt;0,W529-AA529,"")</f>
        <v/>
      </c>
      <c r="AE529" s="44" t="str">
        <f t="shared" si="32"/>
        <v/>
      </c>
    </row>
    <row r="530" spans="1:31">
      <c r="A530" s="154"/>
      <c r="B530" s="49"/>
      <c r="C530" s="49"/>
      <c r="D530" s="49"/>
      <c r="E530" s="9"/>
      <c r="F530" s="9"/>
      <c r="G530" s="9"/>
      <c r="H530" s="9"/>
      <c r="I530" s="9"/>
      <c r="J530" s="9">
        <f>+I530-'ROR-Model'!I530</f>
        <v>0</v>
      </c>
      <c r="K530" s="9"/>
      <c r="L530" s="9"/>
      <c r="M530" s="9"/>
      <c r="N530" s="9"/>
      <c r="O530" s="136"/>
      <c r="P530" s="216"/>
      <c r="Q530" s="9"/>
      <c r="R530" s="9"/>
      <c r="S530" s="142"/>
      <c r="T530" s="9"/>
      <c r="U530" s="9"/>
      <c r="V530" s="140"/>
      <c r="W530" s="9"/>
      <c r="X530" s="156"/>
      <c r="Y530" s="918">
        <f t="shared" si="33"/>
        <v>521</v>
      </c>
      <c r="AA530" s="9"/>
      <c r="AC530" s="9" t="str">
        <f t="shared" si="34"/>
        <v/>
      </c>
      <c r="AE530" s="44" t="str">
        <f t="shared" ref="AE530:AE593" si="35">IF(ABS(AA530)&gt;0,AC530/AA530,"")</f>
        <v/>
      </c>
    </row>
    <row r="531" spans="1:31">
      <c r="A531" s="154">
        <v>759</v>
      </c>
      <c r="B531" s="49" t="s">
        <v>713</v>
      </c>
      <c r="C531" s="49"/>
      <c r="D531" s="49"/>
      <c r="E531" s="9"/>
      <c r="F531" s="9"/>
      <c r="G531" s="9"/>
      <c r="H531" s="9"/>
      <c r="I531" s="9"/>
      <c r="J531" s="9">
        <f>+I531-'ROR-Model'!I531</f>
        <v>0</v>
      </c>
      <c r="K531" s="9"/>
      <c r="L531" s="9"/>
      <c r="M531" s="9"/>
      <c r="N531" s="9"/>
      <c r="O531" s="136"/>
      <c r="P531" s="216"/>
      <c r="Q531" s="9"/>
      <c r="R531" s="9"/>
      <c r="S531" s="142"/>
      <c r="T531" s="9"/>
      <c r="U531" s="9"/>
      <c r="V531" s="140"/>
      <c r="W531" s="9"/>
      <c r="X531" s="156"/>
      <c r="Y531" s="918">
        <f t="shared" si="33"/>
        <v>522</v>
      </c>
      <c r="AA531" s="9"/>
      <c r="AC531" s="9" t="str">
        <f t="shared" si="34"/>
        <v/>
      </c>
      <c r="AE531" s="44" t="str">
        <f t="shared" si="35"/>
        <v/>
      </c>
    </row>
    <row r="532" spans="1:31">
      <c r="A532" s="154"/>
      <c r="B532" s="49"/>
      <c r="C532" s="49" t="s">
        <v>13</v>
      </c>
      <c r="D532" s="49"/>
      <c r="E532" s="9" t="s">
        <v>548</v>
      </c>
      <c r="F532" s="9">
        <f>EXPENSES!F26</f>
        <v>24917407.16</v>
      </c>
      <c r="G532" s="9">
        <f>+Adjustments!U531</f>
        <v>0</v>
      </c>
      <c r="H532" s="9"/>
      <c r="I532" s="9">
        <f>SUM($F$532:$H$532)</f>
        <v>24917407.16</v>
      </c>
      <c r="J532" s="9">
        <f>+I532-'ROR-Model'!I532</f>
        <v>0</v>
      </c>
      <c r="K532" s="9"/>
      <c r="L532" s="9" t="s">
        <v>13</v>
      </c>
      <c r="M532" s="9">
        <f>VLOOKUP($L532,$L$2:$N$7,2,FALSE)*I532</f>
        <v>24917407.16</v>
      </c>
      <c r="N532" s="9">
        <f>VLOOKUP($L532,$L$2:$N$7,3,FALSE)*I532</f>
        <v>0</v>
      </c>
      <c r="O532" s="136"/>
      <c r="P532" s="216" t="s">
        <v>548</v>
      </c>
      <c r="Q532" s="9">
        <f>IF(P532="G",M532,IF(P532="PT",0,ERR))</f>
        <v>0</v>
      </c>
      <c r="R532" s="9">
        <f>IF(P532="PT",M532,IF(P532="G",0,ERR))</f>
        <v>24917407.16</v>
      </c>
      <c r="S532" s="142" t="s">
        <v>548</v>
      </c>
      <c r="T532" s="9">
        <f>IF(S532="G",N532,IF(S532="PT",0,ERR))</f>
        <v>0</v>
      </c>
      <c r="U532" s="9">
        <f>IF(S532="PT",N532,IF(S532="G",0,ERR))</f>
        <v>0</v>
      </c>
      <c r="V532" s="140"/>
      <c r="W532" s="9">
        <f>HLOOKUP($W$9,'ROR-Model'!$Q$10:$U$1263,Y532)</f>
        <v>0</v>
      </c>
      <c r="X532" s="156"/>
      <c r="Y532" s="918">
        <f t="shared" si="33"/>
        <v>523</v>
      </c>
      <c r="AA532" s="9">
        <v>0</v>
      </c>
      <c r="AC532" s="9" t="str">
        <f t="shared" si="34"/>
        <v/>
      </c>
      <c r="AE532" s="44" t="str">
        <f t="shared" si="35"/>
        <v/>
      </c>
    </row>
    <row r="533" spans="1:31">
      <c r="A533" s="154"/>
      <c r="B533" s="49"/>
      <c r="C533" s="49" t="s">
        <v>24</v>
      </c>
      <c r="D533" s="49"/>
      <c r="E533" s="9" t="s">
        <v>548</v>
      </c>
      <c r="F533" s="9">
        <f>EXPENSES!F27</f>
        <v>0</v>
      </c>
      <c r="G533" s="9">
        <f>+Adjustments!U532</f>
        <v>0</v>
      </c>
      <c r="H533" s="9"/>
      <c r="I533" s="9">
        <f>SUM($F$533:$H$533)</f>
        <v>0</v>
      </c>
      <c r="J533" s="9">
        <f>+I533-'ROR-Model'!I533</f>
        <v>0</v>
      </c>
      <c r="K533" s="9"/>
      <c r="L533" s="9" t="s">
        <v>24</v>
      </c>
      <c r="M533" s="9">
        <f>VLOOKUP($L533,$L$2:$N$7,2,FALSE)*I533</f>
        <v>0</v>
      </c>
      <c r="N533" s="9">
        <f>VLOOKUP($L533,$L$2:$N$7,3,FALSE)*I533</f>
        <v>0</v>
      </c>
      <c r="O533" s="136"/>
      <c r="P533" s="216" t="s">
        <v>548</v>
      </c>
      <c r="Q533" s="9">
        <f>IF(P533="G",M533,IF(P533="PT",0,ERR))</f>
        <v>0</v>
      </c>
      <c r="R533" s="9">
        <f>IF(P533="PT",M533,IF(P533="G",0,ERR))</f>
        <v>0</v>
      </c>
      <c r="S533" s="142" t="s">
        <v>548</v>
      </c>
      <c r="T533" s="9">
        <f>IF(S533="G",N533,IF(S533="PT",0,ERR))</f>
        <v>0</v>
      </c>
      <c r="U533" s="9">
        <f>IF(S533="PT",N533,IF(S533="G",0,ERR))</f>
        <v>0</v>
      </c>
      <c r="V533" s="140"/>
      <c r="W533" s="9">
        <f>HLOOKUP($W$9,'ROR-Model'!$Q$10:$U$1263,Y533)</f>
        <v>0</v>
      </c>
      <c r="X533" s="156"/>
      <c r="Y533" s="918">
        <f t="shared" si="33"/>
        <v>524</v>
      </c>
      <c r="AA533" s="9">
        <v>0</v>
      </c>
      <c r="AC533" s="9" t="str">
        <f t="shared" si="34"/>
        <v/>
      </c>
      <c r="AE533" s="44" t="str">
        <f t="shared" si="35"/>
        <v/>
      </c>
    </row>
    <row r="534" spans="1:31">
      <c r="A534" s="154"/>
      <c r="B534" s="49"/>
      <c r="C534" s="49" t="s">
        <v>160</v>
      </c>
      <c r="D534" s="49"/>
      <c r="E534" s="157"/>
      <c r="F534" s="157">
        <f>SUM(F532:F533)</f>
        <v>24917407.16</v>
      </c>
      <c r="G534" s="157">
        <f>SUM(G532:G533)</f>
        <v>0</v>
      </c>
      <c r="H534" s="157">
        <f>SUM(H532:H533)</f>
        <v>0</v>
      </c>
      <c r="I534" s="157">
        <f>SUM(I532:I533)</f>
        <v>24917407.16</v>
      </c>
      <c r="J534" s="9">
        <f>+I534-'ROR-Model'!I534</f>
        <v>0</v>
      </c>
      <c r="K534" s="9"/>
      <c r="L534" s="157"/>
      <c r="M534" s="157">
        <f>SUM(M532:M533)</f>
        <v>24917407.16</v>
      </c>
      <c r="N534" s="157">
        <f>SUM(N532:N533)</f>
        <v>0</v>
      </c>
      <c r="O534" s="136"/>
      <c r="P534" s="216"/>
      <c r="Q534" s="157">
        <f>SUM(Q532:Q533)</f>
        <v>0</v>
      </c>
      <c r="R534" s="157">
        <f>SUM(R532:R533)</f>
        <v>24917407.16</v>
      </c>
      <c r="S534" s="226"/>
      <c r="T534" s="157">
        <f>SUM(T532:T533)</f>
        <v>0</v>
      </c>
      <c r="U534" s="157">
        <f>SUM(U532:U533)</f>
        <v>0</v>
      </c>
      <c r="V534" s="140"/>
      <c r="W534" s="157">
        <f>HLOOKUP($W$9,'ROR-Model'!$Q$10:$U$1263,Y534)</f>
        <v>0</v>
      </c>
      <c r="X534" s="156"/>
      <c r="Y534" s="918">
        <f t="shared" si="33"/>
        <v>525</v>
      </c>
      <c r="AA534" s="157">
        <v>0</v>
      </c>
      <c r="AC534" s="157" t="str">
        <f t="shared" si="34"/>
        <v/>
      </c>
      <c r="AE534" s="44" t="str">
        <f t="shared" si="35"/>
        <v/>
      </c>
    </row>
    <row r="535" spans="1:31">
      <c r="A535" s="154"/>
      <c r="B535" s="49"/>
      <c r="C535" s="49"/>
      <c r="D535" s="49"/>
      <c r="E535" s="9"/>
      <c r="F535" s="9"/>
      <c r="G535" s="9"/>
      <c r="H535" s="9"/>
      <c r="I535" s="9"/>
      <c r="J535" s="9">
        <f>+I535-'ROR-Model'!I535</f>
        <v>0</v>
      </c>
      <c r="K535" s="9"/>
      <c r="L535" s="9"/>
      <c r="M535" s="9"/>
      <c r="N535" s="9"/>
      <c r="O535" s="136"/>
      <c r="P535" s="216"/>
      <c r="Q535" s="9"/>
      <c r="R535" s="9"/>
      <c r="S535" s="142"/>
      <c r="T535" s="9"/>
      <c r="U535" s="9"/>
      <c r="V535" s="140"/>
      <c r="W535" s="9"/>
      <c r="X535" s="156"/>
      <c r="Y535" s="918">
        <f t="shared" si="33"/>
        <v>526</v>
      </c>
      <c r="AA535" s="9"/>
      <c r="AC535" s="9" t="str">
        <f t="shared" si="34"/>
        <v/>
      </c>
      <c r="AE535" s="44" t="str">
        <f t="shared" si="35"/>
        <v/>
      </c>
    </row>
    <row r="536" spans="1:31">
      <c r="A536" s="154">
        <v>759</v>
      </c>
      <c r="B536" s="49" t="s">
        <v>334</v>
      </c>
      <c r="C536" s="49"/>
      <c r="D536" s="49"/>
      <c r="E536" s="9"/>
      <c r="F536" s="9"/>
      <c r="G536" s="9"/>
      <c r="H536" s="9"/>
      <c r="I536" s="9"/>
      <c r="J536" s="9">
        <f>+I536-'ROR-Model'!I536</f>
        <v>0</v>
      </c>
      <c r="K536" s="9"/>
      <c r="L536" s="9"/>
      <c r="M536" s="9"/>
      <c r="N536" s="9"/>
      <c r="O536" s="136"/>
      <c r="P536" s="216"/>
      <c r="Q536" s="9"/>
      <c r="R536" s="9"/>
      <c r="S536" s="142"/>
      <c r="T536" s="9"/>
      <c r="U536" s="9"/>
      <c r="V536" s="140"/>
      <c r="W536" s="9"/>
      <c r="X536" s="156"/>
      <c r="Y536" s="918">
        <f t="shared" si="33"/>
        <v>527</v>
      </c>
      <c r="AA536" s="9"/>
      <c r="AC536" s="9" t="str">
        <f t="shared" si="34"/>
        <v/>
      </c>
      <c r="AE536" s="44" t="str">
        <f t="shared" si="35"/>
        <v/>
      </c>
    </row>
    <row r="537" spans="1:31">
      <c r="A537" s="154"/>
      <c r="B537" s="49"/>
      <c r="C537" s="49" t="s">
        <v>13</v>
      </c>
      <c r="D537" s="49"/>
      <c r="E537" s="9" t="s">
        <v>549</v>
      </c>
      <c r="F537" s="9">
        <f>EXPENSES!F31</f>
        <v>0</v>
      </c>
      <c r="G537" s="9">
        <f>+Adjustments!U536</f>
        <v>0</v>
      </c>
      <c r="H537" s="9"/>
      <c r="I537" s="9">
        <f>SUM($F$537:$H$537)</f>
        <v>0</v>
      </c>
      <c r="J537" s="9">
        <f>+I537-'ROR-Model'!I537</f>
        <v>0</v>
      </c>
      <c r="K537" s="9"/>
      <c r="L537" s="9" t="s">
        <v>13</v>
      </c>
      <c r="M537" s="9">
        <f>VLOOKUP($L537,$L$2:$N$7,2,FALSE)*I537</f>
        <v>0</v>
      </c>
      <c r="N537" s="9">
        <f>VLOOKUP($L537,$L$2:$N$7,3,FALSE)*I537</f>
        <v>0</v>
      </c>
      <c r="O537" s="136"/>
      <c r="P537" s="216" t="s">
        <v>549</v>
      </c>
      <c r="Q537" s="9">
        <f>IF(P537="G",M537,IF(P537="PT",0,ERR))</f>
        <v>0</v>
      </c>
      <c r="R537" s="9">
        <f>IF(P537="PT",M537,IF(P537="G",0,ERR))</f>
        <v>0</v>
      </c>
      <c r="S537" s="142" t="s">
        <v>549</v>
      </c>
      <c r="T537" s="9">
        <f>IF(S537="G",N537,IF(S537="PT",0,ERR))</f>
        <v>0</v>
      </c>
      <c r="U537" s="9">
        <f>IF(S537="PT",N537,IF(S537="G",0,ERR))</f>
        <v>0</v>
      </c>
      <c r="V537" s="140"/>
      <c r="W537" s="9">
        <f>HLOOKUP($W$9,'ROR-Model'!$Q$10:$U$1263,Y537)</f>
        <v>0</v>
      </c>
      <c r="X537" s="156"/>
      <c r="Y537" s="918">
        <f t="shared" si="33"/>
        <v>528</v>
      </c>
      <c r="AA537" s="9">
        <v>0</v>
      </c>
      <c r="AC537" s="9" t="str">
        <f t="shared" si="34"/>
        <v/>
      </c>
      <c r="AE537" s="44" t="str">
        <f t="shared" si="35"/>
        <v/>
      </c>
    </row>
    <row r="538" spans="1:31">
      <c r="A538" s="154"/>
      <c r="B538" s="49"/>
      <c r="C538" s="49" t="s">
        <v>24</v>
      </c>
      <c r="D538" s="49"/>
      <c r="E538" s="9" t="s">
        <v>548</v>
      </c>
      <c r="F538" s="9">
        <f>EXPENSES!F34</f>
        <v>0</v>
      </c>
      <c r="G538" s="9">
        <f>+Adjustments!U537</f>
        <v>0</v>
      </c>
      <c r="H538" s="9"/>
      <c r="I538" s="9">
        <f>SUM($F$538:$H$538)</f>
        <v>0</v>
      </c>
      <c r="J538" s="9">
        <f>+I538-'ROR-Model'!I538</f>
        <v>0</v>
      </c>
      <c r="K538" s="9"/>
      <c r="L538" s="9" t="s">
        <v>24</v>
      </c>
      <c r="M538" s="9">
        <f>VLOOKUP($L538,$L$2:$N$7,2,FALSE)*I538</f>
        <v>0</v>
      </c>
      <c r="N538" s="9">
        <f>VLOOKUP($L538,$L$2:$N$7,3,FALSE)*I538</f>
        <v>0</v>
      </c>
      <c r="O538" s="136"/>
      <c r="P538" s="216" t="s">
        <v>549</v>
      </c>
      <c r="Q538" s="9">
        <f>IF(P538="G",M538,IF(P538="PT",0,ERR))</f>
        <v>0</v>
      </c>
      <c r="R538" s="9">
        <f>IF(P538="PT",M538,IF(P538="G",0,ERR))</f>
        <v>0</v>
      </c>
      <c r="S538" s="142" t="s">
        <v>548</v>
      </c>
      <c r="T538" s="9">
        <f>IF(S538="G",N538,IF(S538="PT",0,ERR))</f>
        <v>0</v>
      </c>
      <c r="U538" s="9">
        <f>IF(S538="PT",N538,IF(S538="G",0,ERR))</f>
        <v>0</v>
      </c>
      <c r="V538" s="140"/>
      <c r="W538" s="9">
        <f>HLOOKUP($W$9,'ROR-Model'!$Q$10:$U$1263,Y538)</f>
        <v>0</v>
      </c>
      <c r="X538" s="156"/>
      <c r="Y538" s="918">
        <f t="shared" si="33"/>
        <v>529</v>
      </c>
      <c r="AA538" s="9">
        <v>0</v>
      </c>
      <c r="AC538" s="9" t="str">
        <f t="shared" si="34"/>
        <v/>
      </c>
      <c r="AE538" s="44" t="str">
        <f t="shared" si="35"/>
        <v/>
      </c>
    </row>
    <row r="539" spans="1:31">
      <c r="A539" s="154"/>
      <c r="B539" s="49"/>
      <c r="C539" s="49" t="s">
        <v>160</v>
      </c>
      <c r="D539" s="49"/>
      <c r="E539" s="157"/>
      <c r="F539" s="157">
        <f>SUM(F537:F538)</f>
        <v>0</v>
      </c>
      <c r="G539" s="157">
        <f>SUM(G537:G538)</f>
        <v>0</v>
      </c>
      <c r="H539" s="157">
        <f>SUM(H537:H538)</f>
        <v>0</v>
      </c>
      <c r="I539" s="157">
        <f>SUM(I537:I538)</f>
        <v>0</v>
      </c>
      <c r="J539" s="9">
        <f>+I539-'ROR-Model'!I539</f>
        <v>0</v>
      </c>
      <c r="K539" s="9"/>
      <c r="L539" s="157"/>
      <c r="M539" s="157">
        <f>SUM(M537:M538)</f>
        <v>0</v>
      </c>
      <c r="N539" s="157">
        <f>SUM(N537:N538)</f>
        <v>0</v>
      </c>
      <c r="O539" s="136"/>
      <c r="P539" s="216"/>
      <c r="Q539" s="157">
        <f>SUM(Q537:Q538)</f>
        <v>0</v>
      </c>
      <c r="R539" s="157">
        <f>SUM(R537:R538)</f>
        <v>0</v>
      </c>
      <c r="S539" s="226"/>
      <c r="T539" s="157">
        <f>SUM(T537:T538)</f>
        <v>0</v>
      </c>
      <c r="U539" s="157">
        <f>SUM(U537:U538)</f>
        <v>0</v>
      </c>
      <c r="V539" s="140"/>
      <c r="W539" s="157">
        <f>HLOOKUP($W$9,'ROR-Model'!$Q$10:$U$1263,Y539)</f>
        <v>0</v>
      </c>
      <c r="X539" s="156"/>
      <c r="Y539" s="918">
        <f t="shared" si="33"/>
        <v>530</v>
      </c>
      <c r="AA539" s="157">
        <v>0</v>
      </c>
      <c r="AC539" s="157" t="str">
        <f t="shared" si="34"/>
        <v/>
      </c>
      <c r="AE539" s="44" t="str">
        <f t="shared" si="35"/>
        <v/>
      </c>
    </row>
    <row r="540" spans="1:31">
      <c r="A540" s="154"/>
      <c r="B540" s="49"/>
      <c r="C540" s="49"/>
      <c r="D540" s="49"/>
      <c r="E540" s="9"/>
      <c r="F540" s="9"/>
      <c r="G540" s="9"/>
      <c r="H540" s="9"/>
      <c r="I540" s="9"/>
      <c r="J540" s="9">
        <f>+I540-'ROR-Model'!I540</f>
        <v>0</v>
      </c>
      <c r="K540" s="9"/>
      <c r="L540" s="9"/>
      <c r="M540" s="9"/>
      <c r="N540" s="9"/>
      <c r="O540" s="136"/>
      <c r="P540" s="216"/>
      <c r="Q540" s="9"/>
      <c r="R540" s="9"/>
      <c r="S540" s="142"/>
      <c r="T540" s="9"/>
      <c r="U540" s="9"/>
      <c r="V540" s="140"/>
      <c r="W540" s="9"/>
      <c r="X540" s="156"/>
      <c r="Y540" s="918">
        <f t="shared" si="33"/>
        <v>531</v>
      </c>
      <c r="AA540" s="9"/>
      <c r="AC540" s="9" t="str">
        <f t="shared" si="34"/>
        <v/>
      </c>
      <c r="AE540" s="44" t="str">
        <f t="shared" si="35"/>
        <v/>
      </c>
    </row>
    <row r="541" spans="1:31">
      <c r="A541" s="154">
        <v>800</v>
      </c>
      <c r="B541" s="49" t="s">
        <v>335</v>
      </c>
      <c r="C541" s="49"/>
      <c r="D541" s="49"/>
      <c r="E541" s="9"/>
      <c r="F541" s="9"/>
      <c r="G541" s="9"/>
      <c r="H541" s="9"/>
      <c r="I541" s="9"/>
      <c r="J541" s="9">
        <f>+I541-'ROR-Model'!I541</f>
        <v>0</v>
      </c>
      <c r="K541" s="9"/>
      <c r="L541" s="9"/>
      <c r="M541" s="9"/>
      <c r="N541" s="9"/>
      <c r="O541" s="136"/>
      <c r="P541" s="216"/>
      <c r="Q541" s="9"/>
      <c r="R541" s="9"/>
      <c r="S541" s="142"/>
      <c r="T541" s="9"/>
      <c r="U541" s="9"/>
      <c r="V541" s="140"/>
      <c r="W541" s="9"/>
      <c r="X541" s="156"/>
      <c r="Y541" s="918">
        <f t="shared" si="33"/>
        <v>532</v>
      </c>
      <c r="AA541" s="9"/>
      <c r="AC541" s="9" t="str">
        <f t="shared" si="34"/>
        <v/>
      </c>
      <c r="AE541" s="44" t="str">
        <f t="shared" si="35"/>
        <v/>
      </c>
    </row>
    <row r="542" spans="1:31">
      <c r="A542" s="154"/>
      <c r="B542" s="49"/>
      <c r="C542" s="49" t="s">
        <v>13</v>
      </c>
      <c r="D542" s="49"/>
      <c r="E542" s="9" t="s">
        <v>548</v>
      </c>
      <c r="F542" s="9">
        <f>EXPENSES!F38</f>
        <v>501.32868340000005</v>
      </c>
      <c r="G542" s="9">
        <f>+Adjustments!U541</f>
        <v>0</v>
      </c>
      <c r="H542" s="9"/>
      <c r="I542" s="9">
        <f>SUM($F$542:$H$542)</f>
        <v>501.32868340000005</v>
      </c>
      <c r="J542" s="9">
        <f>+I542-'ROR-Model'!I542</f>
        <v>0</v>
      </c>
      <c r="K542" s="9"/>
      <c r="L542" s="9" t="s">
        <v>13</v>
      </c>
      <c r="M542" s="9">
        <f>VLOOKUP($L542,$L$2:$N$7,2,FALSE)*I542</f>
        <v>501.32868340000005</v>
      </c>
      <c r="N542" s="9">
        <f>VLOOKUP($L542,$L$2:$N$7,3,FALSE)*I542</f>
        <v>0</v>
      </c>
      <c r="O542" s="136"/>
      <c r="P542" s="216" t="s">
        <v>548</v>
      </c>
      <c r="Q542" s="9">
        <f>IF(P542="G",M542,IF(P542="PT",0,ERR))</f>
        <v>0</v>
      </c>
      <c r="R542" s="9">
        <f>IF(P542="PT",M542,IF(P542="G",0,ERR))</f>
        <v>501.32868340000005</v>
      </c>
      <c r="S542" s="142" t="s">
        <v>548</v>
      </c>
      <c r="T542" s="9">
        <f>IF(S542="G",N542,IF(S542="PT",0,ERR))</f>
        <v>0</v>
      </c>
      <c r="U542" s="9">
        <f>IF(S542="PT",N542,IF(S542="G",0,ERR))</f>
        <v>0</v>
      </c>
      <c r="V542" s="140"/>
      <c r="W542" s="9">
        <f>HLOOKUP($W$9,'ROR-Model'!$Q$10:$U$1263,Y542)</f>
        <v>0</v>
      </c>
      <c r="X542" s="156"/>
      <c r="Y542" s="918">
        <f t="shared" si="33"/>
        <v>533</v>
      </c>
      <c r="AA542" s="9">
        <v>0</v>
      </c>
      <c r="AC542" s="9" t="str">
        <f t="shared" si="34"/>
        <v/>
      </c>
      <c r="AE542" s="44" t="str">
        <f t="shared" si="35"/>
        <v/>
      </c>
    </row>
    <row r="543" spans="1:31">
      <c r="A543" s="154"/>
      <c r="B543" s="49"/>
      <c r="C543" s="49" t="s">
        <v>24</v>
      </c>
      <c r="D543" s="49"/>
      <c r="E543" s="9" t="s">
        <v>548</v>
      </c>
      <c r="F543" s="9">
        <f>EXPENSES!F39</f>
        <v>16.661316600000021</v>
      </c>
      <c r="G543" s="9">
        <f>+Adjustments!U542</f>
        <v>0</v>
      </c>
      <c r="H543" s="9"/>
      <c r="I543" s="9">
        <f>SUM($F$543:$H$543)</f>
        <v>16.661316600000021</v>
      </c>
      <c r="J543" s="9">
        <f>+I543-'ROR-Model'!I543</f>
        <v>0</v>
      </c>
      <c r="K543" s="9"/>
      <c r="L543" s="9" t="s">
        <v>24</v>
      </c>
      <c r="M543" s="9">
        <f>VLOOKUP($L543,$L$2:$N$7,2,FALSE)*I543</f>
        <v>0</v>
      </c>
      <c r="N543" s="9">
        <f>VLOOKUP($L543,$L$2:$N$7,3,FALSE)*I543</f>
        <v>16.661316600000021</v>
      </c>
      <c r="O543" s="136"/>
      <c r="P543" s="216" t="s">
        <v>548</v>
      </c>
      <c r="Q543" s="9">
        <f>IF(P543="G",M543,IF(P543="PT",0,ERR))</f>
        <v>0</v>
      </c>
      <c r="R543" s="9">
        <f>IF(P543="PT",M543,IF(P543="G",0,ERR))</f>
        <v>0</v>
      </c>
      <c r="S543" s="142" t="s">
        <v>548</v>
      </c>
      <c r="T543" s="9">
        <f>IF(S543="G",N543,IF(S543="PT",0,ERR))</f>
        <v>0</v>
      </c>
      <c r="U543" s="9">
        <f>IF(S543="PT",N543,IF(S543="G",0,ERR))</f>
        <v>16.661316600000021</v>
      </c>
      <c r="V543" s="140"/>
      <c r="W543" s="9">
        <f>HLOOKUP($W$9,'ROR-Model'!$Q$10:$U$1263,Y543)</f>
        <v>0</v>
      </c>
      <c r="X543" s="156"/>
      <c r="Y543" s="918">
        <f t="shared" si="33"/>
        <v>534</v>
      </c>
      <c r="AA543" s="9">
        <v>0</v>
      </c>
      <c r="AC543" s="9" t="str">
        <f t="shared" si="34"/>
        <v/>
      </c>
      <c r="AE543" s="44" t="str">
        <f t="shared" si="35"/>
        <v/>
      </c>
    </row>
    <row r="544" spans="1:31">
      <c r="A544" s="154"/>
      <c r="B544" s="49"/>
      <c r="C544" s="49" t="s">
        <v>160</v>
      </c>
      <c r="D544" s="49"/>
      <c r="E544" s="157"/>
      <c r="F544" s="157">
        <f>SUM(F542:F543)</f>
        <v>517.99</v>
      </c>
      <c r="G544" s="157">
        <f>SUM(G542:G543)</f>
        <v>0</v>
      </c>
      <c r="H544" s="157">
        <f>SUM(H542:H543)</f>
        <v>0</v>
      </c>
      <c r="I544" s="157">
        <f>SUM(I542:I543)</f>
        <v>517.99</v>
      </c>
      <c r="J544" s="9">
        <f>+I544-'ROR-Model'!I544</f>
        <v>0</v>
      </c>
      <c r="K544" s="9"/>
      <c r="L544" s="157"/>
      <c r="M544" s="157">
        <f>SUM(M542:M543)</f>
        <v>501.32868340000005</v>
      </c>
      <c r="N544" s="157">
        <f>SUM(N542:N543)</f>
        <v>16.661316600000021</v>
      </c>
      <c r="O544" s="136"/>
      <c r="P544" s="216"/>
      <c r="Q544" s="157">
        <f>SUM(Q542:Q543)</f>
        <v>0</v>
      </c>
      <c r="R544" s="157">
        <f>SUM(R542:R543)</f>
        <v>501.32868340000005</v>
      </c>
      <c r="S544" s="226"/>
      <c r="T544" s="157">
        <f>SUM(T542:T543)</f>
        <v>0</v>
      </c>
      <c r="U544" s="157">
        <f>SUM(U542:U543)</f>
        <v>16.661316600000021</v>
      </c>
      <c r="V544" s="140"/>
      <c r="W544" s="157">
        <f>HLOOKUP($W$9,'ROR-Model'!$Q$10:$U$1263,Y544)</f>
        <v>0</v>
      </c>
      <c r="X544" s="156"/>
      <c r="Y544" s="918">
        <f t="shared" si="33"/>
        <v>535</v>
      </c>
      <c r="AA544" s="157">
        <v>0</v>
      </c>
      <c r="AC544" s="157" t="str">
        <f t="shared" si="34"/>
        <v/>
      </c>
      <c r="AE544" s="44" t="str">
        <f t="shared" si="35"/>
        <v/>
      </c>
    </row>
    <row r="545" spans="1:31">
      <c r="A545" s="154"/>
      <c r="B545" s="49"/>
      <c r="C545" s="49"/>
      <c r="D545" s="49"/>
      <c r="E545" s="9"/>
      <c r="F545" s="9"/>
      <c r="G545" s="9"/>
      <c r="H545" s="9"/>
      <c r="I545" s="9"/>
      <c r="J545" s="9">
        <f>+I545-'ROR-Model'!I545</f>
        <v>0</v>
      </c>
      <c r="K545" s="9"/>
      <c r="L545" s="9"/>
      <c r="M545" s="9"/>
      <c r="N545" s="9"/>
      <c r="O545" s="136"/>
      <c r="P545" s="216"/>
      <c r="Q545" s="9"/>
      <c r="R545" s="9"/>
      <c r="S545" s="142"/>
      <c r="T545" s="9"/>
      <c r="U545" s="9"/>
      <c r="V545" s="140"/>
      <c r="W545" s="9"/>
      <c r="X545" s="156"/>
      <c r="Y545" s="918">
        <f t="shared" si="33"/>
        <v>536</v>
      </c>
      <c r="AA545" s="9"/>
      <c r="AC545" s="9" t="str">
        <f t="shared" si="34"/>
        <v/>
      </c>
      <c r="AE545" s="44" t="str">
        <f t="shared" si="35"/>
        <v/>
      </c>
    </row>
    <row r="546" spans="1:31">
      <c r="A546" s="154">
        <v>801</v>
      </c>
      <c r="B546" s="49" t="s">
        <v>336</v>
      </c>
      <c r="C546" s="49"/>
      <c r="D546" s="49"/>
      <c r="E546" s="9"/>
      <c r="F546" s="9"/>
      <c r="G546" s="9"/>
      <c r="H546" s="9"/>
      <c r="I546" s="9"/>
      <c r="J546" s="9">
        <f>+I546-'ROR-Model'!I546</f>
        <v>0</v>
      </c>
      <c r="K546" s="9"/>
      <c r="L546" s="9"/>
      <c r="M546" s="9"/>
      <c r="N546" s="9"/>
      <c r="O546" s="136"/>
      <c r="P546" s="216"/>
      <c r="Q546" s="9"/>
      <c r="R546" s="9"/>
      <c r="S546" s="142"/>
      <c r="T546" s="9"/>
      <c r="U546" s="9"/>
      <c r="V546" s="140"/>
      <c r="W546" s="9"/>
      <c r="X546" s="156"/>
      <c r="Y546" s="918">
        <f t="shared" si="33"/>
        <v>537</v>
      </c>
      <c r="AA546" s="9"/>
      <c r="AC546" s="9" t="str">
        <f t="shared" si="34"/>
        <v/>
      </c>
      <c r="AE546" s="44" t="str">
        <f t="shared" si="35"/>
        <v/>
      </c>
    </row>
    <row r="547" spans="1:31">
      <c r="A547" s="154"/>
      <c r="B547" s="49"/>
      <c r="C547" s="49" t="s">
        <v>13</v>
      </c>
      <c r="D547" s="49"/>
      <c r="E547" s="9" t="s">
        <v>548</v>
      </c>
      <c r="F547" s="9">
        <f>EXPENSES!F43</f>
        <v>0</v>
      </c>
      <c r="G547" s="9">
        <f>+Adjustments!U546</f>
        <v>0</v>
      </c>
      <c r="H547" s="9"/>
      <c r="I547" s="9">
        <f>SUM($F$547:$H$547)</f>
        <v>0</v>
      </c>
      <c r="J547" s="9">
        <f>+I547-'ROR-Model'!I547</f>
        <v>0</v>
      </c>
      <c r="K547" s="9"/>
      <c r="L547" s="9" t="s">
        <v>13</v>
      </c>
      <c r="M547" s="9">
        <f>VLOOKUP($L547,$L$2:$N$7,2,FALSE)*I547</f>
        <v>0</v>
      </c>
      <c r="N547" s="9">
        <f>VLOOKUP($L547,$L$2:$N$7,3,FALSE)*I547</f>
        <v>0</v>
      </c>
      <c r="O547" s="136"/>
      <c r="P547" s="216" t="s">
        <v>548</v>
      </c>
      <c r="Q547" s="9">
        <f>IF(P547="G",M547,IF(P547="PT",0,ERR))</f>
        <v>0</v>
      </c>
      <c r="R547" s="9">
        <f>IF(P547="PT",M547,IF(P547="G",0,ERR))</f>
        <v>0</v>
      </c>
      <c r="S547" s="142" t="s">
        <v>548</v>
      </c>
      <c r="T547" s="9">
        <f>IF(S547="G",N547,IF(S547="PT",0,ERR))</f>
        <v>0</v>
      </c>
      <c r="U547" s="9">
        <f>IF(S547="PT",N547,IF(S547="G",0,ERR))</f>
        <v>0</v>
      </c>
      <c r="V547" s="140"/>
      <c r="W547" s="9">
        <f>HLOOKUP($W$9,'ROR-Model'!$Q$10:$U$1263,Y547)</f>
        <v>0</v>
      </c>
      <c r="X547" s="156"/>
      <c r="Y547" s="918">
        <f t="shared" si="33"/>
        <v>538</v>
      </c>
      <c r="AA547" s="9">
        <v>0</v>
      </c>
      <c r="AC547" s="9" t="str">
        <f t="shared" si="34"/>
        <v/>
      </c>
      <c r="AE547" s="44" t="str">
        <f t="shared" si="35"/>
        <v/>
      </c>
    </row>
    <row r="548" spans="1:31">
      <c r="A548" s="154"/>
      <c r="B548" s="49"/>
      <c r="C548" s="49" t="s">
        <v>24</v>
      </c>
      <c r="D548" s="49"/>
      <c r="E548" s="9" t="s">
        <v>548</v>
      </c>
      <c r="F548" s="9">
        <f>EXPENSES!F44</f>
        <v>0</v>
      </c>
      <c r="G548" s="9">
        <f>+Adjustments!U547</f>
        <v>0</v>
      </c>
      <c r="H548" s="9"/>
      <c r="I548" s="9">
        <f>SUM($F$548:$H$548)</f>
        <v>0</v>
      </c>
      <c r="J548" s="9">
        <f>+I548-'ROR-Model'!I548</f>
        <v>0</v>
      </c>
      <c r="K548" s="9"/>
      <c r="L548" s="9" t="s">
        <v>24</v>
      </c>
      <c r="M548" s="9">
        <f>VLOOKUP($L548,$L$2:$N$7,2,FALSE)*I548</f>
        <v>0</v>
      </c>
      <c r="N548" s="9">
        <f>VLOOKUP($L548,$L$2:$N$7,3,FALSE)*I548</f>
        <v>0</v>
      </c>
      <c r="O548" s="136"/>
      <c r="P548" s="216" t="s">
        <v>548</v>
      </c>
      <c r="Q548" s="9">
        <f>IF(P548="G",M548,IF(P548="PT",0,ERR))</f>
        <v>0</v>
      </c>
      <c r="R548" s="9">
        <f>IF(P548="PT",M548,IF(P548="G",0,ERR))</f>
        <v>0</v>
      </c>
      <c r="S548" s="142" t="s">
        <v>548</v>
      </c>
      <c r="T548" s="9">
        <f>IF(S548="G",N548,IF(S548="PT",0,ERR))</f>
        <v>0</v>
      </c>
      <c r="U548" s="9">
        <f>IF(S548="PT",N548,IF(S548="G",0,ERR))</f>
        <v>0</v>
      </c>
      <c r="V548" s="140"/>
      <c r="W548" s="9">
        <f>HLOOKUP($W$9,'ROR-Model'!$Q$10:$U$1263,Y548)</f>
        <v>0</v>
      </c>
      <c r="X548" s="156"/>
      <c r="Y548" s="918">
        <f t="shared" si="33"/>
        <v>539</v>
      </c>
      <c r="AA548" s="9">
        <v>0</v>
      </c>
      <c r="AC548" s="9" t="str">
        <f t="shared" si="34"/>
        <v/>
      </c>
      <c r="AE548" s="44" t="str">
        <f t="shared" si="35"/>
        <v/>
      </c>
    </row>
    <row r="549" spans="1:31">
      <c r="A549" s="154"/>
      <c r="B549" s="49"/>
      <c r="C549" s="49" t="s">
        <v>160</v>
      </c>
      <c r="D549" s="49"/>
      <c r="E549" s="157"/>
      <c r="F549" s="157">
        <f>SUM(F547:F548)</f>
        <v>0</v>
      </c>
      <c r="G549" s="157">
        <f>SUM(G547:G548)</f>
        <v>0</v>
      </c>
      <c r="H549" s="157">
        <f>SUM(H547:H548)</f>
        <v>0</v>
      </c>
      <c r="I549" s="157">
        <f>SUM(I547:I548)</f>
        <v>0</v>
      </c>
      <c r="J549" s="9">
        <f>+I549-'ROR-Model'!I549</f>
        <v>0</v>
      </c>
      <c r="K549" s="9"/>
      <c r="L549" s="157"/>
      <c r="M549" s="157">
        <f>SUM(M547:M548)</f>
        <v>0</v>
      </c>
      <c r="N549" s="157">
        <f>SUM(N547:N548)</f>
        <v>0</v>
      </c>
      <c r="O549" s="136"/>
      <c r="P549" s="216"/>
      <c r="Q549" s="157">
        <f>SUM(Q547:Q548)</f>
        <v>0</v>
      </c>
      <c r="R549" s="157">
        <f>SUM(R547:R548)</f>
        <v>0</v>
      </c>
      <c r="S549" s="226"/>
      <c r="T549" s="157">
        <f>SUM(T547:T548)</f>
        <v>0</v>
      </c>
      <c r="U549" s="157">
        <f>SUM(U547:U548)</f>
        <v>0</v>
      </c>
      <c r="V549" s="140"/>
      <c r="W549" s="157">
        <f>HLOOKUP($W$9,'ROR-Model'!$Q$10:$U$1263,Y549)</f>
        <v>0</v>
      </c>
      <c r="X549" s="156"/>
      <c r="Y549" s="918">
        <f t="shared" si="33"/>
        <v>540</v>
      </c>
      <c r="AA549" s="157">
        <v>0</v>
      </c>
      <c r="AC549" s="157" t="str">
        <f t="shared" si="34"/>
        <v/>
      </c>
      <c r="AE549" s="44" t="str">
        <f t="shared" si="35"/>
        <v/>
      </c>
    </row>
    <row r="550" spans="1:31">
      <c r="A550" s="154"/>
      <c r="B550" s="49"/>
      <c r="C550" s="49"/>
      <c r="D550" s="49"/>
      <c r="E550" s="9"/>
      <c r="F550" s="9"/>
      <c r="G550" s="9"/>
      <c r="H550" s="9"/>
      <c r="I550" s="9"/>
      <c r="J550" s="9">
        <f>+I550-'ROR-Model'!I550</f>
        <v>0</v>
      </c>
      <c r="K550" s="9"/>
      <c r="L550" s="9"/>
      <c r="M550" s="9"/>
      <c r="N550" s="9"/>
      <c r="O550" s="136"/>
      <c r="P550" s="216"/>
      <c r="Q550" s="9"/>
      <c r="R550" s="9"/>
      <c r="S550" s="142"/>
      <c r="T550" s="9"/>
      <c r="U550" s="9"/>
      <c r="V550" s="140"/>
      <c r="W550" s="9"/>
      <c r="X550" s="156"/>
      <c r="Y550" s="918">
        <f t="shared" si="33"/>
        <v>541</v>
      </c>
      <c r="AA550" s="9"/>
      <c r="AC550" s="9" t="str">
        <f t="shared" si="34"/>
        <v/>
      </c>
      <c r="AE550" s="44" t="str">
        <f t="shared" si="35"/>
        <v/>
      </c>
    </row>
    <row r="551" spans="1:31">
      <c r="A551" s="154">
        <v>802</v>
      </c>
      <c r="B551" s="49" t="s">
        <v>712</v>
      </c>
      <c r="C551" s="49"/>
      <c r="D551" s="49"/>
      <c r="E551" s="9"/>
      <c r="F551" s="9"/>
      <c r="G551" s="9"/>
      <c r="H551" s="9"/>
      <c r="I551" s="9"/>
      <c r="J551" s="9">
        <f>+I551-'ROR-Model'!I551</f>
        <v>0</v>
      </c>
      <c r="K551" s="9"/>
      <c r="L551" s="9"/>
      <c r="M551" s="9"/>
      <c r="N551" s="9"/>
      <c r="O551" s="136"/>
      <c r="P551" s="216"/>
      <c r="Q551" s="9"/>
      <c r="R551" s="9"/>
      <c r="S551" s="142"/>
      <c r="T551" s="9"/>
      <c r="U551" s="9"/>
      <c r="V551" s="140"/>
      <c r="W551" s="9"/>
      <c r="X551" s="156"/>
      <c r="Y551" s="918">
        <f t="shared" si="33"/>
        <v>542</v>
      </c>
      <c r="AA551" s="9"/>
      <c r="AC551" s="9" t="str">
        <f t="shared" si="34"/>
        <v/>
      </c>
      <c r="AE551" s="44" t="str">
        <f t="shared" si="35"/>
        <v/>
      </c>
    </row>
    <row r="552" spans="1:31">
      <c r="A552" s="154"/>
      <c r="B552" s="49"/>
      <c r="C552" s="49" t="s">
        <v>13</v>
      </c>
      <c r="D552" s="49"/>
      <c r="E552" s="9" t="s">
        <v>548</v>
      </c>
      <c r="F552" s="9">
        <f>EXPENSES!F48</f>
        <v>0</v>
      </c>
      <c r="G552" s="9">
        <f>+Adjustments!U551</f>
        <v>0</v>
      </c>
      <c r="H552" s="9"/>
      <c r="I552" s="9">
        <f>SUM($F$552:$H$552)</f>
        <v>0</v>
      </c>
      <c r="J552" s="9">
        <f>+I552-'ROR-Model'!I552</f>
        <v>0</v>
      </c>
      <c r="K552" s="9"/>
      <c r="L552" s="9" t="s">
        <v>13</v>
      </c>
      <c r="M552" s="9">
        <f>VLOOKUP($L552,$L$2:$N$7,2,FALSE)*I552</f>
        <v>0</v>
      </c>
      <c r="N552" s="9">
        <f>VLOOKUP($L552,$L$2:$N$7,3,FALSE)*I552</f>
        <v>0</v>
      </c>
      <c r="O552" s="136"/>
      <c r="P552" s="216" t="s">
        <v>548</v>
      </c>
      <c r="Q552" s="9">
        <f>IF(P552="G",M552,IF(P552="PT",0,ERR))</f>
        <v>0</v>
      </c>
      <c r="R552" s="9">
        <f>IF(P552="PT",M552,IF(P552="G",0,ERR))</f>
        <v>0</v>
      </c>
      <c r="S552" s="142" t="s">
        <v>548</v>
      </c>
      <c r="T552" s="9">
        <f>IF(S552="G",N552,IF(S552="PT",0,ERR))</f>
        <v>0</v>
      </c>
      <c r="U552" s="9">
        <f>IF(S552="PT",N552,IF(S552="G",0,ERR))</f>
        <v>0</v>
      </c>
      <c r="V552" s="140"/>
      <c r="W552" s="9">
        <f>HLOOKUP($W$9,'ROR-Model'!$Q$10:$U$1263,Y552)</f>
        <v>0</v>
      </c>
      <c r="X552" s="156"/>
      <c r="Y552" s="918">
        <f t="shared" si="33"/>
        <v>543</v>
      </c>
      <c r="AA552" s="9">
        <v>0</v>
      </c>
      <c r="AC552" s="9" t="str">
        <f t="shared" si="34"/>
        <v/>
      </c>
      <c r="AE552" s="44" t="str">
        <f t="shared" si="35"/>
        <v/>
      </c>
    </row>
    <row r="553" spans="1:31">
      <c r="A553" s="154"/>
      <c r="B553" s="49"/>
      <c r="C553" s="49" t="s">
        <v>24</v>
      </c>
      <c r="D553" s="49"/>
      <c r="E553" s="9" t="s">
        <v>548</v>
      </c>
      <c r="F553" s="9">
        <f>EXPENSES!F49</f>
        <v>0</v>
      </c>
      <c r="G553" s="9">
        <f>+Adjustments!U552</f>
        <v>0</v>
      </c>
      <c r="H553" s="9"/>
      <c r="I553" s="9">
        <f>SUM($F$553:$H$553)</f>
        <v>0</v>
      </c>
      <c r="J553" s="9">
        <f>+I553-'ROR-Model'!I553</f>
        <v>0</v>
      </c>
      <c r="K553" s="9"/>
      <c r="L553" s="9" t="s">
        <v>24</v>
      </c>
      <c r="M553" s="9">
        <f>VLOOKUP($L553,$L$2:$N$7,2,FALSE)*I553</f>
        <v>0</v>
      </c>
      <c r="N553" s="9">
        <f>VLOOKUP($L553,$L$2:$N$7,3,FALSE)*I553</f>
        <v>0</v>
      </c>
      <c r="O553" s="136"/>
      <c r="P553" s="216" t="s">
        <v>548</v>
      </c>
      <c r="Q553" s="9">
        <f>IF(P553="G",M553,IF(P553="PT",0,ERR))</f>
        <v>0</v>
      </c>
      <c r="R553" s="9">
        <f>IF(P553="PT",M553,IF(P553="G",0,ERR))</f>
        <v>0</v>
      </c>
      <c r="S553" s="142" t="s">
        <v>548</v>
      </c>
      <c r="T553" s="9">
        <f>IF(S553="G",N553,IF(S553="PT",0,ERR))</f>
        <v>0</v>
      </c>
      <c r="U553" s="9">
        <f>IF(S553="PT",N553,IF(S553="G",0,ERR))</f>
        <v>0</v>
      </c>
      <c r="V553" s="140"/>
      <c r="W553" s="9">
        <f>HLOOKUP($W$9,'ROR-Model'!$Q$10:$U$1263,Y553)</f>
        <v>0</v>
      </c>
      <c r="X553" s="156"/>
      <c r="Y553" s="918">
        <f t="shared" si="33"/>
        <v>544</v>
      </c>
      <c r="AA553" s="9">
        <v>0</v>
      </c>
      <c r="AC553" s="9" t="str">
        <f t="shared" si="34"/>
        <v/>
      </c>
      <c r="AE553" s="44" t="str">
        <f t="shared" si="35"/>
        <v/>
      </c>
    </row>
    <row r="554" spans="1:31">
      <c r="A554" s="154"/>
      <c r="B554" s="49"/>
      <c r="C554" s="49" t="s">
        <v>160</v>
      </c>
      <c r="D554" s="49"/>
      <c r="E554" s="157"/>
      <c r="F554" s="157">
        <f>SUM(F552:F553)</f>
        <v>0</v>
      </c>
      <c r="G554" s="157">
        <f>SUM(G552:G553)</f>
        <v>0</v>
      </c>
      <c r="H554" s="157">
        <f>SUM(H552:H553)</f>
        <v>0</v>
      </c>
      <c r="I554" s="157">
        <f>SUM(I552:I553)</f>
        <v>0</v>
      </c>
      <c r="J554" s="9">
        <f>+I554-'ROR-Model'!I554</f>
        <v>0</v>
      </c>
      <c r="K554" s="9"/>
      <c r="L554" s="157"/>
      <c r="M554" s="157">
        <f>SUM(M552:M553)</f>
        <v>0</v>
      </c>
      <c r="N554" s="157">
        <f>SUM(N552:N553)</f>
        <v>0</v>
      </c>
      <c r="O554" s="136"/>
      <c r="P554" s="216"/>
      <c r="Q554" s="157">
        <f>SUM(Q552:Q553)</f>
        <v>0</v>
      </c>
      <c r="R554" s="157">
        <f>SUM(R552:R553)</f>
        <v>0</v>
      </c>
      <c r="S554" s="226"/>
      <c r="T554" s="157">
        <f>SUM(T552:T553)</f>
        <v>0</v>
      </c>
      <c r="U554" s="157">
        <f>SUM(U552:U553)</f>
        <v>0</v>
      </c>
      <c r="V554" s="140"/>
      <c r="W554" s="157">
        <f>HLOOKUP($W$9,'ROR-Model'!$Q$10:$U$1263,Y554)</f>
        <v>0</v>
      </c>
      <c r="X554" s="156"/>
      <c r="Y554" s="918">
        <f t="shared" si="33"/>
        <v>545</v>
      </c>
      <c r="AA554" s="157">
        <v>0</v>
      </c>
      <c r="AC554" s="157" t="str">
        <f t="shared" si="34"/>
        <v/>
      </c>
      <c r="AE554" s="44" t="str">
        <f t="shared" si="35"/>
        <v/>
      </c>
    </row>
    <row r="555" spans="1:31">
      <c r="A555" s="154"/>
      <c r="B555" s="49"/>
      <c r="C555" s="49"/>
      <c r="D555" s="49"/>
      <c r="E555" s="9"/>
      <c r="F555" s="9"/>
      <c r="G555" s="9"/>
      <c r="H555" s="9"/>
      <c r="I555" s="9"/>
      <c r="J555" s="9">
        <f>+I555-'ROR-Model'!I555</f>
        <v>0</v>
      </c>
      <c r="K555" s="9"/>
      <c r="L555" s="9"/>
      <c r="M555" s="9"/>
      <c r="N555" s="9"/>
      <c r="O555" s="136"/>
      <c r="P555" s="216"/>
      <c r="Q555" s="9"/>
      <c r="R555" s="9"/>
      <c r="S555" s="142"/>
      <c r="T555" s="9"/>
      <c r="U555" s="9"/>
      <c r="V555" s="140"/>
      <c r="W555" s="9"/>
      <c r="X555" s="156"/>
      <c r="Y555" s="918">
        <f t="shared" si="33"/>
        <v>546</v>
      </c>
      <c r="AA555" s="9"/>
      <c r="AC555" s="9" t="str">
        <f t="shared" si="34"/>
        <v/>
      </c>
      <c r="AE555" s="44" t="str">
        <f t="shared" si="35"/>
        <v/>
      </c>
    </row>
    <row r="556" spans="1:31">
      <c r="A556" s="154">
        <v>803</v>
      </c>
      <c r="B556" s="49" t="s">
        <v>696</v>
      </c>
      <c r="C556" s="49"/>
      <c r="D556" s="49"/>
      <c r="E556" s="9"/>
      <c r="F556" s="9"/>
      <c r="G556" s="9"/>
      <c r="H556" s="9"/>
      <c r="I556" s="9"/>
      <c r="J556" s="9">
        <f>+I556-'ROR-Model'!I556</f>
        <v>0</v>
      </c>
      <c r="K556" s="9"/>
      <c r="L556" s="9"/>
      <c r="M556" s="9"/>
      <c r="N556" s="9"/>
      <c r="O556" s="136"/>
      <c r="P556" s="216"/>
      <c r="Q556" s="9"/>
      <c r="R556" s="9"/>
      <c r="S556" s="142"/>
      <c r="T556" s="9"/>
      <c r="U556" s="9"/>
      <c r="V556" s="140"/>
      <c r="W556" s="9"/>
      <c r="X556" s="156"/>
      <c r="Y556" s="918">
        <f t="shared" si="33"/>
        <v>547</v>
      </c>
      <c r="AA556" s="9"/>
      <c r="AC556" s="9" t="str">
        <f t="shared" si="34"/>
        <v/>
      </c>
      <c r="AE556" s="44" t="str">
        <f t="shared" si="35"/>
        <v/>
      </c>
    </row>
    <row r="557" spans="1:31">
      <c r="A557" s="154"/>
      <c r="B557" s="49"/>
      <c r="C557" s="49" t="s">
        <v>13</v>
      </c>
      <c r="D557" s="49"/>
      <c r="E557" s="9" t="s">
        <v>548</v>
      </c>
      <c r="F557" s="9">
        <f>EXPENSES!F53</f>
        <v>119925534.29720469</v>
      </c>
      <c r="G557" s="9">
        <f>+Adjustments!U556</f>
        <v>0</v>
      </c>
      <c r="H557" s="9"/>
      <c r="I557" s="9">
        <f>SUM($F$557:$H$557)</f>
        <v>119925534.29720469</v>
      </c>
      <c r="J557" s="9">
        <f>+I557-'ROR-Model'!I557</f>
        <v>0</v>
      </c>
      <c r="K557" s="9"/>
      <c r="L557" s="9" t="s">
        <v>13</v>
      </c>
      <c r="M557" s="9">
        <f>VLOOKUP($L557,$L$2:$N$7,2,FALSE)*I557</f>
        <v>119925534.29720469</v>
      </c>
      <c r="N557" s="9">
        <f>VLOOKUP($L557,$L$2:$N$7,3,FALSE)*I557</f>
        <v>0</v>
      </c>
      <c r="O557" s="136"/>
      <c r="P557" s="216" t="s">
        <v>548</v>
      </c>
      <c r="Q557" s="9">
        <f>IF(P557="G",M557,IF(P557="PT",0,ERR))</f>
        <v>0</v>
      </c>
      <c r="R557" s="9">
        <f>IF(P557="PT",M557,IF(P557="G",0,ERR))</f>
        <v>119925534.29720469</v>
      </c>
      <c r="S557" s="142" t="s">
        <v>548</v>
      </c>
      <c r="T557" s="9">
        <f>IF(S557="G",N557,IF(S557="PT",0,ERR))</f>
        <v>0</v>
      </c>
      <c r="U557" s="9">
        <f>IF(S557="PT",N557,IF(S557="G",0,ERR))</f>
        <v>0</v>
      </c>
      <c r="V557" s="140"/>
      <c r="W557" s="9">
        <f>HLOOKUP($W$9,'ROR-Model'!$Q$10:$U$1263,Y557)</f>
        <v>0</v>
      </c>
      <c r="X557" s="156"/>
      <c r="Y557" s="918">
        <f t="shared" si="33"/>
        <v>548</v>
      </c>
      <c r="AA557" s="9">
        <v>0</v>
      </c>
      <c r="AC557" s="9" t="str">
        <f t="shared" si="34"/>
        <v/>
      </c>
      <c r="AE557" s="44" t="str">
        <f t="shared" si="35"/>
        <v/>
      </c>
    </row>
    <row r="558" spans="1:31">
      <c r="A558" s="154"/>
      <c r="B558" s="49"/>
      <c r="C558" s="49" t="s">
        <v>24</v>
      </c>
      <c r="D558" s="49"/>
      <c r="E558" s="9" t="s">
        <v>548</v>
      </c>
      <c r="F558" s="9">
        <f>EXPENSES!F54</f>
        <v>4247459.4927952997</v>
      </c>
      <c r="G558" s="9">
        <f>+Adjustments!U557</f>
        <v>0</v>
      </c>
      <c r="H558" s="9"/>
      <c r="I558" s="9">
        <f>SUM($F$558:$H$558)</f>
        <v>4247459.4927952997</v>
      </c>
      <c r="J558" s="9">
        <f>+I558-'ROR-Model'!I558</f>
        <v>0</v>
      </c>
      <c r="K558" s="9"/>
      <c r="L558" s="9" t="s">
        <v>24</v>
      </c>
      <c r="M558" s="9">
        <f>VLOOKUP($L558,$L$2:$N$7,2,FALSE)*I558</f>
        <v>0</v>
      </c>
      <c r="N558" s="9">
        <f>VLOOKUP($L558,$L$2:$N$7,3,FALSE)*I558</f>
        <v>4247459.4927952997</v>
      </c>
      <c r="O558" s="136"/>
      <c r="P558" s="216" t="s">
        <v>548</v>
      </c>
      <c r="Q558" s="9">
        <f>IF(P558="G",M558,IF(P558="PT",0,ERR))</f>
        <v>0</v>
      </c>
      <c r="R558" s="9">
        <f>IF(P558="PT",M558,IF(P558="G",0,ERR))</f>
        <v>0</v>
      </c>
      <c r="S558" s="142" t="s">
        <v>548</v>
      </c>
      <c r="T558" s="9">
        <f>IF(S558="G",N558,IF(S558="PT",0,ERR))</f>
        <v>0</v>
      </c>
      <c r="U558" s="9">
        <f>IF(S558="PT",N558,IF(S558="G",0,ERR))</f>
        <v>4247459.4927952997</v>
      </c>
      <c r="V558" s="140"/>
      <c r="W558" s="9">
        <f>HLOOKUP($W$9,'ROR-Model'!$Q$10:$U$1263,Y558)</f>
        <v>0</v>
      </c>
      <c r="X558" s="156"/>
      <c r="Y558" s="918">
        <f t="shared" si="33"/>
        <v>549</v>
      </c>
      <c r="AA558" s="9">
        <v>0</v>
      </c>
      <c r="AC558" s="9" t="str">
        <f t="shared" si="34"/>
        <v/>
      </c>
      <c r="AE558" s="44" t="str">
        <f t="shared" si="35"/>
        <v/>
      </c>
    </row>
    <row r="559" spans="1:31">
      <c r="A559" s="154"/>
      <c r="B559" s="49"/>
      <c r="C559" s="49" t="s">
        <v>160</v>
      </c>
      <c r="D559" s="49"/>
      <c r="E559" s="157"/>
      <c r="F559" s="157">
        <f>SUM(F557:F558)</f>
        <v>124172993.78999999</v>
      </c>
      <c r="G559" s="157">
        <f>SUM(G557:G558)</f>
        <v>0</v>
      </c>
      <c r="H559" s="157">
        <f>SUM(H557:H558)</f>
        <v>0</v>
      </c>
      <c r="I559" s="157">
        <f>SUM(I557:I558)</f>
        <v>124172993.78999999</v>
      </c>
      <c r="J559" s="9">
        <f>+I559-'ROR-Model'!I559</f>
        <v>0</v>
      </c>
      <c r="K559" s="9"/>
      <c r="L559" s="157"/>
      <c r="M559" s="157">
        <f>SUM(M557:M558)</f>
        <v>119925534.29720469</v>
      </c>
      <c r="N559" s="157">
        <f>SUM(N557:N558)</f>
        <v>4247459.4927952997</v>
      </c>
      <c r="O559" s="136"/>
      <c r="P559" s="216"/>
      <c r="Q559" s="157">
        <f>SUM(Q557:Q558)</f>
        <v>0</v>
      </c>
      <c r="R559" s="157">
        <f>SUM(R557:R558)</f>
        <v>119925534.29720469</v>
      </c>
      <c r="S559" s="226"/>
      <c r="T559" s="157">
        <f>SUM(T557:T558)</f>
        <v>0</v>
      </c>
      <c r="U559" s="157">
        <f>SUM(U557:U558)</f>
        <v>4247459.4927952997</v>
      </c>
      <c r="V559" s="140"/>
      <c r="W559" s="157">
        <f>HLOOKUP($W$9,'ROR-Model'!$Q$10:$U$1263,Y559)</f>
        <v>0</v>
      </c>
      <c r="X559" s="156"/>
      <c r="Y559" s="918">
        <f t="shared" si="33"/>
        <v>550</v>
      </c>
      <c r="AA559" s="157">
        <v>0</v>
      </c>
      <c r="AC559" s="157" t="str">
        <f t="shared" si="34"/>
        <v/>
      </c>
      <c r="AE559" s="44" t="str">
        <f t="shared" si="35"/>
        <v/>
      </c>
    </row>
    <row r="560" spans="1:31">
      <c r="A560" s="154"/>
      <c r="B560" s="49"/>
      <c r="C560" s="49"/>
      <c r="D560" s="49"/>
      <c r="E560" s="9"/>
      <c r="F560" s="9"/>
      <c r="G560" s="9"/>
      <c r="H560" s="9"/>
      <c r="I560" s="9"/>
      <c r="J560" s="9">
        <f>+I560-'ROR-Model'!I560</f>
        <v>0</v>
      </c>
      <c r="K560" s="9"/>
      <c r="L560" s="9"/>
      <c r="M560" s="9"/>
      <c r="N560" s="9"/>
      <c r="O560" s="136"/>
      <c r="P560" s="216"/>
      <c r="Q560" s="9"/>
      <c r="R560" s="9"/>
      <c r="S560" s="142"/>
      <c r="T560" s="9"/>
      <c r="U560" s="9"/>
      <c r="V560" s="140"/>
      <c r="W560" s="9"/>
      <c r="X560" s="156"/>
      <c r="Y560" s="918">
        <f t="shared" si="33"/>
        <v>551</v>
      </c>
      <c r="AA560" s="9"/>
      <c r="AC560" s="9" t="str">
        <f t="shared" si="34"/>
        <v/>
      </c>
      <c r="AE560" s="44" t="str">
        <f t="shared" si="35"/>
        <v/>
      </c>
    </row>
    <row r="561" spans="1:31">
      <c r="A561" s="154">
        <v>804</v>
      </c>
      <c r="B561" s="49" t="s">
        <v>698</v>
      </c>
      <c r="C561" s="49"/>
      <c r="D561" s="49"/>
      <c r="E561" s="9"/>
      <c r="F561" s="9"/>
      <c r="G561" s="9"/>
      <c r="H561" s="9"/>
      <c r="I561" s="9"/>
      <c r="J561" s="9">
        <f>+I561-'ROR-Model'!I561</f>
        <v>0</v>
      </c>
      <c r="K561" s="9"/>
      <c r="L561" s="9"/>
      <c r="M561" s="9"/>
      <c r="N561" s="9"/>
      <c r="O561" s="136"/>
      <c r="P561" s="216"/>
      <c r="Q561" s="9"/>
      <c r="R561" s="9"/>
      <c r="S561" s="142"/>
      <c r="T561" s="9"/>
      <c r="U561" s="9"/>
      <c r="V561" s="140"/>
      <c r="W561" s="9"/>
      <c r="X561" s="156"/>
      <c r="Y561" s="918">
        <f t="shared" si="33"/>
        <v>552</v>
      </c>
      <c r="AA561" s="9"/>
      <c r="AC561" s="9" t="str">
        <f t="shared" si="34"/>
        <v/>
      </c>
      <c r="AE561" s="44" t="str">
        <f t="shared" si="35"/>
        <v/>
      </c>
    </row>
    <row r="562" spans="1:31">
      <c r="A562" s="154"/>
      <c r="B562" s="49"/>
      <c r="C562" s="49" t="s">
        <v>13</v>
      </c>
      <c r="D562" s="49"/>
      <c r="E562" s="9" t="s">
        <v>548</v>
      </c>
      <c r="F562" s="9">
        <f>EXPENSES!F58</f>
        <v>0</v>
      </c>
      <c r="G562" s="9">
        <f>+Adjustments!U561</f>
        <v>0</v>
      </c>
      <c r="H562" s="9">
        <v>0</v>
      </c>
      <c r="I562" s="9">
        <f>SUM($F$562:$H$562)</f>
        <v>0</v>
      </c>
      <c r="J562" s="9">
        <f>+I562-'ROR-Model'!I562</f>
        <v>0</v>
      </c>
      <c r="K562" s="9"/>
      <c r="L562" s="9" t="s">
        <v>13</v>
      </c>
      <c r="M562" s="9">
        <f>VLOOKUP($L562,$L$2:$N$7,2,FALSE)*I562</f>
        <v>0</v>
      </c>
      <c r="N562" s="9">
        <f>VLOOKUP($L562,$L$2:$N$7,3,FALSE)*I562</f>
        <v>0</v>
      </c>
      <c r="O562" s="136"/>
      <c r="P562" s="216" t="s">
        <v>548</v>
      </c>
      <c r="Q562" s="9">
        <f>IF(P562="G",M562,IF(P562="PT",0,ERR))</f>
        <v>0</v>
      </c>
      <c r="R562" s="9">
        <f>IF(P562="PT",M562,IF(P562="G",0,ERR))</f>
        <v>0</v>
      </c>
      <c r="S562" s="142" t="s">
        <v>548</v>
      </c>
      <c r="T562" s="9">
        <f>IF(S562="G",N562,IF(S562="PT",0,ERR))</f>
        <v>0</v>
      </c>
      <c r="U562" s="9">
        <f>IF(S562="PT",N562,IF(S562="G",0,ERR))</f>
        <v>0</v>
      </c>
      <c r="V562" s="140"/>
      <c r="W562" s="9">
        <f>HLOOKUP($W$9,'ROR-Model'!$Q$10:$U$1263,Y562)</f>
        <v>0</v>
      </c>
      <c r="X562" s="156"/>
      <c r="Y562" s="918">
        <f t="shared" si="33"/>
        <v>553</v>
      </c>
      <c r="AA562" s="9">
        <v>0</v>
      </c>
      <c r="AC562" s="9" t="str">
        <f t="shared" si="34"/>
        <v/>
      </c>
      <c r="AE562" s="44" t="str">
        <f t="shared" si="35"/>
        <v/>
      </c>
    </row>
    <row r="563" spans="1:31">
      <c r="A563" s="154"/>
      <c r="B563" s="49"/>
      <c r="C563" s="49" t="s">
        <v>24</v>
      </c>
      <c r="D563" s="49"/>
      <c r="E563" s="9" t="s">
        <v>548</v>
      </c>
      <c r="F563" s="9">
        <f>EXPENSES!F59</f>
        <v>0</v>
      </c>
      <c r="G563" s="9">
        <f>+Adjustments!U562</f>
        <v>0</v>
      </c>
      <c r="H563" s="9">
        <v>0</v>
      </c>
      <c r="I563" s="9">
        <f>SUM($F$563:$H$563)</f>
        <v>0</v>
      </c>
      <c r="J563" s="9">
        <f>+I563-'ROR-Model'!I563</f>
        <v>0</v>
      </c>
      <c r="K563" s="9"/>
      <c r="L563" s="9" t="s">
        <v>24</v>
      </c>
      <c r="M563" s="9">
        <f>VLOOKUP($L563,$L$2:$N$7,2,FALSE)*I563</f>
        <v>0</v>
      </c>
      <c r="N563" s="9">
        <f>VLOOKUP($L563,$L$2:$N$7,3,FALSE)*I563</f>
        <v>0</v>
      </c>
      <c r="O563" s="136"/>
      <c r="P563" s="216" t="s">
        <v>548</v>
      </c>
      <c r="Q563" s="9">
        <f>IF(P563="G",M563,IF(P563="PT",0,ERR))</f>
        <v>0</v>
      </c>
      <c r="R563" s="9">
        <f>IF(P563="PT",M563,IF(P563="G",0,ERR))</f>
        <v>0</v>
      </c>
      <c r="S563" s="142" t="s">
        <v>548</v>
      </c>
      <c r="T563" s="9">
        <f>IF(S563="G",N563,IF(S563="PT",0,ERR))</f>
        <v>0</v>
      </c>
      <c r="U563" s="9">
        <f>IF(S563="PT",N563,IF(S563="G",0,ERR))</f>
        <v>0</v>
      </c>
      <c r="V563" s="140"/>
      <c r="W563" s="9">
        <f>HLOOKUP($W$9,'ROR-Model'!$Q$10:$U$1263,Y563)</f>
        <v>0</v>
      </c>
      <c r="X563" s="156"/>
      <c r="Y563" s="918">
        <f t="shared" si="33"/>
        <v>554</v>
      </c>
      <c r="AA563" s="9">
        <v>0</v>
      </c>
      <c r="AC563" s="9" t="str">
        <f t="shared" si="34"/>
        <v/>
      </c>
      <c r="AE563" s="44" t="str">
        <f t="shared" si="35"/>
        <v/>
      </c>
    </row>
    <row r="564" spans="1:31">
      <c r="A564" s="154"/>
      <c r="B564" s="49"/>
      <c r="C564" s="49" t="s">
        <v>160</v>
      </c>
      <c r="D564" s="49"/>
      <c r="E564" s="157"/>
      <c r="F564" s="157">
        <f>SUM(F562:F563)</f>
        <v>0</v>
      </c>
      <c r="G564" s="157">
        <f>SUM(G562:G563)</f>
        <v>0</v>
      </c>
      <c r="H564" s="157">
        <f>SUM(H562:H563)</f>
        <v>0</v>
      </c>
      <c r="I564" s="157">
        <f>SUM(I562:I563)</f>
        <v>0</v>
      </c>
      <c r="J564" s="9">
        <f>+I564-'ROR-Model'!I564</f>
        <v>0</v>
      </c>
      <c r="K564" s="9"/>
      <c r="L564" s="157"/>
      <c r="M564" s="157">
        <f>SUM(M562:M563)</f>
        <v>0</v>
      </c>
      <c r="N564" s="157">
        <f>SUM(N562:N563)</f>
        <v>0</v>
      </c>
      <c r="O564" s="136"/>
      <c r="P564" s="216"/>
      <c r="Q564" s="157">
        <f>SUM(Q562:Q563)</f>
        <v>0</v>
      </c>
      <c r="R564" s="157">
        <f>SUM(R562:R563)</f>
        <v>0</v>
      </c>
      <c r="S564" s="226"/>
      <c r="T564" s="157">
        <f>SUM(T562:T563)</f>
        <v>0</v>
      </c>
      <c r="U564" s="157">
        <f>SUM(U562:U563)</f>
        <v>0</v>
      </c>
      <c r="V564" s="140"/>
      <c r="W564" s="157">
        <f>HLOOKUP($W$9,'ROR-Model'!$Q$10:$U$1263,Y564)</f>
        <v>0</v>
      </c>
      <c r="X564" s="156"/>
      <c r="Y564" s="918">
        <f t="shared" si="33"/>
        <v>555</v>
      </c>
      <c r="AA564" s="157">
        <v>0</v>
      </c>
      <c r="AC564" s="157" t="str">
        <f t="shared" si="34"/>
        <v/>
      </c>
      <c r="AE564" s="44" t="str">
        <f t="shared" si="35"/>
        <v/>
      </c>
    </row>
    <row r="565" spans="1:31">
      <c r="A565" s="154"/>
      <c r="B565" s="49"/>
      <c r="C565" s="49"/>
      <c r="D565" s="49"/>
      <c r="E565" s="9"/>
      <c r="F565" s="9"/>
      <c r="G565" s="9"/>
      <c r="H565" s="9"/>
      <c r="I565" s="9"/>
      <c r="J565" s="9">
        <f>+I565-'ROR-Model'!I565</f>
        <v>0</v>
      </c>
      <c r="K565" s="9"/>
      <c r="L565" s="9"/>
      <c r="M565" s="9"/>
      <c r="N565" s="9"/>
      <c r="O565" s="136"/>
      <c r="P565" s="216"/>
      <c r="Q565" s="9"/>
      <c r="R565" s="9"/>
      <c r="S565" s="142"/>
      <c r="T565" s="9"/>
      <c r="U565" s="9"/>
      <c r="V565" s="140"/>
      <c r="W565" s="9"/>
      <c r="X565" s="156"/>
      <c r="Y565" s="918">
        <f t="shared" si="33"/>
        <v>556</v>
      </c>
      <c r="AA565" s="9"/>
      <c r="AC565" s="9" t="str">
        <f t="shared" si="34"/>
        <v/>
      </c>
      <c r="AE565" s="44" t="str">
        <f t="shared" si="35"/>
        <v/>
      </c>
    </row>
    <row r="566" spans="1:31">
      <c r="A566" s="154" t="s">
        <v>689</v>
      </c>
      <c r="B566" s="49" t="s">
        <v>704</v>
      </c>
      <c r="C566" s="49"/>
      <c r="D566" s="49"/>
      <c r="E566" s="9"/>
      <c r="F566" s="9"/>
      <c r="G566" s="9"/>
      <c r="H566" s="9"/>
      <c r="I566" s="9"/>
      <c r="J566" s="9">
        <f>+I566-'ROR-Model'!I566</f>
        <v>0</v>
      </c>
      <c r="K566" s="9"/>
      <c r="L566" s="9"/>
      <c r="M566" s="9"/>
      <c r="N566" s="9"/>
      <c r="O566" s="136"/>
      <c r="P566" s="216"/>
      <c r="Q566" s="9"/>
      <c r="R566" s="9"/>
      <c r="S566" s="142"/>
      <c r="T566" s="9"/>
      <c r="U566" s="9"/>
      <c r="V566" s="140"/>
      <c r="W566" s="9"/>
      <c r="X566" s="156"/>
      <c r="Y566" s="918">
        <f t="shared" si="33"/>
        <v>557</v>
      </c>
      <c r="AA566" s="9"/>
      <c r="AC566" s="9" t="str">
        <f t="shared" si="34"/>
        <v/>
      </c>
      <c r="AE566" s="44" t="str">
        <f t="shared" si="35"/>
        <v/>
      </c>
    </row>
    <row r="567" spans="1:31">
      <c r="A567" s="154"/>
      <c r="B567" s="49"/>
      <c r="C567" s="49" t="s">
        <v>13</v>
      </c>
      <c r="D567" s="49"/>
      <c r="E567" s="9" t="s">
        <v>548</v>
      </c>
      <c r="F567" s="9">
        <f>EXPENSES!F63</f>
        <v>1280667.5965049998</v>
      </c>
      <c r="G567" s="9">
        <f>+Adjustments!U566</f>
        <v>0</v>
      </c>
      <c r="H567" s="9"/>
      <c r="I567" s="9">
        <f>SUM($F$567:$H$567)</f>
        <v>1280667.5965049998</v>
      </c>
      <c r="J567" s="9">
        <f>+I567-'ROR-Model'!I567</f>
        <v>0</v>
      </c>
      <c r="K567" s="9"/>
      <c r="L567" s="9" t="s">
        <v>13</v>
      </c>
      <c r="M567" s="9">
        <f>VLOOKUP($L567,$L$2:$N$7,2,FALSE)*I567</f>
        <v>1280667.5965049998</v>
      </c>
      <c r="N567" s="9">
        <f>VLOOKUP($L567,$L$2:$N$7,3,FALSE)*I567</f>
        <v>0</v>
      </c>
      <c r="O567" s="136"/>
      <c r="P567" s="216" t="s">
        <v>548</v>
      </c>
      <c r="Q567" s="9">
        <f>IF(P567="G",M567,IF(P567="PT",0,ERR))</f>
        <v>0</v>
      </c>
      <c r="R567" s="9">
        <f>IF(P567="PT",M567,IF(P567="G",0,ERR))</f>
        <v>1280667.5965049998</v>
      </c>
      <c r="S567" s="142" t="s">
        <v>548</v>
      </c>
      <c r="T567" s="9">
        <f>IF(S567="G",N567,IF(S567="PT",0,ERR))</f>
        <v>0</v>
      </c>
      <c r="U567" s="9">
        <f>IF(S567="PT",N567,IF(S567="G",0,ERR))</f>
        <v>0</v>
      </c>
      <c r="V567" s="140"/>
      <c r="W567" s="9">
        <f>HLOOKUP($W$9,'ROR-Model'!$Q$10:$U$1263,Y567)</f>
        <v>0</v>
      </c>
      <c r="X567" s="156"/>
      <c r="Y567" s="918">
        <f t="shared" si="33"/>
        <v>558</v>
      </c>
      <c r="AA567" s="9">
        <v>0</v>
      </c>
      <c r="AC567" s="9" t="str">
        <f t="shared" si="34"/>
        <v/>
      </c>
      <c r="AE567" s="44" t="str">
        <f t="shared" si="35"/>
        <v/>
      </c>
    </row>
    <row r="568" spans="1:31">
      <c r="A568" s="154"/>
      <c r="B568" s="49"/>
      <c r="C568" s="49" t="s">
        <v>24</v>
      </c>
      <c r="D568" s="49"/>
      <c r="E568" s="9" t="s">
        <v>548</v>
      </c>
      <c r="F568" s="9">
        <f>EXPENSES!F64</f>
        <v>47189.803495000058</v>
      </c>
      <c r="G568" s="9">
        <f>+Adjustments!U567</f>
        <v>0</v>
      </c>
      <c r="H568" s="9"/>
      <c r="I568" s="9">
        <f>SUM($F$568:$H$568)</f>
        <v>47189.803495000058</v>
      </c>
      <c r="J568" s="9">
        <f>+I568-'ROR-Model'!I568</f>
        <v>0</v>
      </c>
      <c r="K568" s="9"/>
      <c r="L568" s="9" t="s">
        <v>24</v>
      </c>
      <c r="M568" s="9">
        <f>VLOOKUP($L568,$L$2:$N$7,2,FALSE)*I568</f>
        <v>0</v>
      </c>
      <c r="N568" s="9">
        <f>VLOOKUP($L568,$L$2:$N$7,3,FALSE)*I568</f>
        <v>47189.803495000058</v>
      </c>
      <c r="O568" s="136"/>
      <c r="P568" s="216" t="s">
        <v>548</v>
      </c>
      <c r="Q568" s="9">
        <f>IF(P568="G",M568,IF(P568="PT",0,ERR))</f>
        <v>0</v>
      </c>
      <c r="R568" s="9">
        <f>IF(P568="PT",M568,IF(P568="G",0,ERR))</f>
        <v>0</v>
      </c>
      <c r="S568" s="142" t="s">
        <v>548</v>
      </c>
      <c r="T568" s="9">
        <f>IF(S568="G",N568,IF(S568="PT",0,ERR))</f>
        <v>0</v>
      </c>
      <c r="U568" s="9">
        <f>IF(S568="PT",N568,IF(S568="G",0,ERR))</f>
        <v>47189.803495000058</v>
      </c>
      <c r="V568" s="140"/>
      <c r="W568" s="9">
        <f>HLOOKUP($W$9,'ROR-Model'!$Q$10:$U$1263,Y568)</f>
        <v>0</v>
      </c>
      <c r="X568" s="156"/>
      <c r="Y568" s="918">
        <f t="shared" si="33"/>
        <v>559</v>
      </c>
      <c r="AA568" s="9">
        <v>0</v>
      </c>
      <c r="AC568" s="9" t="str">
        <f t="shared" si="34"/>
        <v/>
      </c>
      <c r="AE568" s="44" t="str">
        <f t="shared" si="35"/>
        <v/>
      </c>
    </row>
    <row r="569" spans="1:31">
      <c r="A569" s="154"/>
      <c r="B569" s="49"/>
      <c r="C569" s="49" t="s">
        <v>160</v>
      </c>
      <c r="D569" s="49"/>
      <c r="E569" s="157"/>
      <c r="F569" s="157">
        <f>SUM(F567:F568)</f>
        <v>1327857.3999999999</v>
      </c>
      <c r="G569" s="157">
        <f>SUM(G567:G568)</f>
        <v>0</v>
      </c>
      <c r="H569" s="157">
        <f>SUM(H567:H568)</f>
        <v>0</v>
      </c>
      <c r="I569" s="157">
        <f>SUM(I567:I568)</f>
        <v>1327857.3999999999</v>
      </c>
      <c r="J569" s="9">
        <f>+I569-'ROR-Model'!I569</f>
        <v>0</v>
      </c>
      <c r="K569" s="9"/>
      <c r="L569" s="157"/>
      <c r="M569" s="157">
        <f>SUM(M567:M568)</f>
        <v>1280667.5965049998</v>
      </c>
      <c r="N569" s="157">
        <f>SUM(N567:N568)</f>
        <v>47189.803495000058</v>
      </c>
      <c r="O569" s="136"/>
      <c r="P569" s="216"/>
      <c r="Q569" s="157">
        <f>SUM(Q567:Q568)</f>
        <v>0</v>
      </c>
      <c r="R569" s="157">
        <f>SUM(R567:R568)</f>
        <v>1280667.5965049998</v>
      </c>
      <c r="S569" s="226"/>
      <c r="T569" s="157">
        <f>SUM(T567:T568)</f>
        <v>0</v>
      </c>
      <c r="U569" s="157">
        <f>SUM(U567:U568)</f>
        <v>47189.803495000058</v>
      </c>
      <c r="V569" s="140"/>
      <c r="W569" s="157">
        <f>HLOOKUP($W$9,'ROR-Model'!$Q$10:$U$1263,Y569)</f>
        <v>0</v>
      </c>
      <c r="X569" s="156"/>
      <c r="Y569" s="918">
        <f t="shared" si="33"/>
        <v>560</v>
      </c>
      <c r="AA569" s="157">
        <v>0</v>
      </c>
      <c r="AC569" s="157" t="str">
        <f t="shared" si="34"/>
        <v/>
      </c>
      <c r="AE569" s="44" t="str">
        <f t="shared" si="35"/>
        <v/>
      </c>
    </row>
    <row r="570" spans="1:31">
      <c r="A570" s="154"/>
      <c r="B570" s="49"/>
      <c r="C570" s="49"/>
      <c r="D570" s="49"/>
      <c r="E570" s="9"/>
      <c r="F570" s="9"/>
      <c r="G570" s="9"/>
      <c r="H570" s="9"/>
      <c r="I570" s="9"/>
      <c r="J570" s="9">
        <f>+I570-'ROR-Model'!I570</f>
        <v>0</v>
      </c>
      <c r="K570" s="9"/>
      <c r="L570" s="9"/>
      <c r="M570" s="9"/>
      <c r="N570" s="9"/>
      <c r="O570" s="136"/>
      <c r="P570" s="216"/>
      <c r="Q570" s="9"/>
      <c r="R570" s="9"/>
      <c r="S570" s="142"/>
      <c r="T570" s="9"/>
      <c r="U570" s="9"/>
      <c r="V570" s="140"/>
      <c r="W570" s="9"/>
      <c r="X570" s="156"/>
      <c r="Y570" s="918">
        <f t="shared" si="33"/>
        <v>561</v>
      </c>
      <c r="AA570" s="9"/>
      <c r="AC570" s="9" t="str">
        <f t="shared" si="34"/>
        <v/>
      </c>
      <c r="AE570" s="44" t="str">
        <f t="shared" si="35"/>
        <v/>
      </c>
    </row>
    <row r="571" spans="1:31">
      <c r="A571" s="154">
        <v>805</v>
      </c>
      <c r="B571" s="49" t="s">
        <v>707</v>
      </c>
      <c r="C571" s="49"/>
      <c r="D571" s="49"/>
      <c r="E571" s="9"/>
      <c r="F571" s="9"/>
      <c r="G571" s="9"/>
      <c r="H571" s="9"/>
      <c r="I571" s="9"/>
      <c r="J571" s="9">
        <f>+I571-'ROR-Model'!I571</f>
        <v>0</v>
      </c>
      <c r="K571" s="9"/>
      <c r="L571" s="9"/>
      <c r="M571" s="9"/>
      <c r="N571" s="9"/>
      <c r="O571" s="136"/>
      <c r="P571" s="216"/>
      <c r="Q571" s="9"/>
      <c r="R571" s="9"/>
      <c r="S571" s="142"/>
      <c r="T571" s="9"/>
      <c r="U571" s="9"/>
      <c r="V571" s="140"/>
      <c r="W571" s="9"/>
      <c r="X571" s="156"/>
      <c r="Y571" s="918">
        <f t="shared" si="33"/>
        <v>562</v>
      </c>
      <c r="AA571" s="9"/>
      <c r="AC571" s="9" t="str">
        <f t="shared" si="34"/>
        <v/>
      </c>
      <c r="AE571" s="44" t="str">
        <f t="shared" si="35"/>
        <v/>
      </c>
    </row>
    <row r="572" spans="1:31">
      <c r="A572" s="154"/>
      <c r="B572" s="49"/>
      <c r="C572" s="49" t="s">
        <v>13</v>
      </c>
      <c r="D572" s="49"/>
      <c r="E572" s="9" t="s">
        <v>548</v>
      </c>
      <c r="F572" s="9">
        <f>EXPENSES!F68</f>
        <v>0</v>
      </c>
      <c r="G572" s="9">
        <f>+Adjustments!U571</f>
        <v>0</v>
      </c>
      <c r="H572" s="9"/>
      <c r="I572" s="9">
        <f>SUM($F$572:$H$572)</f>
        <v>0</v>
      </c>
      <c r="J572" s="9">
        <f>+I572-'ROR-Model'!I572</f>
        <v>0</v>
      </c>
      <c r="K572" s="9"/>
      <c r="L572" s="9" t="s">
        <v>13</v>
      </c>
      <c r="M572" s="9">
        <f>VLOOKUP($L572,$L$2:$N$7,2,FALSE)*I572</f>
        <v>0</v>
      </c>
      <c r="N572" s="9">
        <f>VLOOKUP($L572,$L$2:$N$7,3,FALSE)*I572</f>
        <v>0</v>
      </c>
      <c r="O572" s="136"/>
      <c r="P572" s="216" t="s">
        <v>548</v>
      </c>
      <c r="Q572" s="9">
        <f>IF(P572="G",M572,IF(P572="PT",0,ERR))</f>
        <v>0</v>
      </c>
      <c r="R572" s="9">
        <f>IF(P572="PT",M572,IF(P572="G",0,ERR))</f>
        <v>0</v>
      </c>
      <c r="S572" s="142" t="s">
        <v>548</v>
      </c>
      <c r="T572" s="9">
        <f>IF(S572="G",N572,IF(S572="PT",0,ERR))</f>
        <v>0</v>
      </c>
      <c r="U572" s="9">
        <f>IF(S572="PT",N572,IF(S572="G",0,ERR))</f>
        <v>0</v>
      </c>
      <c r="V572" s="140"/>
      <c r="W572" s="9">
        <f>HLOOKUP($W$9,'ROR-Model'!$Q$10:$U$1263,Y572)</f>
        <v>0</v>
      </c>
      <c r="X572" s="156"/>
      <c r="Y572" s="918">
        <f t="shared" si="33"/>
        <v>563</v>
      </c>
      <c r="AA572" s="9">
        <v>0</v>
      </c>
      <c r="AC572" s="9" t="str">
        <f t="shared" si="34"/>
        <v/>
      </c>
      <c r="AE572" s="44" t="str">
        <f t="shared" si="35"/>
        <v/>
      </c>
    </row>
    <row r="573" spans="1:31">
      <c r="A573" s="154"/>
      <c r="B573" s="49"/>
      <c r="C573" s="49" t="s">
        <v>24</v>
      </c>
      <c r="D573" s="49"/>
      <c r="E573" s="9" t="s">
        <v>548</v>
      </c>
      <c r="F573" s="9">
        <f>EXPENSES!F69</f>
        <v>0</v>
      </c>
      <c r="G573" s="9">
        <f>+Adjustments!U572</f>
        <v>0</v>
      </c>
      <c r="H573" s="9"/>
      <c r="I573" s="9">
        <f>SUM($F$573:$H$573)</f>
        <v>0</v>
      </c>
      <c r="J573" s="9">
        <f>+I573-'ROR-Model'!I573</f>
        <v>0</v>
      </c>
      <c r="K573" s="9"/>
      <c r="L573" s="9" t="s">
        <v>24</v>
      </c>
      <c r="M573" s="9">
        <f>VLOOKUP($L573,$L$2:$N$7,2,FALSE)*I573</f>
        <v>0</v>
      </c>
      <c r="N573" s="9">
        <f>VLOOKUP($L573,$L$2:$N$7,3,FALSE)*I573</f>
        <v>0</v>
      </c>
      <c r="O573" s="136"/>
      <c r="P573" s="216" t="s">
        <v>548</v>
      </c>
      <c r="Q573" s="9">
        <f>IF(P573="G",M573,IF(P573="PT",0,ERR))</f>
        <v>0</v>
      </c>
      <c r="R573" s="9">
        <f>IF(P573="PT",M573,IF(P573="G",0,ERR))</f>
        <v>0</v>
      </c>
      <c r="S573" s="142" t="s">
        <v>548</v>
      </c>
      <c r="T573" s="9">
        <f>IF(S573="G",N573,IF(S573="PT",0,ERR))</f>
        <v>0</v>
      </c>
      <c r="U573" s="9">
        <f>IF(S573="PT",N573,IF(S573="G",0,ERR))</f>
        <v>0</v>
      </c>
      <c r="V573" s="140"/>
      <c r="W573" s="9">
        <f>HLOOKUP($W$9,'ROR-Model'!$Q$10:$U$1263,Y573)</f>
        <v>0</v>
      </c>
      <c r="X573" s="156"/>
      <c r="Y573" s="918">
        <f t="shared" si="33"/>
        <v>564</v>
      </c>
      <c r="AA573" s="9">
        <v>0</v>
      </c>
      <c r="AC573" s="9" t="str">
        <f t="shared" si="34"/>
        <v/>
      </c>
      <c r="AE573" s="44" t="str">
        <f t="shared" si="35"/>
        <v/>
      </c>
    </row>
    <row r="574" spans="1:31">
      <c r="A574" s="154"/>
      <c r="B574" s="49"/>
      <c r="C574" s="49" t="s">
        <v>160</v>
      </c>
      <c r="D574" s="49"/>
      <c r="E574" s="157"/>
      <c r="F574" s="157">
        <f>SUM(F572:F573)</f>
        <v>0</v>
      </c>
      <c r="G574" s="157">
        <f>SUM(G572:G573)</f>
        <v>0</v>
      </c>
      <c r="H574" s="157">
        <f>SUM(H572:H573)</f>
        <v>0</v>
      </c>
      <c r="I574" s="157">
        <f>SUM(I572:I573)</f>
        <v>0</v>
      </c>
      <c r="J574" s="9">
        <f>+I574-'ROR-Model'!I574</f>
        <v>0</v>
      </c>
      <c r="K574" s="9"/>
      <c r="L574" s="157"/>
      <c r="M574" s="157">
        <f>SUM(M572:M573)</f>
        <v>0</v>
      </c>
      <c r="N574" s="157">
        <f>SUM(N572:N573)</f>
        <v>0</v>
      </c>
      <c r="O574" s="136"/>
      <c r="P574" s="216"/>
      <c r="Q574" s="157">
        <f>SUM(Q572:Q573)</f>
        <v>0</v>
      </c>
      <c r="R574" s="157">
        <f>SUM(R572:R573)</f>
        <v>0</v>
      </c>
      <c r="S574" s="226"/>
      <c r="T574" s="157">
        <f>SUM(T572:T573)</f>
        <v>0</v>
      </c>
      <c r="U574" s="157">
        <f>SUM(U572:U573)</f>
        <v>0</v>
      </c>
      <c r="V574" s="140"/>
      <c r="W574" s="157">
        <f>HLOOKUP($W$9,'ROR-Model'!$Q$10:$U$1263,Y574)</f>
        <v>0</v>
      </c>
      <c r="X574" s="156"/>
      <c r="Y574" s="918">
        <f t="shared" si="33"/>
        <v>565</v>
      </c>
      <c r="AA574" s="157">
        <v>0</v>
      </c>
      <c r="AC574" s="157" t="str">
        <f t="shared" si="34"/>
        <v/>
      </c>
      <c r="AE574" s="44" t="str">
        <f t="shared" si="35"/>
        <v/>
      </c>
    </row>
    <row r="575" spans="1:31">
      <c r="A575" s="154"/>
      <c r="B575" s="49"/>
      <c r="C575" s="49"/>
      <c r="D575" s="49"/>
      <c r="E575" s="9"/>
      <c r="F575" s="9"/>
      <c r="G575" s="9"/>
      <c r="H575" s="9"/>
      <c r="I575" s="9"/>
      <c r="J575" s="9">
        <f>+I575-'ROR-Model'!I575</f>
        <v>0</v>
      </c>
      <c r="K575" s="9"/>
      <c r="L575" s="9"/>
      <c r="M575" s="9"/>
      <c r="N575" s="9"/>
      <c r="O575" s="136"/>
      <c r="P575" s="216"/>
      <c r="Q575" s="9"/>
      <c r="R575" s="9"/>
      <c r="S575" s="142"/>
      <c r="T575" s="9"/>
      <c r="U575" s="9"/>
      <c r="V575" s="140"/>
      <c r="W575" s="9"/>
      <c r="X575" s="156"/>
      <c r="Y575" s="918">
        <f t="shared" si="33"/>
        <v>566</v>
      </c>
      <c r="AA575" s="9"/>
      <c r="AC575" s="9" t="str">
        <f t="shared" si="34"/>
        <v/>
      </c>
      <c r="AE575" s="44" t="str">
        <f t="shared" si="35"/>
        <v/>
      </c>
    </row>
    <row r="576" spans="1:31">
      <c r="A576" s="154" t="s">
        <v>690</v>
      </c>
      <c r="B576" s="49" t="s">
        <v>710</v>
      </c>
      <c r="C576" s="49"/>
      <c r="D576" s="49"/>
      <c r="E576" s="9"/>
      <c r="F576" s="9"/>
      <c r="G576" s="9"/>
      <c r="H576" s="9"/>
      <c r="I576" s="9"/>
      <c r="J576" s="9">
        <f>+I576-'ROR-Model'!I576</f>
        <v>0</v>
      </c>
      <c r="K576" s="9"/>
      <c r="L576" s="9"/>
      <c r="M576" s="9"/>
      <c r="N576" s="9"/>
      <c r="O576" s="136"/>
      <c r="P576" s="216"/>
      <c r="Q576" s="9"/>
      <c r="R576" s="9"/>
      <c r="S576" s="142"/>
      <c r="T576" s="9"/>
      <c r="U576" s="9"/>
      <c r="V576" s="140"/>
      <c r="W576" s="9"/>
      <c r="X576" s="156"/>
      <c r="Y576" s="918">
        <f t="shared" si="33"/>
        <v>567</v>
      </c>
      <c r="AA576" s="9"/>
      <c r="AC576" s="9" t="str">
        <f t="shared" si="34"/>
        <v/>
      </c>
      <c r="AE576" s="44" t="str">
        <f t="shared" si="35"/>
        <v/>
      </c>
    </row>
    <row r="577" spans="1:31">
      <c r="A577" s="154"/>
      <c r="B577" s="49"/>
      <c r="C577" s="49" t="s">
        <v>13</v>
      </c>
      <c r="D577" s="49"/>
      <c r="E577" s="9" t="s">
        <v>548</v>
      </c>
      <c r="F577" s="9">
        <f>EXPENSES!F73</f>
        <v>-6988002.4825362936</v>
      </c>
      <c r="G577" s="9">
        <f>+Adjustments!U576</f>
        <v>0</v>
      </c>
      <c r="H577" s="9"/>
      <c r="I577" s="9">
        <f>SUM($F$577:$H$577)</f>
        <v>-6988002.4825362936</v>
      </c>
      <c r="J577" s="9">
        <f>+I577-'ROR-Model'!I577</f>
        <v>0</v>
      </c>
      <c r="K577" s="9"/>
      <c r="L577" s="9" t="s">
        <v>13</v>
      </c>
      <c r="M577" s="9">
        <f>VLOOKUP($L577,$L$2:$N$7,2,FALSE)*I577</f>
        <v>-6988002.4825362936</v>
      </c>
      <c r="N577" s="9">
        <f>VLOOKUP($L577,$L$2:$N$7,3,FALSE)*I577</f>
        <v>0</v>
      </c>
      <c r="O577" s="136"/>
      <c r="P577" s="216" t="s">
        <v>548</v>
      </c>
      <c r="Q577" s="9">
        <f>IF(P577="G",M577,IF(P577="PT",0,ERR))</f>
        <v>0</v>
      </c>
      <c r="R577" s="9">
        <f>IF(P577="PT",M577,IF(P577="G",0,ERR))</f>
        <v>-6988002.4825362936</v>
      </c>
      <c r="S577" s="142" t="s">
        <v>548</v>
      </c>
      <c r="T577" s="9">
        <f>IF(S577="G",N577,IF(S577="PT",0,ERR))</f>
        <v>0</v>
      </c>
      <c r="U577" s="9">
        <f>IF(S577="PT",N577,IF(S577="G",0,ERR))</f>
        <v>0</v>
      </c>
      <c r="V577" s="140"/>
      <c r="W577" s="9">
        <f>HLOOKUP($W$9,'ROR-Model'!$Q$10:$U$1263,Y577)</f>
        <v>0</v>
      </c>
      <c r="X577" s="156"/>
      <c r="Y577" s="918">
        <f t="shared" si="33"/>
        <v>568</v>
      </c>
      <c r="AA577" s="9">
        <v>0</v>
      </c>
      <c r="AC577" s="9" t="str">
        <f t="shared" si="34"/>
        <v/>
      </c>
      <c r="AE577" s="44" t="str">
        <f t="shared" si="35"/>
        <v/>
      </c>
    </row>
    <row r="578" spans="1:31">
      <c r="A578" s="154"/>
      <c r="B578" s="49"/>
      <c r="C578" s="49" t="s">
        <v>24</v>
      </c>
      <c r="D578" s="49"/>
      <c r="E578" s="9" t="s">
        <v>548</v>
      </c>
      <c r="F578" s="9">
        <f>EXPENSES!F74</f>
        <v>-333710.48746370198</v>
      </c>
      <c r="G578" s="9">
        <f>+Adjustments!U577</f>
        <v>0</v>
      </c>
      <c r="H578" s="9"/>
      <c r="I578" s="9">
        <f>SUM($F$578:$H$578)</f>
        <v>-333710.48746370198</v>
      </c>
      <c r="J578" s="9">
        <f>+I578-'ROR-Model'!I578</f>
        <v>0</v>
      </c>
      <c r="K578" s="9"/>
      <c r="L578" s="9" t="s">
        <v>24</v>
      </c>
      <c r="M578" s="9">
        <f>VLOOKUP($L578,$L$2:$N$7,2,FALSE)*I578</f>
        <v>0</v>
      </c>
      <c r="N578" s="9">
        <f>VLOOKUP($L578,$L$2:$N$7,3,FALSE)*I578</f>
        <v>-333710.48746370198</v>
      </c>
      <c r="O578" s="136"/>
      <c r="P578" s="216" t="s">
        <v>548</v>
      </c>
      <c r="Q578" s="9">
        <f>IF(P578="G",M578,IF(P578="PT",0,ERR))</f>
        <v>0</v>
      </c>
      <c r="R578" s="9">
        <f>IF(P578="PT",M578,IF(P578="G",0,ERR))</f>
        <v>0</v>
      </c>
      <c r="S578" s="142" t="s">
        <v>548</v>
      </c>
      <c r="T578" s="9">
        <f>IF(S578="G",N578,IF(S578="PT",0,ERR))</f>
        <v>0</v>
      </c>
      <c r="U578" s="9">
        <f>IF(S578="PT",N578,IF(S578="G",0,ERR))</f>
        <v>-333710.48746370198</v>
      </c>
      <c r="V578" s="140"/>
      <c r="W578" s="9">
        <f>HLOOKUP($W$9,'ROR-Model'!$Q$10:$U$1263,Y578)</f>
        <v>0</v>
      </c>
      <c r="X578" s="156"/>
      <c r="Y578" s="918">
        <f t="shared" si="33"/>
        <v>569</v>
      </c>
      <c r="AA578" s="9">
        <v>0</v>
      </c>
      <c r="AC578" s="9" t="str">
        <f t="shared" si="34"/>
        <v/>
      </c>
      <c r="AE578" s="44" t="str">
        <f t="shared" si="35"/>
        <v/>
      </c>
    </row>
    <row r="579" spans="1:31">
      <c r="A579" s="154"/>
      <c r="B579" s="49"/>
      <c r="C579" s="49" t="s">
        <v>160</v>
      </c>
      <c r="D579" s="49"/>
      <c r="E579" s="157"/>
      <c r="F579" s="157">
        <f>SUM(F577:F578)</f>
        <v>-7321712.9699999951</v>
      </c>
      <c r="G579" s="157">
        <f>SUM(G577:G578)</f>
        <v>0</v>
      </c>
      <c r="H579" s="157">
        <f>SUM(H577:H578)</f>
        <v>0</v>
      </c>
      <c r="I579" s="157">
        <f>SUM(I577:I578)</f>
        <v>-7321712.9699999951</v>
      </c>
      <c r="J579" s="9">
        <f>+I579-'ROR-Model'!I579</f>
        <v>0</v>
      </c>
      <c r="K579" s="9"/>
      <c r="L579" s="157"/>
      <c r="M579" s="157">
        <f>SUM(M577:M578)</f>
        <v>-6988002.4825362936</v>
      </c>
      <c r="N579" s="157">
        <f>SUM(N577:N578)</f>
        <v>-333710.48746370198</v>
      </c>
      <c r="O579" s="136"/>
      <c r="P579" s="216"/>
      <c r="Q579" s="157">
        <f>SUM(Q577:Q578)</f>
        <v>0</v>
      </c>
      <c r="R579" s="157">
        <f>SUM(R577:R578)</f>
        <v>-6988002.4825362936</v>
      </c>
      <c r="S579" s="226"/>
      <c r="T579" s="157">
        <f>SUM(T577:T578)</f>
        <v>0</v>
      </c>
      <c r="U579" s="157">
        <f>SUM(U577:U578)</f>
        <v>-333710.48746370198</v>
      </c>
      <c r="V579" s="140"/>
      <c r="W579" s="157">
        <f>HLOOKUP($W$9,'ROR-Model'!$Q$10:$U$1263,Y579)</f>
        <v>0</v>
      </c>
      <c r="X579" s="156"/>
      <c r="Y579" s="918">
        <f t="shared" si="33"/>
        <v>570</v>
      </c>
      <c r="AA579" s="157">
        <v>0</v>
      </c>
      <c r="AC579" s="157" t="str">
        <f t="shared" si="34"/>
        <v/>
      </c>
      <c r="AE579" s="44" t="str">
        <f t="shared" si="35"/>
        <v/>
      </c>
    </row>
    <row r="580" spans="1:31">
      <c r="A580" s="154"/>
      <c r="B580" s="49"/>
      <c r="C580" s="49"/>
      <c r="D580" s="49"/>
      <c r="E580" s="9"/>
      <c r="F580" s="9"/>
      <c r="G580" s="9"/>
      <c r="H580" s="9"/>
      <c r="I580" s="9"/>
      <c r="J580" s="9">
        <f>+I580-'ROR-Model'!I580</f>
        <v>0</v>
      </c>
      <c r="K580" s="9"/>
      <c r="L580" s="9"/>
      <c r="M580" s="9"/>
      <c r="N580" s="9"/>
      <c r="O580" s="136"/>
      <c r="P580" s="216"/>
      <c r="Q580" s="9"/>
      <c r="R580" s="9"/>
      <c r="S580" s="142"/>
      <c r="T580" s="9"/>
      <c r="U580" s="9"/>
      <c r="V580" s="140"/>
      <c r="W580" s="9"/>
      <c r="X580" s="156"/>
      <c r="Y580" s="918">
        <f t="shared" si="33"/>
        <v>571</v>
      </c>
      <c r="AA580" s="9"/>
      <c r="AC580" s="9" t="str">
        <f t="shared" si="34"/>
        <v/>
      </c>
      <c r="AE580" s="44" t="str">
        <f t="shared" si="35"/>
        <v/>
      </c>
    </row>
    <row r="581" spans="1:31">
      <c r="A581" s="154">
        <v>806</v>
      </c>
      <c r="B581" s="49" t="s">
        <v>345</v>
      </c>
      <c r="C581" s="49"/>
      <c r="D581" s="49"/>
      <c r="E581" s="9"/>
      <c r="F581" s="9"/>
      <c r="G581" s="9"/>
      <c r="H581" s="9"/>
      <c r="I581" s="9"/>
      <c r="J581" s="9">
        <f>+I581-'ROR-Model'!I581</f>
        <v>0</v>
      </c>
      <c r="K581" s="9"/>
      <c r="L581" s="9"/>
      <c r="M581" s="9"/>
      <c r="N581" s="9"/>
      <c r="O581" s="136"/>
      <c r="P581" s="216"/>
      <c r="Q581" s="9"/>
      <c r="R581" s="9"/>
      <c r="S581" s="142"/>
      <c r="T581" s="9"/>
      <c r="U581" s="9"/>
      <c r="V581" s="140"/>
      <c r="W581" s="9"/>
      <c r="X581" s="156"/>
      <c r="Y581" s="918">
        <f t="shared" si="33"/>
        <v>572</v>
      </c>
      <c r="AA581" s="9"/>
      <c r="AC581" s="9" t="str">
        <f t="shared" si="34"/>
        <v/>
      </c>
      <c r="AE581" s="44" t="str">
        <f t="shared" si="35"/>
        <v/>
      </c>
    </row>
    <row r="582" spans="1:31">
      <c r="A582" s="154"/>
      <c r="B582" s="49"/>
      <c r="C582" s="49" t="s">
        <v>13</v>
      </c>
      <c r="D582" s="49"/>
      <c r="E582" s="9" t="s">
        <v>548</v>
      </c>
      <c r="F582" s="9">
        <f>EXPENSES!F78</f>
        <v>0</v>
      </c>
      <c r="G582" s="9">
        <f>+Adjustments!U581</f>
        <v>0</v>
      </c>
      <c r="H582" s="9"/>
      <c r="I582" s="9">
        <f>SUM($F$582:$H$582)</f>
        <v>0</v>
      </c>
      <c r="J582" s="9">
        <f>+I582-'ROR-Model'!I582</f>
        <v>0</v>
      </c>
      <c r="K582" s="9"/>
      <c r="L582" s="9" t="s">
        <v>13</v>
      </c>
      <c r="M582" s="9">
        <f>VLOOKUP($L582,$L$2:$N$7,2,FALSE)*I582</f>
        <v>0</v>
      </c>
      <c r="N582" s="9">
        <f>VLOOKUP($L582,$L$2:$N$7,3,FALSE)*I582</f>
        <v>0</v>
      </c>
      <c r="O582" s="136"/>
      <c r="P582" s="216" t="s">
        <v>548</v>
      </c>
      <c r="Q582" s="9">
        <f>IF(P582="G",M582,IF(P582="PT",0,ERR))</f>
        <v>0</v>
      </c>
      <c r="R582" s="9">
        <f>IF(P582="PT",M582,IF(P582="G",0,ERR))</f>
        <v>0</v>
      </c>
      <c r="S582" s="142" t="s">
        <v>548</v>
      </c>
      <c r="T582" s="9">
        <f>IF(S582="G",N582,IF(S582="PT",0,ERR))</f>
        <v>0</v>
      </c>
      <c r="U582" s="9">
        <f>IF(S582="PT",N582,IF(S582="G",0,ERR))</f>
        <v>0</v>
      </c>
      <c r="V582" s="140"/>
      <c r="W582" s="9">
        <f>HLOOKUP($W$9,'ROR-Model'!$Q$10:$U$1263,Y582)</f>
        <v>0</v>
      </c>
      <c r="X582" s="156"/>
      <c r="Y582" s="918">
        <f t="shared" si="33"/>
        <v>573</v>
      </c>
      <c r="AA582" s="9">
        <v>0</v>
      </c>
      <c r="AC582" s="9" t="str">
        <f t="shared" si="34"/>
        <v/>
      </c>
      <c r="AE582" s="44" t="str">
        <f t="shared" si="35"/>
        <v/>
      </c>
    </row>
    <row r="583" spans="1:31">
      <c r="A583" s="154"/>
      <c r="B583" s="49"/>
      <c r="C583" s="49" t="s">
        <v>24</v>
      </c>
      <c r="D583" s="49"/>
      <c r="E583" s="9" t="s">
        <v>548</v>
      </c>
      <c r="F583" s="9">
        <f>EXPENSES!F79</f>
        <v>0</v>
      </c>
      <c r="G583" s="9">
        <f>+Adjustments!U582</f>
        <v>0</v>
      </c>
      <c r="H583" s="9"/>
      <c r="I583" s="9">
        <f>SUM($F$583:$H$583)</f>
        <v>0</v>
      </c>
      <c r="J583" s="9">
        <f>+I583-'ROR-Model'!I583</f>
        <v>0</v>
      </c>
      <c r="K583" s="9"/>
      <c r="L583" s="9" t="s">
        <v>24</v>
      </c>
      <c r="M583" s="9">
        <f>VLOOKUP($L583,$L$2:$N$7,2,FALSE)*I583</f>
        <v>0</v>
      </c>
      <c r="N583" s="9">
        <f>VLOOKUP($L583,$L$2:$N$7,3,FALSE)*I583</f>
        <v>0</v>
      </c>
      <c r="O583" s="136"/>
      <c r="P583" s="216" t="s">
        <v>548</v>
      </c>
      <c r="Q583" s="9">
        <f>IF(P583="G",M583,IF(P583="PT",0,ERR))</f>
        <v>0</v>
      </c>
      <c r="R583" s="9">
        <f>IF(P583="PT",M583,IF(P583="G",0,ERR))</f>
        <v>0</v>
      </c>
      <c r="S583" s="142" t="s">
        <v>548</v>
      </c>
      <c r="T583" s="9">
        <f>IF(S583="G",N583,IF(S583="PT",0,ERR))</f>
        <v>0</v>
      </c>
      <c r="U583" s="9">
        <f>IF(S583="PT",N583,IF(S583="G",0,ERR))</f>
        <v>0</v>
      </c>
      <c r="V583" s="140"/>
      <c r="W583" s="9">
        <f>HLOOKUP($W$9,'ROR-Model'!$Q$10:$U$1263,Y583)</f>
        <v>0</v>
      </c>
      <c r="X583" s="156"/>
      <c r="Y583" s="918">
        <f t="shared" si="33"/>
        <v>574</v>
      </c>
      <c r="AA583" s="9">
        <v>0</v>
      </c>
      <c r="AC583" s="9" t="str">
        <f t="shared" si="34"/>
        <v/>
      </c>
      <c r="AE583" s="44" t="str">
        <f t="shared" si="35"/>
        <v/>
      </c>
    </row>
    <row r="584" spans="1:31">
      <c r="A584" s="154"/>
      <c r="B584" s="49"/>
      <c r="C584" s="49" t="s">
        <v>160</v>
      </c>
      <c r="D584" s="49"/>
      <c r="E584" s="157"/>
      <c r="F584" s="157">
        <f>SUM(F582:F583)</f>
        <v>0</v>
      </c>
      <c r="G584" s="157">
        <f>SUM(G582:G583)</f>
        <v>0</v>
      </c>
      <c r="H584" s="157">
        <f>SUM(H582:H583)</f>
        <v>0</v>
      </c>
      <c r="I584" s="157">
        <f>SUM(I582:I583)</f>
        <v>0</v>
      </c>
      <c r="J584" s="9">
        <f>+I584-'ROR-Model'!I584</f>
        <v>0</v>
      </c>
      <c r="K584" s="9"/>
      <c r="L584" s="157"/>
      <c r="M584" s="157">
        <f>SUM(M582:M583)</f>
        <v>0</v>
      </c>
      <c r="N584" s="157">
        <f>SUM(N582:N583)</f>
        <v>0</v>
      </c>
      <c r="O584" s="136"/>
      <c r="P584" s="216"/>
      <c r="Q584" s="157">
        <f>SUM(Q582:Q583)</f>
        <v>0</v>
      </c>
      <c r="R584" s="157">
        <f>SUM(R582:R583)</f>
        <v>0</v>
      </c>
      <c r="S584" s="226"/>
      <c r="T584" s="157">
        <f>SUM(T582:T583)</f>
        <v>0</v>
      </c>
      <c r="U584" s="157">
        <f>SUM(U582:U583)</f>
        <v>0</v>
      </c>
      <c r="V584" s="140"/>
      <c r="W584" s="157">
        <f>HLOOKUP($W$9,'ROR-Model'!$Q$10:$U$1263,Y584)</f>
        <v>0</v>
      </c>
      <c r="X584" s="156"/>
      <c r="Y584" s="918">
        <f t="shared" si="33"/>
        <v>575</v>
      </c>
      <c r="AA584" s="157">
        <v>0</v>
      </c>
      <c r="AC584" s="157" t="str">
        <f t="shared" si="34"/>
        <v/>
      </c>
      <c r="AE584" s="44" t="str">
        <f t="shared" si="35"/>
        <v/>
      </c>
    </row>
    <row r="585" spans="1:31">
      <c r="A585" s="154"/>
      <c r="B585" s="49"/>
      <c r="C585" s="49"/>
      <c r="D585" s="49"/>
      <c r="E585" s="9"/>
      <c r="F585" s="9"/>
      <c r="G585" s="9"/>
      <c r="H585" s="9"/>
      <c r="I585" s="9"/>
      <c r="J585" s="9">
        <f>+I585-'ROR-Model'!I585</f>
        <v>0</v>
      </c>
      <c r="K585" s="9"/>
      <c r="L585" s="9"/>
      <c r="M585" s="9"/>
      <c r="N585" s="9"/>
      <c r="O585" s="136"/>
      <c r="P585" s="216"/>
      <c r="Q585" s="9"/>
      <c r="R585" s="9"/>
      <c r="S585" s="142"/>
      <c r="T585" s="9"/>
      <c r="U585" s="9"/>
      <c r="V585" s="140"/>
      <c r="W585" s="9"/>
      <c r="X585" s="156"/>
      <c r="Y585" s="918">
        <f t="shared" si="33"/>
        <v>576</v>
      </c>
      <c r="AA585" s="9"/>
      <c r="AC585" s="9" t="str">
        <f t="shared" si="34"/>
        <v/>
      </c>
      <c r="AE585" s="44" t="str">
        <f t="shared" si="35"/>
        <v/>
      </c>
    </row>
    <row r="586" spans="1:31">
      <c r="A586" s="154" t="s">
        <v>691</v>
      </c>
      <c r="B586" s="49" t="s">
        <v>711</v>
      </c>
      <c r="C586" s="49"/>
      <c r="D586" s="49"/>
      <c r="E586" s="9"/>
      <c r="F586" s="9"/>
      <c r="G586" s="9"/>
      <c r="H586" s="9"/>
      <c r="I586" s="9"/>
      <c r="J586" s="9">
        <f>+I586-'ROR-Model'!I586</f>
        <v>0</v>
      </c>
      <c r="K586" s="9"/>
      <c r="L586" s="9"/>
      <c r="M586" s="9"/>
      <c r="N586" s="9"/>
      <c r="O586" s="136"/>
      <c r="P586" s="216"/>
      <c r="Q586" s="9"/>
      <c r="R586" s="9"/>
      <c r="S586" s="142"/>
      <c r="T586" s="9"/>
      <c r="U586" s="9"/>
      <c r="V586" s="140"/>
      <c r="W586" s="9"/>
      <c r="X586" s="156"/>
      <c r="Y586" s="918">
        <f t="shared" si="33"/>
        <v>577</v>
      </c>
      <c r="AA586" s="9"/>
      <c r="AC586" s="9" t="str">
        <f t="shared" si="34"/>
        <v/>
      </c>
      <c r="AE586" s="44" t="str">
        <f t="shared" si="35"/>
        <v/>
      </c>
    </row>
    <row r="587" spans="1:31">
      <c r="A587" s="154"/>
      <c r="B587" s="49"/>
      <c r="C587" s="49" t="s">
        <v>13</v>
      </c>
      <c r="D587" s="49"/>
      <c r="E587" s="9" t="s">
        <v>548</v>
      </c>
      <c r="F587" s="9">
        <f>EXPENSES!F83</f>
        <v>70911454.520070195</v>
      </c>
      <c r="G587" s="9">
        <f>+Adjustments!U586</f>
        <v>0</v>
      </c>
      <c r="H587" s="9"/>
      <c r="I587" s="9">
        <f>SUM($F$587:$H$587)</f>
        <v>70911454.520070195</v>
      </c>
      <c r="J587" s="9">
        <f>+I587-'ROR-Model'!I587</f>
        <v>0</v>
      </c>
      <c r="K587" s="9"/>
      <c r="L587" s="9" t="s">
        <v>13</v>
      </c>
      <c r="M587" s="9">
        <f>VLOOKUP($L587,$L$2:$N$7,2,FALSE)*I587</f>
        <v>70911454.520070195</v>
      </c>
      <c r="N587" s="9">
        <f>VLOOKUP($L587,$L$2:$N$7,3,FALSE)*I587</f>
        <v>0</v>
      </c>
      <c r="O587" s="136"/>
      <c r="P587" s="216" t="s">
        <v>548</v>
      </c>
      <c r="Q587" s="9">
        <f>IF(P587="G",M587,IF(P587="PT",0,ERR))</f>
        <v>0</v>
      </c>
      <c r="R587" s="9">
        <f>IF(P587="PT",M587,IF(P587="G",0,ERR))</f>
        <v>70911454.520070195</v>
      </c>
      <c r="S587" s="142" t="s">
        <v>548</v>
      </c>
      <c r="T587" s="9">
        <f>IF(S587="G",N587,IF(S587="PT",0,ERR))</f>
        <v>0</v>
      </c>
      <c r="U587" s="9">
        <f>IF(S587="PT",N587,IF(S587="G",0,ERR))</f>
        <v>0</v>
      </c>
      <c r="V587" s="140"/>
      <c r="W587" s="9">
        <f>HLOOKUP($W$9,'ROR-Model'!$Q$10:$U$1263,Y587)</f>
        <v>0</v>
      </c>
      <c r="X587" s="156"/>
      <c r="Y587" s="918">
        <f t="shared" si="33"/>
        <v>578</v>
      </c>
      <c r="AA587" s="9">
        <v>0</v>
      </c>
      <c r="AC587" s="9" t="str">
        <f t="shared" si="34"/>
        <v/>
      </c>
      <c r="AE587" s="44" t="str">
        <f t="shared" si="35"/>
        <v/>
      </c>
    </row>
    <row r="588" spans="1:31">
      <c r="A588" s="154"/>
      <c r="B588" s="49"/>
      <c r="C588" s="49" t="s">
        <v>24</v>
      </c>
      <c r="D588" s="49"/>
      <c r="E588" s="9" t="s">
        <v>548</v>
      </c>
      <c r="F588" s="9">
        <f>EXPENSES!F84</f>
        <v>2569744.0599297993</v>
      </c>
      <c r="G588" s="9">
        <f>+Adjustments!U587</f>
        <v>0</v>
      </c>
      <c r="H588" s="9"/>
      <c r="I588" s="9">
        <f>SUM($F$588:$H$588)</f>
        <v>2569744.0599297993</v>
      </c>
      <c r="J588" s="9">
        <f>+I588-'ROR-Model'!I588</f>
        <v>0</v>
      </c>
      <c r="K588" s="9"/>
      <c r="L588" s="9" t="s">
        <v>24</v>
      </c>
      <c r="M588" s="9">
        <f>VLOOKUP($L588,$L$2:$N$7,2,FALSE)*I588</f>
        <v>0</v>
      </c>
      <c r="N588" s="9">
        <f>VLOOKUP($L588,$L$2:$N$7,3,FALSE)*I588</f>
        <v>2569744.0599297993</v>
      </c>
      <c r="O588" s="136"/>
      <c r="P588" s="216" t="s">
        <v>548</v>
      </c>
      <c r="Q588" s="9">
        <f>IF(P588="G",M588,IF(P588="PT",0,ERR))</f>
        <v>0</v>
      </c>
      <c r="R588" s="9">
        <f>IF(P588="PT",M588,IF(P588="G",0,ERR))</f>
        <v>0</v>
      </c>
      <c r="S588" s="142" t="s">
        <v>548</v>
      </c>
      <c r="T588" s="9">
        <f>IF(S588="G",N588,IF(S588="PT",0,ERR))</f>
        <v>0</v>
      </c>
      <c r="U588" s="9">
        <f>IF(S588="PT",N588,IF(S588="G",0,ERR))</f>
        <v>2569744.0599297993</v>
      </c>
      <c r="V588" s="140"/>
      <c r="W588" s="9">
        <f>HLOOKUP($W$9,'ROR-Model'!$Q$10:$U$1263,Y588)</f>
        <v>0</v>
      </c>
      <c r="X588" s="156"/>
      <c r="Y588" s="918">
        <f t="shared" si="33"/>
        <v>579</v>
      </c>
      <c r="AA588" s="9">
        <v>0</v>
      </c>
      <c r="AC588" s="9" t="str">
        <f t="shared" si="34"/>
        <v/>
      </c>
      <c r="AE588" s="44" t="str">
        <f t="shared" si="35"/>
        <v/>
      </c>
    </row>
    <row r="589" spans="1:31">
      <c r="A589" s="154"/>
      <c r="B589" s="49"/>
      <c r="C589" s="49" t="s">
        <v>160</v>
      </c>
      <c r="D589" s="49"/>
      <c r="E589" s="157"/>
      <c r="F589" s="157">
        <f>SUM(F587:F588)</f>
        <v>73481198.579999998</v>
      </c>
      <c r="G589" s="157">
        <f>SUM(G587:G588)</f>
        <v>0</v>
      </c>
      <c r="H589" s="157">
        <f>SUM(H587:H588)</f>
        <v>0</v>
      </c>
      <c r="I589" s="157">
        <f>SUM(I587:I588)</f>
        <v>73481198.579999998</v>
      </c>
      <c r="J589" s="9">
        <f>+I589-'ROR-Model'!I589</f>
        <v>0</v>
      </c>
      <c r="K589" s="9"/>
      <c r="L589" s="157"/>
      <c r="M589" s="157">
        <f>SUM(M587:M588)</f>
        <v>70911454.520070195</v>
      </c>
      <c r="N589" s="157">
        <f>SUM(N587:N588)</f>
        <v>2569744.0599297993</v>
      </c>
      <c r="O589" s="136"/>
      <c r="P589" s="216"/>
      <c r="Q589" s="157">
        <f>SUM(Q587:Q588)</f>
        <v>0</v>
      </c>
      <c r="R589" s="157">
        <f>SUM(R587:R588)</f>
        <v>70911454.520070195</v>
      </c>
      <c r="S589" s="226"/>
      <c r="T589" s="157">
        <f>SUM(T587:T588)</f>
        <v>0</v>
      </c>
      <c r="U589" s="157">
        <f>SUM(U587:U588)</f>
        <v>2569744.0599297993</v>
      </c>
      <c r="V589" s="140"/>
      <c r="W589" s="157">
        <f>HLOOKUP($W$9,'ROR-Model'!$Q$10:$U$1263,Y589)</f>
        <v>0</v>
      </c>
      <c r="X589" s="156"/>
      <c r="Y589" s="918">
        <f t="shared" si="33"/>
        <v>580</v>
      </c>
      <c r="AA589" s="157">
        <v>0</v>
      </c>
      <c r="AC589" s="157" t="str">
        <f t="shared" si="34"/>
        <v/>
      </c>
      <c r="AE589" s="44" t="str">
        <f t="shared" si="35"/>
        <v/>
      </c>
    </row>
    <row r="590" spans="1:31">
      <c r="A590" s="154"/>
      <c r="B590" s="49"/>
      <c r="C590" s="49"/>
      <c r="D590" s="49"/>
      <c r="E590" s="9"/>
      <c r="F590" s="9"/>
      <c r="G590" s="9"/>
      <c r="H590" s="9"/>
      <c r="I590" s="9"/>
      <c r="J590" s="9">
        <f>+I590-'ROR-Model'!I590</f>
        <v>0</v>
      </c>
      <c r="K590" s="9"/>
      <c r="L590" s="9"/>
      <c r="M590" s="9"/>
      <c r="N590" s="9"/>
      <c r="O590" s="136"/>
      <c r="P590" s="216"/>
      <c r="Q590" s="9"/>
      <c r="R590" s="9"/>
      <c r="S590" s="142"/>
      <c r="T590" s="9"/>
      <c r="U590" s="9"/>
      <c r="V590" s="140"/>
      <c r="W590" s="9"/>
      <c r="X590" s="156"/>
      <c r="Y590" s="918">
        <f t="shared" ref="Y590:Y653" si="36">Y589+1</f>
        <v>581</v>
      </c>
      <c r="AA590" s="9"/>
      <c r="AC590" s="9" t="str">
        <f t="shared" si="34"/>
        <v/>
      </c>
      <c r="AE590" s="44" t="str">
        <f t="shared" si="35"/>
        <v/>
      </c>
    </row>
    <row r="591" spans="1:31">
      <c r="A591" s="154" t="s">
        <v>692</v>
      </c>
      <c r="B591" s="49" t="s">
        <v>347</v>
      </c>
      <c r="C591" s="49"/>
      <c r="D591" s="49"/>
      <c r="E591" s="9"/>
      <c r="F591" s="9"/>
      <c r="G591" s="9"/>
      <c r="H591" s="9"/>
      <c r="I591" s="9"/>
      <c r="J591" s="9">
        <f>+I591-'ROR-Model'!I591</f>
        <v>0</v>
      </c>
      <c r="K591" s="9"/>
      <c r="L591" s="9"/>
      <c r="M591" s="9"/>
      <c r="N591" s="9"/>
      <c r="O591" s="136"/>
      <c r="P591" s="216"/>
      <c r="Q591" s="9"/>
      <c r="R591" s="9"/>
      <c r="S591" s="142"/>
      <c r="T591" s="9"/>
      <c r="U591" s="9"/>
      <c r="V591" s="140"/>
      <c r="W591" s="9"/>
      <c r="X591" s="156"/>
      <c r="Y591" s="918">
        <f t="shared" si="36"/>
        <v>582</v>
      </c>
      <c r="AA591" s="9"/>
      <c r="AC591" s="9" t="str">
        <f t="shared" si="34"/>
        <v/>
      </c>
      <c r="AE591" s="44" t="str">
        <f t="shared" si="35"/>
        <v/>
      </c>
    </row>
    <row r="592" spans="1:31">
      <c r="A592" s="154"/>
      <c r="B592" s="49"/>
      <c r="C592" s="49" t="s">
        <v>13</v>
      </c>
      <c r="D592" s="49"/>
      <c r="E592" s="9" t="s">
        <v>548</v>
      </c>
      <c r="F592" s="9">
        <f>EXPENSES!F88</f>
        <v>-74590296.669899002</v>
      </c>
      <c r="G592" s="9">
        <f>+Adjustments!U591</f>
        <v>0</v>
      </c>
      <c r="H592" s="9"/>
      <c r="I592" s="9">
        <f>SUM($F$592:$H$592)</f>
        <v>-74590296.669899002</v>
      </c>
      <c r="J592" s="9">
        <f>+I592-'ROR-Model'!I592</f>
        <v>0</v>
      </c>
      <c r="K592" s="9"/>
      <c r="L592" s="9" t="s">
        <v>13</v>
      </c>
      <c r="M592" s="9">
        <f>VLOOKUP($L592,$L$2:$N$7,2,FALSE)*I592</f>
        <v>-74590296.669899002</v>
      </c>
      <c r="N592" s="9">
        <f>VLOOKUP($L592,$L$2:$N$7,3,FALSE)*I592</f>
        <v>0</v>
      </c>
      <c r="O592" s="136"/>
      <c r="P592" s="216" t="s">
        <v>548</v>
      </c>
      <c r="Q592" s="9">
        <f>IF(P592="G",M592,IF(P592="PT",0,ERR))</f>
        <v>0</v>
      </c>
      <c r="R592" s="9">
        <f>IF(P592="PT",M592,IF(P592="G",0,ERR))</f>
        <v>-74590296.669899002</v>
      </c>
      <c r="S592" s="142" t="s">
        <v>548</v>
      </c>
      <c r="T592" s="9">
        <f>IF(S592="G",N592,IF(S592="PT",0,ERR))</f>
        <v>0</v>
      </c>
      <c r="U592" s="9">
        <f>IF(S592="PT",N592,IF(S592="G",0,ERR))</f>
        <v>0</v>
      </c>
      <c r="V592" s="140"/>
      <c r="W592" s="9">
        <f>HLOOKUP($W$9,'ROR-Model'!$Q$10:$U$1263,Y592)</f>
        <v>0</v>
      </c>
      <c r="X592" s="156"/>
      <c r="Y592" s="918">
        <f t="shared" si="36"/>
        <v>583</v>
      </c>
      <c r="AA592" s="9">
        <v>0</v>
      </c>
      <c r="AC592" s="9" t="str">
        <f t="shared" si="34"/>
        <v/>
      </c>
      <c r="AE592" s="44" t="str">
        <f t="shared" si="35"/>
        <v/>
      </c>
    </row>
    <row r="593" spans="1:31">
      <c r="A593" s="154"/>
      <c r="B593" s="49"/>
      <c r="C593" s="49" t="s">
        <v>24</v>
      </c>
      <c r="D593" s="49"/>
      <c r="E593" s="9" t="s">
        <v>548</v>
      </c>
      <c r="F593" s="9">
        <f>EXPENSES!F89</f>
        <v>-2447988.1101010013</v>
      </c>
      <c r="G593" s="9">
        <f>+Adjustments!U592</f>
        <v>0</v>
      </c>
      <c r="H593" s="9"/>
      <c r="I593" s="9">
        <f>SUM($F$593:$H$593)</f>
        <v>-2447988.1101010013</v>
      </c>
      <c r="J593" s="9">
        <f>+I593-'ROR-Model'!I593</f>
        <v>0</v>
      </c>
      <c r="K593" s="9"/>
      <c r="L593" s="9" t="s">
        <v>24</v>
      </c>
      <c r="M593" s="9">
        <f>VLOOKUP($L593,$L$2:$N$7,2,FALSE)*I593</f>
        <v>0</v>
      </c>
      <c r="N593" s="9">
        <f>VLOOKUP($L593,$L$2:$N$7,3,FALSE)*I593</f>
        <v>-2447988.1101010013</v>
      </c>
      <c r="O593" s="136"/>
      <c r="P593" s="216" t="s">
        <v>548</v>
      </c>
      <c r="Q593" s="9">
        <f>IF(P593="G",M593,IF(P593="PT",0,ERR))</f>
        <v>0</v>
      </c>
      <c r="R593" s="9">
        <f>IF(P593="PT",M593,IF(P593="G",0,ERR))</f>
        <v>0</v>
      </c>
      <c r="S593" s="142" t="s">
        <v>548</v>
      </c>
      <c r="T593" s="9">
        <f>IF(S593="G",N593,IF(S593="PT",0,ERR))</f>
        <v>0</v>
      </c>
      <c r="U593" s="9">
        <f>IF(S593="PT",N593,IF(S593="G",0,ERR))</f>
        <v>-2447988.1101010013</v>
      </c>
      <c r="V593" s="140"/>
      <c r="W593" s="9">
        <f>HLOOKUP($W$9,'ROR-Model'!$Q$10:$U$1263,Y593)</f>
        <v>0</v>
      </c>
      <c r="X593" s="156"/>
      <c r="Y593" s="918">
        <f t="shared" si="36"/>
        <v>584</v>
      </c>
      <c r="AA593" s="9">
        <v>0</v>
      </c>
      <c r="AC593" s="9" t="str">
        <f t="shared" ref="AC593:AC656" si="37">IF(ABS(AA593)&gt;0,W593-AA593,"")</f>
        <v/>
      </c>
      <c r="AE593" s="44" t="str">
        <f t="shared" si="35"/>
        <v/>
      </c>
    </row>
    <row r="594" spans="1:31">
      <c r="A594" s="154"/>
      <c r="B594" s="49"/>
      <c r="C594" s="49" t="s">
        <v>160</v>
      </c>
      <c r="D594" s="49"/>
      <c r="E594" s="157"/>
      <c r="F594" s="157">
        <f>SUM(F592:F593)</f>
        <v>-77038284.780000001</v>
      </c>
      <c r="G594" s="157">
        <f>SUM(G592:G593)</f>
        <v>0</v>
      </c>
      <c r="H594" s="157">
        <f>SUM(H592:H593)</f>
        <v>0</v>
      </c>
      <c r="I594" s="157">
        <f>SUM(I592:I593)</f>
        <v>-77038284.780000001</v>
      </c>
      <c r="J594" s="9">
        <f>+I594-'ROR-Model'!I594</f>
        <v>0</v>
      </c>
      <c r="K594" s="9"/>
      <c r="L594" s="157"/>
      <c r="M594" s="157">
        <f>SUM(M592:M593)</f>
        <v>-74590296.669899002</v>
      </c>
      <c r="N594" s="157">
        <f>SUM(N592:N593)</f>
        <v>-2447988.1101010013</v>
      </c>
      <c r="O594" s="136"/>
      <c r="P594" s="216"/>
      <c r="Q594" s="157">
        <f>SUM(Q592:Q593)</f>
        <v>0</v>
      </c>
      <c r="R594" s="157">
        <f>SUM(R592:R593)</f>
        <v>-74590296.669899002</v>
      </c>
      <c r="S594" s="226"/>
      <c r="T594" s="157">
        <f>SUM(T592:T593)</f>
        <v>0</v>
      </c>
      <c r="U594" s="157">
        <f>SUM(U592:U593)</f>
        <v>-2447988.1101010013</v>
      </c>
      <c r="V594" s="140"/>
      <c r="W594" s="157">
        <f>HLOOKUP($W$9,'ROR-Model'!$Q$10:$U$1263,Y594)</f>
        <v>0</v>
      </c>
      <c r="X594" s="156"/>
      <c r="Y594" s="918">
        <f t="shared" si="36"/>
        <v>585</v>
      </c>
      <c r="AA594" s="157">
        <v>0</v>
      </c>
      <c r="AC594" s="157" t="str">
        <f t="shared" si="37"/>
        <v/>
      </c>
      <c r="AE594" s="44" t="str">
        <f t="shared" ref="AE594:AE657" si="38">IF(ABS(AA594)&gt;0,AC594/AA594,"")</f>
        <v/>
      </c>
    </row>
    <row r="595" spans="1:31">
      <c r="A595" s="154"/>
      <c r="B595" s="49"/>
      <c r="C595" s="49"/>
      <c r="D595" s="49"/>
      <c r="E595" s="9"/>
      <c r="F595" s="9"/>
      <c r="G595" s="9"/>
      <c r="H595" s="9"/>
      <c r="I595" s="9"/>
      <c r="J595" s="9">
        <f>+I595-'ROR-Model'!I595</f>
        <v>0</v>
      </c>
      <c r="K595" s="9"/>
      <c r="L595" s="9"/>
      <c r="M595" s="9"/>
      <c r="N595" s="9"/>
      <c r="O595" s="136"/>
      <c r="P595" s="216"/>
      <c r="Q595" s="9"/>
      <c r="R595" s="9"/>
      <c r="S595" s="142"/>
      <c r="T595" s="9"/>
      <c r="U595" s="9"/>
      <c r="V595" s="140"/>
      <c r="W595" s="9"/>
      <c r="X595" s="156"/>
      <c r="Y595" s="918">
        <f t="shared" si="36"/>
        <v>586</v>
      </c>
      <c r="AA595" s="9"/>
      <c r="AC595" s="9" t="str">
        <f t="shared" si="37"/>
        <v/>
      </c>
      <c r="AE595" s="44" t="str">
        <f t="shared" si="38"/>
        <v/>
      </c>
    </row>
    <row r="596" spans="1:31">
      <c r="A596" s="154" t="s">
        <v>693</v>
      </c>
      <c r="B596" s="49" t="s">
        <v>345</v>
      </c>
      <c r="C596" s="49"/>
      <c r="D596" s="49"/>
      <c r="E596" s="9"/>
      <c r="F596" s="9"/>
      <c r="G596" s="9"/>
      <c r="H596" s="9"/>
      <c r="I596" s="9"/>
      <c r="J596" s="9">
        <f>+I596-'ROR-Model'!I596</f>
        <v>0</v>
      </c>
      <c r="K596" s="9"/>
      <c r="L596" s="9"/>
      <c r="M596" s="9"/>
      <c r="N596" s="9"/>
      <c r="O596" s="136"/>
      <c r="P596" s="216"/>
      <c r="Q596" s="9"/>
      <c r="R596" s="9"/>
      <c r="S596" s="142"/>
      <c r="T596" s="9"/>
      <c r="U596" s="9"/>
      <c r="V596" s="140"/>
      <c r="W596" s="9"/>
      <c r="X596" s="156"/>
      <c r="Y596" s="918">
        <f t="shared" si="36"/>
        <v>587</v>
      </c>
      <c r="AA596" s="9"/>
      <c r="AC596" s="9" t="str">
        <f t="shared" si="37"/>
        <v/>
      </c>
      <c r="AE596" s="44" t="str">
        <f t="shared" si="38"/>
        <v/>
      </c>
    </row>
    <row r="597" spans="1:31">
      <c r="A597" s="154"/>
      <c r="B597" s="49"/>
      <c r="C597" s="49" t="s">
        <v>13</v>
      </c>
      <c r="D597" s="49"/>
      <c r="E597" s="9" t="s">
        <v>548</v>
      </c>
      <c r="F597" s="9">
        <f>EXPENSES!F93</f>
        <v>3829995.61668</v>
      </c>
      <c r="G597" s="9">
        <f>+Adjustments!U596</f>
        <v>0</v>
      </c>
      <c r="H597" s="9"/>
      <c r="I597" s="9">
        <f>SUM($F$597:$H$597)</f>
        <v>3829995.61668</v>
      </c>
      <c r="J597" s="9">
        <f>+I597-'ROR-Model'!I597</f>
        <v>0</v>
      </c>
      <c r="K597" s="9"/>
      <c r="L597" s="9" t="s">
        <v>13</v>
      </c>
      <c r="M597" s="9">
        <f>VLOOKUP($L597,$L$2:$N$7,2,FALSE)*I597</f>
        <v>3829995.61668</v>
      </c>
      <c r="N597" s="9">
        <f>VLOOKUP($L597,$L$2:$N$7,3,FALSE)*I597</f>
        <v>0</v>
      </c>
      <c r="O597" s="136"/>
      <c r="P597" s="216" t="s">
        <v>548</v>
      </c>
      <c r="Q597" s="9">
        <f>IF(P597="G",M597,IF(P597="PT",0,ERR))</f>
        <v>0</v>
      </c>
      <c r="R597" s="9">
        <f>IF(P597="PT",M597,IF(P597="G",0,ERR))</f>
        <v>3829995.61668</v>
      </c>
      <c r="S597" s="142" t="s">
        <v>548</v>
      </c>
      <c r="T597" s="9">
        <f>IF(S597="G",N597,IF(S597="PT",0,ERR))</f>
        <v>0</v>
      </c>
      <c r="U597" s="9">
        <f>IF(S597="PT",N597,IF(S597="G",0,ERR))</f>
        <v>0</v>
      </c>
      <c r="V597" s="140"/>
      <c r="W597" s="9">
        <f>HLOOKUP($W$9,'ROR-Model'!$Q$10:$U$1263,Y597)</f>
        <v>0</v>
      </c>
      <c r="X597" s="156"/>
      <c r="Y597" s="918">
        <f t="shared" si="36"/>
        <v>588</v>
      </c>
      <c r="AA597" s="9">
        <v>0</v>
      </c>
      <c r="AC597" s="9" t="str">
        <f t="shared" si="37"/>
        <v/>
      </c>
      <c r="AE597" s="44" t="str">
        <f t="shared" si="38"/>
        <v/>
      </c>
    </row>
    <row r="598" spans="1:31">
      <c r="A598" s="154"/>
      <c r="B598" s="49"/>
      <c r="C598" s="49" t="s">
        <v>24</v>
      </c>
      <c r="D598" s="49"/>
      <c r="E598" s="9" t="s">
        <v>548</v>
      </c>
      <c r="F598" s="9">
        <f>EXPENSES!F94</f>
        <v>138806.38331999991</v>
      </c>
      <c r="G598" s="9">
        <f>+Adjustments!U597</f>
        <v>0</v>
      </c>
      <c r="H598" s="9"/>
      <c r="I598" s="9">
        <f>SUM($F$598:$H$598)</f>
        <v>138806.38331999991</v>
      </c>
      <c r="J598" s="9">
        <f>+I598-'ROR-Model'!I598</f>
        <v>0</v>
      </c>
      <c r="K598" s="9"/>
      <c r="L598" s="9" t="s">
        <v>24</v>
      </c>
      <c r="M598" s="9">
        <f>VLOOKUP($L598,$L$2:$N$7,2,FALSE)*I598</f>
        <v>0</v>
      </c>
      <c r="N598" s="9">
        <f>VLOOKUP($L598,$L$2:$N$7,3,FALSE)*I598</f>
        <v>138806.38331999991</v>
      </c>
      <c r="O598" s="136"/>
      <c r="P598" s="216" t="s">
        <v>548</v>
      </c>
      <c r="Q598" s="9">
        <f>IF(P598="G",M598,IF(P598="PT",0,ERR))</f>
        <v>0</v>
      </c>
      <c r="R598" s="9">
        <f>IF(P598="PT",M598,IF(P598="G",0,ERR))</f>
        <v>0</v>
      </c>
      <c r="S598" s="142" t="s">
        <v>548</v>
      </c>
      <c r="T598" s="9">
        <f>IF(S598="G",N598,IF(S598="PT",0,ERR))</f>
        <v>0</v>
      </c>
      <c r="U598" s="9">
        <f>IF(S598="PT",N598,IF(S598="G",0,ERR))</f>
        <v>138806.38331999991</v>
      </c>
      <c r="V598" s="140"/>
      <c r="W598" s="9">
        <f>HLOOKUP($W$9,'ROR-Model'!$Q$10:$U$1263,Y598)</f>
        <v>0</v>
      </c>
      <c r="X598" s="156"/>
      <c r="Y598" s="918">
        <f t="shared" si="36"/>
        <v>589</v>
      </c>
      <c r="AA598" s="9">
        <v>0</v>
      </c>
      <c r="AC598" s="9" t="str">
        <f t="shared" si="37"/>
        <v/>
      </c>
      <c r="AE598" s="44" t="str">
        <f t="shared" si="38"/>
        <v/>
      </c>
    </row>
    <row r="599" spans="1:31">
      <c r="A599" s="154"/>
      <c r="B599" s="49"/>
      <c r="C599" s="49" t="s">
        <v>160</v>
      </c>
      <c r="D599" s="49"/>
      <c r="E599" s="157"/>
      <c r="F599" s="157">
        <f>SUM(F597:F598)</f>
        <v>3968802</v>
      </c>
      <c r="G599" s="157">
        <f>SUM(G597:G598)</f>
        <v>0</v>
      </c>
      <c r="H599" s="157">
        <f>SUM(H597:H598)</f>
        <v>0</v>
      </c>
      <c r="I599" s="157">
        <f>SUM(I597:I598)</f>
        <v>3968802</v>
      </c>
      <c r="J599" s="9">
        <f>+I599-'ROR-Model'!I599</f>
        <v>0</v>
      </c>
      <c r="K599" s="9"/>
      <c r="L599" s="157"/>
      <c r="M599" s="157">
        <f>SUM(M597:M598)</f>
        <v>3829995.61668</v>
      </c>
      <c r="N599" s="157">
        <f>SUM(N597:N598)</f>
        <v>138806.38331999991</v>
      </c>
      <c r="O599" s="136"/>
      <c r="P599" s="216"/>
      <c r="Q599" s="157">
        <f>SUM(Q597:Q598)</f>
        <v>0</v>
      </c>
      <c r="R599" s="157">
        <f>SUM(R597:R598)</f>
        <v>3829995.61668</v>
      </c>
      <c r="S599" s="226"/>
      <c r="T599" s="157">
        <f>SUM(T597:T598)</f>
        <v>0</v>
      </c>
      <c r="U599" s="157">
        <f>SUM(U597:U598)</f>
        <v>138806.38331999991</v>
      </c>
      <c r="V599" s="140"/>
      <c r="W599" s="157">
        <f>HLOOKUP($W$9,'ROR-Model'!$Q$10:$U$1263,Y599)</f>
        <v>0</v>
      </c>
      <c r="X599" s="156"/>
      <c r="Y599" s="918">
        <f t="shared" si="36"/>
        <v>590</v>
      </c>
      <c r="AA599" s="157">
        <v>0</v>
      </c>
      <c r="AC599" s="157" t="str">
        <f t="shared" si="37"/>
        <v/>
      </c>
      <c r="AE599" s="44" t="str">
        <f t="shared" si="38"/>
        <v/>
      </c>
    </row>
    <row r="600" spans="1:31">
      <c r="A600" s="154"/>
      <c r="B600" s="49"/>
      <c r="C600" s="49"/>
      <c r="D600" s="49"/>
      <c r="E600" s="9"/>
      <c r="F600" s="9"/>
      <c r="G600" s="9"/>
      <c r="H600" s="9"/>
      <c r="I600" s="9"/>
      <c r="J600" s="9">
        <f>+I600-'ROR-Model'!I600</f>
        <v>0</v>
      </c>
      <c r="K600" s="9"/>
      <c r="L600" s="9"/>
      <c r="M600" s="9"/>
      <c r="N600" s="9"/>
      <c r="O600" s="136"/>
      <c r="P600" s="216"/>
      <c r="Q600" s="9"/>
      <c r="R600" s="9"/>
      <c r="S600" s="142"/>
      <c r="T600" s="9"/>
      <c r="U600" s="9"/>
      <c r="V600" s="140"/>
      <c r="W600" s="9"/>
      <c r="X600" s="156"/>
      <c r="Y600" s="918">
        <f t="shared" si="36"/>
        <v>591</v>
      </c>
      <c r="AA600" s="9"/>
      <c r="AC600" s="9" t="str">
        <f t="shared" si="37"/>
        <v/>
      </c>
      <c r="AE600" s="44" t="str">
        <f t="shared" si="38"/>
        <v/>
      </c>
    </row>
    <row r="601" spans="1:31">
      <c r="A601" s="154">
        <v>813</v>
      </c>
      <c r="B601" s="49" t="s">
        <v>348</v>
      </c>
      <c r="C601" s="49"/>
      <c r="D601" s="49"/>
      <c r="E601" s="9"/>
      <c r="F601" s="9"/>
      <c r="G601" s="9"/>
      <c r="H601" s="9"/>
      <c r="I601" s="9"/>
      <c r="J601" s="9">
        <f>+I601-'ROR-Model'!I601</f>
        <v>0</v>
      </c>
      <c r="K601" s="9"/>
      <c r="L601" s="9"/>
      <c r="M601" s="9"/>
      <c r="N601" s="9"/>
      <c r="O601" s="136"/>
      <c r="P601" s="216"/>
      <c r="Q601" s="9"/>
      <c r="R601" s="9"/>
      <c r="S601" s="142"/>
      <c r="T601" s="9"/>
      <c r="U601" s="9"/>
      <c r="V601" s="140"/>
      <c r="W601" s="9"/>
      <c r="X601" s="156"/>
      <c r="Y601" s="918">
        <f t="shared" si="36"/>
        <v>592</v>
      </c>
      <c r="AA601" s="9"/>
      <c r="AC601" s="9" t="str">
        <f t="shared" si="37"/>
        <v/>
      </c>
      <c r="AE601" s="44" t="str">
        <f t="shared" si="38"/>
        <v/>
      </c>
    </row>
    <row r="602" spans="1:31">
      <c r="A602" s="154"/>
      <c r="B602" s="49"/>
      <c r="C602" s="49" t="s">
        <v>13</v>
      </c>
      <c r="D602" s="49"/>
      <c r="E602" s="9" t="s">
        <v>548</v>
      </c>
      <c r="F602" s="9">
        <f>EXPENSES!F98</f>
        <v>310247092.58867115</v>
      </c>
      <c r="G602" s="9">
        <f>+Adjustments!U601</f>
        <v>0</v>
      </c>
      <c r="H602" s="9"/>
      <c r="I602" s="9">
        <f>SUM($F$602:$H$602)</f>
        <v>310247092.58867115</v>
      </c>
      <c r="J602" s="9">
        <f>+I602-'ROR-Model'!I602</f>
        <v>0</v>
      </c>
      <c r="K602" s="9"/>
      <c r="L602" s="9" t="s">
        <v>13</v>
      </c>
      <c r="M602" s="9">
        <f>VLOOKUP($L602,$L$2:$N$7,2,FALSE)*I602</f>
        <v>310247092.58867115</v>
      </c>
      <c r="N602" s="9">
        <f>VLOOKUP($L602,$L$2:$N$7,3,FALSE)*I602</f>
        <v>0</v>
      </c>
      <c r="O602" s="136"/>
      <c r="P602" s="216" t="s">
        <v>548</v>
      </c>
      <c r="Q602" s="9">
        <f>IF(P602="G",M602,IF(P602="PT",0,ERR))</f>
        <v>0</v>
      </c>
      <c r="R602" s="9">
        <f>IF(P602="PT",M602,IF(P602="G",0,ERR))</f>
        <v>310247092.58867115</v>
      </c>
      <c r="S602" s="142" t="s">
        <v>548</v>
      </c>
      <c r="T602" s="9">
        <f>IF(S602="G",N602,IF(S602="PT",0,ERR))</f>
        <v>0</v>
      </c>
      <c r="U602" s="9">
        <f>IF(S602="PT",N602,IF(S602="G",0,ERR))</f>
        <v>0</v>
      </c>
      <c r="V602" s="140"/>
      <c r="W602" s="9">
        <f>HLOOKUP($W$9,'ROR-Model'!$Q$10:$U$1263,Y602)</f>
        <v>0</v>
      </c>
      <c r="X602" s="156"/>
      <c r="Y602" s="918">
        <f t="shared" si="36"/>
        <v>593</v>
      </c>
      <c r="AA602" s="9">
        <v>0</v>
      </c>
      <c r="AC602" s="9" t="str">
        <f t="shared" si="37"/>
        <v/>
      </c>
      <c r="AE602" s="44" t="str">
        <f t="shared" si="38"/>
        <v/>
      </c>
    </row>
    <row r="603" spans="1:31">
      <c r="A603" s="154"/>
      <c r="B603" s="49"/>
      <c r="C603" s="49" t="s">
        <v>24</v>
      </c>
      <c r="D603" s="49"/>
      <c r="E603" s="9" t="s">
        <v>548</v>
      </c>
      <c r="F603" s="9">
        <f>EXPENSES!F99</f>
        <v>11198142.051328894</v>
      </c>
      <c r="G603" s="9">
        <f>+Adjustments!U602</f>
        <v>0</v>
      </c>
      <c r="H603" s="9"/>
      <c r="I603" s="9">
        <f>SUM($F$603:$H$603)</f>
        <v>11198142.051328894</v>
      </c>
      <c r="J603" s="9">
        <f>+I603-'ROR-Model'!I603</f>
        <v>0</v>
      </c>
      <c r="K603" s="9"/>
      <c r="L603" s="9" t="s">
        <v>24</v>
      </c>
      <c r="M603" s="9">
        <f>VLOOKUP($L603,$L$2:$N$7,2,FALSE)*I603</f>
        <v>0</v>
      </c>
      <c r="N603" s="9">
        <f>VLOOKUP($L603,$L$2:$N$7,3,FALSE)*I603</f>
        <v>11198142.051328894</v>
      </c>
      <c r="O603" s="136"/>
      <c r="P603" s="216" t="s">
        <v>548</v>
      </c>
      <c r="Q603" s="9">
        <f>IF(P603="G",M603,IF(P603="PT",0,ERR))</f>
        <v>0</v>
      </c>
      <c r="R603" s="9">
        <f>IF(P603="PT",M603,IF(P603="G",0,ERR))</f>
        <v>0</v>
      </c>
      <c r="S603" s="142" t="s">
        <v>548</v>
      </c>
      <c r="T603" s="9">
        <f>IF(S603="G",N603,IF(S603="PT",0,ERR))</f>
        <v>0</v>
      </c>
      <c r="U603" s="9">
        <f>IF(S603="PT",N603,IF(S603="G",0,ERR))</f>
        <v>11198142.051328894</v>
      </c>
      <c r="V603" s="140"/>
      <c r="W603" s="9">
        <f>HLOOKUP($W$9,'ROR-Model'!$Q$10:$U$1263,Y603)</f>
        <v>0</v>
      </c>
      <c r="X603" s="156"/>
      <c r="Y603" s="918">
        <f t="shared" si="36"/>
        <v>594</v>
      </c>
      <c r="AA603" s="9">
        <v>0</v>
      </c>
      <c r="AC603" s="9" t="str">
        <f t="shared" si="37"/>
        <v/>
      </c>
      <c r="AE603" s="44" t="str">
        <f t="shared" si="38"/>
        <v/>
      </c>
    </row>
    <row r="604" spans="1:31">
      <c r="A604" s="154"/>
      <c r="B604" s="49"/>
      <c r="C604" s="49" t="s">
        <v>160</v>
      </c>
      <c r="D604" s="49"/>
      <c r="E604" s="157"/>
      <c r="F604" s="157">
        <f>SUM(F602:F603)</f>
        <v>321445234.64000005</v>
      </c>
      <c r="G604" s="157">
        <f>SUM(G602:G603)</f>
        <v>0</v>
      </c>
      <c r="H604" s="157">
        <f>SUM(H602:H603)</f>
        <v>0</v>
      </c>
      <c r="I604" s="157">
        <f>SUM(I602:I603)</f>
        <v>321445234.64000005</v>
      </c>
      <c r="J604" s="9">
        <f>+I604-'ROR-Model'!I604</f>
        <v>0</v>
      </c>
      <c r="K604" s="9"/>
      <c r="L604" s="157"/>
      <c r="M604" s="157">
        <f>SUM(M602:M603)</f>
        <v>310247092.58867115</v>
      </c>
      <c r="N604" s="157">
        <f>SUM(N602:N603)</f>
        <v>11198142.051328894</v>
      </c>
      <c r="O604" s="136"/>
      <c r="P604" s="216"/>
      <c r="Q604" s="157">
        <f>SUM(Q602:Q603)</f>
        <v>0</v>
      </c>
      <c r="R604" s="157">
        <f>SUM(R602:R603)</f>
        <v>310247092.58867115</v>
      </c>
      <c r="S604" s="226"/>
      <c r="T604" s="157">
        <f>SUM(T602:T603)</f>
        <v>0</v>
      </c>
      <c r="U604" s="157">
        <f>SUM(U602:U603)</f>
        <v>11198142.051328894</v>
      </c>
      <c r="V604" s="140"/>
      <c r="W604" s="157">
        <f>HLOOKUP($W$9,'ROR-Model'!$Q$10:$U$1263,Y604)</f>
        <v>0</v>
      </c>
      <c r="X604" s="156"/>
      <c r="Y604" s="918">
        <f t="shared" si="36"/>
        <v>595</v>
      </c>
      <c r="AA604" s="157">
        <v>0</v>
      </c>
      <c r="AC604" s="157" t="str">
        <f t="shared" si="37"/>
        <v/>
      </c>
      <c r="AE604" s="44" t="str">
        <f t="shared" si="38"/>
        <v/>
      </c>
    </row>
    <row r="605" spans="1:31">
      <c r="A605" s="154"/>
      <c r="B605" s="49"/>
      <c r="C605" s="49"/>
      <c r="D605" s="49"/>
      <c r="E605" s="9"/>
      <c r="F605" s="9"/>
      <c r="G605" s="9"/>
      <c r="H605" s="9"/>
      <c r="I605" s="9"/>
      <c r="J605" s="9">
        <f>+I605-'ROR-Model'!I605</f>
        <v>0</v>
      </c>
      <c r="K605" s="9"/>
      <c r="L605" s="9"/>
      <c r="M605" s="9"/>
      <c r="N605" s="9"/>
      <c r="O605" s="136"/>
      <c r="P605" s="216"/>
      <c r="Q605" s="9"/>
      <c r="R605" s="9"/>
      <c r="S605" s="142"/>
      <c r="T605" s="9"/>
      <c r="U605" s="9"/>
      <c r="V605" s="140"/>
      <c r="W605" s="9"/>
      <c r="X605" s="156"/>
      <c r="Y605" s="918">
        <f t="shared" si="36"/>
        <v>596</v>
      </c>
      <c r="AA605" s="9"/>
      <c r="AC605" s="9" t="str">
        <f t="shared" si="37"/>
        <v/>
      </c>
      <c r="AE605" s="44" t="str">
        <f t="shared" si="38"/>
        <v/>
      </c>
    </row>
    <row r="606" spans="1:31">
      <c r="A606" s="154">
        <v>813</v>
      </c>
      <c r="B606" s="49" t="s">
        <v>349</v>
      </c>
      <c r="C606" s="49"/>
      <c r="D606" s="49"/>
      <c r="E606" s="9"/>
      <c r="F606" s="9"/>
      <c r="G606" s="9"/>
      <c r="H606" s="9"/>
      <c r="I606" s="9"/>
      <c r="J606" s="9">
        <f>+I606-'ROR-Model'!I606</f>
        <v>0</v>
      </c>
      <c r="K606" s="9"/>
      <c r="L606" s="9"/>
      <c r="M606" s="9"/>
      <c r="N606" s="9"/>
      <c r="O606" s="136"/>
      <c r="P606" s="216"/>
      <c r="Q606" s="9"/>
      <c r="R606" s="9"/>
      <c r="S606" s="142"/>
      <c r="T606" s="9"/>
      <c r="U606" s="9"/>
      <c r="V606" s="140"/>
      <c r="W606" s="9"/>
      <c r="X606" s="156"/>
      <c r="Y606" s="918">
        <f t="shared" si="36"/>
        <v>597</v>
      </c>
      <c r="AA606" s="9"/>
      <c r="AC606" s="9" t="str">
        <f t="shared" si="37"/>
        <v/>
      </c>
      <c r="AE606" s="44" t="str">
        <f t="shared" si="38"/>
        <v/>
      </c>
    </row>
    <row r="607" spans="1:31">
      <c r="A607" s="154"/>
      <c r="B607" s="49"/>
      <c r="C607" s="49" t="s">
        <v>13</v>
      </c>
      <c r="D607" s="49"/>
      <c r="E607" s="9" t="s">
        <v>548</v>
      </c>
      <c r="F607" s="9">
        <f>EXPENSES!F103</f>
        <v>0</v>
      </c>
      <c r="G607" s="9">
        <f>+Adjustments!U606</f>
        <v>0</v>
      </c>
      <c r="H607" s="9"/>
      <c r="I607" s="9">
        <f>SUM($F$607:$H$607)</f>
        <v>0</v>
      </c>
      <c r="J607" s="9">
        <f>+I607-'ROR-Model'!I607</f>
        <v>0</v>
      </c>
      <c r="K607" s="9"/>
      <c r="L607" s="9" t="s">
        <v>13</v>
      </c>
      <c r="M607" s="9">
        <f>VLOOKUP($L607,$L$2:$N$7,2,FALSE)*I607</f>
        <v>0</v>
      </c>
      <c r="N607" s="9">
        <f>VLOOKUP($L607,$L$2:$N$7,3,FALSE)*I607</f>
        <v>0</v>
      </c>
      <c r="O607" s="136"/>
      <c r="P607" s="216" t="s">
        <v>548</v>
      </c>
      <c r="Q607" s="9">
        <f>IF(P607="G",M607,IF(P607="PT",0,ERR))</f>
        <v>0</v>
      </c>
      <c r="R607" s="9">
        <f>IF(P607="PT",M607,IF(P607="G",0,ERR))</f>
        <v>0</v>
      </c>
      <c r="S607" s="142" t="s">
        <v>548</v>
      </c>
      <c r="T607" s="9">
        <f>IF(S607="G",N607,IF(S607="PT",0,ERR))</f>
        <v>0</v>
      </c>
      <c r="U607" s="9">
        <f>IF(S607="PT",N607,IF(S607="G",0,ERR))</f>
        <v>0</v>
      </c>
      <c r="V607" s="140"/>
      <c r="W607" s="9">
        <f>HLOOKUP($W$9,'ROR-Model'!$Q$10:$U$1263,Y607)</f>
        <v>0</v>
      </c>
      <c r="X607" s="156"/>
      <c r="Y607" s="918">
        <f t="shared" si="36"/>
        <v>598</v>
      </c>
      <c r="AA607" s="9">
        <v>0</v>
      </c>
      <c r="AC607" s="9" t="str">
        <f t="shared" si="37"/>
        <v/>
      </c>
      <c r="AE607" s="44" t="str">
        <f t="shared" si="38"/>
        <v/>
      </c>
    </row>
    <row r="608" spans="1:31">
      <c r="A608" s="154"/>
      <c r="B608" s="49"/>
      <c r="C608" s="49" t="s">
        <v>24</v>
      </c>
      <c r="D608" s="49"/>
      <c r="E608" s="9" t="s">
        <v>548</v>
      </c>
      <c r="F608" s="9">
        <f>EXPENSES!F104</f>
        <v>0</v>
      </c>
      <c r="G608" s="9">
        <f>+Adjustments!U607</f>
        <v>0</v>
      </c>
      <c r="H608" s="9"/>
      <c r="I608" s="9">
        <f>SUM($F$608:$H$608)</f>
        <v>0</v>
      </c>
      <c r="J608" s="9">
        <f>+I608-'ROR-Model'!I608</f>
        <v>0</v>
      </c>
      <c r="K608" s="9"/>
      <c r="L608" s="9" t="s">
        <v>24</v>
      </c>
      <c r="M608" s="9">
        <f>VLOOKUP($L608,$L$2:$N$7,2,FALSE)*I608</f>
        <v>0</v>
      </c>
      <c r="N608" s="9">
        <f>VLOOKUP($L608,$L$2:$N$7,3,FALSE)*I608</f>
        <v>0</v>
      </c>
      <c r="O608" s="136"/>
      <c r="P608" s="216" t="s">
        <v>548</v>
      </c>
      <c r="Q608" s="9">
        <f>IF(P608="G",M608,IF(P608="PT",0,ERR))</f>
        <v>0</v>
      </c>
      <c r="R608" s="9">
        <f>IF(P608="PT",M608,IF(P608="G",0,ERR))</f>
        <v>0</v>
      </c>
      <c r="S608" s="142" t="s">
        <v>548</v>
      </c>
      <c r="T608" s="9">
        <f>IF(S608="G",N608,IF(S608="PT",0,ERR))</f>
        <v>0</v>
      </c>
      <c r="U608" s="9">
        <f>IF(S608="PT",N608,IF(S608="G",0,ERR))</f>
        <v>0</v>
      </c>
      <c r="V608" s="140"/>
      <c r="W608" s="9">
        <f>HLOOKUP($W$9,'ROR-Model'!$Q$10:$U$1263,Y608)</f>
        <v>0</v>
      </c>
      <c r="X608" s="156"/>
      <c r="Y608" s="918">
        <f t="shared" si="36"/>
        <v>599</v>
      </c>
      <c r="AA608" s="9">
        <v>0</v>
      </c>
      <c r="AC608" s="9" t="str">
        <f t="shared" si="37"/>
        <v/>
      </c>
      <c r="AE608" s="44" t="str">
        <f t="shared" si="38"/>
        <v/>
      </c>
    </row>
    <row r="609" spans="1:31">
      <c r="A609" s="154"/>
      <c r="B609" s="49"/>
      <c r="C609" s="49" t="s">
        <v>160</v>
      </c>
      <c r="D609" s="49"/>
      <c r="E609" s="157"/>
      <c r="F609" s="157">
        <f>SUM(F607:F608)</f>
        <v>0</v>
      </c>
      <c r="G609" s="157">
        <f>SUM(G607:G608)</f>
        <v>0</v>
      </c>
      <c r="H609" s="157">
        <f>SUM(H607:H608)</f>
        <v>0</v>
      </c>
      <c r="I609" s="157">
        <f>SUM(I607:I608)</f>
        <v>0</v>
      </c>
      <c r="J609" s="9">
        <f>+I609-'ROR-Model'!I609</f>
        <v>0</v>
      </c>
      <c r="K609" s="9"/>
      <c r="L609" s="157"/>
      <c r="M609" s="157">
        <f>SUM(M607:M608)</f>
        <v>0</v>
      </c>
      <c r="N609" s="157">
        <f>SUM(N607:N608)</f>
        <v>0</v>
      </c>
      <c r="O609" s="136"/>
      <c r="P609" s="216"/>
      <c r="Q609" s="157">
        <f>SUM(Q607:Q608)</f>
        <v>0</v>
      </c>
      <c r="R609" s="157">
        <f>SUM(R607:R608)</f>
        <v>0</v>
      </c>
      <c r="S609" s="226"/>
      <c r="T609" s="157">
        <f>SUM(T607:T608)</f>
        <v>0</v>
      </c>
      <c r="U609" s="157">
        <f>SUM(U607:U608)</f>
        <v>0</v>
      </c>
      <c r="V609" s="140"/>
      <c r="W609" s="157">
        <f>HLOOKUP($W$9,'ROR-Model'!$Q$10:$U$1263,Y609)</f>
        <v>0</v>
      </c>
      <c r="X609" s="156"/>
      <c r="Y609" s="918">
        <f t="shared" si="36"/>
        <v>600</v>
      </c>
      <c r="AA609" s="157">
        <v>0</v>
      </c>
      <c r="AC609" s="157" t="str">
        <f t="shared" si="37"/>
        <v/>
      </c>
      <c r="AE609" s="44" t="str">
        <f t="shared" si="38"/>
        <v/>
      </c>
    </row>
    <row r="610" spans="1:31">
      <c r="A610" s="154"/>
      <c r="B610" s="49"/>
      <c r="C610" s="49"/>
      <c r="D610" s="49"/>
      <c r="E610" s="9"/>
      <c r="F610" s="9"/>
      <c r="G610" s="9"/>
      <c r="H610" s="9"/>
      <c r="I610" s="9"/>
      <c r="J610" s="9">
        <f>+I610-'ROR-Model'!I610</f>
        <v>0</v>
      </c>
      <c r="K610" s="9"/>
      <c r="L610" s="9"/>
      <c r="M610" s="9"/>
      <c r="N610" s="9"/>
      <c r="O610" s="136"/>
      <c r="P610" s="216"/>
      <c r="Q610" s="9"/>
      <c r="R610" s="9"/>
      <c r="S610" s="142"/>
      <c r="T610" s="9"/>
      <c r="U610" s="9"/>
      <c r="V610" s="140"/>
      <c r="W610" s="9"/>
      <c r="X610" s="156"/>
      <c r="Y610" s="918">
        <f t="shared" si="36"/>
        <v>601</v>
      </c>
      <c r="AA610" s="9"/>
      <c r="AC610" s="9" t="str">
        <f t="shared" si="37"/>
        <v/>
      </c>
      <c r="AE610" s="44" t="str">
        <f t="shared" si="38"/>
        <v/>
      </c>
    </row>
    <row r="611" spans="1:31">
      <c r="A611" s="154" t="s">
        <v>694</v>
      </c>
      <c r="B611" s="49" t="s">
        <v>350</v>
      </c>
      <c r="C611" s="49"/>
      <c r="D611" s="49"/>
      <c r="E611" s="9"/>
      <c r="F611" s="9"/>
      <c r="G611" s="9"/>
      <c r="H611" s="9"/>
      <c r="I611" s="9"/>
      <c r="J611" s="9">
        <f>+I611-'ROR-Model'!I611</f>
        <v>0</v>
      </c>
      <c r="K611" s="9"/>
      <c r="L611" s="9"/>
      <c r="M611" s="9"/>
      <c r="N611" s="9"/>
      <c r="O611" s="136"/>
      <c r="P611" s="216"/>
      <c r="Q611" s="9"/>
      <c r="R611" s="9"/>
      <c r="S611" s="142"/>
      <c r="T611" s="9"/>
      <c r="U611" s="9"/>
      <c r="V611" s="140"/>
      <c r="W611" s="9"/>
      <c r="X611" s="156"/>
      <c r="Y611" s="918">
        <f t="shared" si="36"/>
        <v>602</v>
      </c>
      <c r="AA611" s="9"/>
      <c r="AC611" s="9" t="str">
        <f t="shared" si="37"/>
        <v/>
      </c>
      <c r="AE611" s="44" t="str">
        <f t="shared" si="38"/>
        <v/>
      </c>
    </row>
    <row r="612" spans="1:31">
      <c r="A612" s="9"/>
      <c r="B612" s="49"/>
      <c r="C612" s="49" t="s">
        <v>13</v>
      </c>
      <c r="D612" s="49"/>
      <c r="E612" s="9" t="s">
        <v>548</v>
      </c>
      <c r="F612" s="9">
        <f>EXPENSES!F108</f>
        <v>0</v>
      </c>
      <c r="G612" s="9">
        <f>+Adjustments!U611</f>
        <v>0</v>
      </c>
      <c r="H612" s="9"/>
      <c r="I612" s="9">
        <f>SUM($F$612:$H$612)</f>
        <v>0</v>
      </c>
      <c r="J612" s="9">
        <f>+I612-'ROR-Model'!I612</f>
        <v>0</v>
      </c>
      <c r="K612" s="9"/>
      <c r="L612" s="9" t="s">
        <v>13</v>
      </c>
      <c r="M612" s="9">
        <f>VLOOKUP($L612,$L$2:$N$7,2,FALSE)*I612</f>
        <v>0</v>
      </c>
      <c r="N612" s="9">
        <f>VLOOKUP($L612,$L$2:$N$7,3,FALSE)*I612</f>
        <v>0</v>
      </c>
      <c r="O612" s="136"/>
      <c r="P612" s="216" t="s">
        <v>548</v>
      </c>
      <c r="Q612" s="9">
        <f>IF(P612="G",M612,IF(P612="PT",0,ERR))</f>
        <v>0</v>
      </c>
      <c r="R612" s="9">
        <f>IF(P612="PT",M612,IF(P612="G",0,ERR))</f>
        <v>0</v>
      </c>
      <c r="S612" s="142" t="s">
        <v>548</v>
      </c>
      <c r="T612" s="9">
        <f>IF(S612="G",N612,IF(S612="PT",0,ERR))</f>
        <v>0</v>
      </c>
      <c r="U612" s="9">
        <f>IF(S612="PT",N612,IF(S612="G",0,ERR))</f>
        <v>0</v>
      </c>
      <c r="V612" s="140"/>
      <c r="W612" s="9">
        <f>HLOOKUP($W$9,'ROR-Model'!$Q$10:$U$1263,Y612)</f>
        <v>0</v>
      </c>
      <c r="X612" s="156"/>
      <c r="Y612" s="918">
        <f t="shared" si="36"/>
        <v>603</v>
      </c>
      <c r="AA612" s="9">
        <v>0</v>
      </c>
      <c r="AC612" s="9" t="str">
        <f t="shared" si="37"/>
        <v/>
      </c>
      <c r="AE612" s="44" t="str">
        <f t="shared" si="38"/>
        <v/>
      </c>
    </row>
    <row r="613" spans="1:31">
      <c r="A613" s="9"/>
      <c r="B613" s="49"/>
      <c r="C613" s="49" t="s">
        <v>24</v>
      </c>
      <c r="D613" s="49"/>
      <c r="E613" s="9" t="s">
        <v>549</v>
      </c>
      <c r="F613" s="9">
        <f>EXPENSES!F109</f>
        <v>0</v>
      </c>
      <c r="G613" s="9">
        <f>+Adjustments!U612</f>
        <v>0</v>
      </c>
      <c r="H613" s="9"/>
      <c r="I613" s="9">
        <f>SUM($F$613:$H$613)</f>
        <v>0</v>
      </c>
      <c r="J613" s="9">
        <f>+I613-'ROR-Model'!I613</f>
        <v>0</v>
      </c>
      <c r="K613" s="9"/>
      <c r="L613" s="9" t="s">
        <v>24</v>
      </c>
      <c r="M613" s="9">
        <f>VLOOKUP($L613,$L$2:$N$7,2,FALSE)*I613</f>
        <v>0</v>
      </c>
      <c r="N613" s="9">
        <f>VLOOKUP($L613,$L$2:$N$7,3,FALSE)*I613</f>
        <v>0</v>
      </c>
      <c r="O613" s="136"/>
      <c r="P613" s="156" t="s">
        <v>548</v>
      </c>
      <c r="Q613" s="9">
        <f>IF(P613="G",M613,IF(P613="PT",0,ERR))</f>
        <v>0</v>
      </c>
      <c r="R613" s="9">
        <f>IF(P613="PT",M613,IF(P613="G",0,ERR))</f>
        <v>0</v>
      </c>
      <c r="S613" s="142" t="s">
        <v>548</v>
      </c>
      <c r="T613" s="9">
        <f>IF(S613="G",N613,IF(S613="PT",0,ERR))</f>
        <v>0</v>
      </c>
      <c r="U613" s="9">
        <f>IF(S613="PT",N613,IF(S613="G",0,ERR))</f>
        <v>0</v>
      </c>
      <c r="V613" s="140"/>
      <c r="W613" s="9">
        <f>HLOOKUP($W$9,'ROR-Model'!$Q$10:$U$1263,Y613)</f>
        <v>0</v>
      </c>
      <c r="X613" s="156"/>
      <c r="Y613" s="918">
        <f t="shared" si="36"/>
        <v>604</v>
      </c>
      <c r="AA613" s="9">
        <v>0</v>
      </c>
      <c r="AC613" s="9" t="str">
        <f t="shared" si="37"/>
        <v/>
      </c>
      <c r="AE613" s="44" t="str">
        <f t="shared" si="38"/>
        <v/>
      </c>
    </row>
    <row r="614" spans="1:31">
      <c r="A614" s="154"/>
      <c r="B614" s="49"/>
      <c r="C614" s="49" t="s">
        <v>160</v>
      </c>
      <c r="D614" s="49"/>
      <c r="E614" s="157"/>
      <c r="F614" s="157">
        <f>SUM(F612:F613)</f>
        <v>0</v>
      </c>
      <c r="G614" s="157">
        <f>SUM(G612:G613)</f>
        <v>0</v>
      </c>
      <c r="H614" s="157">
        <f>SUM(H612:H613)</f>
        <v>0</v>
      </c>
      <c r="I614" s="157">
        <f>SUM(I612:I613)</f>
        <v>0</v>
      </c>
      <c r="J614" s="9">
        <f>+I614-'ROR-Model'!I614</f>
        <v>0</v>
      </c>
      <c r="K614" s="9"/>
      <c r="L614" s="157"/>
      <c r="M614" s="157">
        <f>SUM(M612:M613)</f>
        <v>0</v>
      </c>
      <c r="N614" s="157">
        <f>SUM(N612:N613)</f>
        <v>0</v>
      </c>
      <c r="O614" s="136"/>
      <c r="P614" s="216"/>
      <c r="Q614" s="157">
        <f>SUM(Q612:Q613)</f>
        <v>0</v>
      </c>
      <c r="R614" s="157">
        <f>SUM(R612:R613)</f>
        <v>0</v>
      </c>
      <c r="S614" s="226"/>
      <c r="T614" s="157">
        <f>SUM(T612:T613)</f>
        <v>0</v>
      </c>
      <c r="U614" s="157">
        <f>SUM(U612:U613)</f>
        <v>0</v>
      </c>
      <c r="V614" s="140"/>
      <c r="W614" s="157">
        <f>HLOOKUP($W$9,'ROR-Model'!$Q$10:$U$1263,Y614)</f>
        <v>0</v>
      </c>
      <c r="X614" s="156"/>
      <c r="Y614" s="918">
        <f t="shared" si="36"/>
        <v>605</v>
      </c>
      <c r="AA614" s="157">
        <v>0</v>
      </c>
      <c r="AC614" s="157" t="str">
        <f t="shared" si="37"/>
        <v/>
      </c>
      <c r="AE614" s="44" t="str">
        <f t="shared" si="38"/>
        <v/>
      </c>
    </row>
    <row r="615" spans="1:31">
      <c r="A615" s="154"/>
      <c r="B615" s="49"/>
      <c r="C615" s="49"/>
      <c r="D615" s="49"/>
      <c r="E615" s="9"/>
      <c r="F615" s="9"/>
      <c r="G615" s="9"/>
      <c r="H615" s="9"/>
      <c r="I615" s="9"/>
      <c r="J615" s="9">
        <f>+I615-'ROR-Model'!I615</f>
        <v>0</v>
      </c>
      <c r="K615" s="9"/>
      <c r="L615" s="9"/>
      <c r="M615" s="9"/>
      <c r="N615" s="9"/>
      <c r="O615" s="136"/>
      <c r="P615" s="216"/>
      <c r="Q615" s="9"/>
      <c r="R615" s="9"/>
      <c r="S615" s="142"/>
      <c r="T615" s="9"/>
      <c r="U615" s="9"/>
      <c r="V615" s="140"/>
      <c r="W615" s="9"/>
      <c r="X615" s="156"/>
      <c r="Y615" s="918">
        <f t="shared" si="36"/>
        <v>606</v>
      </c>
      <c r="AA615" s="9"/>
      <c r="AC615" s="9" t="str">
        <f t="shared" si="37"/>
        <v/>
      </c>
      <c r="AE615" s="44" t="str">
        <f t="shared" si="38"/>
        <v/>
      </c>
    </row>
    <row r="616" spans="1:31">
      <c r="A616" s="154">
        <v>858</v>
      </c>
      <c r="B616" s="49" t="s">
        <v>351</v>
      </c>
      <c r="C616" s="49"/>
      <c r="D616" s="49"/>
      <c r="E616" s="9"/>
      <c r="F616" s="9"/>
      <c r="G616" s="9"/>
      <c r="H616" s="9"/>
      <c r="I616" s="9"/>
      <c r="J616" s="9">
        <f>+I616-'ROR-Model'!I616</f>
        <v>0</v>
      </c>
      <c r="K616" s="9"/>
      <c r="L616" s="9"/>
      <c r="M616" s="9"/>
      <c r="N616" s="9"/>
      <c r="O616" s="136"/>
      <c r="P616" s="216"/>
      <c r="Q616" s="9"/>
      <c r="R616" s="9"/>
      <c r="S616" s="142"/>
      <c r="T616" s="9"/>
      <c r="U616" s="9"/>
      <c r="V616" s="140"/>
      <c r="W616" s="9"/>
      <c r="X616" s="156"/>
      <c r="Y616" s="918">
        <f t="shared" si="36"/>
        <v>607</v>
      </c>
      <c r="AA616" s="9"/>
      <c r="AC616" s="9" t="str">
        <f t="shared" si="37"/>
        <v/>
      </c>
      <c r="AE616" s="44" t="str">
        <f t="shared" si="38"/>
        <v/>
      </c>
    </row>
    <row r="617" spans="1:31">
      <c r="A617" s="154"/>
      <c r="B617" s="49"/>
      <c r="C617" s="49" t="s">
        <v>13</v>
      </c>
      <c r="D617" s="49"/>
      <c r="E617" s="9" t="s">
        <v>548</v>
      </c>
      <c r="F617" s="9">
        <f>EXPENSES!F113</f>
        <v>66406271.801191397</v>
      </c>
      <c r="G617" s="9">
        <f>+Adjustments!U616</f>
        <v>0</v>
      </c>
      <c r="H617" s="9"/>
      <c r="I617" s="9">
        <f>SUM($F$617:$H$617)</f>
        <v>66406271.801191397</v>
      </c>
      <c r="J617" s="9">
        <f>+I617-'ROR-Model'!I617</f>
        <v>0</v>
      </c>
      <c r="K617" s="9"/>
      <c r="L617" s="9" t="s">
        <v>13</v>
      </c>
      <c r="M617" s="9">
        <f>VLOOKUP($L617,$L$2:$N$7,2,FALSE)*I617</f>
        <v>66406271.801191397</v>
      </c>
      <c r="N617" s="9">
        <f>VLOOKUP($L617,$L$2:$N$7,3,FALSE)*I617</f>
        <v>0</v>
      </c>
      <c r="O617" s="136"/>
      <c r="P617" s="216" t="s">
        <v>548</v>
      </c>
      <c r="Q617" s="9">
        <f>IF(P617="G",M617,IF(P617="PT",0,ERR))</f>
        <v>0</v>
      </c>
      <c r="R617" s="9">
        <f>IF(P617="PT",M617,IF(P617="G",0,ERR))</f>
        <v>66406271.801191397</v>
      </c>
      <c r="S617" s="142" t="s">
        <v>548</v>
      </c>
      <c r="T617" s="9">
        <f>IF(S617="G",N617,IF(S617="PT",0,ERR))</f>
        <v>0</v>
      </c>
      <c r="U617" s="9">
        <f>IF(S617="PT",N617,IF(S617="G",0,ERR))</f>
        <v>0</v>
      </c>
      <c r="V617" s="140"/>
      <c r="W617" s="9">
        <f>HLOOKUP($W$9,'ROR-Model'!$Q$10:$U$1263,Y617)</f>
        <v>0</v>
      </c>
      <c r="X617" s="156"/>
      <c r="Y617" s="918">
        <f t="shared" si="36"/>
        <v>608</v>
      </c>
      <c r="AA617" s="9">
        <v>0</v>
      </c>
      <c r="AC617" s="9" t="str">
        <f t="shared" si="37"/>
        <v/>
      </c>
      <c r="AE617" s="44" t="str">
        <f t="shared" si="38"/>
        <v/>
      </c>
    </row>
    <row r="618" spans="1:31">
      <c r="A618" s="154"/>
      <c r="B618" s="49"/>
      <c r="C618" s="49" t="s">
        <v>24</v>
      </c>
      <c r="D618" s="49"/>
      <c r="E618" s="9" t="s">
        <v>548</v>
      </c>
      <c r="F618" s="9">
        <f>EXPENSES!F114</f>
        <v>2404857.5888085989</v>
      </c>
      <c r="G618" s="9">
        <f>+Adjustments!U617</f>
        <v>0</v>
      </c>
      <c r="H618" s="9"/>
      <c r="I618" s="9">
        <f>SUM($F$618:$H$618)</f>
        <v>2404857.5888085989</v>
      </c>
      <c r="J618" s="9">
        <f>+I618-'ROR-Model'!I618</f>
        <v>0</v>
      </c>
      <c r="K618" s="9"/>
      <c r="L618" s="9" t="s">
        <v>24</v>
      </c>
      <c r="M618" s="9">
        <f>VLOOKUP($L618,$L$2:$N$7,2,FALSE)*I618</f>
        <v>0</v>
      </c>
      <c r="N618" s="9">
        <f>VLOOKUP($L618,$L$2:$N$7,3,FALSE)*I618</f>
        <v>2404857.5888085989</v>
      </c>
      <c r="O618" s="136"/>
      <c r="P618" s="216" t="s">
        <v>548</v>
      </c>
      <c r="Q618" s="9">
        <f>IF(P618="G",M618,IF(P618="PT",0,ERR))</f>
        <v>0</v>
      </c>
      <c r="R618" s="9">
        <f>IF(P618="PT",M618,IF(P618="G",0,ERR))</f>
        <v>0</v>
      </c>
      <c r="S618" s="142" t="s">
        <v>548</v>
      </c>
      <c r="T618" s="9">
        <f>IF(S618="G",N618,IF(S618="PT",0,ERR))</f>
        <v>0</v>
      </c>
      <c r="U618" s="9">
        <f>IF(S618="PT",N618,IF(S618="G",0,ERR))</f>
        <v>2404857.5888085989</v>
      </c>
      <c r="V618" s="140"/>
      <c r="W618" s="9">
        <f>HLOOKUP($W$9,'ROR-Model'!$Q$10:$U$1263,Y618)</f>
        <v>0</v>
      </c>
      <c r="X618" s="156"/>
      <c r="Y618" s="918">
        <f t="shared" si="36"/>
        <v>609</v>
      </c>
      <c r="AA618" s="9">
        <v>0</v>
      </c>
      <c r="AC618" s="9" t="str">
        <f t="shared" si="37"/>
        <v/>
      </c>
      <c r="AE618" s="44" t="str">
        <f t="shared" si="38"/>
        <v/>
      </c>
    </row>
    <row r="619" spans="1:31">
      <c r="A619" s="154"/>
      <c r="B619" s="49"/>
      <c r="C619" s="49" t="s">
        <v>160</v>
      </c>
      <c r="D619" s="49"/>
      <c r="E619" s="157"/>
      <c r="F619" s="157">
        <f>SUM(F617:F618)</f>
        <v>68811129.390000001</v>
      </c>
      <c r="G619" s="157">
        <f>SUM(G617:G618)</f>
        <v>0</v>
      </c>
      <c r="H619" s="157">
        <f>SUM(H617:H618)</f>
        <v>0</v>
      </c>
      <c r="I619" s="157">
        <f>SUM(I617:I618)</f>
        <v>68811129.390000001</v>
      </c>
      <c r="J619" s="9">
        <f>+I619-'ROR-Model'!I619</f>
        <v>0</v>
      </c>
      <c r="K619" s="9"/>
      <c r="L619" s="157"/>
      <c r="M619" s="157">
        <f>SUM(M617:M618)</f>
        <v>66406271.801191397</v>
      </c>
      <c r="N619" s="157">
        <f>SUM(N617:N618)</f>
        <v>2404857.5888085989</v>
      </c>
      <c r="O619" s="136"/>
      <c r="P619" s="216"/>
      <c r="Q619" s="157">
        <f>SUM(Q617:Q618)</f>
        <v>0</v>
      </c>
      <c r="R619" s="157">
        <f>SUM(R617:R618)</f>
        <v>66406271.801191397</v>
      </c>
      <c r="S619" s="226"/>
      <c r="T619" s="157">
        <f>SUM(T617:T618)</f>
        <v>0</v>
      </c>
      <c r="U619" s="157">
        <f>SUM(U617:U618)</f>
        <v>2404857.5888085989</v>
      </c>
      <c r="V619" s="140"/>
      <c r="W619" s="157">
        <f>HLOOKUP($W$9,'ROR-Model'!$Q$10:$U$1263,Y619)</f>
        <v>0</v>
      </c>
      <c r="X619" s="156"/>
      <c r="Y619" s="918">
        <f t="shared" si="36"/>
        <v>610</v>
      </c>
      <c r="AA619" s="157">
        <v>0</v>
      </c>
      <c r="AC619" s="157" t="str">
        <f t="shared" si="37"/>
        <v/>
      </c>
      <c r="AE619" s="44" t="str">
        <f t="shared" si="38"/>
        <v/>
      </c>
    </row>
    <row r="620" spans="1:31">
      <c r="A620" s="154"/>
      <c r="B620" s="49"/>
      <c r="C620" s="49"/>
      <c r="D620" s="49"/>
      <c r="E620" s="9"/>
      <c r="F620" s="9"/>
      <c r="G620" s="9"/>
      <c r="H620" s="9"/>
      <c r="I620" s="9"/>
      <c r="J620" s="9">
        <f>+I620-'ROR-Model'!I620</f>
        <v>0</v>
      </c>
      <c r="K620" s="9"/>
      <c r="L620" s="9"/>
      <c r="M620" s="9"/>
      <c r="N620" s="9"/>
      <c r="O620" s="136"/>
      <c r="P620" s="216"/>
      <c r="Q620" s="9"/>
      <c r="R620" s="9"/>
      <c r="S620" s="142"/>
      <c r="T620" s="9"/>
      <c r="U620" s="9"/>
      <c r="V620" s="140"/>
      <c r="W620" s="9"/>
      <c r="X620" s="156"/>
      <c r="Y620" s="918">
        <f t="shared" si="36"/>
        <v>611</v>
      </c>
      <c r="AA620" s="9"/>
      <c r="AC620" s="9" t="str">
        <f t="shared" si="37"/>
        <v/>
      </c>
      <c r="AE620" s="44" t="str">
        <f t="shared" si="38"/>
        <v/>
      </c>
    </row>
    <row r="621" spans="1:31">
      <c r="A621" s="154">
        <v>858</v>
      </c>
      <c r="B621" s="49" t="s">
        <v>695</v>
      </c>
      <c r="C621" s="49"/>
      <c r="D621" s="49"/>
      <c r="E621" s="9"/>
      <c r="F621" s="9"/>
      <c r="G621" s="9"/>
      <c r="H621" s="9"/>
      <c r="I621" s="9"/>
      <c r="J621" s="9">
        <f>+I621-'ROR-Model'!I621</f>
        <v>0</v>
      </c>
      <c r="K621" s="9"/>
      <c r="L621" s="9"/>
      <c r="M621" s="9"/>
      <c r="N621" s="9"/>
      <c r="O621" s="136"/>
      <c r="P621" s="216"/>
      <c r="Q621" s="9"/>
      <c r="R621" s="9"/>
      <c r="S621" s="142"/>
      <c r="T621" s="9"/>
      <c r="U621" s="9"/>
      <c r="V621" s="140"/>
      <c r="W621" s="9"/>
      <c r="X621" s="156"/>
      <c r="Y621" s="918">
        <f t="shared" si="36"/>
        <v>612</v>
      </c>
      <c r="AA621" s="9"/>
      <c r="AC621" s="9" t="str">
        <f t="shared" si="37"/>
        <v/>
      </c>
      <c r="AE621" s="44" t="str">
        <f t="shared" si="38"/>
        <v/>
      </c>
    </row>
    <row r="622" spans="1:31">
      <c r="A622" s="153"/>
      <c r="B622" s="49"/>
      <c r="C622" s="49" t="s">
        <v>13</v>
      </c>
      <c r="D622" s="49"/>
      <c r="E622" s="9" t="s">
        <v>548</v>
      </c>
      <c r="F622" s="9">
        <f>EXPENSES!F118</f>
        <v>0</v>
      </c>
      <c r="G622" s="9">
        <f>+Adjustments!U621</f>
        <v>0</v>
      </c>
      <c r="H622" s="9"/>
      <c r="I622" s="9">
        <f>SUM($F$622:$H$622)</f>
        <v>0</v>
      </c>
      <c r="J622" s="9">
        <f>+I622-'ROR-Model'!I622</f>
        <v>0</v>
      </c>
      <c r="K622" s="9"/>
      <c r="L622" s="9" t="s">
        <v>13</v>
      </c>
      <c r="M622" s="9">
        <f>VLOOKUP($L622,$L$2:$N$7,2,FALSE)*I622</f>
        <v>0</v>
      </c>
      <c r="N622" s="9">
        <f>VLOOKUP($L622,$L$2:$N$7,3,FALSE)*I622</f>
        <v>0</v>
      </c>
      <c r="O622" s="136"/>
      <c r="P622" s="216" t="s">
        <v>548</v>
      </c>
      <c r="Q622" s="9">
        <f>IF(P622="G",M622,IF(P622="PT",0,ERR))</f>
        <v>0</v>
      </c>
      <c r="R622" s="9">
        <f>IF(P622="PT",M622,IF(P622="G",0,ERR))</f>
        <v>0</v>
      </c>
      <c r="S622" s="142" t="s">
        <v>548</v>
      </c>
      <c r="T622" s="9">
        <f>IF(S622="G",N622,IF(S622="PT",0,ERR))</f>
        <v>0</v>
      </c>
      <c r="U622" s="9">
        <f>IF(S622="PT",N622,IF(S622="G",0,ERR))</f>
        <v>0</v>
      </c>
      <c r="V622" s="140"/>
      <c r="W622" s="9">
        <f>HLOOKUP($W$9,'ROR-Model'!$Q$10:$U$1263,Y622)</f>
        <v>0</v>
      </c>
      <c r="X622" s="156"/>
      <c r="Y622" s="918">
        <f t="shared" si="36"/>
        <v>613</v>
      </c>
      <c r="AA622" s="9">
        <v>0</v>
      </c>
      <c r="AC622" s="9" t="str">
        <f t="shared" si="37"/>
        <v/>
      </c>
      <c r="AE622" s="44" t="str">
        <f t="shared" si="38"/>
        <v/>
      </c>
    </row>
    <row r="623" spans="1:31">
      <c r="A623" s="153"/>
      <c r="B623" s="49"/>
      <c r="C623" s="49" t="s">
        <v>24</v>
      </c>
      <c r="D623" s="49"/>
      <c r="E623" s="9" t="s">
        <v>548</v>
      </c>
      <c r="F623" s="9">
        <f>EXPENSES!F119</f>
        <v>0</v>
      </c>
      <c r="G623" s="9">
        <f>+Adjustments!U622</f>
        <v>0</v>
      </c>
      <c r="H623" s="9"/>
      <c r="I623" s="9">
        <f>SUM($F$623:$H$623)</f>
        <v>0</v>
      </c>
      <c r="J623" s="9">
        <f>+I623-'ROR-Model'!I623</f>
        <v>0</v>
      </c>
      <c r="K623" s="9"/>
      <c r="L623" s="9" t="s">
        <v>24</v>
      </c>
      <c r="M623" s="9">
        <f>VLOOKUP($L623,$L$2:$N$7,2,FALSE)*I623</f>
        <v>0</v>
      </c>
      <c r="N623" s="9">
        <f>VLOOKUP($L623,$L$2:$N$7,3,FALSE)*I623</f>
        <v>0</v>
      </c>
      <c r="O623" s="136"/>
      <c r="P623" s="216" t="s">
        <v>548</v>
      </c>
      <c r="Q623" s="9">
        <f>IF(P623="G",M623,IF(P623="PT",0,ERR))</f>
        <v>0</v>
      </c>
      <c r="R623" s="9">
        <f>IF(P623="PT",M623,IF(P623="G",0,ERR))</f>
        <v>0</v>
      </c>
      <c r="S623" s="142" t="s">
        <v>548</v>
      </c>
      <c r="T623" s="9">
        <f>IF(S623="G",N623,IF(S623="PT",0,ERR))</f>
        <v>0</v>
      </c>
      <c r="U623" s="9">
        <f>IF(S623="PT",N623,IF(S623="G",0,ERR))</f>
        <v>0</v>
      </c>
      <c r="V623" s="140"/>
      <c r="W623" s="9">
        <f>HLOOKUP($W$9,'ROR-Model'!$Q$10:$U$1263,Y623)</f>
        <v>0</v>
      </c>
      <c r="X623" s="156"/>
      <c r="Y623" s="918">
        <f t="shared" si="36"/>
        <v>614</v>
      </c>
      <c r="AA623" s="9">
        <v>0</v>
      </c>
      <c r="AC623" s="9" t="str">
        <f t="shared" si="37"/>
        <v/>
      </c>
      <c r="AE623" s="44" t="str">
        <f t="shared" si="38"/>
        <v/>
      </c>
    </row>
    <row r="624" spans="1:31">
      <c r="A624" s="153"/>
      <c r="B624" s="49"/>
      <c r="C624" s="49" t="s">
        <v>160</v>
      </c>
      <c r="D624" s="49"/>
      <c r="E624" s="157"/>
      <c r="F624" s="157">
        <f>SUM(F622:F623)</f>
        <v>0</v>
      </c>
      <c r="G624" s="157">
        <f>SUM(G622:G623)</f>
        <v>0</v>
      </c>
      <c r="H624" s="157">
        <f>SUM(H622:H623)</f>
        <v>0</v>
      </c>
      <c r="I624" s="157">
        <f>SUM(I622:I623)</f>
        <v>0</v>
      </c>
      <c r="J624" s="9">
        <f>+I624-'ROR-Model'!I624</f>
        <v>0</v>
      </c>
      <c r="K624" s="9"/>
      <c r="L624" s="157"/>
      <c r="M624" s="157">
        <f>SUM(M622:M623)</f>
        <v>0</v>
      </c>
      <c r="N624" s="157">
        <f>SUM(N622:N623)</f>
        <v>0</v>
      </c>
      <c r="O624" s="136"/>
      <c r="P624" s="226"/>
      <c r="Q624" s="157">
        <f>SUM(Q622:Q623)</f>
        <v>0</v>
      </c>
      <c r="R624" s="157">
        <f>SUM(R622:R623)</f>
        <v>0</v>
      </c>
      <c r="S624" s="226"/>
      <c r="T624" s="157">
        <f>SUM(T622:T623)</f>
        <v>0</v>
      </c>
      <c r="U624" s="157">
        <f>SUM(U622:U623)</f>
        <v>0</v>
      </c>
      <c r="V624" s="140"/>
      <c r="W624" s="157">
        <f>HLOOKUP($W$9,'ROR-Model'!$Q$10:$U$1263,Y624)</f>
        <v>0</v>
      </c>
      <c r="X624" s="156"/>
      <c r="Y624" s="918">
        <f t="shared" si="36"/>
        <v>615</v>
      </c>
      <c r="AA624" s="157">
        <v>0</v>
      </c>
      <c r="AC624" s="157" t="str">
        <f t="shared" si="37"/>
        <v/>
      </c>
      <c r="AE624" s="44" t="str">
        <f t="shared" si="38"/>
        <v/>
      </c>
    </row>
    <row r="625" spans="1:31">
      <c r="A625" s="153"/>
      <c r="B625" s="49"/>
      <c r="C625" s="49"/>
      <c r="D625" s="49"/>
      <c r="E625" s="9"/>
      <c r="F625" s="9"/>
      <c r="G625" s="9"/>
      <c r="H625" s="9"/>
      <c r="I625" s="9"/>
      <c r="J625" s="9">
        <f>+I625-'ROR-Model'!I625</f>
        <v>0</v>
      </c>
      <c r="K625" s="9"/>
      <c r="L625" s="9"/>
      <c r="M625" s="9"/>
      <c r="N625" s="9"/>
      <c r="O625" s="136"/>
      <c r="P625" s="142"/>
      <c r="Q625" s="9"/>
      <c r="R625" s="9"/>
      <c r="S625" s="142"/>
      <c r="T625" s="9"/>
      <c r="U625" s="9"/>
      <c r="V625" s="140"/>
      <c r="W625" s="9"/>
      <c r="X625" s="156"/>
      <c r="Y625" s="918">
        <f t="shared" si="36"/>
        <v>616</v>
      </c>
      <c r="AA625" s="9"/>
      <c r="AC625" s="9" t="str">
        <f t="shared" si="37"/>
        <v/>
      </c>
      <c r="AE625" s="44" t="str">
        <f t="shared" si="38"/>
        <v/>
      </c>
    </row>
    <row r="626" spans="1:31">
      <c r="A626" s="153"/>
      <c r="B626" s="172" t="s">
        <v>274</v>
      </c>
      <c r="C626" s="49"/>
      <c r="D626" s="49"/>
      <c r="E626" s="9"/>
      <c r="F626" s="9"/>
      <c r="G626" s="9"/>
      <c r="H626" s="9"/>
      <c r="I626" s="9"/>
      <c r="J626" s="9">
        <f>+I626-'ROR-Model'!I626</f>
        <v>0</v>
      </c>
      <c r="K626" s="9"/>
      <c r="L626" s="9"/>
      <c r="M626" s="9"/>
      <c r="N626" s="9"/>
      <c r="O626" s="136"/>
      <c r="P626" s="142"/>
      <c r="Q626" s="9"/>
      <c r="R626" s="9"/>
      <c r="S626" s="142"/>
      <c r="T626" s="9"/>
      <c r="U626" s="9"/>
      <c r="V626" s="140"/>
      <c r="W626" s="9"/>
      <c r="X626" s="156"/>
      <c r="Y626" s="918">
        <f t="shared" si="36"/>
        <v>617</v>
      </c>
      <c r="AA626" s="9"/>
      <c r="AC626" s="9" t="str">
        <f t="shared" si="37"/>
        <v/>
      </c>
      <c r="AE626" s="44" t="str">
        <f t="shared" si="38"/>
        <v/>
      </c>
    </row>
    <row r="627" spans="1:31">
      <c r="A627" s="153"/>
      <c r="B627" s="49"/>
      <c r="C627" s="49" t="s">
        <v>272</v>
      </c>
      <c r="D627" s="49"/>
      <c r="E627" s="9" t="s">
        <v>549</v>
      </c>
      <c r="F627" s="9">
        <v>0</v>
      </c>
      <c r="G627" s="9">
        <f>+Adjustments!U626</f>
        <v>0</v>
      </c>
      <c r="H627" s="9"/>
      <c r="I627" s="9">
        <f>SUM($F$627:$H$627)</f>
        <v>0</v>
      </c>
      <c r="J627" s="9">
        <f>+I627-'ROR-Model'!I627</f>
        <v>0</v>
      </c>
      <c r="K627" s="9"/>
      <c r="L627" s="9" t="s">
        <v>13</v>
      </c>
      <c r="M627" s="9">
        <f>VLOOKUP($L627,$L$2:$N$7,2,FALSE)*I627</f>
        <v>0</v>
      </c>
      <c r="N627" s="9">
        <f>VLOOKUP($L627,$L$2:$N$7,3,FALSE)*I627</f>
        <v>0</v>
      </c>
      <c r="O627" s="136"/>
      <c r="P627" s="216" t="s">
        <v>549</v>
      </c>
      <c r="Q627" s="9">
        <f>IF(P627="G",M627,IF(P627="PT",0,ERR))</f>
        <v>0</v>
      </c>
      <c r="R627" s="9">
        <f>IF(P627="PT",M627,IF(P627="G",0,ERR))</f>
        <v>0</v>
      </c>
      <c r="S627" s="216" t="s">
        <v>549</v>
      </c>
      <c r="T627" s="9">
        <f>IF(S627="G",N627,IF(S627="PT",0,ERR))</f>
        <v>0</v>
      </c>
      <c r="U627" s="9">
        <f>IF(S627="PT",N627,IF(S627="G",0,ERR))</f>
        <v>0</v>
      </c>
      <c r="V627" s="140"/>
      <c r="W627" s="9">
        <f>HLOOKUP($W$9,'ROR-Model'!$Q$10:$U$1263,Y627)</f>
        <v>0</v>
      </c>
      <c r="X627" s="156"/>
      <c r="Y627" s="918">
        <f t="shared" si="36"/>
        <v>618</v>
      </c>
      <c r="AA627" s="9">
        <v>0</v>
      </c>
      <c r="AC627" s="9" t="str">
        <f t="shared" si="37"/>
        <v/>
      </c>
      <c r="AE627" s="44" t="str">
        <f t="shared" si="38"/>
        <v/>
      </c>
    </row>
    <row r="628" spans="1:31">
      <c r="A628" s="153"/>
      <c r="B628" s="49"/>
      <c r="C628" s="49" t="s">
        <v>273</v>
      </c>
      <c r="D628" s="49"/>
      <c r="E628" s="9" t="s">
        <v>549</v>
      </c>
      <c r="F628" s="9">
        <v>0</v>
      </c>
      <c r="G628" s="9">
        <f>+Adjustments!U627</f>
        <v>0</v>
      </c>
      <c r="H628" s="9"/>
      <c r="I628" s="9">
        <f>SUM($F$628:$H$628)</f>
        <v>0</v>
      </c>
      <c r="J628" s="9">
        <f>+I628-'ROR-Model'!I628</f>
        <v>0</v>
      </c>
      <c r="K628" s="9"/>
      <c r="L628" s="9" t="s">
        <v>24</v>
      </c>
      <c r="M628" s="9">
        <f>VLOOKUP($L628,$L$2:$N$7,2,FALSE)*I628</f>
        <v>0</v>
      </c>
      <c r="N628" s="9">
        <f>VLOOKUP($L628,$L$2:$N$7,3,FALSE)*I628</f>
        <v>0</v>
      </c>
      <c r="O628" s="136"/>
      <c r="P628" s="216" t="s">
        <v>549</v>
      </c>
      <c r="Q628" s="9">
        <f>IF(P628="G",M628,IF(P628="PT",0,ERR))</f>
        <v>0</v>
      </c>
      <c r="R628" s="9">
        <f>IF(P628="PT",M628,IF(P628="G",0,ERR))</f>
        <v>0</v>
      </c>
      <c r="S628" s="216" t="s">
        <v>549</v>
      </c>
      <c r="T628" s="9">
        <f>IF(S628="G",N628,IF(S628="PT",0,ERR))</f>
        <v>0</v>
      </c>
      <c r="U628" s="9">
        <f>IF(S628="PT",N628,IF(S628="G",0,ERR))</f>
        <v>0</v>
      </c>
      <c r="V628" s="140"/>
      <c r="W628" s="9">
        <f>HLOOKUP($W$9,'ROR-Model'!$Q$10:$U$1263,Y628)</f>
        <v>0</v>
      </c>
      <c r="X628" s="156"/>
      <c r="Y628" s="918">
        <f t="shared" si="36"/>
        <v>619</v>
      </c>
      <c r="AA628" s="9">
        <v>0</v>
      </c>
      <c r="AC628" s="9" t="str">
        <f t="shared" si="37"/>
        <v/>
      </c>
      <c r="AE628" s="44" t="str">
        <f t="shared" si="38"/>
        <v/>
      </c>
    </row>
    <row r="629" spans="1:31">
      <c r="A629" s="153"/>
      <c r="B629" s="49"/>
      <c r="C629" s="49" t="s">
        <v>160</v>
      </c>
      <c r="D629" s="49"/>
      <c r="E629" s="157"/>
      <c r="F629" s="157">
        <f>SUM(F627:F628)</f>
        <v>0</v>
      </c>
      <c r="G629" s="157">
        <f>SUM(G627:G628)</f>
        <v>0</v>
      </c>
      <c r="H629" s="157">
        <f>SUM(H627:H628)</f>
        <v>0</v>
      </c>
      <c r="I629" s="157">
        <f>SUM(I627:I628)</f>
        <v>0</v>
      </c>
      <c r="J629" s="9">
        <f>+I629-'ROR-Model'!I629</f>
        <v>0</v>
      </c>
      <c r="K629" s="9"/>
      <c r="L629" s="157"/>
      <c r="M629" s="157">
        <f>SUM(M627:M628)</f>
        <v>0</v>
      </c>
      <c r="N629" s="157">
        <f>SUM(N627:N628)</f>
        <v>0</v>
      </c>
      <c r="O629" s="136"/>
      <c r="P629" s="226"/>
      <c r="Q629" s="157">
        <f>SUM(Q627:Q628)</f>
        <v>0</v>
      </c>
      <c r="R629" s="157">
        <f>SUM(R627:R628)</f>
        <v>0</v>
      </c>
      <c r="S629" s="226"/>
      <c r="T629" s="157">
        <f>SUM(T627:T628)</f>
        <v>0</v>
      </c>
      <c r="U629" s="157">
        <f>SUM(U627:U628)</f>
        <v>0</v>
      </c>
      <c r="V629" s="140"/>
      <c r="W629" s="157">
        <f>HLOOKUP($W$9,'ROR-Model'!$Q$10:$U$1263,Y629)</f>
        <v>0</v>
      </c>
      <c r="X629" s="156"/>
      <c r="Y629" s="918">
        <f t="shared" si="36"/>
        <v>620</v>
      </c>
      <c r="AA629" s="157">
        <v>0</v>
      </c>
      <c r="AC629" s="157" t="str">
        <f t="shared" si="37"/>
        <v/>
      </c>
      <c r="AE629" s="44" t="str">
        <f t="shared" si="38"/>
        <v/>
      </c>
    </row>
    <row r="630" spans="1:31" ht="13.5" thickBot="1">
      <c r="A630" s="153"/>
      <c r="B630" s="49"/>
      <c r="C630" s="49"/>
      <c r="D630" s="49"/>
      <c r="E630" s="26"/>
      <c r="F630" s="26"/>
      <c r="G630" s="26"/>
      <c r="H630" s="26"/>
      <c r="I630" s="26"/>
      <c r="J630" s="9">
        <f>+I630-'ROR-Model'!I630</f>
        <v>0</v>
      </c>
      <c r="K630" s="9"/>
      <c r="L630" s="26"/>
      <c r="M630" s="26"/>
      <c r="N630" s="26"/>
      <c r="O630" s="136"/>
      <c r="P630" s="227"/>
      <c r="Q630" s="26"/>
      <c r="R630" s="26"/>
      <c r="S630" s="227"/>
      <c r="T630" s="26"/>
      <c r="U630" s="26"/>
      <c r="V630" s="140"/>
      <c r="W630" s="26"/>
      <c r="X630" s="156"/>
      <c r="Y630" s="918">
        <f t="shared" si="36"/>
        <v>621</v>
      </c>
      <c r="AA630" s="26"/>
      <c r="AC630" s="26" t="str">
        <f t="shared" si="37"/>
        <v/>
      </c>
      <c r="AE630" s="44" t="str">
        <f t="shared" si="38"/>
        <v/>
      </c>
    </row>
    <row r="631" spans="1:31" ht="13.5" thickTop="1">
      <c r="A631" s="189" t="s">
        <v>550</v>
      </c>
      <c r="B631" s="52"/>
      <c r="C631" s="52"/>
      <c r="D631" s="49"/>
      <c r="E631" s="9"/>
      <c r="F631" s="9"/>
      <c r="G631" s="9"/>
      <c r="H631" s="9"/>
      <c r="I631" s="9"/>
      <c r="J631" s="9">
        <f>+I631-'ROR-Model'!I631</f>
        <v>0</v>
      </c>
      <c r="K631" s="9"/>
      <c r="L631" s="9"/>
      <c r="M631" s="9"/>
      <c r="N631" s="9"/>
      <c r="O631" s="136"/>
      <c r="P631" s="142"/>
      <c r="Q631" s="9"/>
      <c r="R631" s="9"/>
      <c r="S631" s="142"/>
      <c r="T631" s="9"/>
      <c r="U631" s="9"/>
      <c r="V631" s="140"/>
      <c r="W631" s="9"/>
      <c r="X631" s="156"/>
      <c r="Y631" s="918">
        <f t="shared" si="36"/>
        <v>622</v>
      </c>
      <c r="AA631" s="9"/>
      <c r="AC631" s="9" t="str">
        <f t="shared" si="37"/>
        <v/>
      </c>
      <c r="AE631" s="44" t="str">
        <f t="shared" si="38"/>
        <v/>
      </c>
    </row>
    <row r="632" spans="1:31">
      <c r="B632" s="52" t="s">
        <v>682</v>
      </c>
      <c r="C632" s="52"/>
      <c r="D632" s="49"/>
      <c r="E632" s="9"/>
      <c r="F632" s="9">
        <f>F537+F629</f>
        <v>0</v>
      </c>
      <c r="G632" s="9">
        <f>G537+G629</f>
        <v>0</v>
      </c>
      <c r="H632" s="9">
        <f>H537+H629</f>
        <v>0</v>
      </c>
      <c r="I632" s="9">
        <f>I537+I629</f>
        <v>0</v>
      </c>
      <c r="J632" s="9">
        <f>+I632-'ROR-Model'!I632</f>
        <v>0</v>
      </c>
      <c r="K632" s="9"/>
      <c r="L632" s="9"/>
      <c r="M632" s="9">
        <f>M537+M629</f>
        <v>0</v>
      </c>
      <c r="N632" s="9">
        <f>N537+N629</f>
        <v>0</v>
      </c>
      <c r="O632" s="136"/>
      <c r="P632" s="142"/>
      <c r="Q632" s="9">
        <f>Q537+Q629</f>
        <v>0</v>
      </c>
      <c r="R632" s="9">
        <f>R537+R629</f>
        <v>0</v>
      </c>
      <c r="S632" s="9"/>
      <c r="T632" s="9">
        <f>T537+T629</f>
        <v>0</v>
      </c>
      <c r="U632" s="9">
        <f>U537+U629</f>
        <v>0</v>
      </c>
      <c r="V632" s="140"/>
      <c r="W632" s="9">
        <f>HLOOKUP($W$9,'ROR-Model'!$Q$10:$U$1263,Y632)</f>
        <v>0</v>
      </c>
      <c r="X632" s="156"/>
      <c r="Y632" s="918">
        <f t="shared" si="36"/>
        <v>623</v>
      </c>
      <c r="AA632" s="9">
        <v>0</v>
      </c>
      <c r="AC632" s="9" t="str">
        <f t="shared" si="37"/>
        <v/>
      </c>
      <c r="AE632" s="44" t="str">
        <f t="shared" si="38"/>
        <v/>
      </c>
    </row>
    <row r="633" spans="1:31">
      <c r="B633" s="52" t="s">
        <v>683</v>
      </c>
      <c r="C633" s="52"/>
      <c r="D633" s="49"/>
      <c r="E633" s="9"/>
      <c r="F633" s="9">
        <f>F522+F527+F532+F542+F547+F552+F557+F562+F567+F572+F577+F582+F587+F592+F597+F602+F607+F612+F617+F622</f>
        <v>536824955.34828264</v>
      </c>
      <c r="G633" s="9">
        <f>G522+G527+G532+G542+G547+G552+G557+G562+G567+G572+G577+G582+G587+G592+G597+G602+G607+G612+G617+G622</f>
        <v>0</v>
      </c>
      <c r="H633" s="9">
        <f>H522+H527+H532+H542+H547+H552+H557+H562+H567+H572+H577+H582+H587+H592+H597+H602+H607+H612+H617+H622</f>
        <v>0</v>
      </c>
      <c r="I633" s="9">
        <f>I522+I527+I532+I542+I547+I552+I557+I562+I567+I572+I577+I582+I587+I592+I597+I602+I607+I612+I617+I622</f>
        <v>536824955.34828264</v>
      </c>
      <c r="J633" s="9">
        <f>+I633-'ROR-Model'!I633</f>
        <v>0</v>
      </c>
      <c r="K633" s="9"/>
      <c r="L633" s="9"/>
      <c r="M633" s="9">
        <f>M522+M527+M532+M542+M547+M552+M557+M562+M567+M572+M577+M582+M587+M592+M597+M602+M607+M612+M617+M622</f>
        <v>536824955.34828264</v>
      </c>
      <c r="N633" s="9">
        <f>N522+N527+N532+N542+N547+N552+N557+N562+N567+N572+N577+N582+N587+N592+N597+N602+N607+N612+N617+N622</f>
        <v>0</v>
      </c>
      <c r="O633" s="136"/>
      <c r="P633" s="142"/>
      <c r="Q633" s="9">
        <f>Q522+Q527+Q532+Q542+Q547+Q552+Q557+Q562+Q567+Q572+Q577+Q582+Q587+Q592+Q597+Q602+Q607+Q612+Q617+Q622</f>
        <v>0</v>
      </c>
      <c r="R633" s="9">
        <f>R522+R527+R532+R542+R547+R552+R557+R562+R567+R572+R577+R582+R587+R592+R597+R602+R607+R612+R617+R622</f>
        <v>536824955.34828264</v>
      </c>
      <c r="S633" s="9"/>
      <c r="T633" s="9">
        <f>T522+T527+T532+T542+T547+T552+T557+T562+T567+T572+T577+T582+T587+T592+T597+T602+T607+T612+T617+T622</f>
        <v>0</v>
      </c>
      <c r="U633" s="9">
        <f>U522+U527+U532+U542+U547+U552+U557+U562+U567+U572+U577+U582+U587+U592+U597+U602+U607+U612+U617+U622</f>
        <v>0</v>
      </c>
      <c r="V633" s="140"/>
      <c r="W633" s="9">
        <f>HLOOKUP($W$9,'ROR-Model'!$Q$10:$U$1263,Y633)</f>
        <v>0</v>
      </c>
      <c r="X633" s="156"/>
      <c r="Y633" s="918">
        <f t="shared" si="36"/>
        <v>624</v>
      </c>
      <c r="AA633" s="9">
        <v>0</v>
      </c>
      <c r="AC633" s="9" t="str">
        <f t="shared" si="37"/>
        <v/>
      </c>
      <c r="AE633" s="44" t="str">
        <f t="shared" si="38"/>
        <v/>
      </c>
    </row>
    <row r="634" spans="1:31">
      <c r="B634" s="52"/>
      <c r="C634" s="52"/>
      <c r="D634" s="49"/>
      <c r="E634" s="9"/>
      <c r="F634" s="9"/>
      <c r="G634" s="9"/>
      <c r="H634" s="9"/>
      <c r="I634" s="9"/>
      <c r="J634" s="9">
        <f>+I634-'ROR-Model'!I634</f>
        <v>0</v>
      </c>
      <c r="K634" s="9"/>
      <c r="L634" s="9"/>
      <c r="M634" s="9"/>
      <c r="N634" s="9"/>
      <c r="O634" s="136"/>
      <c r="P634" s="142"/>
      <c r="Q634" s="9"/>
      <c r="R634" s="9"/>
      <c r="S634" s="9"/>
      <c r="T634" s="9"/>
      <c r="U634" s="9"/>
      <c r="V634" s="140"/>
      <c r="W634" s="9"/>
      <c r="X634" s="156"/>
      <c r="Y634" s="918">
        <f t="shared" si="36"/>
        <v>625</v>
      </c>
      <c r="AA634" s="9"/>
      <c r="AC634" s="9" t="str">
        <f t="shared" si="37"/>
        <v/>
      </c>
      <c r="AE634" s="44" t="str">
        <f t="shared" si="38"/>
        <v/>
      </c>
    </row>
    <row r="635" spans="1:31">
      <c r="B635" s="52" t="s">
        <v>687</v>
      </c>
      <c r="C635" s="52"/>
      <c r="D635" s="49"/>
      <c r="E635" s="9"/>
      <c r="F635" s="9">
        <f>F523+F528+F533+F538+F543+F548+F553+F558+F563+F568+F573+F578+F583+F588+F593+F598+F603+F608+F618+F623+F613</f>
        <v>18575633.42171739</v>
      </c>
      <c r="G635" s="9">
        <f>G523+G528+G533+G538+G543+G548+G553+G558+G563+G568+G573+G578+G583+G588+G593+G598+G603+G608+G618+G623+G613</f>
        <v>0</v>
      </c>
      <c r="H635" s="9">
        <f>H523+H528+H533+H538+H543+H548+H553+H558+H563+H568+H573+H578+H583+H588+H593+H598+H603+H608+H618+H623+H613</f>
        <v>0</v>
      </c>
      <c r="I635" s="9">
        <f>I523+I528+I533+I538+I543+I548+I553+I558+I563+I568+I573+I578+I583+I588+I593+I598+I603+I608+I618+I623+I613</f>
        <v>18575633.42171739</v>
      </c>
      <c r="J635" s="9">
        <f>+I635-'ROR-Model'!I635</f>
        <v>0</v>
      </c>
      <c r="K635" s="9"/>
      <c r="L635" s="9"/>
      <c r="M635" s="9">
        <f>M523+M528+M533+M538+M543+M548+M553+M558+M563+M568+M573+M578+M583+M588+M593+M598+M603+M608+M618+M623+M613</f>
        <v>0</v>
      </c>
      <c r="N635" s="9">
        <f>N523+N528+N533+N538+N543+N548+N553+N558+N563+N568+N573+N578+N583+N588+N593+N598+N603+N608+N618+N623+N613</f>
        <v>18575633.42171739</v>
      </c>
      <c r="O635" s="136"/>
      <c r="P635" s="142"/>
      <c r="Q635" s="9">
        <f>Q523+Q528+Q533+Q538+Q543+Q548+Q553+Q558+Q563+Q568+Q573+Q578+Q583+Q588+Q593+Q598+Q603+Q608+Q618+Q623+Q613</f>
        <v>0</v>
      </c>
      <c r="R635" s="9">
        <f>R523+R528+R533+R538+R543+R548+R553+R558+R563+R568+R573+R578+R583+R588+R593+R598+R603+R608+R618+R623+R613</f>
        <v>0</v>
      </c>
      <c r="S635" s="9"/>
      <c r="T635" s="9">
        <f>T523+T528+T533+T538+T543+T548+T553+T558+T563+T568+T573+T578+T583+T588+T593+T598+T603+T608+T618+T623+T613</f>
        <v>0</v>
      </c>
      <c r="U635" s="9">
        <f>U523+U528+U533+U538+U543+U548+U553+U558+U563+U568+U573+U578+U583+U588+U593+U598+U603+U608+U618+U623+U613</f>
        <v>18575633.42171739</v>
      </c>
      <c r="V635" s="140"/>
      <c r="W635" s="9">
        <f>HLOOKUP($W$9,'ROR-Model'!$Q$10:$U$1263,Y635)</f>
        <v>0</v>
      </c>
      <c r="X635" s="156"/>
      <c r="Y635" s="918">
        <f t="shared" si="36"/>
        <v>626</v>
      </c>
      <c r="AA635" s="9">
        <v>0</v>
      </c>
      <c r="AC635" s="9" t="str">
        <f t="shared" si="37"/>
        <v/>
      </c>
      <c r="AE635" s="44" t="str">
        <f t="shared" si="38"/>
        <v/>
      </c>
    </row>
    <row r="636" spans="1:31">
      <c r="B636" s="52" t="s">
        <v>684</v>
      </c>
      <c r="C636" s="52"/>
      <c r="D636" s="49"/>
      <c r="E636" s="9"/>
      <c r="F636" s="9">
        <f>+(F201+F202+F230+F231+F501)-F633</f>
        <v>-360521.46434062719</v>
      </c>
      <c r="G636" s="9">
        <f>+(G201+G202+G230+G231+G501)-G633</f>
        <v>0</v>
      </c>
      <c r="H636" s="9">
        <f>+(H201+H202+H230+H231+H501)-H633</f>
        <v>0</v>
      </c>
      <c r="I636" s="9">
        <f>+(I201+I202+I230+I231+I501)-I633</f>
        <v>-360521.46434062719</v>
      </c>
      <c r="J636" s="9">
        <f>+I636-'ROR-Model'!I636</f>
        <v>0</v>
      </c>
      <c r="K636" s="9"/>
      <c r="L636" s="9"/>
      <c r="M636" s="9">
        <f>+(M201+M202+M230+M231+M501)-M633</f>
        <v>-360521.46434062719</v>
      </c>
      <c r="N636" s="9">
        <f>+(N201+N202+N230+N231+N501)-N633</f>
        <v>0</v>
      </c>
      <c r="O636" s="136"/>
      <c r="P636" s="142"/>
      <c r="Q636" s="9">
        <f>+(Q201+Q202+Q230+Q231+Q501)-Q633</f>
        <v>0</v>
      </c>
      <c r="R636" s="9">
        <f>+(R201+R202+R230+R231+R501)-R633</f>
        <v>-360521.46434062719</v>
      </c>
      <c r="S636" s="9"/>
      <c r="T636" s="9">
        <f>+(T201+T202+T230+T231+T501)-T633</f>
        <v>0</v>
      </c>
      <c r="U636" s="9">
        <f>+(U201+U202+U230+U231+U501)-U633</f>
        <v>0</v>
      </c>
      <c r="V636" s="140"/>
      <c r="W636" s="9">
        <f>HLOOKUP($W$9,'ROR-Model'!$Q$10:$U$1263,Y636)</f>
        <v>0</v>
      </c>
      <c r="X636" s="156"/>
      <c r="Y636" s="918">
        <f t="shared" si="36"/>
        <v>627</v>
      </c>
      <c r="AA636" s="9">
        <v>0</v>
      </c>
      <c r="AC636" s="9" t="str">
        <f t="shared" si="37"/>
        <v/>
      </c>
      <c r="AE636" s="44" t="str">
        <f t="shared" si="38"/>
        <v/>
      </c>
    </row>
    <row r="637" spans="1:31">
      <c r="B637" s="52" t="s">
        <v>685</v>
      </c>
      <c r="C637" s="52"/>
      <c r="D637" s="49"/>
      <c r="E637" s="9"/>
      <c r="F637" s="9">
        <f>+(F324+F326+F354+F505)-F635</f>
        <v>909617.26029350981</v>
      </c>
      <c r="G637" s="9">
        <f>+(G324+G326+G354+G505)-G635</f>
        <v>0</v>
      </c>
      <c r="H637" s="9">
        <f>+(H324+H326+H354+H505)-H635</f>
        <v>0</v>
      </c>
      <c r="I637" s="9">
        <f>+(I324+I326+I354+I505)-I635</f>
        <v>909617.26029350981</v>
      </c>
      <c r="J637" s="9">
        <f>+I637-'ROR-Model'!I637</f>
        <v>0</v>
      </c>
      <c r="K637" s="9"/>
      <c r="L637" s="9"/>
      <c r="M637" s="9">
        <f>+(M324+M326+M354+M505)-M635</f>
        <v>0</v>
      </c>
      <c r="N637" s="9">
        <f>+(N324+N326+N354+N505)-N635</f>
        <v>909617.26029350981</v>
      </c>
      <c r="O637" s="136"/>
      <c r="P637" s="142"/>
      <c r="Q637" s="9">
        <f>+(Q324+Q326+Q354+Q505)-Q635</f>
        <v>0</v>
      </c>
      <c r="R637" s="9">
        <f>+(R324+R326+R354+R505)-R635</f>
        <v>0</v>
      </c>
      <c r="S637" s="9"/>
      <c r="T637" s="9">
        <f>+(T324+T326+T354+T505)-T635</f>
        <v>0</v>
      </c>
      <c r="U637" s="9">
        <f>+(U324+U326+U354+U505)-U635</f>
        <v>909617.26029350981</v>
      </c>
      <c r="V637" s="140"/>
      <c r="W637" s="9">
        <f>HLOOKUP($W$9,'ROR-Model'!$Q$10:$U$1263,Y637)</f>
        <v>0</v>
      </c>
      <c r="X637" s="156"/>
      <c r="Y637" s="918">
        <f t="shared" si="36"/>
        <v>628</v>
      </c>
      <c r="AA637" s="9">
        <v>0</v>
      </c>
      <c r="AC637" s="9" t="str">
        <f t="shared" si="37"/>
        <v/>
      </c>
      <c r="AE637" s="44" t="str">
        <f t="shared" si="38"/>
        <v/>
      </c>
    </row>
    <row r="638" spans="1:31" ht="13.5" thickBot="1">
      <c r="A638" s="52"/>
      <c r="B638" s="52"/>
      <c r="C638" s="52"/>
      <c r="D638" s="49"/>
      <c r="E638" s="26"/>
      <c r="F638" s="26"/>
      <c r="G638" s="26"/>
      <c r="H638" s="26"/>
      <c r="I638" s="26"/>
      <c r="J638" s="9">
        <f>+I638-'ROR-Model'!I638</f>
        <v>0</v>
      </c>
      <c r="K638" s="9"/>
      <c r="L638" s="26"/>
      <c r="M638" s="26"/>
      <c r="N638" s="26"/>
      <c r="O638" s="136"/>
      <c r="P638" s="227"/>
      <c r="Q638" s="26"/>
      <c r="R638" s="26"/>
      <c r="S638" s="227"/>
      <c r="T638" s="26"/>
      <c r="U638" s="26"/>
      <c r="V638" s="140"/>
      <c r="W638" s="26"/>
      <c r="X638" s="156"/>
      <c r="Y638" s="918">
        <f t="shared" si="36"/>
        <v>629</v>
      </c>
      <c r="AA638" s="26"/>
      <c r="AC638" s="26" t="str">
        <f t="shared" si="37"/>
        <v/>
      </c>
      <c r="AE638" s="44" t="str">
        <f t="shared" si="38"/>
        <v/>
      </c>
    </row>
    <row r="639" spans="1:31" ht="13.5" thickTop="1">
      <c r="A639" s="52"/>
      <c r="B639" s="52"/>
      <c r="C639" s="52"/>
      <c r="D639" s="49"/>
      <c r="E639" s="9"/>
      <c r="F639" s="9"/>
      <c r="G639" s="9"/>
      <c r="H639" s="9"/>
      <c r="I639" s="9"/>
      <c r="J639" s="9">
        <f>+I639-'ROR-Model'!I639</f>
        <v>0</v>
      </c>
      <c r="K639" s="9"/>
      <c r="L639" s="9"/>
      <c r="M639" s="9"/>
      <c r="N639" s="9"/>
      <c r="O639" s="136"/>
      <c r="P639" s="142"/>
      <c r="Q639" s="9"/>
      <c r="R639" s="9"/>
      <c r="S639" s="142"/>
      <c r="T639" s="9"/>
      <c r="U639" s="9"/>
      <c r="V639" s="140"/>
      <c r="W639" s="9"/>
      <c r="X639" s="156"/>
      <c r="Y639" s="918">
        <f t="shared" si="36"/>
        <v>630</v>
      </c>
      <c r="AA639" s="9"/>
      <c r="AC639" s="9" t="str">
        <f t="shared" si="37"/>
        <v/>
      </c>
      <c r="AE639" s="44" t="str">
        <f t="shared" si="38"/>
        <v/>
      </c>
    </row>
    <row r="640" spans="1:31">
      <c r="A640" s="197" t="s">
        <v>550</v>
      </c>
      <c r="B640" s="52"/>
      <c r="C640" s="52"/>
      <c r="D640" s="49"/>
      <c r="E640" s="9"/>
      <c r="F640" s="9">
        <f>SUM(F632:F638)</f>
        <v>555949684.56595278</v>
      </c>
      <c r="G640" s="9">
        <f>G524+G529+G534+G539+G544+G549+G554+G559+G564+G569+G574+G579+G584+G589+G594+G599+G604+G609+G614+G619+G624+G636+G637</f>
        <v>0</v>
      </c>
      <c r="H640" s="9">
        <f>H524+H529+H534+H539+H544+H549+H554+H559+H564+H569+H574+H579+H584+H589+H594+H599+H604+H609+H614+H619+H624+H636+H637</f>
        <v>0</v>
      </c>
      <c r="I640" s="9">
        <f>I524+I529+I534+I539+I544+I549+I554+I559+I564+I569+I574+I579+I584+I589+I594+I599+I604+I609+I614+I619+I624+I636+I637</f>
        <v>555949684.56595278</v>
      </c>
      <c r="J640" s="9">
        <f>+I640-'ROR-Model'!I640</f>
        <v>0</v>
      </c>
      <c r="K640" s="9"/>
      <c r="L640" s="9"/>
      <c r="M640" s="9">
        <f>M524+M529+M534+M539+M544+M549+M554+M559+M564+M569+M574+M579+M584+M589+M594+M599+M604+M609+M614+M619+M624+M636+M637</f>
        <v>536464433.88394201</v>
      </c>
      <c r="N640" s="9">
        <f>N524+N529+N534+N539+N544+N549+N554+N559+N564+N569+N574+N579+N584+N589+N594+N599+N604+N609+N614+N619+N624+N636+N637</f>
        <v>19485250.6820109</v>
      </c>
      <c r="O640" s="136"/>
      <c r="P640" s="142"/>
      <c r="Q640" s="9">
        <f>Q524+Q529+Q534+Q539+Q544+Q549+Q554+Q559+Q564+Q569+Q574+Q579+Q584+Q589+Q594+Q599+Q604+Q609+Q614+Q619+Q624+Q636+Q637</f>
        <v>0</v>
      </c>
      <c r="R640" s="9">
        <f>R524+R529+R534+R539+R544+R549+R554+R559+R564+R569+R574+R579+R584+R589+R594+R599+R604+R609+R614+R619+R624+R636+R637</f>
        <v>536464433.88394201</v>
      </c>
      <c r="S640" s="142"/>
      <c r="T640" s="9">
        <f>T524+T529+T534+T539+T544+T549+T554+T559+T564+T569+T574+T579+T584+T589+T594+T599+T604+T609+T614+T619+T624+T636+T637</f>
        <v>0</v>
      </c>
      <c r="U640" s="9">
        <f>U524+U529+U534+U539+U544+U549+U554+U559+U564+U569+U574+U579+U584+U589+U594+U599+U604+U609+U614+U619+U624+U636+U637</f>
        <v>19485250.6820109</v>
      </c>
      <c r="V640" s="140"/>
      <c r="W640" s="9">
        <f>HLOOKUP($W$9,'ROR-Model'!$Q$10:$U$1263,Y640)</f>
        <v>0</v>
      </c>
      <c r="X640" s="156"/>
      <c r="Y640" s="918">
        <f t="shared" si="36"/>
        <v>631</v>
      </c>
      <c r="AA640" s="9">
        <v>0</v>
      </c>
      <c r="AC640" s="9" t="str">
        <f t="shared" si="37"/>
        <v/>
      </c>
      <c r="AE640" s="44" t="str">
        <f t="shared" si="38"/>
        <v/>
      </c>
    </row>
    <row r="641" spans="1:31">
      <c r="A641" s="153"/>
      <c r="B641" s="49"/>
      <c r="C641" s="49"/>
      <c r="D641" s="49"/>
      <c r="E641" s="9"/>
      <c r="F641" s="9">
        <f>+F524+F529+F534+F539+F544+F549+F554+F559+F564+F569+F574+F579+F584+F589+F594+F599+F604+F609+F614+F619+F624+F629</f>
        <v>555400588.76999998</v>
      </c>
      <c r="G641" s="9"/>
      <c r="H641" s="9"/>
      <c r="I641" s="9"/>
      <c r="J641" s="9">
        <f>+I641-'ROR-Model'!I641</f>
        <v>0</v>
      </c>
      <c r="K641" s="9"/>
      <c r="L641" s="9"/>
      <c r="M641" s="9"/>
      <c r="N641" s="9"/>
      <c r="O641" s="136"/>
      <c r="P641" s="142"/>
      <c r="Q641" s="9"/>
      <c r="R641" s="9"/>
      <c r="S641" s="142"/>
      <c r="T641" s="9"/>
      <c r="U641" s="9"/>
      <c r="V641" s="140"/>
      <c r="W641" s="9"/>
      <c r="X641" s="156"/>
      <c r="Y641" s="918">
        <f t="shared" si="36"/>
        <v>632</v>
      </c>
      <c r="AA641" s="9"/>
      <c r="AC641" s="9" t="str">
        <f t="shared" si="37"/>
        <v/>
      </c>
      <c r="AE641" s="44" t="str">
        <f t="shared" si="38"/>
        <v/>
      </c>
    </row>
    <row r="642" spans="1:31">
      <c r="A642" s="153"/>
      <c r="B642" s="49"/>
      <c r="C642" s="49"/>
      <c r="D642" s="49"/>
      <c r="E642" s="9"/>
      <c r="F642" s="9"/>
      <c r="G642" s="9"/>
      <c r="H642" s="9"/>
      <c r="I642" s="9"/>
      <c r="J642" s="9">
        <f>+I642-'ROR-Model'!I642</f>
        <v>0</v>
      </c>
      <c r="K642" s="9"/>
      <c r="L642" s="9"/>
      <c r="M642" s="9"/>
      <c r="N642" s="9"/>
      <c r="O642" s="136"/>
      <c r="P642" s="142"/>
      <c r="Q642" s="9"/>
      <c r="R642" s="9"/>
      <c r="S642" s="142"/>
      <c r="T642" s="9"/>
      <c r="U642" s="9"/>
      <c r="V642" s="140"/>
      <c r="W642" s="9"/>
      <c r="X642" s="156"/>
      <c r="Y642" s="918">
        <f t="shared" si="36"/>
        <v>633</v>
      </c>
      <c r="AA642" s="9"/>
      <c r="AC642" s="9" t="str">
        <f t="shared" si="37"/>
        <v/>
      </c>
      <c r="AE642" s="44" t="str">
        <f t="shared" si="38"/>
        <v/>
      </c>
    </row>
    <row r="643" spans="1:31">
      <c r="A643" s="130" t="s">
        <v>353</v>
      </c>
      <c r="B643" s="49"/>
      <c r="C643" s="49"/>
      <c r="D643" s="49"/>
      <c r="E643" s="9"/>
      <c r="F643" s="9"/>
      <c r="G643" s="9"/>
      <c r="H643" s="9"/>
      <c r="I643" s="9"/>
      <c r="J643" s="9">
        <f>+I643-'ROR-Model'!I643</f>
        <v>0</v>
      </c>
      <c r="K643" s="9"/>
      <c r="L643" s="9"/>
      <c r="M643" s="9"/>
      <c r="N643" s="9"/>
      <c r="O643" s="136"/>
      <c r="P643" s="142"/>
      <c r="Q643" s="9"/>
      <c r="R643" s="9"/>
      <c r="S643" s="142"/>
      <c r="T643" s="9"/>
      <c r="U643" s="9"/>
      <c r="V643" s="140"/>
      <c r="W643" s="9"/>
      <c r="X643" s="156"/>
      <c r="Y643" s="918">
        <f t="shared" si="36"/>
        <v>634</v>
      </c>
      <c r="AA643" s="9"/>
      <c r="AC643" s="9" t="str">
        <f t="shared" si="37"/>
        <v/>
      </c>
      <c r="AE643" s="44" t="str">
        <f t="shared" si="38"/>
        <v/>
      </c>
    </row>
    <row r="644" spans="1:31">
      <c r="A644" s="153"/>
      <c r="B644" s="49"/>
      <c r="C644" s="49"/>
      <c r="D644" s="49"/>
      <c r="E644" s="9"/>
      <c r="F644" s="9"/>
      <c r="G644" s="9"/>
      <c r="H644" s="9"/>
      <c r="I644" s="9"/>
      <c r="J644" s="9">
        <f>+I644-'ROR-Model'!I644</f>
        <v>0</v>
      </c>
      <c r="K644" s="9"/>
      <c r="L644" s="9"/>
      <c r="M644" s="9"/>
      <c r="N644" s="9"/>
      <c r="O644" s="136"/>
      <c r="P644" s="142"/>
      <c r="Q644" s="9"/>
      <c r="R644" s="9"/>
      <c r="S644" s="142"/>
      <c r="T644" s="9"/>
      <c r="U644" s="9"/>
      <c r="V644" s="140"/>
      <c r="W644" s="9"/>
      <c r="X644" s="156"/>
      <c r="Y644" s="918">
        <f t="shared" si="36"/>
        <v>635</v>
      </c>
      <c r="AA644" s="9"/>
      <c r="AC644" s="9" t="str">
        <f t="shared" si="37"/>
        <v/>
      </c>
      <c r="AE644" s="44" t="str">
        <f t="shared" si="38"/>
        <v/>
      </c>
    </row>
    <row r="645" spans="1:31">
      <c r="A645" s="130" t="s">
        <v>354</v>
      </c>
      <c r="B645" s="49"/>
      <c r="C645" s="49"/>
      <c r="D645" s="49"/>
      <c r="E645" s="9"/>
      <c r="F645" s="9"/>
      <c r="G645" s="9"/>
      <c r="H645" s="9"/>
      <c r="I645" s="9"/>
      <c r="J645" s="9">
        <f>+I645-'ROR-Model'!I645</f>
        <v>0</v>
      </c>
      <c r="K645" s="9"/>
      <c r="L645" s="9"/>
      <c r="M645" s="9"/>
      <c r="N645" s="9"/>
      <c r="O645" s="136"/>
      <c r="P645" s="142"/>
      <c r="Q645" s="9"/>
      <c r="R645" s="9"/>
      <c r="S645" s="142"/>
      <c r="T645" s="9"/>
      <c r="U645" s="9"/>
      <c r="V645" s="140"/>
      <c r="W645" s="9"/>
      <c r="X645" s="156"/>
      <c r="Y645" s="918">
        <f t="shared" si="36"/>
        <v>636</v>
      </c>
      <c r="AA645" s="9"/>
      <c r="AC645" s="9" t="str">
        <f t="shared" si="37"/>
        <v/>
      </c>
      <c r="AE645" s="44" t="str">
        <f t="shared" si="38"/>
        <v/>
      </c>
    </row>
    <row r="646" spans="1:31">
      <c r="A646" s="153"/>
      <c r="B646" s="49"/>
      <c r="C646" s="49"/>
      <c r="D646" s="49"/>
      <c r="E646" s="9"/>
      <c r="F646" s="9"/>
      <c r="G646" s="9"/>
      <c r="H646" s="9"/>
      <c r="I646" s="9"/>
      <c r="J646" s="9">
        <f>+I646-'ROR-Model'!I646</f>
        <v>0</v>
      </c>
      <c r="K646" s="9"/>
      <c r="L646" s="9"/>
      <c r="M646" s="9"/>
      <c r="N646" s="9"/>
      <c r="O646" s="136"/>
      <c r="P646" s="142"/>
      <c r="Q646" s="9"/>
      <c r="R646" s="9"/>
      <c r="S646" s="142"/>
      <c r="T646" s="9"/>
      <c r="U646" s="9"/>
      <c r="V646" s="140"/>
      <c r="W646" s="9"/>
      <c r="X646" s="156"/>
      <c r="Y646" s="918">
        <f t="shared" si="36"/>
        <v>637</v>
      </c>
      <c r="AA646" s="9"/>
      <c r="AC646" s="9" t="str">
        <f t="shared" si="37"/>
        <v/>
      </c>
      <c r="AE646" s="44" t="str">
        <f t="shared" si="38"/>
        <v/>
      </c>
    </row>
    <row r="647" spans="1:31">
      <c r="A647" s="154">
        <v>810</v>
      </c>
      <c r="B647" s="49" t="s">
        <v>355</v>
      </c>
      <c r="C647" s="49"/>
      <c r="D647" s="49"/>
      <c r="E647" s="9">
        <f>+G647-Adjustments!G647</f>
        <v>0</v>
      </c>
      <c r="F647" s="9">
        <f>EXPENSES!F138</f>
        <v>-14233</v>
      </c>
      <c r="G647" s="9">
        <f>+Adjustments!U646</f>
        <v>0</v>
      </c>
      <c r="H647" s="9"/>
      <c r="I647" s="9">
        <f>SUM($F$647:$H$647)</f>
        <v>-14233</v>
      </c>
      <c r="J647" s="9">
        <f>+I647-'ROR-Model'!I647</f>
        <v>0</v>
      </c>
      <c r="K647" s="9"/>
      <c r="L647" s="9" t="s">
        <v>679</v>
      </c>
      <c r="M647" s="9">
        <f>VLOOKUP($L647,$L$2:$N$7,2,FALSE)*I647</f>
        <v>-13731.992378495621</v>
      </c>
      <c r="N647" s="9">
        <f>VLOOKUP($L647,$L$2:$N$7,3,FALSE)*I647</f>
        <v>-501.00762150437691</v>
      </c>
      <c r="O647" s="136"/>
      <c r="P647" s="216" t="s">
        <v>549</v>
      </c>
      <c r="Q647" s="9">
        <f>IF(P647="G",M647,IF(P647="PT",0,ERR))</f>
        <v>-13731.992378495621</v>
      </c>
      <c r="R647" s="9">
        <f>IF(P647="PT",M647,IF(P647="G",0,ERR))</f>
        <v>0</v>
      </c>
      <c r="S647" s="142" t="s">
        <v>549</v>
      </c>
      <c r="T647" s="9">
        <f>IF(S647="G",N647,IF(S647="PT",0,ERR))</f>
        <v>-501.00762150437691</v>
      </c>
      <c r="U647" s="9">
        <f>IF(S647="PT",N647,IF(S647="G",0,ERR))</f>
        <v>0</v>
      </c>
      <c r="V647" s="140"/>
      <c r="W647" s="9">
        <f>HLOOKUP($W$9,'ROR-Model'!$Q$10:$U$1263,Y647)</f>
        <v>-13731.992378495621</v>
      </c>
      <c r="X647" s="156"/>
      <c r="Y647" s="918">
        <f t="shared" si="36"/>
        <v>638</v>
      </c>
      <c r="AA647" s="9">
        <v>-718.86397275283014</v>
      </c>
      <c r="AC647" s="9">
        <f t="shared" si="37"/>
        <v>-13013.128405742791</v>
      </c>
      <c r="AE647" s="44">
        <f t="shared" si="38"/>
        <v>18.102351625593492</v>
      </c>
    </row>
    <row r="648" spans="1:31">
      <c r="A648" s="154">
        <v>812</v>
      </c>
      <c r="B648" s="49" t="s">
        <v>357</v>
      </c>
      <c r="C648" s="49"/>
      <c r="D648" s="49"/>
      <c r="E648" s="9">
        <f>+G648-Adjustments!G648</f>
        <v>0</v>
      </c>
      <c r="F648" s="9">
        <f>EXPENSES!F139</f>
        <v>-893091.92999999993</v>
      </c>
      <c r="G648" s="9">
        <f>+Adjustments!U647</f>
        <v>0</v>
      </c>
      <c r="H648" s="9"/>
      <c r="I648" s="9">
        <f>SUM($F$648:$H$648)</f>
        <v>-893091.92999999993</v>
      </c>
      <c r="J648" s="9">
        <f>+I648-'ROR-Model'!I648</f>
        <v>0</v>
      </c>
      <c r="K648" s="9"/>
      <c r="L648" s="9" t="s">
        <v>679</v>
      </c>
      <c r="M648" s="9">
        <f>VLOOKUP($L648,$L$2:$N$7,2,FALSE)*I648</f>
        <v>-861654.71622679301</v>
      </c>
      <c r="N648" s="9">
        <f>VLOOKUP($L648,$L$2:$N$7,3,FALSE)*I648</f>
        <v>-31437.213773206877</v>
      </c>
      <c r="O648" s="136"/>
      <c r="P648" s="216" t="s">
        <v>549</v>
      </c>
      <c r="Q648" s="9">
        <f>IF(P648="G",M648,IF(P648="PT",0,ERR))</f>
        <v>-861654.71622679301</v>
      </c>
      <c r="R648" s="9">
        <f>IF(P648="PT",M648,IF(P648="G",0,ERR))</f>
        <v>0</v>
      </c>
      <c r="S648" s="142" t="s">
        <v>549</v>
      </c>
      <c r="T648" s="9">
        <f>IF(S648="G",N648,IF(S648="PT",0,ERR))</f>
        <v>-31437.213773206877</v>
      </c>
      <c r="U648" s="9">
        <f>IF(S648="PT",N648,IF(S648="G",0,ERR))</f>
        <v>0</v>
      </c>
      <c r="V648" s="140"/>
      <c r="W648" s="9">
        <f>HLOOKUP($W$9,'ROR-Model'!$Q$10:$U$1263,Y648)</f>
        <v>-861654.71622679301</v>
      </c>
      <c r="X648" s="156"/>
      <c r="Y648" s="918">
        <f t="shared" si="36"/>
        <v>639</v>
      </c>
      <c r="AA648" s="9">
        <v>-17324.560263691765</v>
      </c>
      <c r="AC648" s="9">
        <f t="shared" si="37"/>
        <v>-844330.15596310119</v>
      </c>
      <c r="AE648" s="44">
        <f t="shared" si="38"/>
        <v>48.736022335448254</v>
      </c>
    </row>
    <row r="649" spans="1:31">
      <c r="A649" s="153"/>
      <c r="B649" s="49"/>
      <c r="C649" s="49"/>
      <c r="D649" s="49"/>
      <c r="E649" s="9">
        <f>+G649-Adjustments!G649</f>
        <v>0</v>
      </c>
      <c r="F649" s="9"/>
      <c r="G649" s="9"/>
      <c r="H649" s="9"/>
      <c r="I649" s="9"/>
      <c r="J649" s="9">
        <f>+I649-'ROR-Model'!I649</f>
        <v>0</v>
      </c>
      <c r="K649" s="9"/>
      <c r="L649" s="9"/>
      <c r="M649" s="9"/>
      <c r="N649" s="9"/>
      <c r="O649" s="136"/>
      <c r="P649" s="142"/>
      <c r="Q649" s="9"/>
      <c r="R649" s="9"/>
      <c r="S649" s="142"/>
      <c r="T649" s="9"/>
      <c r="U649" s="9"/>
      <c r="V649" s="140"/>
      <c r="W649" s="9">
        <f>HLOOKUP($W$9,'ROR-Model'!$Q$10:$U$1263,Y649)</f>
        <v>0</v>
      </c>
      <c r="X649" s="216"/>
      <c r="Y649" s="918">
        <f t="shared" si="36"/>
        <v>640</v>
      </c>
      <c r="AA649" s="9">
        <v>0</v>
      </c>
      <c r="AC649" s="9" t="str">
        <f t="shared" si="37"/>
        <v/>
      </c>
      <c r="AE649" s="44" t="str">
        <f t="shared" si="38"/>
        <v/>
      </c>
    </row>
    <row r="650" spans="1:31">
      <c r="A650" s="153"/>
      <c r="B650" s="158" t="s">
        <v>358</v>
      </c>
      <c r="C650" s="49"/>
      <c r="D650" s="49"/>
      <c r="E650" s="9">
        <f>+G650-Adjustments!G650</f>
        <v>0</v>
      </c>
      <c r="F650" s="9">
        <f>SUM(F647:F648)</f>
        <v>-907324.92999999993</v>
      </c>
      <c r="G650" s="9">
        <f>SUM(G647:G648)</f>
        <v>0</v>
      </c>
      <c r="H650" s="9">
        <f>SUM(H647:H648)</f>
        <v>0</v>
      </c>
      <c r="I650" s="9">
        <f>SUM(I647:I648)</f>
        <v>-907324.92999999993</v>
      </c>
      <c r="J650" s="9">
        <f>+I650-'ROR-Model'!I650</f>
        <v>0</v>
      </c>
      <c r="K650" s="9"/>
      <c r="L650" s="9"/>
      <c r="M650" s="9">
        <f>SUM(M647:M648)</f>
        <v>-875386.70860528864</v>
      </c>
      <c r="N650" s="9">
        <f>SUM(N647:N648)</f>
        <v>-31938.221394711254</v>
      </c>
      <c r="O650" s="136"/>
      <c r="P650" s="142"/>
      <c r="Q650" s="9">
        <f>SUM(Q647:Q648)</f>
        <v>-875386.70860528864</v>
      </c>
      <c r="R650" s="9">
        <f>SUM(R647:R648)</f>
        <v>0</v>
      </c>
      <c r="S650" s="142"/>
      <c r="T650" s="9">
        <f>SUM(T647:T648)</f>
        <v>-31938.221394711254</v>
      </c>
      <c r="U650" s="9">
        <f>SUM(U647:U648)</f>
        <v>0</v>
      </c>
      <c r="V650" s="140"/>
      <c r="W650" s="9">
        <f>HLOOKUP($W$9,'ROR-Model'!$Q$10:$U$1263,Y650)</f>
        <v>-875386.70860528864</v>
      </c>
      <c r="X650" s="156"/>
      <c r="Y650" s="918">
        <f t="shared" si="36"/>
        <v>641</v>
      </c>
      <c r="AA650" s="9">
        <v>-18043.424236444596</v>
      </c>
      <c r="AC650" s="9">
        <f t="shared" si="37"/>
        <v>-857343.284368844</v>
      </c>
      <c r="AE650" s="44">
        <f t="shared" si="38"/>
        <v>47.515553208418105</v>
      </c>
    </row>
    <row r="651" spans="1:31">
      <c r="A651" s="153"/>
      <c r="B651" s="49"/>
      <c r="C651" s="49"/>
      <c r="D651" s="49"/>
      <c r="E651" s="9">
        <f>+G651-Adjustments!G651</f>
        <v>0</v>
      </c>
      <c r="F651" s="9"/>
      <c r="G651" s="9"/>
      <c r="H651" s="9"/>
      <c r="I651" s="9"/>
      <c r="J651" s="9">
        <f>+I651-'ROR-Model'!I651</f>
        <v>0</v>
      </c>
      <c r="K651" s="9"/>
      <c r="L651" s="9"/>
      <c r="M651" s="9"/>
      <c r="N651" s="9"/>
      <c r="O651" s="136"/>
      <c r="P651" s="142"/>
      <c r="Q651" s="9"/>
      <c r="R651" s="9"/>
      <c r="S651" s="142"/>
      <c r="T651" s="9"/>
      <c r="U651" s="9"/>
      <c r="V651" s="140"/>
      <c r="W651" s="9"/>
      <c r="X651" s="156"/>
      <c r="Y651" s="918">
        <f t="shared" si="36"/>
        <v>642</v>
      </c>
      <c r="AA651" s="9"/>
      <c r="AC651" s="9" t="str">
        <f t="shared" si="37"/>
        <v/>
      </c>
      <c r="AE651" s="44" t="str">
        <f t="shared" si="38"/>
        <v/>
      </c>
    </row>
    <row r="652" spans="1:31">
      <c r="A652" s="130" t="s">
        <v>359</v>
      </c>
      <c r="B652" s="49"/>
      <c r="C652" s="49"/>
      <c r="D652" s="49"/>
      <c r="E652" s="9">
        <f>+G652-Adjustments!G652</f>
        <v>0</v>
      </c>
      <c r="F652" s="9"/>
      <c r="G652" s="9"/>
      <c r="H652" s="9"/>
      <c r="I652" s="9"/>
      <c r="J652" s="9">
        <f>+I652-'ROR-Model'!I652</f>
        <v>0</v>
      </c>
      <c r="K652" s="9"/>
      <c r="L652" s="9"/>
      <c r="M652" s="9"/>
      <c r="N652" s="9"/>
      <c r="O652" s="136"/>
      <c r="P652" s="142"/>
      <c r="Q652" s="9"/>
      <c r="R652" s="9"/>
      <c r="S652" s="142"/>
      <c r="T652" s="9"/>
      <c r="U652" s="9"/>
      <c r="V652" s="140"/>
      <c r="W652" s="9"/>
      <c r="X652" s="156"/>
      <c r="Y652" s="918">
        <f t="shared" si="36"/>
        <v>643</v>
      </c>
      <c r="AA652" s="9"/>
      <c r="AC652" s="9" t="str">
        <f t="shared" si="37"/>
        <v/>
      </c>
      <c r="AE652" s="44" t="str">
        <f t="shared" si="38"/>
        <v/>
      </c>
    </row>
    <row r="653" spans="1:31">
      <c r="A653" s="153"/>
      <c r="B653" s="49" t="s">
        <v>825</v>
      </c>
      <c r="C653" s="49"/>
      <c r="D653" s="49"/>
      <c r="E653" s="9">
        <f>+G653-Adjustments!G653</f>
        <v>0</v>
      </c>
      <c r="F653" s="9"/>
      <c r="G653" s="9"/>
      <c r="H653" s="9"/>
      <c r="I653" s="9"/>
      <c r="J653" s="9">
        <f>+I653-'ROR-Model'!I653</f>
        <v>0</v>
      </c>
      <c r="K653" s="9"/>
      <c r="L653" s="9"/>
      <c r="M653" s="9"/>
      <c r="N653" s="9"/>
      <c r="O653" s="136"/>
      <c r="P653" s="142"/>
      <c r="Q653" s="9"/>
      <c r="R653" s="9"/>
      <c r="S653" s="142"/>
      <c r="T653" s="9"/>
      <c r="U653" s="9"/>
      <c r="V653" s="140"/>
      <c r="W653" s="9"/>
      <c r="X653" s="156"/>
      <c r="Y653" s="918">
        <f t="shared" si="36"/>
        <v>644</v>
      </c>
      <c r="AA653" s="9"/>
      <c r="AC653" s="9" t="str">
        <f t="shared" si="37"/>
        <v/>
      </c>
      <c r="AE653" s="44" t="str">
        <f t="shared" si="38"/>
        <v/>
      </c>
    </row>
    <row r="654" spans="1:31">
      <c r="A654" s="154">
        <v>870</v>
      </c>
      <c r="B654" s="49" t="s">
        <v>360</v>
      </c>
      <c r="C654" s="49"/>
      <c r="D654" s="49"/>
      <c r="E654" s="9">
        <f>+G654-Adjustments!G654</f>
        <v>0</v>
      </c>
      <c r="F654" s="9"/>
      <c r="G654" s="9"/>
      <c r="H654" s="9"/>
      <c r="I654" s="9"/>
      <c r="J654" s="9">
        <f>+I654-'ROR-Model'!I654</f>
        <v>0</v>
      </c>
      <c r="K654" s="9"/>
      <c r="L654" s="9"/>
      <c r="M654" s="9"/>
      <c r="N654" s="9"/>
      <c r="O654" s="136"/>
      <c r="P654" s="142"/>
      <c r="Q654" s="9"/>
      <c r="R654" s="9"/>
      <c r="S654" s="142"/>
      <c r="T654" s="9"/>
      <c r="U654" s="9"/>
      <c r="V654" s="140"/>
      <c r="W654" s="9"/>
      <c r="X654" s="156"/>
      <c r="Y654" s="918">
        <f t="shared" ref="Y654:Y717" si="39">Y653+1</f>
        <v>645</v>
      </c>
      <c r="AA654" s="9"/>
      <c r="AC654" s="9" t="str">
        <f t="shared" si="37"/>
        <v/>
      </c>
      <c r="AE654" s="44" t="str">
        <f t="shared" si="38"/>
        <v/>
      </c>
    </row>
    <row r="655" spans="1:31">
      <c r="A655" s="154"/>
      <c r="B655" s="49"/>
      <c r="C655" s="49" t="s">
        <v>13</v>
      </c>
      <c r="D655" s="49"/>
      <c r="E655" s="9">
        <f>+G655-Adjustments!G655</f>
        <v>0</v>
      </c>
      <c r="F655" s="9">
        <f>EXPENSES!F146</f>
        <v>11130355.119999999</v>
      </c>
      <c r="G655" s="9">
        <f>+Adjustments!U654</f>
        <v>0</v>
      </c>
      <c r="H655" s="9"/>
      <c r="I655" s="9">
        <f>SUM($F$655:$H$655)</f>
        <v>11130355.119999999</v>
      </c>
      <c r="J655" s="9">
        <f>+I655-'ROR-Model'!I655</f>
        <v>0</v>
      </c>
      <c r="K655" s="9"/>
      <c r="L655" s="9" t="s">
        <v>13</v>
      </c>
      <c r="M655" s="9">
        <f>VLOOKUP($L655,$L$2:$N$7,2,FALSE)*I655</f>
        <v>11130355.119999999</v>
      </c>
      <c r="N655" s="9">
        <f>VLOOKUP($L655,$L$2:$N$7,3,FALSE)*I655</f>
        <v>0</v>
      </c>
      <c r="O655" s="136"/>
      <c r="P655" s="216" t="s">
        <v>549</v>
      </c>
      <c r="Q655" s="9">
        <f>IF(P655="G",M655,IF(P655="PT",0,ERR))</f>
        <v>11130355.119999999</v>
      </c>
      <c r="R655" s="9">
        <f>IF(P655="PT",M655,IF(P655="G",0,ERR))</f>
        <v>0</v>
      </c>
      <c r="S655" s="142" t="s">
        <v>549</v>
      </c>
      <c r="T655" s="9">
        <f>IF(S655="G",N655,IF(S655="PT",0,ERR))</f>
        <v>0</v>
      </c>
      <c r="U655" s="9">
        <f>IF(S655="PT",N655,IF(S655="G",0,ERR))</f>
        <v>0</v>
      </c>
      <c r="V655" s="140"/>
      <c r="W655" s="9">
        <f>HLOOKUP($W$9,'ROR-Model'!$Q$10:$U$1263,Y655)</f>
        <v>11130355.119999999</v>
      </c>
      <c r="X655" s="156"/>
      <c r="Y655" s="918">
        <f t="shared" si="39"/>
        <v>646</v>
      </c>
      <c r="AA655" s="9">
        <v>0</v>
      </c>
      <c r="AC655" s="9" t="str">
        <f t="shared" si="37"/>
        <v/>
      </c>
      <c r="AE655" s="44" t="str">
        <f t="shared" si="38"/>
        <v/>
      </c>
    </row>
    <row r="656" spans="1:31">
      <c r="A656" s="154"/>
      <c r="B656" s="49"/>
      <c r="C656" s="49" t="s">
        <v>24</v>
      </c>
      <c r="D656" s="49"/>
      <c r="E656" s="9">
        <f>+G656-Adjustments!G656</f>
        <v>0</v>
      </c>
      <c r="F656" s="9">
        <f>EXPENSES!F147</f>
        <v>643277.56000000017</v>
      </c>
      <c r="G656" s="9">
        <f>+Adjustments!U655</f>
        <v>0</v>
      </c>
      <c r="H656" s="9"/>
      <c r="I656" s="9">
        <f>SUM($F$656:$H$656)</f>
        <v>643277.56000000017</v>
      </c>
      <c r="J656" s="9">
        <f>+I656-'ROR-Model'!I656</f>
        <v>0</v>
      </c>
      <c r="K656" s="9"/>
      <c r="L656" s="9" t="s">
        <v>24</v>
      </c>
      <c r="M656" s="9">
        <f>VLOOKUP($L656,$L$2:$N$7,2,FALSE)*I656</f>
        <v>0</v>
      </c>
      <c r="N656" s="9">
        <f>VLOOKUP($L656,$L$2:$N$7,3,FALSE)*I656</f>
        <v>643277.56000000017</v>
      </c>
      <c r="O656" s="136"/>
      <c r="P656" s="216" t="s">
        <v>549</v>
      </c>
      <c r="Q656" s="9">
        <f>IF(P656="G",M656,IF(P656="PT",0,ERR))</f>
        <v>0</v>
      </c>
      <c r="R656" s="9">
        <f>IF(P656="PT",M656,IF(P656="G",0,ERR))</f>
        <v>0</v>
      </c>
      <c r="S656" s="142" t="s">
        <v>549</v>
      </c>
      <c r="T656" s="9">
        <f>IF(S656="G",N656,IF(S656="PT",0,ERR))</f>
        <v>643277.56000000017</v>
      </c>
      <c r="U656" s="9">
        <f>IF(S656="PT",N656,IF(S656="G",0,ERR))</f>
        <v>0</v>
      </c>
      <c r="V656" s="140"/>
      <c r="W656" s="9">
        <f>HLOOKUP($W$9,'ROR-Model'!$Q$10:$U$1263,Y656)</f>
        <v>0</v>
      </c>
      <c r="X656" s="156"/>
      <c r="Y656" s="918">
        <f t="shared" si="39"/>
        <v>647</v>
      </c>
      <c r="AA656" s="9">
        <v>525996.07000000007</v>
      </c>
      <c r="AC656" s="9">
        <f t="shared" si="37"/>
        <v>-525996.07000000007</v>
      </c>
      <c r="AE656" s="44">
        <f t="shared" si="38"/>
        <v>-1</v>
      </c>
    </row>
    <row r="657" spans="1:31">
      <c r="A657" s="154"/>
      <c r="B657" s="49"/>
      <c r="C657" s="49" t="s">
        <v>160</v>
      </c>
      <c r="D657" s="49"/>
      <c r="E657" s="157">
        <f>+G657-Adjustments!G657</f>
        <v>0</v>
      </c>
      <c r="F657" s="157">
        <f>SUM(F655:F656)</f>
        <v>11773632.68</v>
      </c>
      <c r="G657" s="157">
        <f>SUM(G655:G656)</f>
        <v>0</v>
      </c>
      <c r="H657" s="157">
        <f>SUM(H655:H656)</f>
        <v>0</v>
      </c>
      <c r="I657" s="157">
        <f>SUM(I655:I656)</f>
        <v>11773632.68</v>
      </c>
      <c r="J657" s="9">
        <f>+I657-'ROR-Model'!I657</f>
        <v>0</v>
      </c>
      <c r="K657" s="9"/>
      <c r="L657" s="157"/>
      <c r="M657" s="157">
        <f>SUM(M655:M656)</f>
        <v>11130355.119999999</v>
      </c>
      <c r="N657" s="157">
        <f>SUM(N655:N656)</f>
        <v>643277.56000000017</v>
      </c>
      <c r="O657" s="136"/>
      <c r="P657" s="226"/>
      <c r="Q657" s="157">
        <f>SUM(Q655:Q656)</f>
        <v>11130355.119999999</v>
      </c>
      <c r="R657" s="157">
        <f>SUM(R655:R656)</f>
        <v>0</v>
      </c>
      <c r="S657" s="226"/>
      <c r="T657" s="157">
        <f>SUM(T655:T656)</f>
        <v>643277.56000000017</v>
      </c>
      <c r="U657" s="157">
        <f>SUM(U655:U656)</f>
        <v>0</v>
      </c>
      <c r="V657" s="140"/>
      <c r="W657" s="157">
        <f>HLOOKUP($W$9,'ROR-Model'!$Q$10:$U$1263,Y657)</f>
        <v>11130355.119999999</v>
      </c>
      <c r="X657" s="156"/>
      <c r="Y657" s="918">
        <f t="shared" si="39"/>
        <v>648</v>
      </c>
      <c r="AA657" s="157">
        <v>525996.07000000007</v>
      </c>
      <c r="AC657" s="157">
        <f t="shared" ref="AC657:AC720" si="40">IF(ABS(AA657)&gt;0,W657-AA657,"")</f>
        <v>10604359.049999999</v>
      </c>
      <c r="AE657" s="44">
        <f t="shared" si="38"/>
        <v>20.160529051101079</v>
      </c>
    </row>
    <row r="658" spans="1:31">
      <c r="A658" s="154"/>
      <c r="B658" s="49"/>
      <c r="C658" s="49"/>
      <c r="D658" s="49"/>
      <c r="E658" s="9">
        <f>+G658-Adjustments!G658</f>
        <v>0</v>
      </c>
      <c r="F658" s="9"/>
      <c r="G658" s="9"/>
      <c r="H658" s="9"/>
      <c r="I658" s="9"/>
      <c r="J658" s="9">
        <f>+I658-'ROR-Model'!I658</f>
        <v>0</v>
      </c>
      <c r="K658" s="9"/>
      <c r="L658" s="9"/>
      <c r="M658" s="9"/>
      <c r="N658" s="9"/>
      <c r="O658" s="136"/>
      <c r="P658" s="142"/>
      <c r="Q658" s="9"/>
      <c r="R658" s="9"/>
      <c r="S658" s="142"/>
      <c r="T658" s="9"/>
      <c r="U658" s="9"/>
      <c r="V658" s="140"/>
      <c r="W658" s="9"/>
      <c r="X658" s="156"/>
      <c r="Y658" s="918">
        <f t="shared" si="39"/>
        <v>649</v>
      </c>
      <c r="AA658" s="9"/>
      <c r="AC658" s="9" t="str">
        <f t="shared" si="40"/>
        <v/>
      </c>
      <c r="AE658" s="44" t="str">
        <f t="shared" ref="AE658:AE721" si="41">IF(ABS(AA658)&gt;0,AC658/AA658,"")</f>
        <v/>
      </c>
    </row>
    <row r="659" spans="1:31">
      <c r="A659" s="154">
        <v>871</v>
      </c>
      <c r="B659" s="49" t="s">
        <v>361</v>
      </c>
      <c r="C659" s="49"/>
      <c r="D659" s="49"/>
      <c r="E659" s="9">
        <f>+G659-Adjustments!G659</f>
        <v>0</v>
      </c>
      <c r="F659" s="9"/>
      <c r="G659" s="9"/>
      <c r="H659" s="9"/>
      <c r="I659" s="9"/>
      <c r="J659" s="9">
        <f>+I659-'ROR-Model'!I659</f>
        <v>0</v>
      </c>
      <c r="K659" s="9"/>
      <c r="L659" s="9"/>
      <c r="M659" s="9"/>
      <c r="N659" s="9"/>
      <c r="O659" s="136"/>
      <c r="P659" s="142"/>
      <c r="Q659" s="9"/>
      <c r="R659" s="9"/>
      <c r="S659" s="142"/>
      <c r="T659" s="9"/>
      <c r="U659" s="9"/>
      <c r="V659" s="140"/>
      <c r="W659" s="9"/>
      <c r="X659" s="156"/>
      <c r="Y659" s="918">
        <f t="shared" si="39"/>
        <v>650</v>
      </c>
      <c r="AA659" s="9"/>
      <c r="AC659" s="9" t="str">
        <f t="shared" si="40"/>
        <v/>
      </c>
      <c r="AE659" s="44" t="str">
        <f t="shared" si="41"/>
        <v/>
      </c>
    </row>
    <row r="660" spans="1:31">
      <c r="A660" s="154"/>
      <c r="B660" s="49"/>
      <c r="C660" s="49" t="s">
        <v>13</v>
      </c>
      <c r="D660" s="49"/>
      <c r="E660" s="9">
        <f>+G660-Adjustments!G660</f>
        <v>0</v>
      </c>
      <c r="F660" s="9">
        <f>EXPENSES!F151</f>
        <v>1879996.2199999997</v>
      </c>
      <c r="G660" s="9">
        <f>+Adjustments!U659</f>
        <v>0</v>
      </c>
      <c r="H660" s="9"/>
      <c r="I660" s="9">
        <f>SUM($F$660:$H$660)</f>
        <v>1879996.2199999997</v>
      </c>
      <c r="J660" s="9">
        <f>+I660-'ROR-Model'!I660</f>
        <v>0</v>
      </c>
      <c r="K660" s="9"/>
      <c r="L660" s="9" t="s">
        <v>13</v>
      </c>
      <c r="M660" s="9">
        <f>VLOOKUP($L660,$L$2:$N$7,2,FALSE)*I660</f>
        <v>1879996.2199999997</v>
      </c>
      <c r="N660" s="9">
        <f>VLOOKUP($L660,$L$2:$N$7,3,FALSE)*I660</f>
        <v>0</v>
      </c>
      <c r="O660" s="136"/>
      <c r="P660" s="216" t="s">
        <v>549</v>
      </c>
      <c r="Q660" s="9">
        <f>IF(P660="G",M660,IF(P660="PT",0,ERR))</f>
        <v>1879996.2199999997</v>
      </c>
      <c r="R660" s="9">
        <f>IF(P660="PT",M660,IF(P660="G",0,ERR))</f>
        <v>0</v>
      </c>
      <c r="S660" s="142" t="s">
        <v>549</v>
      </c>
      <c r="T660" s="9">
        <f>IF(S660="G",N660,IF(S660="PT",0,ERR))</f>
        <v>0</v>
      </c>
      <c r="U660" s="9">
        <f>IF(S660="PT",N660,IF(S660="G",0,ERR))</f>
        <v>0</v>
      </c>
      <c r="V660" s="140"/>
      <c r="W660" s="9">
        <f>HLOOKUP($W$9,'ROR-Model'!$Q$10:$U$1263,Y660)</f>
        <v>1879996.2199999997</v>
      </c>
      <c r="X660" s="156"/>
      <c r="Y660" s="918">
        <f t="shared" si="39"/>
        <v>651</v>
      </c>
      <c r="AA660" s="9">
        <v>0</v>
      </c>
      <c r="AC660" s="9" t="str">
        <f t="shared" si="40"/>
        <v/>
      </c>
      <c r="AE660" s="44" t="str">
        <f t="shared" si="41"/>
        <v/>
      </c>
    </row>
    <row r="661" spans="1:31">
      <c r="A661" s="154"/>
      <c r="B661" s="49"/>
      <c r="C661" s="49" t="s">
        <v>24</v>
      </c>
      <c r="D661" s="49"/>
      <c r="E661" s="9">
        <f>+G661-Adjustments!G661</f>
        <v>0</v>
      </c>
      <c r="F661" s="9">
        <f>EXPENSES!F152</f>
        <v>30806.410000000003</v>
      </c>
      <c r="G661" s="9">
        <f>+Adjustments!U660</f>
        <v>0</v>
      </c>
      <c r="H661" s="9"/>
      <c r="I661" s="9">
        <f>SUM($F$661:$H$661)</f>
        <v>30806.410000000003</v>
      </c>
      <c r="J661" s="9">
        <f>+I661-'ROR-Model'!I661</f>
        <v>0</v>
      </c>
      <c r="K661" s="9"/>
      <c r="L661" s="9" t="s">
        <v>24</v>
      </c>
      <c r="M661" s="9">
        <f>VLOOKUP($L661,$L$2:$N$7,2,FALSE)*I661</f>
        <v>0</v>
      </c>
      <c r="N661" s="9">
        <f>VLOOKUP($L661,$L$2:$N$7,3,FALSE)*I661</f>
        <v>30806.410000000003</v>
      </c>
      <c r="O661" s="136"/>
      <c r="P661" s="216" t="s">
        <v>549</v>
      </c>
      <c r="Q661" s="9">
        <f>IF(P661="G",M661,IF(P661="PT",0,ERR))</f>
        <v>0</v>
      </c>
      <c r="R661" s="9">
        <f>IF(P661="PT",M661,IF(P661="G",0,ERR))</f>
        <v>0</v>
      </c>
      <c r="S661" s="142" t="s">
        <v>549</v>
      </c>
      <c r="T661" s="9">
        <f>IF(S661="G",N661,IF(S661="PT",0,ERR))</f>
        <v>30806.410000000003</v>
      </c>
      <c r="U661" s="9">
        <f>IF(S661="PT",N661,IF(S661="G",0,ERR))</f>
        <v>0</v>
      </c>
      <c r="V661" s="140"/>
      <c r="W661" s="9">
        <f>HLOOKUP($W$9,'ROR-Model'!$Q$10:$U$1263,Y661)</f>
        <v>0</v>
      </c>
      <c r="X661" s="156"/>
      <c r="Y661" s="918">
        <f t="shared" si="39"/>
        <v>652</v>
      </c>
      <c r="AA661" s="9">
        <v>40083.149999999994</v>
      </c>
      <c r="AC661" s="9">
        <f t="shared" si="40"/>
        <v>-40083.149999999994</v>
      </c>
      <c r="AE661" s="44">
        <f t="shared" si="41"/>
        <v>-1</v>
      </c>
    </row>
    <row r="662" spans="1:31">
      <c r="A662" s="154"/>
      <c r="B662" s="49"/>
      <c r="C662" s="49" t="s">
        <v>160</v>
      </c>
      <c r="D662" s="49"/>
      <c r="E662" s="157">
        <f>+G662-Adjustments!G662</f>
        <v>0</v>
      </c>
      <c r="F662" s="157">
        <f>SUM(F660:F661)</f>
        <v>1910802.6299999997</v>
      </c>
      <c r="G662" s="157">
        <f>SUM(G660:G661)</f>
        <v>0</v>
      </c>
      <c r="H662" s="157">
        <f>SUM(H660:H661)</f>
        <v>0</v>
      </c>
      <c r="I662" s="157">
        <f>SUM(I660:I661)</f>
        <v>1910802.6299999997</v>
      </c>
      <c r="J662" s="9">
        <f>+I662-'ROR-Model'!I662</f>
        <v>0</v>
      </c>
      <c r="K662" s="9"/>
      <c r="L662" s="157"/>
      <c r="M662" s="157">
        <f>SUM(M660:M661)</f>
        <v>1879996.2199999997</v>
      </c>
      <c r="N662" s="157">
        <f>SUM(N660:N661)</f>
        <v>30806.410000000003</v>
      </c>
      <c r="O662" s="136"/>
      <c r="P662" s="226"/>
      <c r="Q662" s="157">
        <f>SUM(Q660:Q661)</f>
        <v>1879996.2199999997</v>
      </c>
      <c r="R662" s="157">
        <f>SUM(R660:R661)</f>
        <v>0</v>
      </c>
      <c r="S662" s="226"/>
      <c r="T662" s="157">
        <f>SUM(T660:T661)</f>
        <v>30806.410000000003</v>
      </c>
      <c r="U662" s="157">
        <f>SUM(U660:U661)</f>
        <v>0</v>
      </c>
      <c r="V662" s="140"/>
      <c r="W662" s="157">
        <f>HLOOKUP($W$9,'ROR-Model'!$Q$10:$U$1263,Y662)</f>
        <v>1879996.2199999997</v>
      </c>
      <c r="X662" s="156"/>
      <c r="Y662" s="918">
        <f t="shared" si="39"/>
        <v>653</v>
      </c>
      <c r="AA662" s="157">
        <v>40083.149999999994</v>
      </c>
      <c r="AC662" s="157">
        <f t="shared" si="40"/>
        <v>1839913.0699999998</v>
      </c>
      <c r="AE662" s="44">
        <f t="shared" si="41"/>
        <v>45.902407121196816</v>
      </c>
    </row>
    <row r="663" spans="1:31">
      <c r="A663" s="154"/>
      <c r="B663" s="49"/>
      <c r="C663" s="49"/>
      <c r="D663" s="49"/>
      <c r="E663" s="9">
        <f>+G663-Adjustments!G663</f>
        <v>0</v>
      </c>
      <c r="F663" s="9"/>
      <c r="G663" s="9"/>
      <c r="H663" s="9"/>
      <c r="I663" s="9"/>
      <c r="J663" s="9">
        <f>+I663-'ROR-Model'!I663</f>
        <v>0</v>
      </c>
      <c r="K663" s="9"/>
      <c r="L663" s="9"/>
      <c r="M663" s="9"/>
      <c r="N663" s="9"/>
      <c r="O663" s="136"/>
      <c r="P663" s="142"/>
      <c r="Q663" s="9"/>
      <c r="R663" s="9"/>
      <c r="S663" s="142"/>
      <c r="T663" s="9"/>
      <c r="U663" s="9"/>
      <c r="V663" s="140"/>
      <c r="W663" s="9"/>
      <c r="X663" s="156"/>
      <c r="Y663" s="918">
        <f t="shared" si="39"/>
        <v>654</v>
      </c>
      <c r="AA663" s="9"/>
      <c r="AC663" s="9" t="str">
        <f t="shared" si="40"/>
        <v/>
      </c>
      <c r="AE663" s="44" t="str">
        <f t="shared" si="41"/>
        <v/>
      </c>
    </row>
    <row r="664" spans="1:31">
      <c r="A664" s="154">
        <v>872</v>
      </c>
      <c r="B664" s="49" t="s">
        <v>363</v>
      </c>
      <c r="C664" s="49"/>
      <c r="D664" s="49"/>
      <c r="E664" s="9">
        <f>+G664-Adjustments!G664</f>
        <v>0</v>
      </c>
      <c r="F664" s="9"/>
      <c r="G664" s="9"/>
      <c r="H664" s="9"/>
      <c r="I664" s="9"/>
      <c r="J664" s="9">
        <f>+I664-'ROR-Model'!I664</f>
        <v>0</v>
      </c>
      <c r="K664" s="9"/>
      <c r="L664" s="9"/>
      <c r="M664" s="9"/>
      <c r="N664" s="9"/>
      <c r="O664" s="136"/>
      <c r="P664" s="142"/>
      <c r="Q664" s="9"/>
      <c r="R664" s="9"/>
      <c r="S664" s="142"/>
      <c r="T664" s="9"/>
      <c r="U664" s="9"/>
      <c r="V664" s="140"/>
      <c r="W664" s="9"/>
      <c r="X664" s="156"/>
      <c r="Y664" s="918">
        <f t="shared" si="39"/>
        <v>655</v>
      </c>
      <c r="AA664" s="9"/>
      <c r="AC664" s="9" t="str">
        <f t="shared" si="40"/>
        <v/>
      </c>
      <c r="AE664" s="44" t="str">
        <f t="shared" si="41"/>
        <v/>
      </c>
    </row>
    <row r="665" spans="1:31">
      <c r="A665" s="154"/>
      <c r="B665" s="49"/>
      <c r="C665" s="49" t="s">
        <v>13</v>
      </c>
      <c r="D665" s="49"/>
      <c r="E665" s="9">
        <f>+G665-Adjustments!G665</f>
        <v>0</v>
      </c>
      <c r="F665" s="9">
        <f>EXPENSES!F156</f>
        <v>0</v>
      </c>
      <c r="G665" s="9">
        <f>+Adjustments!U664</f>
        <v>0</v>
      </c>
      <c r="H665" s="9"/>
      <c r="I665" s="9">
        <f>SUM($F$665:$H$665)</f>
        <v>0</v>
      </c>
      <c r="J665" s="9">
        <f>+I665-'ROR-Model'!I665</f>
        <v>0</v>
      </c>
      <c r="K665" s="9"/>
      <c r="L665" s="9" t="s">
        <v>13</v>
      </c>
      <c r="M665" s="9">
        <f>VLOOKUP($L665,$L$2:$N$7,2,FALSE)*I665</f>
        <v>0</v>
      </c>
      <c r="N665" s="9">
        <f>VLOOKUP($L665,$L$2:$N$7,3,FALSE)*I665</f>
        <v>0</v>
      </c>
      <c r="O665" s="136"/>
      <c r="P665" s="216" t="s">
        <v>549</v>
      </c>
      <c r="Q665" s="9">
        <f>IF(P665="G",M665,IF(P665="PT",0,ERR))</f>
        <v>0</v>
      </c>
      <c r="R665" s="9">
        <f>IF(P665="PT",M665,IF(P665="G",0,ERR))</f>
        <v>0</v>
      </c>
      <c r="S665" s="142" t="s">
        <v>549</v>
      </c>
      <c r="T665" s="9">
        <f>IF(S665="G",N665,IF(S665="PT",0,ERR))</f>
        <v>0</v>
      </c>
      <c r="U665" s="9">
        <f>IF(S665="PT",N665,IF(S665="G",0,ERR))</f>
        <v>0</v>
      </c>
      <c r="V665" s="140"/>
      <c r="W665" s="9">
        <f>HLOOKUP($W$9,'ROR-Model'!$Q$10:$U$1263,Y665)</f>
        <v>0</v>
      </c>
      <c r="X665" s="156"/>
      <c r="Y665" s="918">
        <f t="shared" si="39"/>
        <v>656</v>
      </c>
      <c r="AA665" s="9">
        <v>0</v>
      </c>
      <c r="AC665" s="9" t="str">
        <f t="shared" si="40"/>
        <v/>
      </c>
      <c r="AE665" s="44" t="str">
        <f t="shared" si="41"/>
        <v/>
      </c>
    </row>
    <row r="666" spans="1:31">
      <c r="A666" s="154"/>
      <c r="B666" s="49"/>
      <c r="C666" s="49" t="s">
        <v>24</v>
      </c>
      <c r="D666" s="49"/>
      <c r="E666" s="9">
        <f>+G666-Adjustments!G666</f>
        <v>0</v>
      </c>
      <c r="F666" s="9">
        <f>EXPENSES!F157</f>
        <v>0</v>
      </c>
      <c r="G666" s="9">
        <f>+Adjustments!U665</f>
        <v>0</v>
      </c>
      <c r="H666" s="9"/>
      <c r="I666" s="9">
        <f>SUM($F$666:$H$666)</f>
        <v>0</v>
      </c>
      <c r="J666" s="9">
        <f>+I666-'ROR-Model'!I666</f>
        <v>0</v>
      </c>
      <c r="K666" s="9"/>
      <c r="L666" s="9" t="s">
        <v>24</v>
      </c>
      <c r="M666" s="9">
        <f>VLOOKUP($L666,$L$2:$N$7,2,FALSE)*I666</f>
        <v>0</v>
      </c>
      <c r="N666" s="9">
        <f>VLOOKUP($L666,$L$2:$N$7,3,FALSE)*I666</f>
        <v>0</v>
      </c>
      <c r="O666" s="136"/>
      <c r="P666" s="216" t="s">
        <v>549</v>
      </c>
      <c r="Q666" s="9">
        <f>IF(P666="G",M666,IF(P666="PT",0,ERR))</f>
        <v>0</v>
      </c>
      <c r="R666" s="9">
        <f>IF(P666="PT",M666,IF(P666="G",0,ERR))</f>
        <v>0</v>
      </c>
      <c r="S666" s="142" t="s">
        <v>549</v>
      </c>
      <c r="T666" s="9">
        <f>IF(S666="G",N666,IF(S666="PT",0,ERR))</f>
        <v>0</v>
      </c>
      <c r="U666" s="9">
        <f>IF(S666="PT",N666,IF(S666="G",0,ERR))</f>
        <v>0</v>
      </c>
      <c r="V666" s="140"/>
      <c r="W666" s="9">
        <f>HLOOKUP($W$9,'ROR-Model'!$Q$10:$U$1263,Y666)</f>
        <v>0</v>
      </c>
      <c r="X666" s="156"/>
      <c r="Y666" s="918">
        <f t="shared" si="39"/>
        <v>657</v>
      </c>
      <c r="AA666" s="9">
        <v>0</v>
      </c>
      <c r="AC666" s="9" t="str">
        <f t="shared" si="40"/>
        <v/>
      </c>
      <c r="AE666" s="44" t="str">
        <f t="shared" si="41"/>
        <v/>
      </c>
    </row>
    <row r="667" spans="1:31">
      <c r="A667" s="154"/>
      <c r="B667" s="49"/>
      <c r="C667" s="49" t="s">
        <v>160</v>
      </c>
      <c r="D667" s="49"/>
      <c r="E667" s="157">
        <f>+G667-Adjustments!G667</f>
        <v>0</v>
      </c>
      <c r="F667" s="157">
        <f>SUM(F665:F666)</f>
        <v>0</v>
      </c>
      <c r="G667" s="157">
        <f>SUM(G665:G666)</f>
        <v>0</v>
      </c>
      <c r="H667" s="157">
        <f>SUM(H665:H666)</f>
        <v>0</v>
      </c>
      <c r="I667" s="157">
        <f>SUM(I665:I666)</f>
        <v>0</v>
      </c>
      <c r="J667" s="9">
        <f>+I667-'ROR-Model'!I667</f>
        <v>0</v>
      </c>
      <c r="K667" s="9"/>
      <c r="L667" s="157"/>
      <c r="M667" s="157">
        <f>SUM(M665:M666)</f>
        <v>0</v>
      </c>
      <c r="N667" s="157">
        <f>SUM(N665:N666)</f>
        <v>0</v>
      </c>
      <c r="O667" s="136"/>
      <c r="P667" s="226"/>
      <c r="Q667" s="157">
        <f>SUM(Q665:Q666)</f>
        <v>0</v>
      </c>
      <c r="R667" s="157">
        <f>SUM(R665:R666)</f>
        <v>0</v>
      </c>
      <c r="S667" s="226"/>
      <c r="T667" s="157">
        <f>SUM(T665:T666)</f>
        <v>0</v>
      </c>
      <c r="U667" s="157">
        <f>SUM(U665:U666)</f>
        <v>0</v>
      </c>
      <c r="V667" s="140"/>
      <c r="W667" s="157">
        <f>HLOOKUP($W$9,'ROR-Model'!$Q$10:$U$1263,Y667)</f>
        <v>0</v>
      </c>
      <c r="X667" s="156"/>
      <c r="Y667" s="918">
        <f t="shared" si="39"/>
        <v>658</v>
      </c>
      <c r="AA667" s="157">
        <v>0</v>
      </c>
      <c r="AC667" s="157" t="str">
        <f t="shared" si="40"/>
        <v/>
      </c>
      <c r="AE667" s="44" t="str">
        <f t="shared" si="41"/>
        <v/>
      </c>
    </row>
    <row r="668" spans="1:31">
      <c r="A668" s="154"/>
      <c r="B668" s="49"/>
      <c r="C668" s="49"/>
      <c r="D668" s="49"/>
      <c r="E668" s="9">
        <f>+G668-Adjustments!G668</f>
        <v>0</v>
      </c>
      <c r="F668" s="9"/>
      <c r="G668" s="9"/>
      <c r="H668" s="9"/>
      <c r="I668" s="9"/>
      <c r="J668" s="9">
        <f>+I668-'ROR-Model'!I668</f>
        <v>0</v>
      </c>
      <c r="K668" s="9"/>
      <c r="L668" s="9"/>
      <c r="M668" s="9"/>
      <c r="N668" s="9"/>
      <c r="O668" s="136"/>
      <c r="P668" s="142"/>
      <c r="Q668" s="9"/>
      <c r="R668" s="9"/>
      <c r="S668" s="142"/>
      <c r="T668" s="9"/>
      <c r="U668" s="9"/>
      <c r="V668" s="140"/>
      <c r="W668" s="9"/>
      <c r="X668" s="156"/>
      <c r="Y668" s="918">
        <f t="shared" si="39"/>
        <v>659</v>
      </c>
      <c r="AA668" s="9"/>
      <c r="AC668" s="9" t="str">
        <f t="shared" si="40"/>
        <v/>
      </c>
      <c r="AE668" s="44" t="str">
        <f t="shared" si="41"/>
        <v/>
      </c>
    </row>
    <row r="669" spans="1:31">
      <c r="A669" s="154">
        <v>873</v>
      </c>
      <c r="B669" s="49" t="s">
        <v>364</v>
      </c>
      <c r="C669" s="49"/>
      <c r="D669" s="49"/>
      <c r="E669" s="9">
        <f>+G669-Adjustments!G669</f>
        <v>0</v>
      </c>
      <c r="F669" s="9"/>
      <c r="G669" s="9"/>
      <c r="H669" s="9"/>
      <c r="I669" s="9"/>
      <c r="J669" s="9">
        <f>+I669-'ROR-Model'!I669</f>
        <v>0</v>
      </c>
      <c r="K669" s="9"/>
      <c r="L669" s="9"/>
      <c r="M669" s="9"/>
      <c r="N669" s="9"/>
      <c r="O669" s="136"/>
      <c r="P669" s="142"/>
      <c r="Q669" s="9"/>
      <c r="R669" s="9"/>
      <c r="S669" s="142"/>
      <c r="T669" s="9"/>
      <c r="U669" s="9"/>
      <c r="V669" s="140"/>
      <c r="W669" s="9"/>
      <c r="X669" s="156"/>
      <c r="Y669" s="918">
        <f t="shared" si="39"/>
        <v>660</v>
      </c>
      <c r="AA669" s="9"/>
      <c r="AC669" s="9" t="str">
        <f t="shared" si="40"/>
        <v/>
      </c>
      <c r="AE669" s="44" t="str">
        <f t="shared" si="41"/>
        <v/>
      </c>
    </row>
    <row r="670" spans="1:31">
      <c r="A670" s="154"/>
      <c r="B670" s="49"/>
      <c r="C670" s="49" t="s">
        <v>13</v>
      </c>
      <c r="D670" s="49"/>
      <c r="E670" s="9">
        <f>+G670-Adjustments!G670</f>
        <v>0</v>
      </c>
      <c r="F670" s="9">
        <f>EXPENSES!F161</f>
        <v>14233</v>
      </c>
      <c r="G670" s="9">
        <f>+Adjustments!U669</f>
        <v>0</v>
      </c>
      <c r="H670" s="9"/>
      <c r="I670" s="9">
        <f>SUM($F$670:$H$670)</f>
        <v>14233</v>
      </c>
      <c r="J670" s="9">
        <f>+I670-'ROR-Model'!I670</f>
        <v>0</v>
      </c>
      <c r="K670" s="9"/>
      <c r="L670" s="9" t="s">
        <v>13</v>
      </c>
      <c r="M670" s="9">
        <f>VLOOKUP($L670,$L$2:$N$7,2,FALSE)*I670</f>
        <v>14233</v>
      </c>
      <c r="N670" s="9">
        <f>VLOOKUP($L670,$L$2:$N$7,3,FALSE)*I670</f>
        <v>0</v>
      </c>
      <c r="O670" s="136"/>
      <c r="P670" s="216" t="s">
        <v>549</v>
      </c>
      <c r="Q670" s="9">
        <f>IF(P670="G",M670,IF(P670="PT",0,ERR))</f>
        <v>14233</v>
      </c>
      <c r="R670" s="9">
        <f>IF(P670="PT",M670,IF(P670="G",0,ERR))</f>
        <v>0</v>
      </c>
      <c r="S670" s="142" t="s">
        <v>549</v>
      </c>
      <c r="T670" s="9">
        <f>IF(S670="G",N670,IF(S670="PT",0,ERR))</f>
        <v>0</v>
      </c>
      <c r="U670" s="9">
        <f>IF(S670="PT",N670,IF(S670="G",0,ERR))</f>
        <v>0</v>
      </c>
      <c r="V670" s="140"/>
      <c r="W670" s="9">
        <f>HLOOKUP($W$9,'ROR-Model'!$Q$10:$U$1263,Y670)</f>
        <v>14233</v>
      </c>
      <c r="X670" s="156"/>
      <c r="Y670" s="918">
        <f t="shared" si="39"/>
        <v>661</v>
      </c>
      <c r="AA670" s="9">
        <v>0</v>
      </c>
      <c r="AC670" s="9" t="str">
        <f t="shared" si="40"/>
        <v/>
      </c>
      <c r="AE670" s="44" t="str">
        <f t="shared" si="41"/>
        <v/>
      </c>
    </row>
    <row r="671" spans="1:31">
      <c r="A671" s="154"/>
      <c r="B671" s="49"/>
      <c r="C671" s="49" t="s">
        <v>24</v>
      </c>
      <c r="D671" s="49"/>
      <c r="E671" s="9">
        <f>+G671-Adjustments!G671</f>
        <v>0</v>
      </c>
      <c r="F671" s="9">
        <f>EXPENSES!F162</f>
        <v>0</v>
      </c>
      <c r="G671" s="9">
        <f>+Adjustments!U670</f>
        <v>0</v>
      </c>
      <c r="H671" s="9"/>
      <c r="I671" s="9">
        <f>SUM($F$671:$H$671)</f>
        <v>0</v>
      </c>
      <c r="J671" s="9">
        <f>+I671-'ROR-Model'!I671</f>
        <v>0</v>
      </c>
      <c r="K671" s="9"/>
      <c r="L671" s="9" t="s">
        <v>24</v>
      </c>
      <c r="M671" s="9">
        <f>VLOOKUP($L671,$L$2:$N$7,2,FALSE)*I671</f>
        <v>0</v>
      </c>
      <c r="N671" s="9">
        <f>VLOOKUP($L671,$L$2:$N$7,3,FALSE)*I671</f>
        <v>0</v>
      </c>
      <c r="O671" s="136"/>
      <c r="P671" s="216" t="s">
        <v>549</v>
      </c>
      <c r="Q671" s="9">
        <f>IF(P671="G",M671,IF(P671="PT",0,ERR))</f>
        <v>0</v>
      </c>
      <c r="R671" s="9">
        <f>IF(P671="PT",M671,IF(P671="G",0,ERR))</f>
        <v>0</v>
      </c>
      <c r="S671" s="142" t="s">
        <v>549</v>
      </c>
      <c r="T671" s="9">
        <f>IF(S671="G",N671,IF(S671="PT",0,ERR))</f>
        <v>0</v>
      </c>
      <c r="U671" s="9">
        <f>IF(S671="PT",N671,IF(S671="G",0,ERR))</f>
        <v>0</v>
      </c>
      <c r="V671" s="140"/>
      <c r="W671" s="9">
        <f>HLOOKUP($W$9,'ROR-Model'!$Q$10:$U$1263,Y671)</f>
        <v>0</v>
      </c>
      <c r="X671" s="156"/>
      <c r="Y671" s="918">
        <f t="shared" si="39"/>
        <v>662</v>
      </c>
      <c r="AA671" s="9">
        <v>0</v>
      </c>
      <c r="AC671" s="9" t="str">
        <f t="shared" si="40"/>
        <v/>
      </c>
      <c r="AE671" s="44" t="str">
        <f t="shared" si="41"/>
        <v/>
      </c>
    </row>
    <row r="672" spans="1:31">
      <c r="A672" s="154"/>
      <c r="B672" s="49"/>
      <c r="C672" s="49" t="s">
        <v>160</v>
      </c>
      <c r="D672" s="49"/>
      <c r="E672" s="157">
        <f>+G672-Adjustments!G672</f>
        <v>0</v>
      </c>
      <c r="F672" s="157">
        <f>SUM(F670:F671)</f>
        <v>14233</v>
      </c>
      <c r="G672" s="157">
        <f>SUM(G670:G671)</f>
        <v>0</v>
      </c>
      <c r="H672" s="157">
        <f>SUM(H670:H671)</f>
        <v>0</v>
      </c>
      <c r="I672" s="157">
        <f>SUM(I670:I671)</f>
        <v>14233</v>
      </c>
      <c r="J672" s="9">
        <f>+I672-'ROR-Model'!I672</f>
        <v>0</v>
      </c>
      <c r="K672" s="9"/>
      <c r="L672" s="157"/>
      <c r="M672" s="157">
        <f>SUM(M670:M671)</f>
        <v>14233</v>
      </c>
      <c r="N672" s="157">
        <f>SUM(N670:N671)</f>
        <v>0</v>
      </c>
      <c r="O672" s="136"/>
      <c r="P672" s="226"/>
      <c r="Q672" s="157">
        <f>SUM(Q670:Q671)</f>
        <v>14233</v>
      </c>
      <c r="R672" s="157">
        <f>SUM(R670:R671)</f>
        <v>0</v>
      </c>
      <c r="S672" s="226"/>
      <c r="T672" s="157">
        <f>SUM(T670:T671)</f>
        <v>0</v>
      </c>
      <c r="U672" s="157">
        <f>SUM(U670:U671)</f>
        <v>0</v>
      </c>
      <c r="V672" s="140"/>
      <c r="W672" s="157">
        <f>HLOOKUP($W$9,'ROR-Model'!$Q$10:$U$1263,Y672)</f>
        <v>14233</v>
      </c>
      <c r="X672" s="156"/>
      <c r="Y672" s="918">
        <f t="shared" si="39"/>
        <v>663</v>
      </c>
      <c r="AA672" s="157">
        <v>0</v>
      </c>
      <c r="AC672" s="157" t="str">
        <f t="shared" si="40"/>
        <v/>
      </c>
      <c r="AE672" s="44" t="str">
        <f t="shared" si="41"/>
        <v/>
      </c>
    </row>
    <row r="673" spans="1:31">
      <c r="A673" s="154"/>
      <c r="B673" s="49"/>
      <c r="C673" s="49"/>
      <c r="D673" s="49"/>
      <c r="E673" s="9">
        <f>+G673-Adjustments!G673</f>
        <v>0</v>
      </c>
      <c r="F673" s="9"/>
      <c r="G673" s="9"/>
      <c r="H673" s="9"/>
      <c r="I673" s="9"/>
      <c r="J673" s="9">
        <f>+I673-'ROR-Model'!I673</f>
        <v>0</v>
      </c>
      <c r="K673" s="9"/>
      <c r="L673" s="9"/>
      <c r="M673" s="9"/>
      <c r="N673" s="9"/>
      <c r="O673" s="136"/>
      <c r="P673" s="142"/>
      <c r="Q673" s="9"/>
      <c r="R673" s="9"/>
      <c r="S673" s="142"/>
      <c r="T673" s="9"/>
      <c r="U673" s="9"/>
      <c r="V673" s="140"/>
      <c r="W673" s="9"/>
      <c r="X673" s="156"/>
      <c r="Y673" s="918">
        <f t="shared" si="39"/>
        <v>664</v>
      </c>
      <c r="AA673" s="9"/>
      <c r="AC673" s="9" t="str">
        <f t="shared" si="40"/>
        <v/>
      </c>
      <c r="AE673" s="44" t="str">
        <f t="shared" si="41"/>
        <v/>
      </c>
    </row>
    <row r="674" spans="1:31">
      <c r="A674" s="154">
        <v>874</v>
      </c>
      <c r="B674" s="49" t="s">
        <v>365</v>
      </c>
      <c r="C674" s="49"/>
      <c r="D674" s="49"/>
      <c r="E674" s="9">
        <f>+G674-Adjustments!G674</f>
        <v>0</v>
      </c>
      <c r="F674" s="9"/>
      <c r="G674" s="9"/>
      <c r="H674" s="9"/>
      <c r="I674" s="9"/>
      <c r="J674" s="9">
        <f>+I674-'ROR-Model'!I674</f>
        <v>0</v>
      </c>
      <c r="K674" s="9"/>
      <c r="L674" s="9"/>
      <c r="M674" s="9"/>
      <c r="N674" s="9"/>
      <c r="O674" s="136"/>
      <c r="P674" s="142"/>
      <c r="Q674" s="9"/>
      <c r="R674" s="9"/>
      <c r="S674" s="142"/>
      <c r="T674" s="9"/>
      <c r="U674" s="9"/>
      <c r="V674" s="140"/>
      <c r="W674" s="9"/>
      <c r="X674" s="156"/>
      <c r="Y674" s="918">
        <f t="shared" si="39"/>
        <v>665</v>
      </c>
      <c r="AA674" s="9"/>
      <c r="AC674" s="9" t="str">
        <f t="shared" si="40"/>
        <v/>
      </c>
      <c r="AE674" s="44" t="str">
        <f t="shared" si="41"/>
        <v/>
      </c>
    </row>
    <row r="675" spans="1:31">
      <c r="A675" s="154"/>
      <c r="B675" s="49"/>
      <c r="C675" s="49" t="s">
        <v>13</v>
      </c>
      <c r="D675" s="49"/>
      <c r="E675" s="9">
        <f>+G675-Adjustments!G675</f>
        <v>0</v>
      </c>
      <c r="F675" s="9">
        <f>EXPENSES!F166</f>
        <v>12278206.640000001</v>
      </c>
      <c r="G675" s="9">
        <f>+Adjustments!U674</f>
        <v>0</v>
      </c>
      <c r="H675" s="9"/>
      <c r="I675" s="9">
        <f>SUM($F$675:$H$675)</f>
        <v>12278206.640000001</v>
      </c>
      <c r="J675" s="9">
        <f>+I675-'ROR-Model'!I675</f>
        <v>0</v>
      </c>
      <c r="K675" s="9"/>
      <c r="L675" s="9" t="s">
        <v>13</v>
      </c>
      <c r="M675" s="9">
        <f>VLOOKUP($L675,$L$2:$N$7,2,FALSE)*I675</f>
        <v>12278206.640000001</v>
      </c>
      <c r="N675" s="9">
        <f>VLOOKUP($L675,$L$2:$N$7,3,FALSE)*I675</f>
        <v>0</v>
      </c>
      <c r="O675" s="136"/>
      <c r="P675" s="216" t="s">
        <v>549</v>
      </c>
      <c r="Q675" s="9">
        <f>IF(P675="G",M675,IF(P675="PT",0,ERR))</f>
        <v>12278206.640000001</v>
      </c>
      <c r="R675" s="9">
        <f>IF(P675="PT",M675,IF(P675="G",0,ERR))</f>
        <v>0</v>
      </c>
      <c r="S675" s="142" t="s">
        <v>549</v>
      </c>
      <c r="T675" s="9">
        <f>IF(S675="G",N675,IF(S675="PT",0,ERR))</f>
        <v>0</v>
      </c>
      <c r="U675" s="9">
        <f>IF(S675="PT",N675,IF(S675="G",0,ERR))</f>
        <v>0</v>
      </c>
      <c r="V675" s="140"/>
      <c r="W675" s="9">
        <f>HLOOKUP($W$9,'ROR-Model'!$Q$10:$U$1263,Y675)</f>
        <v>12278206.640000001</v>
      </c>
      <c r="X675" s="156"/>
      <c r="Y675" s="918">
        <f t="shared" si="39"/>
        <v>666</v>
      </c>
      <c r="AA675" s="9">
        <v>0</v>
      </c>
      <c r="AC675" s="9" t="str">
        <f t="shared" si="40"/>
        <v/>
      </c>
      <c r="AE675" s="44" t="str">
        <f t="shared" si="41"/>
        <v/>
      </c>
    </row>
    <row r="676" spans="1:31">
      <c r="A676" s="154"/>
      <c r="B676" s="49"/>
      <c r="C676" s="49" t="s">
        <v>24</v>
      </c>
      <c r="D676" s="49"/>
      <c r="E676" s="9">
        <f>+G676-Adjustments!G676</f>
        <v>0</v>
      </c>
      <c r="F676" s="9">
        <f>EXPENSES!F167</f>
        <v>451742.14</v>
      </c>
      <c r="G676" s="9">
        <f>+Adjustments!U675</f>
        <v>0</v>
      </c>
      <c r="H676" s="9"/>
      <c r="I676" s="9">
        <f>SUM($F$676:$H$676)</f>
        <v>451742.14</v>
      </c>
      <c r="J676" s="9">
        <f>+I676-'ROR-Model'!I676</f>
        <v>0</v>
      </c>
      <c r="K676" s="9"/>
      <c r="L676" s="9" t="s">
        <v>24</v>
      </c>
      <c r="M676" s="9">
        <f>VLOOKUP($L676,$L$2:$N$7,2,FALSE)*I676</f>
        <v>0</v>
      </c>
      <c r="N676" s="9">
        <f>VLOOKUP($L676,$L$2:$N$7,3,FALSE)*I676</f>
        <v>451742.14</v>
      </c>
      <c r="O676" s="136"/>
      <c r="P676" s="216" t="s">
        <v>549</v>
      </c>
      <c r="Q676" s="9">
        <f>IF(P676="G",M676,IF(P676="PT",0,ERR))</f>
        <v>0</v>
      </c>
      <c r="R676" s="9">
        <f>IF(P676="PT",M676,IF(P676="G",0,ERR))</f>
        <v>0</v>
      </c>
      <c r="S676" s="142" t="s">
        <v>549</v>
      </c>
      <c r="T676" s="9">
        <f>IF(S676="G",N676,IF(S676="PT",0,ERR))</f>
        <v>451742.14</v>
      </c>
      <c r="U676" s="9">
        <f>IF(S676="PT",N676,IF(S676="G",0,ERR))</f>
        <v>0</v>
      </c>
      <c r="V676" s="140"/>
      <c r="W676" s="9">
        <f>HLOOKUP($W$9,'ROR-Model'!$Q$10:$U$1263,Y676)</f>
        <v>0</v>
      </c>
      <c r="X676" s="156"/>
      <c r="Y676" s="918">
        <f t="shared" si="39"/>
        <v>667</v>
      </c>
      <c r="AA676" s="9">
        <v>661276.11</v>
      </c>
      <c r="AC676" s="9">
        <f t="shared" si="40"/>
        <v>-661276.11</v>
      </c>
      <c r="AE676" s="44">
        <f t="shared" si="41"/>
        <v>-1</v>
      </c>
    </row>
    <row r="677" spans="1:31">
      <c r="A677" s="154"/>
      <c r="B677" s="49"/>
      <c r="C677" s="49" t="s">
        <v>160</v>
      </c>
      <c r="D677" s="49"/>
      <c r="E677" s="157">
        <f>+G677-Adjustments!G677</f>
        <v>0</v>
      </c>
      <c r="F677" s="157">
        <f>SUM(F675:F676)</f>
        <v>12729948.780000001</v>
      </c>
      <c r="G677" s="157">
        <f>SUM(G675:G676)</f>
        <v>0</v>
      </c>
      <c r="H677" s="157">
        <f>SUM(H675:H676)</f>
        <v>0</v>
      </c>
      <c r="I677" s="157">
        <f>SUM(I675:I676)</f>
        <v>12729948.780000001</v>
      </c>
      <c r="J677" s="9">
        <f>+I677-'ROR-Model'!I677</f>
        <v>0</v>
      </c>
      <c r="K677" s="9"/>
      <c r="L677" s="157"/>
      <c r="M677" s="157">
        <f>SUM(M675:M676)</f>
        <v>12278206.640000001</v>
      </c>
      <c r="N677" s="157">
        <f>SUM(N675:N676)</f>
        <v>451742.14</v>
      </c>
      <c r="O677" s="136"/>
      <c r="P677" s="226"/>
      <c r="Q677" s="157">
        <f>SUM(Q675:Q676)</f>
        <v>12278206.640000001</v>
      </c>
      <c r="R677" s="157">
        <f>SUM(R675:R676)</f>
        <v>0</v>
      </c>
      <c r="S677" s="226"/>
      <c r="T677" s="157">
        <f>SUM(T675:T676)</f>
        <v>451742.14</v>
      </c>
      <c r="U677" s="157">
        <f>SUM(U675:U676)</f>
        <v>0</v>
      </c>
      <c r="V677" s="140"/>
      <c r="W677" s="157">
        <f>HLOOKUP($W$9,'ROR-Model'!$Q$10:$U$1263,Y677)</f>
        <v>12278206.640000001</v>
      </c>
      <c r="X677" s="156"/>
      <c r="Y677" s="918">
        <f t="shared" si="39"/>
        <v>668</v>
      </c>
      <c r="AA677" s="157">
        <v>661276.11</v>
      </c>
      <c r="AC677" s="157">
        <f t="shared" si="40"/>
        <v>11616930.530000001</v>
      </c>
      <c r="AE677" s="44">
        <f t="shared" si="41"/>
        <v>17.567443242430159</v>
      </c>
    </row>
    <row r="678" spans="1:31">
      <c r="A678" s="154"/>
      <c r="B678" s="49"/>
      <c r="C678" s="49"/>
      <c r="D678" s="49"/>
      <c r="E678" s="9">
        <f>+G678-Adjustments!G678</f>
        <v>0</v>
      </c>
      <c r="F678" s="9"/>
      <c r="G678" s="9"/>
      <c r="H678" s="9"/>
      <c r="I678" s="9"/>
      <c r="J678" s="9">
        <f>+I678-'ROR-Model'!I678</f>
        <v>0</v>
      </c>
      <c r="K678" s="9"/>
      <c r="L678" s="9"/>
      <c r="M678" s="9"/>
      <c r="N678" s="9"/>
      <c r="O678" s="136"/>
      <c r="P678" s="142"/>
      <c r="Q678" s="9"/>
      <c r="R678" s="9"/>
      <c r="S678" s="142"/>
      <c r="T678" s="9"/>
      <c r="U678" s="9"/>
      <c r="V678" s="140"/>
      <c r="W678" s="9"/>
      <c r="X678" s="156"/>
      <c r="Y678" s="918">
        <f t="shared" si="39"/>
        <v>669</v>
      </c>
      <c r="AA678" s="9"/>
      <c r="AC678" s="9" t="str">
        <f t="shared" si="40"/>
        <v/>
      </c>
      <c r="AE678" s="44" t="str">
        <f t="shared" si="41"/>
        <v/>
      </c>
    </row>
    <row r="679" spans="1:31">
      <c r="A679" s="154">
        <v>875</v>
      </c>
      <c r="B679" s="49" t="s">
        <v>366</v>
      </c>
      <c r="C679" s="49"/>
      <c r="D679" s="49"/>
      <c r="E679" s="9">
        <f>+G679-Adjustments!G679</f>
        <v>0</v>
      </c>
      <c r="F679" s="9"/>
      <c r="G679" s="9"/>
      <c r="H679" s="9"/>
      <c r="I679" s="9"/>
      <c r="J679" s="9">
        <f>+I679-'ROR-Model'!I679</f>
        <v>0</v>
      </c>
      <c r="K679" s="9"/>
      <c r="L679" s="9"/>
      <c r="M679" s="9"/>
      <c r="N679" s="9"/>
      <c r="O679" s="136"/>
      <c r="P679" s="142"/>
      <c r="Q679" s="9"/>
      <c r="R679" s="9"/>
      <c r="S679" s="142"/>
      <c r="T679" s="9"/>
      <c r="U679" s="9"/>
      <c r="V679" s="140"/>
      <c r="W679" s="9"/>
      <c r="X679" s="156"/>
      <c r="Y679" s="918">
        <f t="shared" si="39"/>
        <v>670</v>
      </c>
      <c r="AA679" s="9"/>
      <c r="AC679" s="9" t="str">
        <f t="shared" si="40"/>
        <v/>
      </c>
      <c r="AE679" s="44" t="str">
        <f t="shared" si="41"/>
        <v/>
      </c>
    </row>
    <row r="680" spans="1:31">
      <c r="A680" s="154"/>
      <c r="B680" s="49"/>
      <c r="C680" s="49" t="s">
        <v>13</v>
      </c>
      <c r="D680" s="49"/>
      <c r="E680" s="9">
        <f>+G680-Adjustments!G680</f>
        <v>0</v>
      </c>
      <c r="F680" s="9">
        <f>EXPENSES!F171</f>
        <v>2204987.8800000004</v>
      </c>
      <c r="G680" s="9">
        <f>+Adjustments!U679</f>
        <v>0</v>
      </c>
      <c r="H680" s="9"/>
      <c r="I680" s="9">
        <f>SUM($F$680:$H$680)</f>
        <v>2204987.8800000004</v>
      </c>
      <c r="J680" s="9">
        <f>+I680-'ROR-Model'!I680</f>
        <v>0</v>
      </c>
      <c r="K680" s="9"/>
      <c r="L680" s="9" t="s">
        <v>13</v>
      </c>
      <c r="M680" s="9">
        <f>VLOOKUP($L680,$L$2:$N$7,2,FALSE)*I680</f>
        <v>2204987.8800000004</v>
      </c>
      <c r="N680" s="9">
        <f>VLOOKUP($L680,$L$2:$N$7,3,FALSE)*I680</f>
        <v>0</v>
      </c>
      <c r="O680" s="136"/>
      <c r="P680" s="216" t="s">
        <v>549</v>
      </c>
      <c r="Q680" s="9">
        <f>IF(P680="G",M680,IF(P680="PT",0,ERR))</f>
        <v>2204987.8800000004</v>
      </c>
      <c r="R680" s="9">
        <f>IF(P680="PT",M680,IF(P680="G",0,ERR))</f>
        <v>0</v>
      </c>
      <c r="S680" s="142" t="s">
        <v>549</v>
      </c>
      <c r="T680" s="9">
        <f>IF(S680="G",N680,IF(S680="PT",0,ERR))</f>
        <v>0</v>
      </c>
      <c r="U680" s="9">
        <f>IF(S680="PT",N680,IF(S680="G",0,ERR))</f>
        <v>0</v>
      </c>
      <c r="V680" s="140"/>
      <c r="W680" s="9">
        <f>HLOOKUP($W$9,'ROR-Model'!$Q$10:$U$1263,Y680)</f>
        <v>2204987.8800000004</v>
      </c>
      <c r="X680" s="156"/>
      <c r="Y680" s="918">
        <f t="shared" si="39"/>
        <v>671</v>
      </c>
      <c r="AA680" s="9">
        <v>0</v>
      </c>
      <c r="AC680" s="9" t="str">
        <f t="shared" si="40"/>
        <v/>
      </c>
      <c r="AE680" s="44" t="str">
        <f t="shared" si="41"/>
        <v/>
      </c>
    </row>
    <row r="681" spans="1:31">
      <c r="A681" s="154"/>
      <c r="B681" s="49"/>
      <c r="C681" s="49" t="s">
        <v>24</v>
      </c>
      <c r="D681" s="49"/>
      <c r="E681" s="9">
        <f>+G681-Adjustments!G681</f>
        <v>0</v>
      </c>
      <c r="F681" s="9">
        <f>EXPENSES!F172</f>
        <v>139069.87000000002</v>
      </c>
      <c r="G681" s="9">
        <f>+Adjustments!U680</f>
        <v>0</v>
      </c>
      <c r="H681" s="9"/>
      <c r="I681" s="9">
        <f>SUM($F$681:$H$681)</f>
        <v>139069.87000000002</v>
      </c>
      <c r="J681" s="9">
        <f>+I681-'ROR-Model'!I681</f>
        <v>0</v>
      </c>
      <c r="K681" s="9"/>
      <c r="L681" s="9" t="s">
        <v>24</v>
      </c>
      <c r="M681" s="9">
        <f>VLOOKUP($L681,$L$2:$N$7,2,FALSE)*I681</f>
        <v>0</v>
      </c>
      <c r="N681" s="9">
        <f>VLOOKUP($L681,$L$2:$N$7,3,FALSE)*I681</f>
        <v>139069.87000000002</v>
      </c>
      <c r="O681" s="136"/>
      <c r="P681" s="216" t="s">
        <v>549</v>
      </c>
      <c r="Q681" s="9">
        <f>IF(P681="G",M681,IF(P681="PT",0,ERR))</f>
        <v>0</v>
      </c>
      <c r="R681" s="9">
        <f>IF(P681="PT",M681,IF(P681="G",0,ERR))</f>
        <v>0</v>
      </c>
      <c r="S681" s="142" t="s">
        <v>549</v>
      </c>
      <c r="T681" s="9">
        <f>IF(S681="G",N681,IF(S681="PT",0,ERR))</f>
        <v>139069.87000000002</v>
      </c>
      <c r="U681" s="9">
        <f>IF(S681="PT",N681,IF(S681="G",0,ERR))</f>
        <v>0</v>
      </c>
      <c r="V681" s="140"/>
      <c r="W681" s="9">
        <f>HLOOKUP($W$9,'ROR-Model'!$Q$10:$U$1263,Y681)</f>
        <v>0</v>
      </c>
      <c r="X681" s="156"/>
      <c r="Y681" s="918">
        <f t="shared" si="39"/>
        <v>672</v>
      </c>
      <c r="AA681" s="9">
        <v>154203.65000000002</v>
      </c>
      <c r="AC681" s="9">
        <f t="shared" si="40"/>
        <v>-154203.65000000002</v>
      </c>
      <c r="AE681" s="44">
        <f t="shared" si="41"/>
        <v>-1</v>
      </c>
    </row>
    <row r="682" spans="1:31">
      <c r="A682" s="154"/>
      <c r="B682" s="49"/>
      <c r="C682" s="49" t="s">
        <v>160</v>
      </c>
      <c r="D682" s="49"/>
      <c r="E682" s="157">
        <f>+G682-Adjustments!G682</f>
        <v>0</v>
      </c>
      <c r="F682" s="157">
        <f>SUM(F680:F681)</f>
        <v>2344057.7500000005</v>
      </c>
      <c r="G682" s="157">
        <f>SUM(G680:G681)</f>
        <v>0</v>
      </c>
      <c r="H682" s="157">
        <f>SUM(H680:H681)</f>
        <v>0</v>
      </c>
      <c r="I682" s="157">
        <f>SUM(I680:I681)</f>
        <v>2344057.7500000005</v>
      </c>
      <c r="J682" s="9">
        <f>+I682-'ROR-Model'!I682</f>
        <v>0</v>
      </c>
      <c r="K682" s="9"/>
      <c r="L682" s="157"/>
      <c r="M682" s="157">
        <f>SUM(M680:M681)</f>
        <v>2204987.8800000004</v>
      </c>
      <c r="N682" s="157">
        <f>SUM(N680:N681)</f>
        <v>139069.87000000002</v>
      </c>
      <c r="O682" s="136"/>
      <c r="P682" s="226"/>
      <c r="Q682" s="157">
        <f>SUM(Q680:Q681)</f>
        <v>2204987.8800000004</v>
      </c>
      <c r="R682" s="157">
        <f>SUM(R680:R681)</f>
        <v>0</v>
      </c>
      <c r="S682" s="226"/>
      <c r="T682" s="157">
        <f>SUM(T680:T681)</f>
        <v>139069.87000000002</v>
      </c>
      <c r="U682" s="157">
        <f>SUM(U680:U681)</f>
        <v>0</v>
      </c>
      <c r="V682" s="140"/>
      <c r="W682" s="157">
        <f>HLOOKUP($W$9,'ROR-Model'!$Q$10:$U$1263,Y682)</f>
        <v>2204987.8800000004</v>
      </c>
      <c r="X682" s="156"/>
      <c r="Y682" s="918">
        <f t="shared" si="39"/>
        <v>673</v>
      </c>
      <c r="AA682" s="157">
        <v>154203.65000000002</v>
      </c>
      <c r="AC682" s="157">
        <f t="shared" si="40"/>
        <v>2050784.2300000004</v>
      </c>
      <c r="AE682" s="44">
        <f t="shared" si="41"/>
        <v>13.29919382582708</v>
      </c>
    </row>
    <row r="683" spans="1:31">
      <c r="A683" s="154"/>
      <c r="B683" s="49"/>
      <c r="C683" s="49"/>
      <c r="D683" s="49"/>
      <c r="E683" s="9">
        <f>+G683-Adjustments!G683</f>
        <v>0</v>
      </c>
      <c r="F683" s="9"/>
      <c r="G683" s="9"/>
      <c r="H683" s="9"/>
      <c r="I683" s="9"/>
      <c r="J683" s="9">
        <f>+I683-'ROR-Model'!I683</f>
        <v>0</v>
      </c>
      <c r="K683" s="9"/>
      <c r="L683" s="9"/>
      <c r="M683" s="9"/>
      <c r="N683" s="9"/>
      <c r="O683" s="136"/>
      <c r="P683" s="142"/>
      <c r="Q683" s="9"/>
      <c r="R683" s="9"/>
      <c r="S683" s="142"/>
      <c r="T683" s="9"/>
      <c r="U683" s="9"/>
      <c r="V683" s="140"/>
      <c r="W683" s="9"/>
      <c r="X683" s="156"/>
      <c r="Y683" s="918">
        <f t="shared" si="39"/>
        <v>674</v>
      </c>
      <c r="AA683" s="9"/>
      <c r="AC683" s="9" t="str">
        <f t="shared" si="40"/>
        <v/>
      </c>
      <c r="AE683" s="44" t="str">
        <f t="shared" si="41"/>
        <v/>
      </c>
    </row>
    <row r="684" spans="1:31">
      <c r="A684" s="154">
        <v>878</v>
      </c>
      <c r="B684" s="49" t="s">
        <v>367</v>
      </c>
      <c r="C684" s="49"/>
      <c r="D684" s="49"/>
      <c r="E684" s="9">
        <f>+G684-Adjustments!G684</f>
        <v>0</v>
      </c>
      <c r="F684" s="9"/>
      <c r="G684" s="9"/>
      <c r="H684" s="9"/>
      <c r="I684" s="9"/>
      <c r="J684" s="9">
        <f>+I684-'ROR-Model'!I684</f>
        <v>0</v>
      </c>
      <c r="K684" s="9"/>
      <c r="L684" s="9"/>
      <c r="M684" s="9"/>
      <c r="N684" s="9"/>
      <c r="O684" s="136"/>
      <c r="P684" s="142"/>
      <c r="Q684" s="9"/>
      <c r="R684" s="9"/>
      <c r="S684" s="142"/>
      <c r="T684" s="9"/>
      <c r="U684" s="9"/>
      <c r="V684" s="140"/>
      <c r="W684" s="9"/>
      <c r="X684" s="156"/>
      <c r="Y684" s="918">
        <f t="shared" si="39"/>
        <v>675</v>
      </c>
      <c r="AA684" s="9"/>
      <c r="AC684" s="9" t="str">
        <f t="shared" si="40"/>
        <v/>
      </c>
      <c r="AE684" s="44" t="str">
        <f t="shared" si="41"/>
        <v/>
      </c>
    </row>
    <row r="685" spans="1:31">
      <c r="A685" s="154"/>
      <c r="B685" s="49"/>
      <c r="C685" s="49" t="s">
        <v>13</v>
      </c>
      <c r="D685" s="49"/>
      <c r="E685" s="9">
        <f>+G685-Adjustments!G685</f>
        <v>0</v>
      </c>
      <c r="F685" s="9">
        <f>EXPENSES!F176</f>
        <v>2725264.3499999996</v>
      </c>
      <c r="G685" s="9">
        <f>+Adjustments!U684</f>
        <v>0</v>
      </c>
      <c r="H685" s="9"/>
      <c r="I685" s="9">
        <f>SUM($F$685:$H$685)</f>
        <v>2725264.3499999996</v>
      </c>
      <c r="J685" s="9">
        <f>+I685-'ROR-Model'!I685</f>
        <v>0</v>
      </c>
      <c r="K685" s="9"/>
      <c r="L685" s="9" t="s">
        <v>13</v>
      </c>
      <c r="M685" s="9">
        <f>VLOOKUP($L685,$L$2:$N$7,2,FALSE)*I685</f>
        <v>2725264.3499999996</v>
      </c>
      <c r="N685" s="9">
        <f>VLOOKUP($L685,$L$2:$N$7,3,FALSE)*I685</f>
        <v>0</v>
      </c>
      <c r="O685" s="136"/>
      <c r="P685" s="216" t="s">
        <v>549</v>
      </c>
      <c r="Q685" s="9">
        <f>IF(P685="G",M685,IF(P685="PT",0,ERR))</f>
        <v>2725264.3499999996</v>
      </c>
      <c r="R685" s="9">
        <f>IF(P685="PT",M685,IF(P685="G",0,ERR))</f>
        <v>0</v>
      </c>
      <c r="S685" s="142" t="s">
        <v>549</v>
      </c>
      <c r="T685" s="9">
        <f>IF(S685="G",N685,IF(S685="PT",0,ERR))</f>
        <v>0</v>
      </c>
      <c r="U685" s="9">
        <f>IF(S685="PT",N685,IF(S685="G",0,ERR))</f>
        <v>0</v>
      </c>
      <c r="V685" s="140"/>
      <c r="W685" s="9">
        <f>HLOOKUP($W$9,'ROR-Model'!$Q$10:$U$1263,Y685)</f>
        <v>2725264.3499999996</v>
      </c>
      <c r="X685" s="156"/>
      <c r="Y685" s="918">
        <f t="shared" si="39"/>
        <v>676</v>
      </c>
      <c r="AA685" s="9">
        <v>0</v>
      </c>
      <c r="AC685" s="9" t="str">
        <f t="shared" si="40"/>
        <v/>
      </c>
      <c r="AE685" s="44" t="str">
        <f t="shared" si="41"/>
        <v/>
      </c>
    </row>
    <row r="686" spans="1:31">
      <c r="A686" s="154"/>
      <c r="B686" s="49"/>
      <c r="C686" s="49" t="s">
        <v>24</v>
      </c>
      <c r="D686" s="49"/>
      <c r="E686" s="9">
        <f>+G686-Adjustments!G686</f>
        <v>0</v>
      </c>
      <c r="F686" s="9">
        <f>EXPENSES!F177</f>
        <v>214421.77</v>
      </c>
      <c r="G686" s="9">
        <f>+Adjustments!U685</f>
        <v>0</v>
      </c>
      <c r="H686" s="9"/>
      <c r="I686" s="9">
        <f>SUM($F$686:$H$686)</f>
        <v>214421.77</v>
      </c>
      <c r="J686" s="9">
        <f>+I686-'ROR-Model'!I686</f>
        <v>0</v>
      </c>
      <c r="K686" s="9"/>
      <c r="L686" s="9" t="s">
        <v>24</v>
      </c>
      <c r="M686" s="9">
        <f>VLOOKUP($L686,$L$2:$N$7,2,FALSE)*I686</f>
        <v>0</v>
      </c>
      <c r="N686" s="9">
        <f>VLOOKUP($L686,$L$2:$N$7,3,FALSE)*I686</f>
        <v>214421.77</v>
      </c>
      <c r="O686" s="136"/>
      <c r="P686" s="216" t="s">
        <v>549</v>
      </c>
      <c r="Q686" s="9">
        <f>IF(P686="G",M686,IF(P686="PT",0,ERR))</f>
        <v>0</v>
      </c>
      <c r="R686" s="9">
        <f>IF(P686="PT",M686,IF(P686="G",0,ERR))</f>
        <v>0</v>
      </c>
      <c r="S686" s="142" t="s">
        <v>549</v>
      </c>
      <c r="T686" s="9">
        <f>IF(S686="G",N686,IF(S686="PT",0,ERR))</f>
        <v>214421.77</v>
      </c>
      <c r="U686" s="9">
        <f>IF(S686="PT",N686,IF(S686="G",0,ERR))</f>
        <v>0</v>
      </c>
      <c r="V686" s="140"/>
      <c r="W686" s="9">
        <f>HLOOKUP($W$9,'ROR-Model'!$Q$10:$U$1263,Y686)</f>
        <v>0</v>
      </c>
      <c r="X686" s="156"/>
      <c r="Y686" s="918">
        <f t="shared" si="39"/>
        <v>677</v>
      </c>
      <c r="AA686" s="9">
        <v>154532.11000000002</v>
      </c>
      <c r="AC686" s="9">
        <f t="shared" si="40"/>
        <v>-154532.11000000002</v>
      </c>
      <c r="AE686" s="44">
        <f t="shared" si="41"/>
        <v>-1</v>
      </c>
    </row>
    <row r="687" spans="1:31">
      <c r="A687" s="154"/>
      <c r="B687" s="49"/>
      <c r="C687" s="49" t="s">
        <v>160</v>
      </c>
      <c r="D687" s="49"/>
      <c r="E687" s="157">
        <f>+G687-Adjustments!G687</f>
        <v>0</v>
      </c>
      <c r="F687" s="157">
        <f>SUM(F685:F686)</f>
        <v>2939686.1199999996</v>
      </c>
      <c r="G687" s="157">
        <f>SUM(G685:G686)</f>
        <v>0</v>
      </c>
      <c r="H687" s="157">
        <f>SUM(H685:H686)</f>
        <v>0</v>
      </c>
      <c r="I687" s="157">
        <f>SUM(I685:I686)</f>
        <v>2939686.1199999996</v>
      </c>
      <c r="J687" s="9">
        <f>+I687-'ROR-Model'!I687</f>
        <v>0</v>
      </c>
      <c r="K687" s="9"/>
      <c r="L687" s="157"/>
      <c r="M687" s="157">
        <f>SUM(M685:M686)</f>
        <v>2725264.3499999996</v>
      </c>
      <c r="N687" s="157">
        <f>SUM(N685:N686)</f>
        <v>214421.77</v>
      </c>
      <c r="O687" s="136"/>
      <c r="P687" s="226"/>
      <c r="Q687" s="157">
        <f>SUM(Q685:Q686)</f>
        <v>2725264.3499999996</v>
      </c>
      <c r="R687" s="157">
        <f>SUM(R685:R686)</f>
        <v>0</v>
      </c>
      <c r="S687" s="226"/>
      <c r="T687" s="157">
        <f>SUM(T685:T686)</f>
        <v>214421.77</v>
      </c>
      <c r="U687" s="157">
        <f>SUM(U685:U686)</f>
        <v>0</v>
      </c>
      <c r="V687" s="140"/>
      <c r="W687" s="157">
        <f>HLOOKUP($W$9,'ROR-Model'!$Q$10:$U$1263,Y687)</f>
        <v>2725264.3499999996</v>
      </c>
      <c r="X687" s="156"/>
      <c r="Y687" s="918">
        <f t="shared" si="39"/>
        <v>678</v>
      </c>
      <c r="AA687" s="157">
        <v>154532.11000000002</v>
      </c>
      <c r="AC687" s="157">
        <f t="shared" si="40"/>
        <v>2570732.2399999998</v>
      </c>
      <c r="AE687" s="44">
        <f t="shared" si="41"/>
        <v>16.63558622217738</v>
      </c>
    </row>
    <row r="688" spans="1:31">
      <c r="A688" s="154"/>
      <c r="B688" s="49"/>
      <c r="C688" s="49"/>
      <c r="D688" s="49"/>
      <c r="E688" s="9">
        <f>+G688-Adjustments!G688</f>
        <v>0</v>
      </c>
      <c r="F688" s="9"/>
      <c r="G688" s="9"/>
      <c r="H688" s="9"/>
      <c r="I688" s="9"/>
      <c r="J688" s="9">
        <f>+I688-'ROR-Model'!I688</f>
        <v>0</v>
      </c>
      <c r="K688" s="9"/>
      <c r="L688" s="9"/>
      <c r="M688" s="9"/>
      <c r="N688" s="9"/>
      <c r="O688" s="136"/>
      <c r="P688" s="142"/>
      <c r="Q688" s="9"/>
      <c r="R688" s="9"/>
      <c r="S688" s="142"/>
      <c r="T688" s="9"/>
      <c r="U688" s="9"/>
      <c r="V688" s="140"/>
      <c r="W688" s="9"/>
      <c r="X688" s="156"/>
      <c r="Y688" s="918">
        <f t="shared" si="39"/>
        <v>679</v>
      </c>
      <c r="AA688" s="9"/>
      <c r="AC688" s="9" t="str">
        <f t="shared" si="40"/>
        <v/>
      </c>
      <c r="AE688" s="44" t="str">
        <f t="shared" si="41"/>
        <v/>
      </c>
    </row>
    <row r="689" spans="1:31">
      <c r="A689" s="154">
        <v>879</v>
      </c>
      <c r="B689" s="49" t="s">
        <v>368</v>
      </c>
      <c r="C689" s="49"/>
      <c r="D689" s="49"/>
      <c r="E689" s="9">
        <f>+G689-Adjustments!G689</f>
        <v>0</v>
      </c>
      <c r="F689" s="9"/>
      <c r="G689" s="9"/>
      <c r="H689" s="9"/>
      <c r="I689" s="9"/>
      <c r="J689" s="9">
        <f>+I689-'ROR-Model'!I689</f>
        <v>0</v>
      </c>
      <c r="K689" s="9"/>
      <c r="L689" s="9"/>
      <c r="M689" s="9"/>
      <c r="N689" s="9"/>
      <c r="O689" s="136"/>
      <c r="P689" s="142"/>
      <c r="Q689" s="9"/>
      <c r="R689" s="9"/>
      <c r="S689" s="142"/>
      <c r="T689" s="9"/>
      <c r="U689" s="9"/>
      <c r="V689" s="140"/>
      <c r="W689" s="9"/>
      <c r="X689" s="156"/>
      <c r="Y689" s="918">
        <f t="shared" si="39"/>
        <v>680</v>
      </c>
      <c r="AA689" s="9"/>
      <c r="AC689" s="9" t="str">
        <f t="shared" si="40"/>
        <v/>
      </c>
      <c r="AE689" s="44" t="str">
        <f t="shared" si="41"/>
        <v/>
      </c>
    </row>
    <row r="690" spans="1:31">
      <c r="A690" s="154"/>
      <c r="B690" s="49"/>
      <c r="C690" s="49" t="s">
        <v>13</v>
      </c>
      <c r="D690" s="49"/>
      <c r="E690" s="9">
        <f>+G690-Adjustments!G690</f>
        <v>0</v>
      </c>
      <c r="F690" s="9">
        <f>EXPENSES!F181</f>
        <v>2960079.4000000004</v>
      </c>
      <c r="G690" s="9">
        <f>+Adjustments!U689</f>
        <v>0</v>
      </c>
      <c r="H690" s="9"/>
      <c r="I690" s="9">
        <f>SUM($F$690:$H$690)</f>
        <v>2960079.4000000004</v>
      </c>
      <c r="J690" s="9">
        <f>+I690-'ROR-Model'!I690</f>
        <v>0</v>
      </c>
      <c r="K690" s="9"/>
      <c r="L690" s="9" t="s">
        <v>13</v>
      </c>
      <c r="M690" s="9">
        <f>VLOOKUP($L690,$L$2:$N$7,2,FALSE)*I690</f>
        <v>2960079.4000000004</v>
      </c>
      <c r="N690" s="9">
        <f>VLOOKUP($L690,$L$2:$N$7,3,FALSE)*I690</f>
        <v>0</v>
      </c>
      <c r="O690" s="136"/>
      <c r="P690" s="216" t="s">
        <v>549</v>
      </c>
      <c r="Q690" s="9">
        <f>IF(P690="G",M690,IF(P690="PT",0,ERR))</f>
        <v>2960079.4000000004</v>
      </c>
      <c r="R690" s="9">
        <f>IF(P690="PT",M690,IF(P690="G",0,ERR))</f>
        <v>0</v>
      </c>
      <c r="S690" s="142" t="s">
        <v>549</v>
      </c>
      <c r="T690" s="9">
        <f>IF(S690="G",N690,IF(S690="PT",0,ERR))</f>
        <v>0</v>
      </c>
      <c r="U690" s="9">
        <f>IF(S690="PT",N690,IF(S690="G",0,ERR))</f>
        <v>0</v>
      </c>
      <c r="V690" s="140"/>
      <c r="W690" s="9">
        <f>HLOOKUP($W$9,'ROR-Model'!$Q$10:$U$1263,Y690)</f>
        <v>2960079.4000000004</v>
      </c>
      <c r="X690" s="156"/>
      <c r="Y690" s="918">
        <f t="shared" si="39"/>
        <v>681</v>
      </c>
      <c r="AA690" s="9">
        <v>0</v>
      </c>
      <c r="AC690" s="9" t="str">
        <f t="shared" si="40"/>
        <v/>
      </c>
      <c r="AE690" s="44" t="str">
        <f t="shared" si="41"/>
        <v/>
      </c>
    </row>
    <row r="691" spans="1:31">
      <c r="A691" s="154"/>
      <c r="B691" s="49"/>
      <c r="C691" s="49" t="s">
        <v>24</v>
      </c>
      <c r="D691" s="49"/>
      <c r="E691" s="9">
        <f>+G691-Adjustments!G691</f>
        <v>0</v>
      </c>
      <c r="F691" s="9">
        <f>EXPENSES!F182</f>
        <v>118847.07999999999</v>
      </c>
      <c r="G691" s="9">
        <f>+Adjustments!U690</f>
        <v>0</v>
      </c>
      <c r="H691" s="9"/>
      <c r="I691" s="9">
        <f>SUM($F$691:$H$691)</f>
        <v>118847.07999999999</v>
      </c>
      <c r="J691" s="9">
        <f>+I691-'ROR-Model'!I691</f>
        <v>0</v>
      </c>
      <c r="K691" s="9"/>
      <c r="L691" s="9" t="s">
        <v>24</v>
      </c>
      <c r="M691" s="9">
        <f>VLOOKUP($L691,$L$2:$N$7,2,FALSE)*I691</f>
        <v>0</v>
      </c>
      <c r="N691" s="9">
        <f>VLOOKUP($L691,$L$2:$N$7,3,FALSE)*I691</f>
        <v>118847.07999999999</v>
      </c>
      <c r="O691" s="136"/>
      <c r="P691" s="216" t="s">
        <v>549</v>
      </c>
      <c r="Q691" s="9">
        <f>IF(P691="G",M691,IF(P691="PT",0,ERR))</f>
        <v>0</v>
      </c>
      <c r="R691" s="9">
        <f>IF(P691="PT",M691,IF(P691="G",0,ERR))</f>
        <v>0</v>
      </c>
      <c r="S691" s="142" t="s">
        <v>549</v>
      </c>
      <c r="T691" s="9">
        <f>IF(S691="G",N691,IF(S691="PT",0,ERR))</f>
        <v>118847.07999999999</v>
      </c>
      <c r="U691" s="9">
        <f>IF(S691="PT",N691,IF(S691="G",0,ERR))</f>
        <v>0</v>
      </c>
      <c r="V691" s="140"/>
      <c r="W691" s="9">
        <f>HLOOKUP($W$9,'ROR-Model'!$Q$10:$U$1263,Y691)</f>
        <v>0</v>
      </c>
      <c r="X691" s="156"/>
      <c r="Y691" s="918">
        <f t="shared" si="39"/>
        <v>682</v>
      </c>
      <c r="AA691" s="9">
        <v>225985.44</v>
      </c>
      <c r="AC691" s="9">
        <f t="shared" si="40"/>
        <v>-225985.44</v>
      </c>
      <c r="AE691" s="44">
        <f t="shared" si="41"/>
        <v>-1</v>
      </c>
    </row>
    <row r="692" spans="1:31">
      <c r="A692" s="154"/>
      <c r="B692" s="49"/>
      <c r="C692" s="49" t="s">
        <v>160</v>
      </c>
      <c r="D692" s="49"/>
      <c r="E692" s="157">
        <f>+G692-Adjustments!G692</f>
        <v>0</v>
      </c>
      <c r="F692" s="157">
        <f>SUM(F690:F691)</f>
        <v>3078926.4800000004</v>
      </c>
      <c r="G692" s="157">
        <f>SUM(G690:G691)</f>
        <v>0</v>
      </c>
      <c r="H692" s="157">
        <f>SUM(H690:H691)</f>
        <v>0</v>
      </c>
      <c r="I692" s="157">
        <f>SUM(I690:I691)</f>
        <v>3078926.4800000004</v>
      </c>
      <c r="J692" s="9">
        <f>+I692-'ROR-Model'!I692</f>
        <v>0</v>
      </c>
      <c r="K692" s="9"/>
      <c r="L692" s="157"/>
      <c r="M692" s="157">
        <f>SUM(M690:M691)</f>
        <v>2960079.4000000004</v>
      </c>
      <c r="N692" s="157">
        <f>SUM(N690:N691)</f>
        <v>118847.07999999999</v>
      </c>
      <c r="O692" s="136"/>
      <c r="P692" s="226"/>
      <c r="Q692" s="157">
        <f>SUM(Q690:Q691)</f>
        <v>2960079.4000000004</v>
      </c>
      <c r="R692" s="157">
        <f>SUM(R690:R691)</f>
        <v>0</v>
      </c>
      <c r="S692" s="226"/>
      <c r="T692" s="157">
        <f>SUM(T690:T691)</f>
        <v>118847.07999999999</v>
      </c>
      <c r="U692" s="157">
        <f>SUM(U690:U691)</f>
        <v>0</v>
      </c>
      <c r="V692" s="140"/>
      <c r="W692" s="157">
        <f>HLOOKUP($W$9,'ROR-Model'!$Q$10:$U$1263,Y692)</f>
        <v>2960079.4000000004</v>
      </c>
      <c r="X692" s="156"/>
      <c r="Y692" s="918">
        <f t="shared" si="39"/>
        <v>683</v>
      </c>
      <c r="AA692" s="157">
        <v>225985.44</v>
      </c>
      <c r="AC692" s="157">
        <f t="shared" si="40"/>
        <v>2734093.9600000004</v>
      </c>
      <c r="AE692" s="44">
        <f t="shared" si="41"/>
        <v>12.098540330739894</v>
      </c>
    </row>
    <row r="693" spans="1:31">
      <c r="A693" s="154"/>
      <c r="B693" s="49"/>
      <c r="C693" s="49"/>
      <c r="D693" s="49"/>
      <c r="E693" s="9">
        <f>+G693-Adjustments!G693</f>
        <v>0</v>
      </c>
      <c r="F693" s="9"/>
      <c r="G693" s="9"/>
      <c r="H693" s="9"/>
      <c r="I693" s="9"/>
      <c r="J693" s="9">
        <f>+I693-'ROR-Model'!I693</f>
        <v>0</v>
      </c>
      <c r="K693" s="9"/>
      <c r="L693" s="9"/>
      <c r="M693" s="9"/>
      <c r="N693" s="9"/>
      <c r="O693" s="136"/>
      <c r="P693" s="142"/>
      <c r="Q693" s="9"/>
      <c r="R693" s="9"/>
      <c r="S693" s="142"/>
      <c r="T693" s="9"/>
      <c r="U693" s="9"/>
      <c r="V693" s="140"/>
      <c r="W693" s="9"/>
      <c r="X693" s="156"/>
      <c r="Y693" s="918">
        <f t="shared" si="39"/>
        <v>684</v>
      </c>
      <c r="AA693" s="9"/>
      <c r="AC693" s="9" t="str">
        <f t="shared" si="40"/>
        <v/>
      </c>
      <c r="AE693" s="44" t="str">
        <f t="shared" si="41"/>
        <v/>
      </c>
    </row>
    <row r="694" spans="1:31">
      <c r="A694" s="154">
        <v>880</v>
      </c>
      <c r="B694" s="49" t="s">
        <v>369</v>
      </c>
      <c r="C694" s="49"/>
      <c r="D694" s="49"/>
      <c r="E694" s="9">
        <f>+G694-Adjustments!G694</f>
        <v>0</v>
      </c>
      <c r="F694" s="9"/>
      <c r="G694" s="9"/>
      <c r="H694" s="9"/>
      <c r="I694" s="9"/>
      <c r="J694" s="9">
        <f>+I694-'ROR-Model'!I694</f>
        <v>0</v>
      </c>
      <c r="K694" s="9"/>
      <c r="L694" s="9"/>
      <c r="M694" s="9"/>
      <c r="N694" s="9"/>
      <c r="O694" s="136"/>
      <c r="P694" s="142"/>
      <c r="Q694" s="9"/>
      <c r="R694" s="9"/>
      <c r="S694" s="142"/>
      <c r="T694" s="9"/>
      <c r="U694" s="9"/>
      <c r="V694" s="140"/>
      <c r="W694" s="9"/>
      <c r="X694" s="156"/>
      <c r="Y694" s="918">
        <f t="shared" si="39"/>
        <v>685</v>
      </c>
      <c r="AA694" s="9"/>
      <c r="AC694" s="9" t="str">
        <f t="shared" si="40"/>
        <v/>
      </c>
      <c r="AE694" s="44" t="str">
        <f t="shared" si="41"/>
        <v/>
      </c>
    </row>
    <row r="695" spans="1:31">
      <c r="A695" s="154"/>
      <c r="B695" s="49"/>
      <c r="C695" s="49" t="s">
        <v>13</v>
      </c>
      <c r="D695" s="49"/>
      <c r="E695" s="9">
        <f>+G695-Adjustments!G695</f>
        <v>0</v>
      </c>
      <c r="F695" s="9">
        <f>EXPENSES!F186</f>
        <v>7913746.8099999987</v>
      </c>
      <c r="G695" s="9">
        <f>+Adjustments!U694</f>
        <v>0</v>
      </c>
      <c r="H695" s="9"/>
      <c r="I695" s="9">
        <f>SUM($F$695:$H$695)</f>
        <v>7913746.8099999987</v>
      </c>
      <c r="J695" s="9">
        <f>+I695-'ROR-Model'!I695</f>
        <v>0</v>
      </c>
      <c r="K695" s="9"/>
      <c r="L695" s="9" t="s">
        <v>13</v>
      </c>
      <c r="M695" s="9">
        <f>VLOOKUP($L695,$L$2:$N$7,2,FALSE)*I695</f>
        <v>7913746.8099999987</v>
      </c>
      <c r="N695" s="9">
        <f>VLOOKUP($L695,$L$2:$N$7,3,FALSE)*I695</f>
        <v>0</v>
      </c>
      <c r="O695" s="136"/>
      <c r="P695" s="216" t="s">
        <v>549</v>
      </c>
      <c r="Q695" s="9">
        <f>IF(P695="G",M695,IF(P695="PT",0,ERR))</f>
        <v>7913746.8099999987</v>
      </c>
      <c r="R695" s="9">
        <f>IF(P695="PT",M695,IF(P695="G",0,ERR))</f>
        <v>0</v>
      </c>
      <c r="S695" s="142" t="s">
        <v>549</v>
      </c>
      <c r="T695" s="9">
        <f>IF(S695="G",N695,IF(S695="PT",0,ERR))</f>
        <v>0</v>
      </c>
      <c r="U695" s="9">
        <f>IF(S695="PT",N695,IF(S695="G",0,ERR))</f>
        <v>0</v>
      </c>
      <c r="V695" s="140"/>
      <c r="W695" s="9">
        <f>HLOOKUP($W$9,'ROR-Model'!$Q$10:$U$1263,Y695)</f>
        <v>7913746.8099999987</v>
      </c>
      <c r="X695" s="156"/>
      <c r="Y695" s="918">
        <f t="shared" si="39"/>
        <v>686</v>
      </c>
      <c r="AA695" s="9">
        <v>0</v>
      </c>
      <c r="AC695" s="9" t="str">
        <f t="shared" si="40"/>
        <v/>
      </c>
      <c r="AE695" s="44" t="str">
        <f t="shared" si="41"/>
        <v/>
      </c>
    </row>
    <row r="696" spans="1:31">
      <c r="A696" s="154"/>
      <c r="B696" s="49"/>
      <c r="C696" s="49" t="s">
        <v>24</v>
      </c>
      <c r="D696" s="49"/>
      <c r="E696" s="9">
        <f>+G696-Adjustments!G696</f>
        <v>0</v>
      </c>
      <c r="F696" s="9">
        <f>EXPENSES!F187</f>
        <v>652900.72000000009</v>
      </c>
      <c r="G696" s="9">
        <f>+Adjustments!U695</f>
        <v>0</v>
      </c>
      <c r="H696" s="9"/>
      <c r="I696" s="9">
        <f>SUM($F$696:$H$696)</f>
        <v>652900.72000000009</v>
      </c>
      <c r="J696" s="9">
        <f>+I696-'ROR-Model'!I696</f>
        <v>0</v>
      </c>
      <c r="K696" s="9"/>
      <c r="L696" s="9" t="s">
        <v>24</v>
      </c>
      <c r="M696" s="9">
        <f>VLOOKUP($L696,$L$2:$N$7,2,FALSE)*I696</f>
        <v>0</v>
      </c>
      <c r="N696" s="9">
        <f>VLOOKUP($L696,$L$2:$N$7,3,FALSE)*I696</f>
        <v>652900.72000000009</v>
      </c>
      <c r="O696" s="136"/>
      <c r="P696" s="216" t="s">
        <v>549</v>
      </c>
      <c r="Q696" s="9">
        <f>IF(P696="G",M696,IF(P696="PT",0,ERR))</f>
        <v>0</v>
      </c>
      <c r="R696" s="9">
        <f>IF(P696="PT",M696,IF(P696="G",0,ERR))</f>
        <v>0</v>
      </c>
      <c r="S696" s="142" t="s">
        <v>549</v>
      </c>
      <c r="T696" s="9">
        <f>IF(S696="G",N696,IF(S696="PT",0,ERR))</f>
        <v>652900.72000000009</v>
      </c>
      <c r="U696" s="9">
        <f>IF(S696="PT",N696,IF(S696="G",0,ERR))</f>
        <v>0</v>
      </c>
      <c r="V696" s="140"/>
      <c r="W696" s="9">
        <f>HLOOKUP($W$9,'ROR-Model'!$Q$10:$U$1263,Y696)</f>
        <v>0</v>
      </c>
      <c r="X696" s="156"/>
      <c r="Y696" s="918">
        <f t="shared" si="39"/>
        <v>687</v>
      </c>
      <c r="AA696" s="9">
        <v>939691.3600000001</v>
      </c>
      <c r="AC696" s="9">
        <f t="shared" si="40"/>
        <v>-939691.3600000001</v>
      </c>
      <c r="AE696" s="44">
        <f t="shared" si="41"/>
        <v>-1</v>
      </c>
    </row>
    <row r="697" spans="1:31">
      <c r="A697" s="154"/>
      <c r="B697" s="49"/>
      <c r="C697" s="49" t="s">
        <v>160</v>
      </c>
      <c r="D697" s="49"/>
      <c r="E697" s="157">
        <f>+G697-Adjustments!G697</f>
        <v>0</v>
      </c>
      <c r="F697" s="157">
        <f>SUM(F695:F696)</f>
        <v>8566647.5299999993</v>
      </c>
      <c r="G697" s="157">
        <f>SUM(G695:G696)</f>
        <v>0</v>
      </c>
      <c r="H697" s="157">
        <f>SUM(H695:H696)</f>
        <v>0</v>
      </c>
      <c r="I697" s="157">
        <f>SUM(I695:I696)</f>
        <v>8566647.5299999993</v>
      </c>
      <c r="J697" s="9">
        <f>+I697-'ROR-Model'!I697</f>
        <v>0</v>
      </c>
      <c r="K697" s="9"/>
      <c r="L697" s="157"/>
      <c r="M697" s="157">
        <f>SUM(M695:M696)</f>
        <v>7913746.8099999987</v>
      </c>
      <c r="N697" s="157">
        <f>SUM(N695:N696)</f>
        <v>652900.72000000009</v>
      </c>
      <c r="O697" s="136"/>
      <c r="P697" s="226"/>
      <c r="Q697" s="157">
        <f>SUM(Q695:Q696)</f>
        <v>7913746.8099999987</v>
      </c>
      <c r="R697" s="157">
        <f>SUM(R695:R696)</f>
        <v>0</v>
      </c>
      <c r="S697" s="226"/>
      <c r="T697" s="157">
        <f>SUM(T695:T696)</f>
        <v>652900.72000000009</v>
      </c>
      <c r="U697" s="157">
        <f>SUM(U695:U696)</f>
        <v>0</v>
      </c>
      <c r="V697" s="140"/>
      <c r="W697" s="157">
        <f>HLOOKUP($W$9,'ROR-Model'!$Q$10:$U$1263,Y697)</f>
        <v>7913746.8099999987</v>
      </c>
      <c r="X697" s="156"/>
      <c r="Y697" s="918">
        <f t="shared" si="39"/>
        <v>688</v>
      </c>
      <c r="AA697" s="157">
        <v>939691.3600000001</v>
      </c>
      <c r="AC697" s="157">
        <f t="shared" si="40"/>
        <v>6974055.4499999983</v>
      </c>
      <c r="AE697" s="44">
        <f t="shared" si="41"/>
        <v>7.4216447515277757</v>
      </c>
    </row>
    <row r="698" spans="1:31">
      <c r="A698" s="154"/>
      <c r="B698" s="49"/>
      <c r="C698" s="49"/>
      <c r="D698" s="49"/>
      <c r="E698" s="9">
        <f>+G698-Adjustments!G698</f>
        <v>0</v>
      </c>
      <c r="F698" s="9"/>
      <c r="G698" s="9"/>
      <c r="H698" s="9"/>
      <c r="I698" s="9"/>
      <c r="J698" s="9">
        <f>+I698-'ROR-Model'!I698</f>
        <v>0</v>
      </c>
      <c r="K698" s="9"/>
      <c r="L698" s="9"/>
      <c r="M698" s="9"/>
      <c r="N698" s="9"/>
      <c r="O698" s="136"/>
      <c r="P698" s="142"/>
      <c r="Q698" s="9"/>
      <c r="R698" s="9"/>
      <c r="S698" s="142"/>
      <c r="T698" s="9"/>
      <c r="U698" s="9"/>
      <c r="V698" s="140"/>
      <c r="W698" s="9"/>
      <c r="X698" s="156"/>
      <c r="Y698" s="918">
        <f t="shared" si="39"/>
        <v>689</v>
      </c>
      <c r="AA698" s="9"/>
      <c r="AC698" s="9" t="str">
        <f t="shared" si="40"/>
        <v/>
      </c>
      <c r="AE698" s="44" t="str">
        <f t="shared" si="41"/>
        <v/>
      </c>
    </row>
    <row r="699" spans="1:31">
      <c r="A699" s="154">
        <v>881</v>
      </c>
      <c r="B699" s="49" t="s">
        <v>370</v>
      </c>
      <c r="C699" s="49"/>
      <c r="D699" s="49"/>
      <c r="E699" s="9">
        <f>+G699-Adjustments!G699</f>
        <v>0</v>
      </c>
      <c r="F699" s="9"/>
      <c r="G699" s="9"/>
      <c r="H699" s="9"/>
      <c r="I699" s="9"/>
      <c r="J699" s="9">
        <f>+I699-'ROR-Model'!I699</f>
        <v>0</v>
      </c>
      <c r="K699" s="9"/>
      <c r="L699" s="9"/>
      <c r="M699" s="9"/>
      <c r="N699" s="9"/>
      <c r="O699" s="136"/>
      <c r="P699" s="142"/>
      <c r="Q699" s="9"/>
      <c r="R699" s="9"/>
      <c r="S699" s="142"/>
      <c r="T699" s="9"/>
      <c r="U699" s="9"/>
      <c r="V699" s="140"/>
      <c r="W699" s="9"/>
      <c r="X699" s="156"/>
      <c r="Y699" s="918">
        <f t="shared" si="39"/>
        <v>690</v>
      </c>
      <c r="AA699" s="9"/>
      <c r="AC699" s="9" t="str">
        <f t="shared" si="40"/>
        <v/>
      </c>
      <c r="AE699" s="44" t="str">
        <f t="shared" si="41"/>
        <v/>
      </c>
    </row>
    <row r="700" spans="1:31">
      <c r="A700" s="154"/>
      <c r="B700" s="49"/>
      <c r="C700" s="49" t="s">
        <v>13</v>
      </c>
      <c r="D700" s="49"/>
      <c r="E700" s="9">
        <f>+G700-Adjustments!G700</f>
        <v>0</v>
      </c>
      <c r="F700" s="9">
        <f>EXPENSES!F191</f>
        <v>42721.05</v>
      </c>
      <c r="G700" s="9">
        <f>+Adjustments!U699</f>
        <v>0</v>
      </c>
      <c r="H700" s="9"/>
      <c r="I700" s="9">
        <f>SUM($F$700:$H$700)</f>
        <v>42721.05</v>
      </c>
      <c r="J700" s="9">
        <f>+I700-'ROR-Model'!I700</f>
        <v>0</v>
      </c>
      <c r="K700" s="9"/>
      <c r="L700" s="9" t="s">
        <v>13</v>
      </c>
      <c r="M700" s="9">
        <f>VLOOKUP($L700,$L$2:$N$7,2,FALSE)*I700</f>
        <v>42721.05</v>
      </c>
      <c r="N700" s="9">
        <f>VLOOKUP($L700,$L$2:$N$7,3,FALSE)*I700</f>
        <v>0</v>
      </c>
      <c r="O700" s="136"/>
      <c r="P700" s="216" t="s">
        <v>549</v>
      </c>
      <c r="Q700" s="9">
        <f>IF(P700="G",M700,IF(P700="PT",0,ERR))</f>
        <v>42721.05</v>
      </c>
      <c r="R700" s="9">
        <f>IF(P700="PT",M700,IF(P700="G",0,ERR))</f>
        <v>0</v>
      </c>
      <c r="S700" s="142" t="s">
        <v>549</v>
      </c>
      <c r="T700" s="9">
        <f>IF(S700="G",N700,IF(S700="PT",0,ERR))</f>
        <v>0</v>
      </c>
      <c r="U700" s="9">
        <f>IF(S700="PT",N700,IF(S700="G",0,ERR))</f>
        <v>0</v>
      </c>
      <c r="V700" s="140"/>
      <c r="W700" s="9">
        <f>HLOOKUP($W$9,'ROR-Model'!$Q$10:$U$1263,Y700)</f>
        <v>42721.05</v>
      </c>
      <c r="X700" s="156"/>
      <c r="Y700" s="918">
        <f t="shared" si="39"/>
        <v>691</v>
      </c>
      <c r="AA700" s="9">
        <v>0</v>
      </c>
      <c r="AC700" s="9" t="str">
        <f t="shared" si="40"/>
        <v/>
      </c>
      <c r="AE700" s="44" t="str">
        <f t="shared" si="41"/>
        <v/>
      </c>
    </row>
    <row r="701" spans="1:31">
      <c r="A701" s="154"/>
      <c r="B701" s="49"/>
      <c r="C701" s="49" t="s">
        <v>24</v>
      </c>
      <c r="D701" s="49"/>
      <c r="E701" s="9">
        <f>+G701-Adjustments!G701</f>
        <v>0</v>
      </c>
      <c r="F701" s="9">
        <f>EXPENSES!F192</f>
        <v>1403.7900000000002</v>
      </c>
      <c r="G701" s="9">
        <f>+Adjustments!U700</f>
        <v>0</v>
      </c>
      <c r="H701" s="9"/>
      <c r="I701" s="9">
        <f>SUM($F$701:$H$701)</f>
        <v>1403.7900000000002</v>
      </c>
      <c r="J701" s="9">
        <f>+I701-'ROR-Model'!I701</f>
        <v>0</v>
      </c>
      <c r="K701" s="9"/>
      <c r="L701" s="9" t="s">
        <v>24</v>
      </c>
      <c r="M701" s="9">
        <f>VLOOKUP($L701,$L$2:$N$7,2,FALSE)*I701</f>
        <v>0</v>
      </c>
      <c r="N701" s="9">
        <f>VLOOKUP($L701,$L$2:$N$7,3,FALSE)*I701</f>
        <v>1403.7900000000002</v>
      </c>
      <c r="O701" s="136"/>
      <c r="P701" s="216" t="s">
        <v>549</v>
      </c>
      <c r="Q701" s="9">
        <f>IF(P701="G",M701,IF(P701="PT",0,ERR))</f>
        <v>0</v>
      </c>
      <c r="R701" s="9">
        <f>IF(P701="PT",M701,IF(P701="G",0,ERR))</f>
        <v>0</v>
      </c>
      <c r="S701" s="142" t="s">
        <v>549</v>
      </c>
      <c r="T701" s="9">
        <f>IF(S701="G",N701,IF(S701="PT",0,ERR))</f>
        <v>1403.7900000000002</v>
      </c>
      <c r="U701" s="9">
        <f>IF(S701="PT",N701,IF(S701="G",0,ERR))</f>
        <v>0</v>
      </c>
      <c r="V701" s="140"/>
      <c r="W701" s="9">
        <f>HLOOKUP($W$9,'ROR-Model'!$Q$10:$U$1263,Y701)</f>
        <v>0</v>
      </c>
      <c r="X701" s="156"/>
      <c r="Y701" s="918">
        <f t="shared" si="39"/>
        <v>692</v>
      </c>
      <c r="AA701" s="9">
        <v>3842.0799999999995</v>
      </c>
      <c r="AC701" s="9">
        <f t="shared" si="40"/>
        <v>-3842.0799999999995</v>
      </c>
      <c r="AE701" s="44">
        <f t="shared" si="41"/>
        <v>-1</v>
      </c>
    </row>
    <row r="702" spans="1:31">
      <c r="A702" s="154"/>
      <c r="B702" s="49"/>
      <c r="C702" s="49" t="s">
        <v>160</v>
      </c>
      <c r="D702" s="49"/>
      <c r="E702" s="157">
        <f>+G702-Adjustments!G702</f>
        <v>0</v>
      </c>
      <c r="F702" s="157">
        <f>SUM(F700:F701)</f>
        <v>44124.840000000004</v>
      </c>
      <c r="G702" s="157">
        <f>SUM(G700:G701)</f>
        <v>0</v>
      </c>
      <c r="H702" s="157">
        <f>SUM(H700:H701)</f>
        <v>0</v>
      </c>
      <c r="I702" s="157">
        <f>SUM(I700:I701)</f>
        <v>44124.840000000004</v>
      </c>
      <c r="J702" s="9">
        <f>+I702-'ROR-Model'!I702</f>
        <v>0</v>
      </c>
      <c r="K702" s="9"/>
      <c r="L702" s="157"/>
      <c r="M702" s="157">
        <f>SUM(M700:M701)</f>
        <v>42721.05</v>
      </c>
      <c r="N702" s="157">
        <f>SUM(N700:N701)</f>
        <v>1403.7900000000002</v>
      </c>
      <c r="O702" s="136"/>
      <c r="P702" s="226"/>
      <c r="Q702" s="157">
        <f>SUM(Q700:Q701)</f>
        <v>42721.05</v>
      </c>
      <c r="R702" s="157">
        <f>SUM(R700:R701)</f>
        <v>0</v>
      </c>
      <c r="S702" s="226"/>
      <c r="T702" s="157">
        <f>SUM(T700:T701)</f>
        <v>1403.7900000000002</v>
      </c>
      <c r="U702" s="157">
        <f>SUM(U700:U701)</f>
        <v>0</v>
      </c>
      <c r="V702" s="140"/>
      <c r="W702" s="157">
        <f>HLOOKUP($W$9,'ROR-Model'!$Q$10:$U$1263,Y702)</f>
        <v>42721.05</v>
      </c>
      <c r="X702" s="156"/>
      <c r="Y702" s="918">
        <f t="shared" si="39"/>
        <v>693</v>
      </c>
      <c r="AA702" s="157">
        <v>3842.0799999999995</v>
      </c>
      <c r="AC702" s="157">
        <f t="shared" si="40"/>
        <v>38878.97</v>
      </c>
      <c r="AE702" s="44">
        <f t="shared" si="41"/>
        <v>10.119250510140342</v>
      </c>
    </row>
    <row r="703" spans="1:31">
      <c r="A703" s="154"/>
      <c r="B703" s="49"/>
      <c r="C703" s="49"/>
      <c r="D703" s="49"/>
      <c r="E703" s="9">
        <f>+G703-Adjustments!G703</f>
        <v>0</v>
      </c>
      <c r="F703" s="9"/>
      <c r="G703" s="9"/>
      <c r="H703" s="9"/>
      <c r="I703" s="9"/>
      <c r="J703" s="9">
        <f>+I703-'ROR-Model'!I703</f>
        <v>0</v>
      </c>
      <c r="K703" s="9"/>
      <c r="L703" s="9"/>
      <c r="M703" s="9"/>
      <c r="N703" s="9"/>
      <c r="O703" s="136"/>
      <c r="P703" s="142"/>
      <c r="Q703" s="9"/>
      <c r="R703" s="9"/>
      <c r="S703" s="142"/>
      <c r="T703" s="9"/>
      <c r="U703" s="9"/>
      <c r="V703" s="140"/>
      <c r="W703" s="9"/>
      <c r="X703" s="156"/>
      <c r="Y703" s="918">
        <f t="shared" si="39"/>
        <v>694</v>
      </c>
      <c r="AA703" s="9"/>
      <c r="AC703" s="9" t="str">
        <f t="shared" si="40"/>
        <v/>
      </c>
      <c r="AE703" s="44" t="str">
        <f t="shared" si="41"/>
        <v/>
      </c>
    </row>
    <row r="704" spans="1:31">
      <c r="A704" s="154">
        <v>885</v>
      </c>
      <c r="B704" s="49" t="s">
        <v>371</v>
      </c>
      <c r="C704" s="49"/>
      <c r="D704" s="49"/>
      <c r="E704" s="9">
        <f>+G704-Adjustments!G704</f>
        <v>0</v>
      </c>
      <c r="F704" s="9"/>
      <c r="G704" s="9"/>
      <c r="H704" s="9"/>
      <c r="I704" s="9"/>
      <c r="J704" s="9">
        <f>+I704-'ROR-Model'!I704</f>
        <v>0</v>
      </c>
      <c r="K704" s="9"/>
      <c r="L704" s="9"/>
      <c r="M704" s="9"/>
      <c r="N704" s="9"/>
      <c r="O704" s="136"/>
      <c r="P704" s="142"/>
      <c r="Q704" s="9"/>
      <c r="R704" s="9"/>
      <c r="S704" s="142"/>
      <c r="T704" s="9"/>
      <c r="U704" s="9"/>
      <c r="V704" s="140"/>
      <c r="W704" s="9"/>
      <c r="X704" s="156"/>
      <c r="Y704" s="918">
        <f t="shared" si="39"/>
        <v>695</v>
      </c>
      <c r="AA704" s="9"/>
      <c r="AC704" s="9" t="str">
        <f t="shared" si="40"/>
        <v/>
      </c>
      <c r="AE704" s="44" t="str">
        <f t="shared" si="41"/>
        <v/>
      </c>
    </row>
    <row r="705" spans="1:31">
      <c r="A705" s="154"/>
      <c r="B705" s="49"/>
      <c r="C705" s="49" t="s">
        <v>13</v>
      </c>
      <c r="D705" s="49"/>
      <c r="E705" s="9">
        <f>+G705-Adjustments!G705</f>
        <v>0</v>
      </c>
      <c r="F705" s="9">
        <f>EXPENSES!F196</f>
        <v>542083.92999999993</v>
      </c>
      <c r="G705" s="9">
        <f>+Adjustments!U704</f>
        <v>0</v>
      </c>
      <c r="H705" s="9"/>
      <c r="I705" s="9">
        <f>SUM($F$705:$H$705)</f>
        <v>542083.92999999993</v>
      </c>
      <c r="J705" s="9">
        <f>+I705-'ROR-Model'!I705</f>
        <v>0</v>
      </c>
      <c r="K705" s="9"/>
      <c r="L705" s="9" t="s">
        <v>13</v>
      </c>
      <c r="M705" s="9">
        <f>VLOOKUP($L705,$L$2:$N$7,2,FALSE)*I705</f>
        <v>542083.92999999993</v>
      </c>
      <c r="N705" s="9">
        <f>VLOOKUP($L705,$L$2:$N$7,3,FALSE)*I705</f>
        <v>0</v>
      </c>
      <c r="O705" s="136"/>
      <c r="P705" s="216" t="s">
        <v>549</v>
      </c>
      <c r="Q705" s="9">
        <f>IF(P705="G",M705,IF(P705="PT",0,ERR))</f>
        <v>542083.92999999993</v>
      </c>
      <c r="R705" s="9">
        <f>IF(P705="PT",M705,IF(P705="G",0,ERR))</f>
        <v>0</v>
      </c>
      <c r="S705" s="142" t="s">
        <v>549</v>
      </c>
      <c r="T705" s="9">
        <f>IF(S705="G",N705,IF(S705="PT",0,ERR))</f>
        <v>0</v>
      </c>
      <c r="U705" s="9">
        <f>IF(S705="PT",N705,IF(S705="G",0,ERR))</f>
        <v>0</v>
      </c>
      <c r="V705" s="140"/>
      <c r="W705" s="9">
        <f>HLOOKUP($W$9,'ROR-Model'!$Q$10:$U$1263,Y705)</f>
        <v>542083.92999999993</v>
      </c>
      <c r="X705" s="156"/>
      <c r="Y705" s="918">
        <f t="shared" si="39"/>
        <v>696</v>
      </c>
      <c r="AA705" s="9">
        <v>0</v>
      </c>
      <c r="AC705" s="9" t="str">
        <f t="shared" si="40"/>
        <v/>
      </c>
      <c r="AE705" s="44" t="str">
        <f t="shared" si="41"/>
        <v/>
      </c>
    </row>
    <row r="706" spans="1:31">
      <c r="A706" s="154"/>
      <c r="B706" s="49"/>
      <c r="C706" s="49" t="s">
        <v>24</v>
      </c>
      <c r="D706" s="49"/>
      <c r="E706" s="9">
        <f>+G706-Adjustments!G706</f>
        <v>0</v>
      </c>
      <c r="F706" s="9">
        <f>EXPENSES!F197</f>
        <v>16345.48</v>
      </c>
      <c r="G706" s="9">
        <f>+Adjustments!U705</f>
        <v>0</v>
      </c>
      <c r="H706" s="9"/>
      <c r="I706" s="9">
        <f>SUM($F$706:$H$706)</f>
        <v>16345.48</v>
      </c>
      <c r="J706" s="9">
        <f>+I706-'ROR-Model'!I706</f>
        <v>0</v>
      </c>
      <c r="K706" s="9"/>
      <c r="L706" s="9" t="s">
        <v>24</v>
      </c>
      <c r="M706" s="9">
        <f>VLOOKUP($L706,$L$2:$N$7,2,FALSE)*I706</f>
        <v>0</v>
      </c>
      <c r="N706" s="9">
        <f>VLOOKUP($L706,$L$2:$N$7,3,FALSE)*I706</f>
        <v>16345.48</v>
      </c>
      <c r="O706" s="136"/>
      <c r="P706" s="216" t="s">
        <v>549</v>
      </c>
      <c r="Q706" s="9">
        <f>IF(P706="G",M706,IF(P706="PT",0,ERR))</f>
        <v>0</v>
      </c>
      <c r="R706" s="9">
        <f>IF(P706="PT",M706,IF(P706="G",0,ERR))</f>
        <v>0</v>
      </c>
      <c r="S706" s="142" t="s">
        <v>549</v>
      </c>
      <c r="T706" s="9">
        <f>IF(S706="G",N706,IF(S706="PT",0,ERR))</f>
        <v>16345.48</v>
      </c>
      <c r="U706" s="9">
        <f>IF(S706="PT",N706,IF(S706="G",0,ERR))</f>
        <v>0</v>
      </c>
      <c r="V706" s="140"/>
      <c r="W706" s="9">
        <f>HLOOKUP($W$9,'ROR-Model'!$Q$10:$U$1263,Y706)</f>
        <v>0</v>
      </c>
      <c r="X706" s="156"/>
      <c r="Y706" s="918">
        <f t="shared" si="39"/>
        <v>697</v>
      </c>
      <c r="AA706" s="9">
        <v>21465.399999999998</v>
      </c>
      <c r="AC706" s="9">
        <f t="shared" si="40"/>
        <v>-21465.399999999998</v>
      </c>
      <c r="AE706" s="44">
        <f t="shared" si="41"/>
        <v>-1</v>
      </c>
    </row>
    <row r="707" spans="1:31">
      <c r="A707" s="154"/>
      <c r="B707" s="49"/>
      <c r="C707" s="49" t="s">
        <v>160</v>
      </c>
      <c r="D707" s="49"/>
      <c r="E707" s="157">
        <f>+G707-Adjustments!G707</f>
        <v>0</v>
      </c>
      <c r="F707" s="157">
        <f>SUM(F705:F706)</f>
        <v>558429.40999999992</v>
      </c>
      <c r="G707" s="157">
        <f>SUM(G705:G706)</f>
        <v>0</v>
      </c>
      <c r="H707" s="157">
        <f>SUM(H705:H706)</f>
        <v>0</v>
      </c>
      <c r="I707" s="157">
        <f>SUM(I705:I706)</f>
        <v>558429.40999999992</v>
      </c>
      <c r="J707" s="9">
        <f>+I707-'ROR-Model'!I707</f>
        <v>0</v>
      </c>
      <c r="K707" s="9"/>
      <c r="L707" s="157"/>
      <c r="M707" s="157">
        <f>SUM(M705:M706)</f>
        <v>542083.92999999993</v>
      </c>
      <c r="N707" s="157">
        <f>SUM(N705:N706)</f>
        <v>16345.48</v>
      </c>
      <c r="O707" s="136"/>
      <c r="P707" s="226"/>
      <c r="Q707" s="157">
        <f>SUM(Q705:Q706)</f>
        <v>542083.92999999993</v>
      </c>
      <c r="R707" s="157">
        <f>SUM(R705:R706)</f>
        <v>0</v>
      </c>
      <c r="S707" s="226"/>
      <c r="T707" s="157">
        <f>SUM(T705:T706)</f>
        <v>16345.48</v>
      </c>
      <c r="U707" s="157">
        <f>SUM(U705:U706)</f>
        <v>0</v>
      </c>
      <c r="V707" s="140"/>
      <c r="W707" s="157">
        <f>HLOOKUP($W$9,'ROR-Model'!$Q$10:$U$1263,Y707)</f>
        <v>542083.92999999993</v>
      </c>
      <c r="X707" s="156"/>
      <c r="Y707" s="918">
        <f t="shared" si="39"/>
        <v>698</v>
      </c>
      <c r="AA707" s="157">
        <v>21465.399999999998</v>
      </c>
      <c r="AC707" s="157">
        <f t="shared" si="40"/>
        <v>520618.52999999991</v>
      </c>
      <c r="AE707" s="44">
        <f t="shared" si="41"/>
        <v>24.253847121413994</v>
      </c>
    </row>
    <row r="708" spans="1:31">
      <c r="A708" s="154"/>
      <c r="B708" s="49"/>
      <c r="C708" s="49"/>
      <c r="D708" s="49"/>
      <c r="E708" s="9">
        <f>+G708-Adjustments!G708</f>
        <v>0</v>
      </c>
      <c r="F708" s="9"/>
      <c r="G708" s="9"/>
      <c r="H708" s="9"/>
      <c r="I708" s="9"/>
      <c r="J708" s="9">
        <f>+I708-'ROR-Model'!I708</f>
        <v>0</v>
      </c>
      <c r="K708" s="9"/>
      <c r="L708" s="9"/>
      <c r="M708" s="9"/>
      <c r="N708" s="9"/>
      <c r="O708" s="136"/>
      <c r="P708" s="142"/>
      <c r="Q708" s="9"/>
      <c r="R708" s="9"/>
      <c r="S708" s="142"/>
      <c r="T708" s="9"/>
      <c r="U708" s="9"/>
      <c r="V708" s="140"/>
      <c r="W708" s="9"/>
      <c r="X708" s="156"/>
      <c r="Y708" s="918">
        <f t="shared" si="39"/>
        <v>699</v>
      </c>
      <c r="AA708" s="9"/>
      <c r="AC708" s="9" t="str">
        <f t="shared" si="40"/>
        <v/>
      </c>
      <c r="AE708" s="44" t="str">
        <f t="shared" si="41"/>
        <v/>
      </c>
    </row>
    <row r="709" spans="1:31">
      <c r="A709" s="154">
        <v>886</v>
      </c>
      <c r="B709" s="49" t="s">
        <v>372</v>
      </c>
      <c r="C709" s="49"/>
      <c r="D709" s="49"/>
      <c r="E709" s="9">
        <f>+G709-Adjustments!G709</f>
        <v>0</v>
      </c>
      <c r="F709" s="9"/>
      <c r="G709" s="9"/>
      <c r="H709" s="9"/>
      <c r="I709" s="9"/>
      <c r="J709" s="9">
        <f>+I709-'ROR-Model'!I709</f>
        <v>0</v>
      </c>
      <c r="K709" s="9"/>
      <c r="L709" s="9"/>
      <c r="M709" s="9"/>
      <c r="N709" s="9"/>
      <c r="O709" s="136"/>
      <c r="P709" s="142"/>
      <c r="Q709" s="9"/>
      <c r="R709" s="9"/>
      <c r="S709" s="142"/>
      <c r="T709" s="9"/>
      <c r="U709" s="9"/>
      <c r="V709" s="140"/>
      <c r="W709" s="9"/>
      <c r="X709" s="156"/>
      <c r="Y709" s="918">
        <f t="shared" si="39"/>
        <v>700</v>
      </c>
      <c r="AA709" s="9"/>
      <c r="AC709" s="9" t="str">
        <f t="shared" si="40"/>
        <v/>
      </c>
      <c r="AE709" s="44" t="str">
        <f t="shared" si="41"/>
        <v/>
      </c>
    </row>
    <row r="710" spans="1:31">
      <c r="A710" s="154"/>
      <c r="B710" s="49"/>
      <c r="C710" s="113" t="s">
        <v>13</v>
      </c>
      <c r="D710" s="49"/>
      <c r="E710" s="9">
        <f>+G710-Adjustments!G710</f>
        <v>0</v>
      </c>
      <c r="F710" s="9">
        <f>EXPENSES!F201</f>
        <v>88322.179999999978</v>
      </c>
      <c r="G710" s="9">
        <f>+Adjustments!U709</f>
        <v>0</v>
      </c>
      <c r="H710" s="9"/>
      <c r="I710" s="9">
        <f>SUM($F$710:$H$710)</f>
        <v>88322.179999999978</v>
      </c>
      <c r="J710" s="9">
        <f>+I710-'ROR-Model'!I710</f>
        <v>0</v>
      </c>
      <c r="K710" s="9"/>
      <c r="L710" s="9" t="s">
        <v>13</v>
      </c>
      <c r="M710" s="9">
        <f>VLOOKUP($L710,$L$2:$N$7,2,FALSE)*I710</f>
        <v>88322.179999999978</v>
      </c>
      <c r="N710" s="9">
        <f>VLOOKUP($L710,$L$2:$N$7,3,FALSE)*I710</f>
        <v>0</v>
      </c>
      <c r="O710" s="136"/>
      <c r="P710" s="216" t="s">
        <v>549</v>
      </c>
      <c r="Q710" s="9">
        <f>IF(P710="G",M710,IF(P710="PT",0,ERR))</f>
        <v>88322.179999999978</v>
      </c>
      <c r="R710" s="9">
        <f>IF(P710="PT",M710,IF(P710="G",0,ERR))</f>
        <v>0</v>
      </c>
      <c r="S710" s="142" t="s">
        <v>549</v>
      </c>
      <c r="T710" s="9">
        <f>IF(S710="G",N710,IF(S710="PT",0,ERR))</f>
        <v>0</v>
      </c>
      <c r="U710" s="9">
        <f>IF(S710="PT",N710,IF(S710="G",0,ERR))</f>
        <v>0</v>
      </c>
      <c r="V710" s="140"/>
      <c r="W710" s="9">
        <f>HLOOKUP($W$9,'ROR-Model'!$Q$10:$U$1263,Y710)</f>
        <v>88322.179999999978</v>
      </c>
      <c r="X710" s="156"/>
      <c r="Y710" s="918">
        <f t="shared" si="39"/>
        <v>701</v>
      </c>
      <c r="AA710" s="9">
        <v>0</v>
      </c>
      <c r="AC710" s="9" t="str">
        <f t="shared" si="40"/>
        <v/>
      </c>
      <c r="AE710" s="44" t="str">
        <f t="shared" si="41"/>
        <v/>
      </c>
    </row>
    <row r="711" spans="1:31">
      <c r="A711" s="154"/>
      <c r="B711" s="49"/>
      <c r="C711" s="49" t="s">
        <v>24</v>
      </c>
      <c r="D711" s="49"/>
      <c r="E711" s="9">
        <f>+G711-Adjustments!G711</f>
        <v>0</v>
      </c>
      <c r="F711" s="9">
        <f>EXPENSES!F202</f>
        <v>2954.09</v>
      </c>
      <c r="G711" s="9">
        <f>+Adjustments!U710</f>
        <v>0</v>
      </c>
      <c r="H711" s="9"/>
      <c r="I711" s="9">
        <f>SUM($F$711:$H$711)</f>
        <v>2954.09</v>
      </c>
      <c r="J711" s="9">
        <f>+I711-'ROR-Model'!I711</f>
        <v>0</v>
      </c>
      <c r="K711" s="9"/>
      <c r="L711" s="9" t="s">
        <v>24</v>
      </c>
      <c r="M711" s="9">
        <f>VLOOKUP($L711,$L$2:$N$7,2,FALSE)*I711</f>
        <v>0</v>
      </c>
      <c r="N711" s="9">
        <f>VLOOKUP($L711,$L$2:$N$7,3,FALSE)*I711</f>
        <v>2954.09</v>
      </c>
      <c r="O711" s="136"/>
      <c r="P711" s="216" t="s">
        <v>549</v>
      </c>
      <c r="Q711" s="9">
        <f>IF(P711="G",M711,IF(P711="PT",0,ERR))</f>
        <v>0</v>
      </c>
      <c r="R711" s="9">
        <f>IF(P711="PT",M711,IF(P711="G",0,ERR))</f>
        <v>0</v>
      </c>
      <c r="S711" s="142" t="s">
        <v>549</v>
      </c>
      <c r="T711" s="9">
        <f>IF(S711="G",N711,IF(S711="PT",0,ERR))</f>
        <v>2954.09</v>
      </c>
      <c r="U711" s="9">
        <f>IF(S711="PT",N711,IF(S711="G",0,ERR))</f>
        <v>0</v>
      </c>
      <c r="V711" s="140"/>
      <c r="W711" s="9">
        <f>HLOOKUP($W$9,'ROR-Model'!$Q$10:$U$1263,Y711)</f>
        <v>0</v>
      </c>
      <c r="X711" s="156"/>
      <c r="Y711" s="918">
        <f t="shared" si="39"/>
        <v>702</v>
      </c>
      <c r="AA711" s="9">
        <v>2592.83</v>
      </c>
      <c r="AC711" s="9">
        <f t="shared" si="40"/>
        <v>-2592.83</v>
      </c>
      <c r="AE711" s="44">
        <f t="shared" si="41"/>
        <v>-1</v>
      </c>
    </row>
    <row r="712" spans="1:31">
      <c r="A712" s="154"/>
      <c r="B712" s="49"/>
      <c r="C712" s="49" t="s">
        <v>160</v>
      </c>
      <c r="D712" s="49"/>
      <c r="E712" s="157">
        <f>+G712-Adjustments!G712</f>
        <v>0</v>
      </c>
      <c r="F712" s="157">
        <f>SUM(F710:F711)</f>
        <v>91276.269999999975</v>
      </c>
      <c r="G712" s="157">
        <f>SUM(G710:G711)</f>
        <v>0</v>
      </c>
      <c r="H712" s="157">
        <f>SUM(H710:H711)</f>
        <v>0</v>
      </c>
      <c r="I712" s="157">
        <f>SUM(I710:I711)</f>
        <v>91276.269999999975</v>
      </c>
      <c r="J712" s="9">
        <f>+I712-'ROR-Model'!I712</f>
        <v>0</v>
      </c>
      <c r="K712" s="9"/>
      <c r="L712" s="157"/>
      <c r="M712" s="157">
        <f>SUM(M710:M711)</f>
        <v>88322.179999999978</v>
      </c>
      <c r="N712" s="157">
        <f>SUM(N710:N711)</f>
        <v>2954.09</v>
      </c>
      <c r="O712" s="136"/>
      <c r="P712" s="226"/>
      <c r="Q712" s="157">
        <f>SUM(Q710:Q711)</f>
        <v>88322.179999999978</v>
      </c>
      <c r="R712" s="157">
        <f>SUM(R710:R711)</f>
        <v>0</v>
      </c>
      <c r="S712" s="226"/>
      <c r="T712" s="157">
        <f>SUM(T710:T711)</f>
        <v>2954.09</v>
      </c>
      <c r="U712" s="157">
        <f>SUM(U710:U711)</f>
        <v>0</v>
      </c>
      <c r="V712" s="140"/>
      <c r="W712" s="157">
        <f>HLOOKUP($W$9,'ROR-Model'!$Q$10:$U$1263,Y712)</f>
        <v>88322.179999999978</v>
      </c>
      <c r="X712" s="156"/>
      <c r="Y712" s="918">
        <f t="shared" si="39"/>
        <v>703</v>
      </c>
      <c r="AA712" s="157">
        <v>2592.83</v>
      </c>
      <c r="AC712" s="157">
        <f t="shared" si="40"/>
        <v>85729.349999999977</v>
      </c>
      <c r="AE712" s="44">
        <f t="shared" si="41"/>
        <v>33.06400728161892</v>
      </c>
    </row>
    <row r="713" spans="1:31">
      <c r="A713" s="154"/>
      <c r="B713" s="49"/>
      <c r="C713" s="49"/>
      <c r="D713" s="49"/>
      <c r="E713" s="9">
        <f>+G713-Adjustments!G713</f>
        <v>0</v>
      </c>
      <c r="F713" s="9"/>
      <c r="G713" s="9"/>
      <c r="H713" s="9"/>
      <c r="I713" s="9"/>
      <c r="J713" s="9">
        <f>+I713-'ROR-Model'!I713</f>
        <v>0</v>
      </c>
      <c r="K713" s="9"/>
      <c r="L713" s="9"/>
      <c r="M713" s="9"/>
      <c r="N713" s="9"/>
      <c r="O713" s="136"/>
      <c r="P713" s="142"/>
      <c r="Q713" s="9"/>
      <c r="R713" s="9"/>
      <c r="S713" s="142"/>
      <c r="T713" s="9"/>
      <c r="U713" s="9"/>
      <c r="V713" s="140"/>
      <c r="W713" s="9"/>
      <c r="X713" s="156"/>
      <c r="Y713" s="918">
        <f t="shared" si="39"/>
        <v>704</v>
      </c>
      <c r="AA713" s="9"/>
      <c r="AC713" s="9" t="str">
        <f t="shared" si="40"/>
        <v/>
      </c>
      <c r="AE713" s="44" t="str">
        <f t="shared" si="41"/>
        <v/>
      </c>
    </row>
    <row r="714" spans="1:31">
      <c r="A714" s="154">
        <v>887</v>
      </c>
      <c r="B714" s="49" t="s">
        <v>373</v>
      </c>
      <c r="C714" s="49"/>
      <c r="D714" s="49"/>
      <c r="E714" s="9">
        <f>+G714-Adjustments!G714</f>
        <v>0</v>
      </c>
      <c r="F714" s="9"/>
      <c r="G714" s="9"/>
      <c r="H714" s="9"/>
      <c r="I714" s="9"/>
      <c r="J714" s="9">
        <f>+I714-'ROR-Model'!I714</f>
        <v>0</v>
      </c>
      <c r="K714" s="9"/>
      <c r="L714" s="9"/>
      <c r="M714" s="9"/>
      <c r="N714" s="9"/>
      <c r="O714" s="136"/>
      <c r="P714" s="142"/>
      <c r="Q714" s="9"/>
      <c r="R714" s="9"/>
      <c r="S714" s="142"/>
      <c r="T714" s="9"/>
      <c r="U714" s="9"/>
      <c r="V714" s="140"/>
      <c r="W714" s="9"/>
      <c r="X714" s="156"/>
      <c r="Y714" s="918">
        <f t="shared" si="39"/>
        <v>705</v>
      </c>
      <c r="AA714" s="9"/>
      <c r="AC714" s="9" t="str">
        <f t="shared" si="40"/>
        <v/>
      </c>
      <c r="AE714" s="44" t="str">
        <f t="shared" si="41"/>
        <v/>
      </c>
    </row>
    <row r="715" spans="1:31">
      <c r="A715" s="154"/>
      <c r="B715" s="49"/>
      <c r="C715" s="49" t="s">
        <v>13</v>
      </c>
      <c r="D715" s="49"/>
      <c r="E715" s="9">
        <f>+G715-Adjustments!G715</f>
        <v>0</v>
      </c>
      <c r="F715" s="9">
        <f>EXPENSES!F206</f>
        <v>8401730.8399999999</v>
      </c>
      <c r="G715" s="9">
        <f>+Adjustments!U714</f>
        <v>0</v>
      </c>
      <c r="H715" s="9"/>
      <c r="I715" s="9">
        <f>SUM($F$715:$H$715)</f>
        <v>8401730.8399999999</v>
      </c>
      <c r="J715" s="9">
        <f>+I715-'ROR-Model'!I715</f>
        <v>0</v>
      </c>
      <c r="K715" s="9"/>
      <c r="L715" s="9" t="s">
        <v>13</v>
      </c>
      <c r="M715" s="9">
        <f>VLOOKUP($L715,$L$2:$N$7,2,FALSE)*I715</f>
        <v>8401730.8399999999</v>
      </c>
      <c r="N715" s="9">
        <f>VLOOKUP($L715,$L$2:$N$7,3,FALSE)*I715</f>
        <v>0</v>
      </c>
      <c r="O715" s="136"/>
      <c r="P715" s="216" t="s">
        <v>549</v>
      </c>
      <c r="Q715" s="9">
        <f>IF(P715="G",M715,IF(P715="PT",0,ERR))</f>
        <v>8401730.8399999999</v>
      </c>
      <c r="R715" s="9">
        <f>IF(P715="PT",M715,IF(P715="G",0,ERR))</f>
        <v>0</v>
      </c>
      <c r="S715" s="142" t="s">
        <v>549</v>
      </c>
      <c r="T715" s="9">
        <f>IF(S715="G",N715,IF(S715="PT",0,ERR))</f>
        <v>0</v>
      </c>
      <c r="U715" s="9">
        <f>IF(S715="PT",N715,IF(S715="G",0,ERR))</f>
        <v>0</v>
      </c>
      <c r="V715" s="140"/>
      <c r="W715" s="9">
        <f>HLOOKUP($W$9,'ROR-Model'!$Q$10:$U$1263,Y715)</f>
        <v>8401730.8399999999</v>
      </c>
      <c r="X715" s="156"/>
      <c r="Y715" s="918">
        <f t="shared" si="39"/>
        <v>706</v>
      </c>
      <c r="AA715" s="9">
        <v>0</v>
      </c>
      <c r="AC715" s="9" t="str">
        <f t="shared" si="40"/>
        <v/>
      </c>
      <c r="AE715" s="44" t="str">
        <f t="shared" si="41"/>
        <v/>
      </c>
    </row>
    <row r="716" spans="1:31">
      <c r="A716" s="154"/>
      <c r="B716" s="49"/>
      <c r="C716" s="49" t="s">
        <v>24</v>
      </c>
      <c r="D716" s="49"/>
      <c r="E716" s="9">
        <f>+G716-Adjustments!G716</f>
        <v>0</v>
      </c>
      <c r="F716" s="9">
        <f>EXPENSES!F207</f>
        <v>133672.81999999998</v>
      </c>
      <c r="G716" s="9">
        <f>+Adjustments!U715</f>
        <v>0</v>
      </c>
      <c r="H716" s="9"/>
      <c r="I716" s="9">
        <f>SUM($F$716:$H$716)</f>
        <v>133672.81999999998</v>
      </c>
      <c r="J716" s="9">
        <f>+I716-'ROR-Model'!I716</f>
        <v>0</v>
      </c>
      <c r="K716" s="9"/>
      <c r="L716" s="9" t="s">
        <v>24</v>
      </c>
      <c r="M716" s="9">
        <f>VLOOKUP($L716,$L$2:$N$7,2,FALSE)*I716</f>
        <v>0</v>
      </c>
      <c r="N716" s="9">
        <f>VLOOKUP($L716,$L$2:$N$7,3,FALSE)*I716</f>
        <v>133672.81999999998</v>
      </c>
      <c r="O716" s="136"/>
      <c r="P716" s="216" t="s">
        <v>549</v>
      </c>
      <c r="Q716" s="9">
        <f>IF(P716="G",M716,IF(P716="PT",0,ERR))</f>
        <v>0</v>
      </c>
      <c r="R716" s="9">
        <f>IF(P716="PT",M716,IF(P716="G",0,ERR))</f>
        <v>0</v>
      </c>
      <c r="S716" s="142" t="s">
        <v>549</v>
      </c>
      <c r="T716" s="9">
        <f>IF(S716="G",N716,IF(S716="PT",0,ERR))</f>
        <v>133672.81999999998</v>
      </c>
      <c r="U716" s="9">
        <f>IF(S716="PT",N716,IF(S716="G",0,ERR))</f>
        <v>0</v>
      </c>
      <c r="V716" s="140"/>
      <c r="W716" s="9">
        <f>HLOOKUP($W$9,'ROR-Model'!$Q$10:$U$1263,Y716)</f>
        <v>0</v>
      </c>
      <c r="X716" s="156"/>
      <c r="Y716" s="918">
        <f t="shared" si="39"/>
        <v>707</v>
      </c>
      <c r="AA716" s="9">
        <v>141136.25</v>
      </c>
      <c r="AC716" s="9">
        <f t="shared" si="40"/>
        <v>-141136.25</v>
      </c>
      <c r="AE716" s="44">
        <f t="shared" si="41"/>
        <v>-1</v>
      </c>
    </row>
    <row r="717" spans="1:31">
      <c r="A717" s="154"/>
      <c r="B717" s="49"/>
      <c r="C717" s="49" t="s">
        <v>160</v>
      </c>
      <c r="D717" s="49"/>
      <c r="E717" s="157">
        <f>+G717-Adjustments!G717</f>
        <v>0</v>
      </c>
      <c r="F717" s="157">
        <f>SUM(F715:F716)</f>
        <v>8535403.6600000001</v>
      </c>
      <c r="G717" s="157">
        <f>SUM(G715:G716)</f>
        <v>0</v>
      </c>
      <c r="H717" s="157">
        <f>SUM(H715:H716)</f>
        <v>0</v>
      </c>
      <c r="I717" s="157">
        <f>SUM(I715:I716)</f>
        <v>8535403.6600000001</v>
      </c>
      <c r="J717" s="9">
        <f>+I717-'ROR-Model'!I717</f>
        <v>0</v>
      </c>
      <c r="K717" s="9"/>
      <c r="L717" s="157"/>
      <c r="M717" s="157">
        <f>SUM(M715:M716)</f>
        <v>8401730.8399999999</v>
      </c>
      <c r="N717" s="157">
        <f>SUM(N715:N716)</f>
        <v>133672.81999999998</v>
      </c>
      <c r="O717" s="136"/>
      <c r="P717" s="226"/>
      <c r="Q717" s="157">
        <f>SUM(Q715:Q716)</f>
        <v>8401730.8399999999</v>
      </c>
      <c r="R717" s="157">
        <f>SUM(R715:R716)</f>
        <v>0</v>
      </c>
      <c r="S717" s="226"/>
      <c r="T717" s="157">
        <f>SUM(T715:T716)</f>
        <v>133672.81999999998</v>
      </c>
      <c r="U717" s="157">
        <f>SUM(U715:U716)</f>
        <v>0</v>
      </c>
      <c r="V717" s="140"/>
      <c r="W717" s="157">
        <f>HLOOKUP($W$9,'ROR-Model'!$Q$10:$U$1263,Y717)</f>
        <v>8401730.8399999999</v>
      </c>
      <c r="X717" s="156"/>
      <c r="Y717" s="918">
        <f t="shared" si="39"/>
        <v>708</v>
      </c>
      <c r="AA717" s="157">
        <v>141136.25</v>
      </c>
      <c r="AC717" s="157">
        <f t="shared" si="40"/>
        <v>8260594.5899999999</v>
      </c>
      <c r="AE717" s="44">
        <f t="shared" si="41"/>
        <v>58.529219743333122</v>
      </c>
    </row>
    <row r="718" spans="1:31">
      <c r="A718" s="154"/>
      <c r="B718" s="49"/>
      <c r="C718" s="49"/>
      <c r="D718" s="49"/>
      <c r="E718" s="9">
        <f>+G718-Adjustments!G718</f>
        <v>0</v>
      </c>
      <c r="F718" s="9"/>
      <c r="G718" s="9"/>
      <c r="H718" s="9"/>
      <c r="I718" s="9"/>
      <c r="J718" s="9">
        <f>+I718-'ROR-Model'!I718</f>
        <v>0</v>
      </c>
      <c r="K718" s="9"/>
      <c r="L718" s="9"/>
      <c r="M718" s="9"/>
      <c r="N718" s="9"/>
      <c r="O718" s="136"/>
      <c r="P718" s="142"/>
      <c r="Q718" s="9"/>
      <c r="R718" s="9"/>
      <c r="S718" s="142"/>
      <c r="T718" s="9"/>
      <c r="U718" s="9"/>
      <c r="V718" s="140"/>
      <c r="W718" s="9"/>
      <c r="X718" s="156"/>
      <c r="Y718" s="918">
        <f t="shared" ref="Y718:Y781" si="42">Y717+1</f>
        <v>709</v>
      </c>
      <c r="AA718" s="9"/>
      <c r="AC718" s="9" t="str">
        <f t="shared" si="40"/>
        <v/>
      </c>
      <c r="AE718" s="44" t="str">
        <f t="shared" si="41"/>
        <v/>
      </c>
    </row>
    <row r="719" spans="1:31">
      <c r="A719" s="154">
        <v>888</v>
      </c>
      <c r="B719" s="49" t="s">
        <v>374</v>
      </c>
      <c r="C719" s="49"/>
      <c r="D719" s="49"/>
      <c r="E719" s="9">
        <f>+G719-Adjustments!G719</f>
        <v>0</v>
      </c>
      <c r="F719" s="9"/>
      <c r="G719" s="9"/>
      <c r="H719" s="9"/>
      <c r="I719" s="9"/>
      <c r="J719" s="9">
        <f>+I719-'ROR-Model'!I719</f>
        <v>0</v>
      </c>
      <c r="K719" s="9"/>
      <c r="L719" s="9"/>
      <c r="M719" s="9"/>
      <c r="N719" s="9"/>
      <c r="O719" s="136"/>
      <c r="P719" s="142"/>
      <c r="Q719" s="9"/>
      <c r="R719" s="9"/>
      <c r="S719" s="142"/>
      <c r="T719" s="9"/>
      <c r="U719" s="9"/>
      <c r="V719" s="140"/>
      <c r="W719" s="9"/>
      <c r="X719" s="156"/>
      <c r="Y719" s="918">
        <f t="shared" si="42"/>
        <v>710</v>
      </c>
      <c r="AA719" s="9"/>
      <c r="AC719" s="9" t="str">
        <f t="shared" si="40"/>
        <v/>
      </c>
      <c r="AE719" s="44" t="str">
        <f t="shared" si="41"/>
        <v/>
      </c>
    </row>
    <row r="720" spans="1:31">
      <c r="A720" s="154"/>
      <c r="B720" s="49"/>
      <c r="C720" s="49" t="s">
        <v>13</v>
      </c>
      <c r="D720" s="49"/>
      <c r="E720" s="9">
        <f>+G720-Adjustments!G720</f>
        <v>0</v>
      </c>
      <c r="F720" s="9">
        <f>EXPENSES!F211</f>
        <v>973056.72</v>
      </c>
      <c r="G720" s="9">
        <f>+Adjustments!U719</f>
        <v>0</v>
      </c>
      <c r="H720" s="9"/>
      <c r="I720" s="9">
        <f>SUM($F$720:$H$720)</f>
        <v>973056.72</v>
      </c>
      <c r="J720" s="9">
        <f>+I720-'ROR-Model'!I720</f>
        <v>0</v>
      </c>
      <c r="K720" s="9"/>
      <c r="L720" s="9" t="s">
        <v>13</v>
      </c>
      <c r="M720" s="9">
        <f>VLOOKUP($L720,$L$2:$N$7,2,FALSE)*I720</f>
        <v>973056.72</v>
      </c>
      <c r="N720" s="9">
        <f>VLOOKUP($L720,$L$2:$N$7,3,FALSE)*I720</f>
        <v>0</v>
      </c>
      <c r="O720" s="136"/>
      <c r="P720" s="216" t="s">
        <v>549</v>
      </c>
      <c r="Q720" s="9">
        <f>IF(P720="G",M720,IF(P720="PT",0,ERR))</f>
        <v>973056.72</v>
      </c>
      <c r="R720" s="9">
        <f>IF(P720="PT",M720,IF(P720="G",0,ERR))</f>
        <v>0</v>
      </c>
      <c r="S720" s="142" t="s">
        <v>549</v>
      </c>
      <c r="T720" s="9">
        <f>IF(S720="G",N720,IF(S720="PT",0,ERR))</f>
        <v>0</v>
      </c>
      <c r="U720" s="9">
        <f>IF(S720="PT",N720,IF(S720="G",0,ERR))</f>
        <v>0</v>
      </c>
      <c r="V720" s="140"/>
      <c r="W720" s="9">
        <f>HLOOKUP($W$9,'ROR-Model'!$Q$10:$U$1263,Y720)</f>
        <v>973056.72</v>
      </c>
      <c r="X720" s="156"/>
      <c r="Y720" s="918">
        <f t="shared" si="42"/>
        <v>711</v>
      </c>
      <c r="AA720" s="9">
        <v>0</v>
      </c>
      <c r="AC720" s="9" t="str">
        <f t="shared" si="40"/>
        <v/>
      </c>
      <c r="AE720" s="44" t="str">
        <f t="shared" si="41"/>
        <v/>
      </c>
    </row>
    <row r="721" spans="1:31">
      <c r="A721" s="154"/>
      <c r="B721" s="49"/>
      <c r="C721" s="49" t="s">
        <v>24</v>
      </c>
      <c r="D721" s="49"/>
      <c r="E721" s="9">
        <f>+G721-Adjustments!G721</f>
        <v>0</v>
      </c>
      <c r="F721" s="9">
        <f>EXPENSES!F212</f>
        <v>102474.85</v>
      </c>
      <c r="G721" s="9">
        <f>+Adjustments!U720</f>
        <v>0</v>
      </c>
      <c r="H721" s="9"/>
      <c r="I721" s="9">
        <f>SUM($F$721:$H$721)</f>
        <v>102474.85</v>
      </c>
      <c r="J721" s="9">
        <f>+I721-'ROR-Model'!I721</f>
        <v>0</v>
      </c>
      <c r="K721" s="9"/>
      <c r="L721" s="9" t="s">
        <v>24</v>
      </c>
      <c r="M721" s="9">
        <f>VLOOKUP($L721,$L$2:$N$7,2,FALSE)*I721</f>
        <v>0</v>
      </c>
      <c r="N721" s="9">
        <f>VLOOKUP($L721,$L$2:$N$7,3,FALSE)*I721</f>
        <v>102474.85</v>
      </c>
      <c r="O721" s="136"/>
      <c r="P721" s="216" t="s">
        <v>549</v>
      </c>
      <c r="Q721" s="9">
        <f>IF(P721="G",M721,IF(P721="PT",0,ERR))</f>
        <v>0</v>
      </c>
      <c r="R721" s="9">
        <f>IF(P721="PT",M721,IF(P721="G",0,ERR))</f>
        <v>0</v>
      </c>
      <c r="S721" s="142" t="s">
        <v>549</v>
      </c>
      <c r="T721" s="9">
        <f>IF(S721="G",N721,IF(S721="PT",0,ERR))</f>
        <v>102474.85</v>
      </c>
      <c r="U721" s="9">
        <f>IF(S721="PT",N721,IF(S721="G",0,ERR))</f>
        <v>0</v>
      </c>
      <c r="V721" s="140"/>
      <c r="W721" s="9">
        <f>HLOOKUP($W$9,'ROR-Model'!$Q$10:$U$1263,Y721)</f>
        <v>0</v>
      </c>
      <c r="X721" s="156"/>
      <c r="Y721" s="918">
        <f t="shared" si="42"/>
        <v>712</v>
      </c>
      <c r="AA721" s="9">
        <v>161918.90000000002</v>
      </c>
      <c r="AC721" s="9">
        <f t="shared" ref="AC721:AC784" si="43">IF(ABS(AA721)&gt;0,W721-AA721,"")</f>
        <v>-161918.90000000002</v>
      </c>
      <c r="AE721" s="44">
        <f t="shared" si="41"/>
        <v>-1</v>
      </c>
    </row>
    <row r="722" spans="1:31">
      <c r="A722" s="154"/>
      <c r="B722" s="49"/>
      <c r="C722" s="49" t="s">
        <v>160</v>
      </c>
      <c r="D722" s="49"/>
      <c r="E722" s="157">
        <f>+G722-Adjustments!G722</f>
        <v>0</v>
      </c>
      <c r="F722" s="157">
        <f>SUM(F720:F721)</f>
        <v>1075531.57</v>
      </c>
      <c r="G722" s="157">
        <f>SUM(G720:G721)</f>
        <v>0</v>
      </c>
      <c r="H722" s="157">
        <f>SUM(H720:H721)</f>
        <v>0</v>
      </c>
      <c r="I722" s="157">
        <f>SUM(I720:I721)</f>
        <v>1075531.57</v>
      </c>
      <c r="J722" s="9">
        <f>+I722-'ROR-Model'!I722</f>
        <v>0</v>
      </c>
      <c r="K722" s="9"/>
      <c r="L722" s="157"/>
      <c r="M722" s="157">
        <f>SUM(M720:M721)</f>
        <v>973056.72</v>
      </c>
      <c r="N722" s="157">
        <f>SUM(N720:N721)</f>
        <v>102474.85</v>
      </c>
      <c r="O722" s="136"/>
      <c r="P722" s="226"/>
      <c r="Q722" s="157">
        <f>SUM(Q720:Q721)</f>
        <v>973056.72</v>
      </c>
      <c r="R722" s="157">
        <f>SUM(R720:R721)</f>
        <v>0</v>
      </c>
      <c r="S722" s="226"/>
      <c r="T722" s="157">
        <f>SUM(T720:T721)</f>
        <v>102474.85</v>
      </c>
      <c r="U722" s="157">
        <f>SUM(U720:U721)</f>
        <v>0</v>
      </c>
      <c r="V722" s="140"/>
      <c r="W722" s="157">
        <f>HLOOKUP($W$9,'ROR-Model'!$Q$10:$U$1263,Y722)</f>
        <v>973056.72</v>
      </c>
      <c r="X722" s="156"/>
      <c r="Y722" s="918">
        <f t="shared" si="42"/>
        <v>713</v>
      </c>
      <c r="AA722" s="157">
        <v>161918.90000000002</v>
      </c>
      <c r="AC722" s="157">
        <f t="shared" si="43"/>
        <v>811137.82</v>
      </c>
      <c r="AE722" s="44">
        <f t="shared" ref="AE722:AE785" si="44">IF(ABS(AA722)&gt;0,AC722/AA722,"")</f>
        <v>5.0095314382694038</v>
      </c>
    </row>
    <row r="723" spans="1:31">
      <c r="A723" s="154"/>
      <c r="B723" s="49"/>
      <c r="C723" s="49"/>
      <c r="D723" s="49"/>
      <c r="E723" s="9">
        <f>+G723-Adjustments!G723</f>
        <v>0</v>
      </c>
      <c r="F723" s="9"/>
      <c r="G723" s="9"/>
      <c r="H723" s="9"/>
      <c r="I723" s="9"/>
      <c r="J723" s="9">
        <f>+I723-'ROR-Model'!I723</f>
        <v>0</v>
      </c>
      <c r="K723" s="9"/>
      <c r="L723" s="9"/>
      <c r="M723" s="9"/>
      <c r="N723" s="9"/>
      <c r="O723" s="136"/>
      <c r="P723" s="142"/>
      <c r="Q723" s="9"/>
      <c r="R723" s="9"/>
      <c r="S723" s="142"/>
      <c r="T723" s="9"/>
      <c r="U723" s="9"/>
      <c r="V723" s="140"/>
      <c r="W723" s="9"/>
      <c r="X723" s="156"/>
      <c r="Y723" s="918">
        <f t="shared" si="42"/>
        <v>714</v>
      </c>
      <c r="AA723" s="9"/>
      <c r="AC723" s="9" t="str">
        <f t="shared" si="43"/>
        <v/>
      </c>
      <c r="AE723" s="44" t="str">
        <f t="shared" si="44"/>
        <v/>
      </c>
    </row>
    <row r="724" spans="1:31">
      <c r="A724" s="154">
        <v>889</v>
      </c>
      <c r="B724" s="49" t="s">
        <v>375</v>
      </c>
      <c r="C724" s="49"/>
      <c r="D724" s="49"/>
      <c r="E724" s="9">
        <f>+G724-Adjustments!G724</f>
        <v>0</v>
      </c>
      <c r="F724" s="9"/>
      <c r="G724" s="9"/>
      <c r="H724" s="9"/>
      <c r="I724" s="9"/>
      <c r="J724" s="9">
        <f>+I724-'ROR-Model'!I724</f>
        <v>0</v>
      </c>
      <c r="K724" s="9"/>
      <c r="L724" s="9"/>
      <c r="M724" s="9"/>
      <c r="N724" s="9"/>
      <c r="O724" s="136"/>
      <c r="P724" s="142"/>
      <c r="Q724" s="9"/>
      <c r="R724" s="9"/>
      <c r="S724" s="142"/>
      <c r="T724" s="9"/>
      <c r="U724" s="9"/>
      <c r="V724" s="140"/>
      <c r="W724" s="9"/>
      <c r="X724" s="156"/>
      <c r="Y724" s="918">
        <f t="shared" si="42"/>
        <v>715</v>
      </c>
      <c r="AA724" s="9"/>
      <c r="AC724" s="9" t="str">
        <f t="shared" si="43"/>
        <v/>
      </c>
      <c r="AE724" s="44" t="str">
        <f t="shared" si="44"/>
        <v/>
      </c>
    </row>
    <row r="725" spans="1:31">
      <c r="A725" s="154"/>
      <c r="B725" s="49"/>
      <c r="C725" s="49" t="s">
        <v>13</v>
      </c>
      <c r="D725" s="49"/>
      <c r="E725" s="9">
        <f>+G725-Adjustments!G725</f>
        <v>0</v>
      </c>
      <c r="F725" s="9">
        <f>EXPENSES!F216</f>
        <v>89094.399999999994</v>
      </c>
      <c r="G725" s="9">
        <f>+Adjustments!U724</f>
        <v>0</v>
      </c>
      <c r="H725" s="9"/>
      <c r="I725" s="9">
        <f>SUM($F$725:$H$725)</f>
        <v>89094.399999999994</v>
      </c>
      <c r="J725" s="9">
        <f>+I725-'ROR-Model'!I725</f>
        <v>0</v>
      </c>
      <c r="K725" s="9"/>
      <c r="L725" s="9" t="s">
        <v>13</v>
      </c>
      <c r="M725" s="9">
        <f>VLOOKUP($L725,$L$2:$N$7,2,FALSE)*I725</f>
        <v>89094.399999999994</v>
      </c>
      <c r="N725" s="9">
        <f>VLOOKUP($L725,$L$2:$N$7,3,FALSE)*I725</f>
        <v>0</v>
      </c>
      <c r="O725" s="136"/>
      <c r="P725" s="216" t="s">
        <v>549</v>
      </c>
      <c r="Q725" s="9">
        <f>IF(P725="G",M725,IF(P725="PT",0,ERR))</f>
        <v>89094.399999999994</v>
      </c>
      <c r="R725" s="9">
        <f>IF(P725="PT",M725,IF(P725="G",0,ERR))</f>
        <v>0</v>
      </c>
      <c r="S725" s="142" t="s">
        <v>549</v>
      </c>
      <c r="T725" s="9">
        <f>IF(S725="G",N725,IF(S725="PT",0,ERR))</f>
        <v>0</v>
      </c>
      <c r="U725" s="9">
        <f>IF(S725="PT",N725,IF(S725="G",0,ERR))</f>
        <v>0</v>
      </c>
      <c r="V725" s="140"/>
      <c r="W725" s="9">
        <f>HLOOKUP($W$9,'ROR-Model'!$Q$10:$U$1263,Y725)</f>
        <v>89094.399999999994</v>
      </c>
      <c r="X725" s="156"/>
      <c r="Y725" s="918">
        <f t="shared" si="42"/>
        <v>716</v>
      </c>
      <c r="AA725" s="9">
        <v>0</v>
      </c>
      <c r="AC725" s="9" t="str">
        <f t="shared" si="43"/>
        <v/>
      </c>
      <c r="AE725" s="44" t="str">
        <f t="shared" si="44"/>
        <v/>
      </c>
    </row>
    <row r="726" spans="1:31">
      <c r="A726" s="154"/>
      <c r="B726" s="49"/>
      <c r="C726" s="49" t="s">
        <v>24</v>
      </c>
      <c r="D726" s="49"/>
      <c r="E726" s="9">
        <f>+G726-Adjustments!G726</f>
        <v>0</v>
      </c>
      <c r="F726" s="9">
        <f>EXPENSES!F217</f>
        <v>81722.52</v>
      </c>
      <c r="G726" s="9">
        <f>+Adjustments!U725</f>
        <v>0</v>
      </c>
      <c r="H726" s="9"/>
      <c r="I726" s="9">
        <f>SUM($F$726:$H$726)</f>
        <v>81722.52</v>
      </c>
      <c r="J726" s="9">
        <f>+I726-'ROR-Model'!I726</f>
        <v>0</v>
      </c>
      <c r="K726" s="9"/>
      <c r="L726" s="9" t="s">
        <v>24</v>
      </c>
      <c r="M726" s="9">
        <f>VLOOKUP($L726,$L$2:$N$7,2,FALSE)*I726</f>
        <v>0</v>
      </c>
      <c r="N726" s="9">
        <f>VLOOKUP($L726,$L$2:$N$7,3,FALSE)*I726</f>
        <v>81722.52</v>
      </c>
      <c r="O726" s="136"/>
      <c r="P726" s="216" t="s">
        <v>549</v>
      </c>
      <c r="Q726" s="9">
        <f>IF(P726="G",M726,IF(P726="PT",0,ERR))</f>
        <v>0</v>
      </c>
      <c r="R726" s="9">
        <f>IF(P726="PT",M726,IF(P726="G",0,ERR))</f>
        <v>0</v>
      </c>
      <c r="S726" s="142" t="s">
        <v>549</v>
      </c>
      <c r="T726" s="9">
        <f>IF(S726="G",N726,IF(S726="PT",0,ERR))</f>
        <v>81722.52</v>
      </c>
      <c r="U726" s="9">
        <f>IF(S726="PT",N726,IF(S726="G",0,ERR))</f>
        <v>0</v>
      </c>
      <c r="V726" s="140"/>
      <c r="W726" s="9">
        <f>HLOOKUP($W$9,'ROR-Model'!$Q$10:$U$1263,Y726)</f>
        <v>0</v>
      </c>
      <c r="X726" s="156"/>
      <c r="Y726" s="918">
        <f t="shared" si="42"/>
        <v>717</v>
      </c>
      <c r="AA726" s="9">
        <v>94626.63</v>
      </c>
      <c r="AC726" s="9">
        <f t="shared" si="43"/>
        <v>-94626.63</v>
      </c>
      <c r="AE726" s="44">
        <f t="shared" si="44"/>
        <v>-1</v>
      </c>
    </row>
    <row r="727" spans="1:31">
      <c r="A727" s="154"/>
      <c r="B727" s="49"/>
      <c r="C727" s="49" t="s">
        <v>160</v>
      </c>
      <c r="D727" s="49"/>
      <c r="E727" s="157">
        <f>+G727-Adjustments!G727</f>
        <v>0</v>
      </c>
      <c r="F727" s="157">
        <f>SUM(F725:F726)</f>
        <v>170816.91999999998</v>
      </c>
      <c r="G727" s="157">
        <f>SUM(G725:G726)</f>
        <v>0</v>
      </c>
      <c r="H727" s="157">
        <f>SUM(H725:H726)</f>
        <v>0</v>
      </c>
      <c r="I727" s="157">
        <f>SUM(I725:I726)</f>
        <v>170816.91999999998</v>
      </c>
      <c r="J727" s="9">
        <f>+I727-'ROR-Model'!I727</f>
        <v>0</v>
      </c>
      <c r="K727" s="9"/>
      <c r="L727" s="157"/>
      <c r="M727" s="157">
        <f>SUM(M725:M726)</f>
        <v>89094.399999999994</v>
      </c>
      <c r="N727" s="157">
        <f>SUM(N725:N726)</f>
        <v>81722.52</v>
      </c>
      <c r="O727" s="136"/>
      <c r="P727" s="226"/>
      <c r="Q727" s="157">
        <f>SUM(Q725:Q726)</f>
        <v>89094.399999999994</v>
      </c>
      <c r="R727" s="157">
        <f>SUM(R725:R726)</f>
        <v>0</v>
      </c>
      <c r="S727" s="226"/>
      <c r="T727" s="157">
        <f>SUM(T725:T726)</f>
        <v>81722.52</v>
      </c>
      <c r="U727" s="157">
        <f>SUM(U725:U726)</f>
        <v>0</v>
      </c>
      <c r="V727" s="140"/>
      <c r="W727" s="157">
        <f>HLOOKUP($W$9,'ROR-Model'!$Q$10:$U$1263,Y727)</f>
        <v>89094.399999999994</v>
      </c>
      <c r="X727" s="156"/>
      <c r="Y727" s="918">
        <f t="shared" si="42"/>
        <v>718</v>
      </c>
      <c r="AA727" s="157">
        <v>94626.63</v>
      </c>
      <c r="AC727" s="157">
        <f t="shared" si="43"/>
        <v>-5532.2300000000105</v>
      </c>
      <c r="AE727" s="44">
        <f t="shared" si="44"/>
        <v>-5.8463774943691961E-2</v>
      </c>
    </row>
    <row r="728" spans="1:31">
      <c r="A728" s="154"/>
      <c r="B728" s="49"/>
      <c r="C728" s="49"/>
      <c r="D728" s="49"/>
      <c r="E728" s="9">
        <f>+G728-Adjustments!G728</f>
        <v>0</v>
      </c>
      <c r="F728" s="9"/>
      <c r="G728" s="9"/>
      <c r="H728" s="9"/>
      <c r="I728" s="9"/>
      <c r="J728" s="9">
        <f>+I728-'ROR-Model'!I728</f>
        <v>0</v>
      </c>
      <c r="K728" s="9"/>
      <c r="L728" s="9"/>
      <c r="M728" s="9"/>
      <c r="N728" s="9"/>
      <c r="O728" s="136"/>
      <c r="P728" s="142"/>
      <c r="Q728" s="9"/>
      <c r="R728" s="9"/>
      <c r="S728" s="142"/>
      <c r="T728" s="9"/>
      <c r="U728" s="9"/>
      <c r="V728" s="140"/>
      <c r="W728" s="9"/>
      <c r="X728" s="156"/>
      <c r="Y728" s="918">
        <f t="shared" si="42"/>
        <v>719</v>
      </c>
      <c r="AA728" s="9"/>
      <c r="AC728" s="9" t="str">
        <f t="shared" si="43"/>
        <v/>
      </c>
      <c r="AE728" s="44" t="str">
        <f t="shared" si="44"/>
        <v/>
      </c>
    </row>
    <row r="729" spans="1:31">
      <c r="A729" s="154">
        <v>892</v>
      </c>
      <c r="B729" s="49" t="s">
        <v>376</v>
      </c>
      <c r="C729" s="49"/>
      <c r="D729" s="49"/>
      <c r="E729" s="9">
        <f>+G729-Adjustments!G729</f>
        <v>0</v>
      </c>
      <c r="F729" s="9"/>
      <c r="G729" s="9"/>
      <c r="H729" s="9"/>
      <c r="I729" s="9"/>
      <c r="J729" s="9">
        <f>+I729-'ROR-Model'!I729</f>
        <v>0</v>
      </c>
      <c r="K729" s="9"/>
      <c r="L729" s="9"/>
      <c r="M729" s="9"/>
      <c r="N729" s="9"/>
      <c r="O729" s="136"/>
      <c r="P729" s="142"/>
      <c r="Q729" s="9"/>
      <c r="R729" s="9"/>
      <c r="S729" s="142"/>
      <c r="T729" s="9"/>
      <c r="U729" s="9"/>
      <c r="V729" s="140"/>
      <c r="W729" s="9"/>
      <c r="X729" s="156"/>
      <c r="Y729" s="918">
        <f t="shared" si="42"/>
        <v>720</v>
      </c>
      <c r="AA729" s="9"/>
      <c r="AC729" s="9" t="str">
        <f t="shared" si="43"/>
        <v/>
      </c>
      <c r="AE729" s="44" t="str">
        <f t="shared" si="44"/>
        <v/>
      </c>
    </row>
    <row r="730" spans="1:31">
      <c r="A730" s="154"/>
      <c r="B730" s="49"/>
      <c r="C730" s="49" t="s">
        <v>13</v>
      </c>
      <c r="D730" s="49"/>
      <c r="E730" s="9">
        <f>+G730-Adjustments!G730</f>
        <v>0</v>
      </c>
      <c r="F730" s="9">
        <f>EXPENSES!F221</f>
        <v>472098.05</v>
      </c>
      <c r="G730" s="9">
        <f>+Adjustments!U729</f>
        <v>0</v>
      </c>
      <c r="H730" s="9"/>
      <c r="I730" s="9">
        <f>SUM($F$730:$H$730)</f>
        <v>472098.05</v>
      </c>
      <c r="J730" s="9">
        <f>+I730-'ROR-Model'!I730</f>
        <v>0</v>
      </c>
      <c r="K730" s="9"/>
      <c r="L730" s="9" t="s">
        <v>13</v>
      </c>
      <c r="M730" s="9">
        <f>VLOOKUP($L730,$L$2:$N$7,2,FALSE)*I730</f>
        <v>472098.05</v>
      </c>
      <c r="N730" s="9">
        <f>VLOOKUP($L730,$L$2:$N$7,3,FALSE)*I730</f>
        <v>0</v>
      </c>
      <c r="O730" s="136"/>
      <c r="P730" s="216" t="s">
        <v>549</v>
      </c>
      <c r="Q730" s="9">
        <f>IF(P730="G",M730,IF(P730="PT",0,ERR))</f>
        <v>472098.05</v>
      </c>
      <c r="R730" s="9">
        <f>IF(P730="PT",M730,IF(P730="G",0,ERR))</f>
        <v>0</v>
      </c>
      <c r="S730" s="142" t="s">
        <v>549</v>
      </c>
      <c r="T730" s="9">
        <f>IF(S730="G",N730,IF(S730="PT",0,ERR))</f>
        <v>0</v>
      </c>
      <c r="U730" s="9">
        <f>IF(S730="PT",N730,IF(S730="G",0,ERR))</f>
        <v>0</v>
      </c>
      <c r="V730" s="140"/>
      <c r="W730" s="9">
        <f>HLOOKUP($W$9,'ROR-Model'!$Q$10:$U$1263,Y730)</f>
        <v>472098.05</v>
      </c>
      <c r="X730" s="156"/>
      <c r="Y730" s="918">
        <f t="shared" si="42"/>
        <v>721</v>
      </c>
      <c r="AA730" s="9">
        <v>0</v>
      </c>
      <c r="AC730" s="9" t="str">
        <f t="shared" si="43"/>
        <v/>
      </c>
      <c r="AE730" s="44" t="str">
        <f t="shared" si="44"/>
        <v/>
      </c>
    </row>
    <row r="731" spans="1:31">
      <c r="A731" s="154"/>
      <c r="B731" s="49"/>
      <c r="C731" s="49" t="s">
        <v>24</v>
      </c>
      <c r="D731" s="49"/>
      <c r="E731" s="9">
        <f>+G731-Adjustments!G731</f>
        <v>0</v>
      </c>
      <c r="F731" s="9">
        <f>EXPENSES!F222</f>
        <v>72587.44</v>
      </c>
      <c r="G731" s="9">
        <f>+Adjustments!U730</f>
        <v>0</v>
      </c>
      <c r="H731" s="9"/>
      <c r="I731" s="9">
        <f>SUM($F$731:$H$731)</f>
        <v>72587.44</v>
      </c>
      <c r="J731" s="9">
        <f>+I731-'ROR-Model'!I731</f>
        <v>0</v>
      </c>
      <c r="K731" s="9"/>
      <c r="L731" s="9" t="s">
        <v>24</v>
      </c>
      <c r="M731" s="9">
        <f>VLOOKUP($L731,$L$2:$N$7,2,FALSE)*I731</f>
        <v>0</v>
      </c>
      <c r="N731" s="9">
        <f>VLOOKUP($L731,$L$2:$N$7,3,FALSE)*I731</f>
        <v>72587.44</v>
      </c>
      <c r="O731" s="136"/>
      <c r="P731" s="216" t="s">
        <v>549</v>
      </c>
      <c r="Q731" s="9">
        <f>IF(P731="G",M731,IF(P731="PT",0,ERR))</f>
        <v>0</v>
      </c>
      <c r="R731" s="9">
        <f>IF(P731="PT",M731,IF(P731="G",0,ERR))</f>
        <v>0</v>
      </c>
      <c r="S731" s="142" t="s">
        <v>549</v>
      </c>
      <c r="T731" s="9">
        <f>IF(S731="G",N731,IF(S731="PT",0,ERR))</f>
        <v>72587.44</v>
      </c>
      <c r="U731" s="9">
        <f>IF(S731="PT",N731,IF(S731="G",0,ERR))</f>
        <v>0</v>
      </c>
      <c r="V731" s="140"/>
      <c r="W731" s="9">
        <f>HLOOKUP($W$9,'ROR-Model'!$Q$10:$U$1263,Y731)</f>
        <v>0</v>
      </c>
      <c r="X731" s="156"/>
      <c r="Y731" s="918">
        <f t="shared" si="42"/>
        <v>722</v>
      </c>
      <c r="AA731" s="9">
        <v>81131.23</v>
      </c>
      <c r="AC731" s="9">
        <f t="shared" si="43"/>
        <v>-81131.23</v>
      </c>
      <c r="AE731" s="44">
        <f t="shared" si="44"/>
        <v>-1</v>
      </c>
    </row>
    <row r="732" spans="1:31">
      <c r="A732" s="154"/>
      <c r="B732" s="49"/>
      <c r="C732" s="49" t="s">
        <v>160</v>
      </c>
      <c r="D732" s="49"/>
      <c r="E732" s="157">
        <f>+G732-Adjustments!G732</f>
        <v>0</v>
      </c>
      <c r="F732" s="157">
        <f>SUM(F730:F731)</f>
        <v>544685.49</v>
      </c>
      <c r="G732" s="157">
        <f>SUM(G730:G731)</f>
        <v>0</v>
      </c>
      <c r="H732" s="157">
        <f>SUM(H730:H731)</f>
        <v>0</v>
      </c>
      <c r="I732" s="157">
        <f>SUM(I730:I731)</f>
        <v>544685.49</v>
      </c>
      <c r="J732" s="9">
        <f>+I732-'ROR-Model'!I732</f>
        <v>0</v>
      </c>
      <c r="K732" s="9"/>
      <c r="L732" s="157"/>
      <c r="M732" s="157">
        <f>SUM(M730:M731)</f>
        <v>472098.05</v>
      </c>
      <c r="N732" s="157">
        <f>SUM(N730:N731)</f>
        <v>72587.44</v>
      </c>
      <c r="O732" s="136"/>
      <c r="P732" s="226"/>
      <c r="Q732" s="157">
        <f>SUM(Q730:Q731)</f>
        <v>472098.05</v>
      </c>
      <c r="R732" s="157">
        <f>SUM(R730:R731)</f>
        <v>0</v>
      </c>
      <c r="S732" s="226"/>
      <c r="T732" s="157">
        <f>SUM(T730:T731)</f>
        <v>72587.44</v>
      </c>
      <c r="U732" s="157">
        <f>SUM(U730:U731)</f>
        <v>0</v>
      </c>
      <c r="V732" s="140"/>
      <c r="W732" s="157">
        <f>HLOOKUP($W$9,'ROR-Model'!$Q$10:$U$1263,Y732)</f>
        <v>472098.05</v>
      </c>
      <c r="X732" s="156"/>
      <c r="Y732" s="918">
        <f t="shared" si="42"/>
        <v>723</v>
      </c>
      <c r="AA732" s="157">
        <v>81131.23</v>
      </c>
      <c r="AC732" s="157">
        <f t="shared" si="43"/>
        <v>390966.82</v>
      </c>
      <c r="AE732" s="44">
        <f t="shared" si="44"/>
        <v>4.8189435806655467</v>
      </c>
    </row>
    <row r="733" spans="1:31">
      <c r="A733" s="154"/>
      <c r="B733" s="49"/>
      <c r="C733" s="49"/>
      <c r="D733" s="49"/>
      <c r="E733" s="9">
        <f>+G733-Adjustments!G733</f>
        <v>0</v>
      </c>
      <c r="F733" s="9"/>
      <c r="G733" s="9"/>
      <c r="H733" s="9"/>
      <c r="I733" s="9"/>
      <c r="J733" s="9">
        <f>+I733-'ROR-Model'!I733</f>
        <v>0</v>
      </c>
      <c r="K733" s="9"/>
      <c r="L733" s="9"/>
      <c r="M733" s="9"/>
      <c r="N733" s="9"/>
      <c r="O733" s="136"/>
      <c r="P733" s="142"/>
      <c r="Q733" s="9"/>
      <c r="R733" s="9"/>
      <c r="S733" s="142"/>
      <c r="T733" s="9"/>
      <c r="U733" s="9"/>
      <c r="V733" s="140"/>
      <c r="W733" s="9"/>
      <c r="X733" s="156"/>
      <c r="Y733" s="918">
        <f t="shared" si="42"/>
        <v>724</v>
      </c>
      <c r="AA733" s="9"/>
      <c r="AC733" s="9" t="str">
        <f t="shared" si="43"/>
        <v/>
      </c>
      <c r="AE733" s="44" t="str">
        <f t="shared" si="44"/>
        <v/>
      </c>
    </row>
    <row r="734" spans="1:31">
      <c r="A734" s="154">
        <v>893</v>
      </c>
      <c r="B734" s="49" t="s">
        <v>378</v>
      </c>
      <c r="C734" s="49"/>
      <c r="D734" s="49"/>
      <c r="E734" s="9">
        <f>+G734-Adjustments!G734</f>
        <v>0</v>
      </c>
      <c r="F734" s="9"/>
      <c r="G734" s="9"/>
      <c r="H734" s="9"/>
      <c r="I734" s="9"/>
      <c r="J734" s="9">
        <f>+I734-'ROR-Model'!I734</f>
        <v>0</v>
      </c>
      <c r="K734" s="9"/>
      <c r="L734" s="9"/>
      <c r="M734" s="9"/>
      <c r="N734" s="9"/>
      <c r="O734" s="136"/>
      <c r="P734" s="142"/>
      <c r="Q734" s="9"/>
      <c r="R734" s="9"/>
      <c r="S734" s="142"/>
      <c r="T734" s="9"/>
      <c r="U734" s="9"/>
      <c r="V734" s="140"/>
      <c r="W734" s="9"/>
      <c r="X734" s="156"/>
      <c r="Y734" s="918">
        <f t="shared" si="42"/>
        <v>725</v>
      </c>
      <c r="AA734" s="9"/>
      <c r="AC734" s="9" t="str">
        <f t="shared" si="43"/>
        <v/>
      </c>
      <c r="AE734" s="44" t="str">
        <f t="shared" si="44"/>
        <v/>
      </c>
    </row>
    <row r="735" spans="1:31">
      <c r="A735" s="154"/>
      <c r="B735" s="49"/>
      <c r="C735" s="49" t="s">
        <v>13</v>
      </c>
      <c r="D735" s="49"/>
      <c r="E735" s="9">
        <f>+G735-Adjustments!G735</f>
        <v>0</v>
      </c>
      <c r="F735" s="9">
        <f>EXPENSES!F226</f>
        <v>569715.0199999999</v>
      </c>
      <c r="G735" s="9">
        <f>+Adjustments!U734</f>
        <v>0</v>
      </c>
      <c r="H735" s="9"/>
      <c r="I735" s="9">
        <f>SUM($F$735:$H$735)</f>
        <v>569715.0199999999</v>
      </c>
      <c r="J735" s="9">
        <f>+I735-'ROR-Model'!I735</f>
        <v>0</v>
      </c>
      <c r="K735" s="9"/>
      <c r="L735" s="9" t="s">
        <v>13</v>
      </c>
      <c r="M735" s="9">
        <f>VLOOKUP($L735,$L$2:$N$7,2,FALSE)*I735</f>
        <v>569715.0199999999</v>
      </c>
      <c r="N735" s="9">
        <f>VLOOKUP($L735,$L$2:$N$7,3,FALSE)*I735</f>
        <v>0</v>
      </c>
      <c r="O735" s="136"/>
      <c r="P735" s="216" t="s">
        <v>549</v>
      </c>
      <c r="Q735" s="9">
        <f>IF(P735="G",M735,IF(P735="PT",0,ERR))</f>
        <v>569715.0199999999</v>
      </c>
      <c r="R735" s="9">
        <f>IF(P735="PT",M735,IF(P735="G",0,ERR))</f>
        <v>0</v>
      </c>
      <c r="S735" s="142" t="s">
        <v>549</v>
      </c>
      <c r="T735" s="9">
        <f>IF(S735="G",N735,IF(S735="PT",0,ERR))</f>
        <v>0</v>
      </c>
      <c r="U735" s="9">
        <f>IF(S735="PT",N735,IF(S735="G",0,ERR))</f>
        <v>0</v>
      </c>
      <c r="V735" s="140"/>
      <c r="W735" s="9">
        <f>HLOOKUP($W$9,'ROR-Model'!$Q$10:$U$1263,Y735)</f>
        <v>569715.0199999999</v>
      </c>
      <c r="X735" s="156"/>
      <c r="Y735" s="918">
        <f t="shared" si="42"/>
        <v>726</v>
      </c>
      <c r="AA735" s="9">
        <v>0</v>
      </c>
      <c r="AC735" s="9" t="str">
        <f t="shared" si="43"/>
        <v/>
      </c>
      <c r="AE735" s="44" t="str">
        <f t="shared" si="44"/>
        <v/>
      </c>
    </row>
    <row r="736" spans="1:31">
      <c r="A736" s="154"/>
      <c r="B736" s="49"/>
      <c r="C736" s="49" t="s">
        <v>24</v>
      </c>
      <c r="D736" s="49"/>
      <c r="E736" s="9">
        <f>+G736-Adjustments!G736</f>
        <v>0</v>
      </c>
      <c r="F736" s="9">
        <f>EXPENSES!F227</f>
        <v>1965.9800000000005</v>
      </c>
      <c r="G736" s="9">
        <f>+Adjustments!U735</f>
        <v>0</v>
      </c>
      <c r="H736" s="9"/>
      <c r="I736" s="9">
        <f>SUM($F$736:$H$736)</f>
        <v>1965.9800000000005</v>
      </c>
      <c r="J736" s="9">
        <f>+I736-'ROR-Model'!I736</f>
        <v>0</v>
      </c>
      <c r="K736" s="9"/>
      <c r="L736" s="9" t="s">
        <v>24</v>
      </c>
      <c r="M736" s="9">
        <f>VLOOKUP($L736,$L$2:$N$7,2,FALSE)*I736</f>
        <v>0</v>
      </c>
      <c r="N736" s="9">
        <f>VLOOKUP($L736,$L$2:$N$7,3,FALSE)*I736</f>
        <v>1965.9800000000005</v>
      </c>
      <c r="O736" s="136"/>
      <c r="P736" s="216" t="s">
        <v>549</v>
      </c>
      <c r="Q736" s="9">
        <f>IF(P736="G",M736,IF(P736="PT",0,ERR))</f>
        <v>0</v>
      </c>
      <c r="R736" s="9">
        <f>IF(P736="PT",M736,IF(P736="G",0,ERR))</f>
        <v>0</v>
      </c>
      <c r="S736" s="142" t="s">
        <v>549</v>
      </c>
      <c r="T736" s="9">
        <f>IF(S736="G",N736,IF(S736="PT",0,ERR))</f>
        <v>1965.9800000000005</v>
      </c>
      <c r="U736" s="9">
        <f>IF(S736="PT",N736,IF(S736="G",0,ERR))</f>
        <v>0</v>
      </c>
      <c r="V736" s="140"/>
      <c r="W736" s="9">
        <f>HLOOKUP($W$9,'ROR-Model'!$Q$10:$U$1263,Y736)</f>
        <v>0</v>
      </c>
      <c r="X736" s="156"/>
      <c r="Y736" s="918">
        <f t="shared" si="42"/>
        <v>727</v>
      </c>
      <c r="AA736" s="9">
        <v>3860.2699999999995</v>
      </c>
      <c r="AC736" s="9">
        <f t="shared" si="43"/>
        <v>-3860.2699999999995</v>
      </c>
      <c r="AE736" s="44">
        <f t="shared" si="44"/>
        <v>-1</v>
      </c>
    </row>
    <row r="737" spans="1:31">
      <c r="A737" s="154"/>
      <c r="B737" s="49"/>
      <c r="C737" s="49" t="s">
        <v>160</v>
      </c>
      <c r="D737" s="49"/>
      <c r="E737" s="157">
        <f>+G737-Adjustments!G737</f>
        <v>0</v>
      </c>
      <c r="F737" s="157">
        <f>SUM(F735:F736)</f>
        <v>571680.99999999988</v>
      </c>
      <c r="G737" s="157">
        <f>SUM(G735:G736)</f>
        <v>0</v>
      </c>
      <c r="H737" s="157">
        <f>SUM(H735:H736)</f>
        <v>0</v>
      </c>
      <c r="I737" s="157">
        <f>SUM(I735:I736)</f>
        <v>571680.99999999988</v>
      </c>
      <c r="J737" s="9">
        <f>+I737-'ROR-Model'!I737</f>
        <v>0</v>
      </c>
      <c r="K737" s="9"/>
      <c r="L737" s="157"/>
      <c r="M737" s="157">
        <f>SUM(M735:M736)</f>
        <v>569715.0199999999</v>
      </c>
      <c r="N737" s="157">
        <f>SUM(N735:N736)</f>
        <v>1965.9800000000005</v>
      </c>
      <c r="O737" s="136"/>
      <c r="P737" s="226"/>
      <c r="Q737" s="157">
        <f>SUM(Q735:Q736)</f>
        <v>569715.0199999999</v>
      </c>
      <c r="R737" s="157">
        <f>SUM(R735:R736)</f>
        <v>0</v>
      </c>
      <c r="S737" s="226"/>
      <c r="T737" s="157">
        <f>SUM(T735:T736)</f>
        <v>1965.9800000000005</v>
      </c>
      <c r="U737" s="157">
        <f>SUM(U735:U736)</f>
        <v>0</v>
      </c>
      <c r="V737" s="140"/>
      <c r="W737" s="157">
        <f>HLOOKUP($W$9,'ROR-Model'!$Q$10:$U$1263,Y737)</f>
        <v>569715.0199999999</v>
      </c>
      <c r="X737" s="156"/>
      <c r="Y737" s="918">
        <f t="shared" si="42"/>
        <v>728</v>
      </c>
      <c r="AA737" s="157">
        <v>3860.2699999999995</v>
      </c>
      <c r="AC737" s="157">
        <f t="shared" si="43"/>
        <v>565854.74999999988</v>
      </c>
      <c r="AE737" s="44">
        <f t="shared" si="44"/>
        <v>146.58424151678508</v>
      </c>
    </row>
    <row r="738" spans="1:31">
      <c r="A738" s="154"/>
      <c r="B738" s="49"/>
      <c r="C738" s="49"/>
      <c r="D738" s="49"/>
      <c r="E738" s="9">
        <f>+G738-Adjustments!G738</f>
        <v>0</v>
      </c>
      <c r="F738" s="9"/>
      <c r="G738" s="9"/>
      <c r="H738" s="9"/>
      <c r="I738" s="9"/>
      <c r="J738" s="9">
        <f>+I738-'ROR-Model'!I738</f>
        <v>0</v>
      </c>
      <c r="K738" s="9"/>
      <c r="L738" s="9"/>
      <c r="M738" s="9"/>
      <c r="N738" s="9"/>
      <c r="O738" s="136"/>
      <c r="P738" s="142"/>
      <c r="Q738" s="9"/>
      <c r="R738" s="9"/>
      <c r="S738" s="142"/>
      <c r="T738" s="9"/>
      <c r="U738" s="9"/>
      <c r="V738" s="140"/>
      <c r="W738" s="9"/>
      <c r="X738" s="156"/>
      <c r="Y738" s="918">
        <f t="shared" si="42"/>
        <v>729</v>
      </c>
      <c r="AA738" s="9"/>
      <c r="AC738" s="9" t="str">
        <f t="shared" si="43"/>
        <v/>
      </c>
      <c r="AE738" s="44" t="str">
        <f t="shared" si="44"/>
        <v/>
      </c>
    </row>
    <row r="739" spans="1:31">
      <c r="A739" s="154">
        <v>8941</v>
      </c>
      <c r="B739" s="49" t="s">
        <v>380</v>
      </c>
      <c r="C739" s="49"/>
      <c r="D739" s="49"/>
      <c r="E739" s="9">
        <f>+G739-Adjustments!G739</f>
        <v>0</v>
      </c>
      <c r="F739" s="9"/>
      <c r="G739" s="9"/>
      <c r="H739" s="9"/>
      <c r="I739" s="9"/>
      <c r="J739" s="9">
        <f>+I739-'ROR-Model'!I739</f>
        <v>0</v>
      </c>
      <c r="K739" s="9"/>
      <c r="L739" s="9"/>
      <c r="M739" s="9"/>
      <c r="N739" s="9"/>
      <c r="O739" s="136"/>
      <c r="P739" s="142"/>
      <c r="Q739" s="9"/>
      <c r="R739" s="9"/>
      <c r="S739" s="142"/>
      <c r="T739" s="9"/>
      <c r="U739" s="9"/>
      <c r="V739" s="140"/>
      <c r="W739" s="9"/>
      <c r="X739" s="156"/>
      <c r="Y739" s="918">
        <f t="shared" si="42"/>
        <v>730</v>
      </c>
      <c r="AA739" s="9"/>
      <c r="AC739" s="9" t="str">
        <f t="shared" si="43"/>
        <v/>
      </c>
      <c r="AE739" s="44" t="str">
        <f t="shared" si="44"/>
        <v/>
      </c>
    </row>
    <row r="740" spans="1:31">
      <c r="A740" s="154"/>
      <c r="B740" s="49"/>
      <c r="C740" s="49" t="s">
        <v>13</v>
      </c>
      <c r="D740" s="49"/>
      <c r="E740" s="9">
        <f>+G740-Adjustments!G740</f>
        <v>0</v>
      </c>
      <c r="F740" s="9">
        <f>EXPENSES!F231</f>
        <v>0</v>
      </c>
      <c r="G740" s="9">
        <f>+Adjustments!U739</f>
        <v>0</v>
      </c>
      <c r="H740" s="9"/>
      <c r="I740" s="9">
        <f>SUM($F$740:$H$740)</f>
        <v>0</v>
      </c>
      <c r="J740" s="9">
        <f>+I740-'ROR-Model'!I740</f>
        <v>0</v>
      </c>
      <c r="K740" s="9"/>
      <c r="L740" s="9" t="s">
        <v>13</v>
      </c>
      <c r="M740" s="9">
        <f>VLOOKUP($L740,$L$2:$N$7,2,FALSE)*I740</f>
        <v>0</v>
      </c>
      <c r="N740" s="9">
        <f>VLOOKUP($L740,$L$2:$N$7,3,FALSE)*I740</f>
        <v>0</v>
      </c>
      <c r="O740" s="136"/>
      <c r="P740" s="216" t="s">
        <v>549</v>
      </c>
      <c r="Q740" s="9">
        <f>IF(P740="G",M740,IF(P740="PT",0,ERR))</f>
        <v>0</v>
      </c>
      <c r="R740" s="9">
        <f>IF(P740="PT",M740,IF(P740="G",0,ERR))</f>
        <v>0</v>
      </c>
      <c r="S740" s="142" t="s">
        <v>549</v>
      </c>
      <c r="T740" s="9">
        <f>IF(S740="G",N740,IF(S740="PT",0,ERR))</f>
        <v>0</v>
      </c>
      <c r="U740" s="9">
        <f>IF(S740="PT",N740,IF(S740="G",0,ERR))</f>
        <v>0</v>
      </c>
      <c r="V740" s="140"/>
      <c r="W740" s="9">
        <f>HLOOKUP($W$9,'ROR-Model'!$Q$10:$U$1263,Y740)</f>
        <v>0</v>
      </c>
      <c r="X740" s="156"/>
      <c r="Y740" s="918">
        <f t="shared" si="42"/>
        <v>731</v>
      </c>
      <c r="AA740" s="9">
        <v>0</v>
      </c>
      <c r="AC740" s="9" t="str">
        <f t="shared" si="43"/>
        <v/>
      </c>
      <c r="AE740" s="44" t="str">
        <f t="shared" si="44"/>
        <v/>
      </c>
    </row>
    <row r="741" spans="1:31">
      <c r="A741" s="154"/>
      <c r="B741" s="49"/>
      <c r="C741" s="49" t="s">
        <v>24</v>
      </c>
      <c r="D741" s="49"/>
      <c r="E741" s="9">
        <f>+G741-Adjustments!G741</f>
        <v>0</v>
      </c>
      <c r="F741" s="9">
        <f>EXPENSES!F232</f>
        <v>0</v>
      </c>
      <c r="G741" s="9">
        <f>+Adjustments!U740</f>
        <v>0</v>
      </c>
      <c r="H741" s="9"/>
      <c r="I741" s="9">
        <f>SUM($F$741:$H$741)</f>
        <v>0</v>
      </c>
      <c r="J741" s="9">
        <f>+I741-'ROR-Model'!I741</f>
        <v>0</v>
      </c>
      <c r="K741" s="9"/>
      <c r="L741" s="9" t="s">
        <v>24</v>
      </c>
      <c r="M741" s="9">
        <f>VLOOKUP($L741,$L$2:$N$7,2,FALSE)*I741</f>
        <v>0</v>
      </c>
      <c r="N741" s="9">
        <f>VLOOKUP($L741,$L$2:$N$7,3,FALSE)*I741</f>
        <v>0</v>
      </c>
      <c r="O741" s="136"/>
      <c r="P741" s="216" t="s">
        <v>549</v>
      </c>
      <c r="Q741" s="9">
        <f>IF(P741="G",M741,IF(P741="PT",0,ERR))</f>
        <v>0</v>
      </c>
      <c r="R741" s="9">
        <f>IF(P741="PT",M741,IF(P741="G",0,ERR))</f>
        <v>0</v>
      </c>
      <c r="S741" s="142" t="s">
        <v>549</v>
      </c>
      <c r="T741" s="9">
        <f>IF(S741="G",N741,IF(S741="PT",0,ERR))</f>
        <v>0</v>
      </c>
      <c r="U741" s="9">
        <f>IF(S741="PT",N741,IF(S741="G",0,ERR))</f>
        <v>0</v>
      </c>
      <c r="V741" s="140"/>
      <c r="W741" s="9">
        <f>HLOOKUP($W$9,'ROR-Model'!$Q$10:$U$1263,Y741)</f>
        <v>0</v>
      </c>
      <c r="X741" s="156"/>
      <c r="Y741" s="918">
        <f t="shared" si="42"/>
        <v>732</v>
      </c>
      <c r="AA741" s="9">
        <v>0</v>
      </c>
      <c r="AC741" s="9" t="str">
        <f t="shared" si="43"/>
        <v/>
      </c>
      <c r="AE741" s="44" t="str">
        <f t="shared" si="44"/>
        <v/>
      </c>
    </row>
    <row r="742" spans="1:31">
      <c r="A742" s="154"/>
      <c r="B742" s="49"/>
      <c r="C742" s="49" t="s">
        <v>160</v>
      </c>
      <c r="D742" s="49"/>
      <c r="E742" s="157">
        <f>+G742-Adjustments!G742</f>
        <v>0</v>
      </c>
      <c r="F742" s="157">
        <f>SUM(F740:F741)</f>
        <v>0</v>
      </c>
      <c r="G742" s="157">
        <f>SUM(G740:G741)</f>
        <v>0</v>
      </c>
      <c r="H742" s="157">
        <f>SUM(H740:H741)</f>
        <v>0</v>
      </c>
      <c r="I742" s="157">
        <f>SUM(I740:I741)</f>
        <v>0</v>
      </c>
      <c r="J742" s="9">
        <f>+I742-'ROR-Model'!I742</f>
        <v>0</v>
      </c>
      <c r="K742" s="9"/>
      <c r="L742" s="157"/>
      <c r="M742" s="157">
        <f>SUM(M740:M741)</f>
        <v>0</v>
      </c>
      <c r="N742" s="157">
        <f>SUM(N740:N741)</f>
        <v>0</v>
      </c>
      <c r="O742" s="136"/>
      <c r="P742" s="226"/>
      <c r="Q742" s="157">
        <f>SUM(Q740:Q741)</f>
        <v>0</v>
      </c>
      <c r="R742" s="157">
        <f>SUM(R740:R741)</f>
        <v>0</v>
      </c>
      <c r="S742" s="226"/>
      <c r="T742" s="157">
        <f>SUM(T740:T741)</f>
        <v>0</v>
      </c>
      <c r="U742" s="157">
        <f>SUM(U740:U741)</f>
        <v>0</v>
      </c>
      <c r="V742" s="140"/>
      <c r="W742" s="157">
        <f>HLOOKUP($W$9,'ROR-Model'!$Q$10:$U$1263,Y742)</f>
        <v>0</v>
      </c>
      <c r="X742" s="156"/>
      <c r="Y742" s="918">
        <f t="shared" si="42"/>
        <v>733</v>
      </c>
      <c r="AA742" s="157">
        <v>0</v>
      </c>
      <c r="AC742" s="157" t="str">
        <f t="shared" si="43"/>
        <v/>
      </c>
      <c r="AE742" s="44" t="str">
        <f t="shared" si="44"/>
        <v/>
      </c>
    </row>
    <row r="743" spans="1:31">
      <c r="A743" s="154"/>
      <c r="B743" s="49"/>
      <c r="C743" s="49"/>
      <c r="D743" s="49"/>
      <c r="E743" s="9">
        <f>+G743-Adjustments!G743</f>
        <v>0</v>
      </c>
      <c r="F743" s="9"/>
      <c r="G743" s="9"/>
      <c r="H743" s="9"/>
      <c r="I743" s="9"/>
      <c r="J743" s="9">
        <f>+I743-'ROR-Model'!I743</f>
        <v>0</v>
      </c>
      <c r="K743" s="9"/>
      <c r="L743" s="9"/>
      <c r="M743" s="9"/>
      <c r="N743" s="9"/>
      <c r="O743" s="136"/>
      <c r="P743" s="142"/>
      <c r="Q743" s="9"/>
      <c r="R743" s="9"/>
      <c r="S743" s="142"/>
      <c r="T743" s="9"/>
      <c r="U743" s="9"/>
      <c r="V743" s="140"/>
      <c r="W743" s="9"/>
      <c r="X743" s="156"/>
      <c r="Y743" s="918">
        <f t="shared" si="42"/>
        <v>734</v>
      </c>
      <c r="AA743" s="9"/>
      <c r="AC743" s="9" t="str">
        <f t="shared" si="43"/>
        <v/>
      </c>
      <c r="AE743" s="44" t="str">
        <f t="shared" si="44"/>
        <v/>
      </c>
    </row>
    <row r="744" spans="1:31">
      <c r="A744" s="154">
        <v>8942</v>
      </c>
      <c r="B744" s="49" t="s">
        <v>382</v>
      </c>
      <c r="C744" s="49"/>
      <c r="D744" s="49"/>
      <c r="E744" s="9">
        <f>+G744-Adjustments!G744</f>
        <v>0</v>
      </c>
      <c r="F744" s="9"/>
      <c r="G744" s="9"/>
      <c r="H744" s="9"/>
      <c r="I744" s="9"/>
      <c r="J744" s="9">
        <f>+I744-'ROR-Model'!I744</f>
        <v>0</v>
      </c>
      <c r="K744" s="9"/>
      <c r="L744" s="9"/>
      <c r="M744" s="9"/>
      <c r="N744" s="9"/>
      <c r="O744" s="136"/>
      <c r="P744" s="142"/>
      <c r="Q744" s="9"/>
      <c r="R744" s="9"/>
      <c r="S744" s="142"/>
      <c r="T744" s="9"/>
      <c r="U744" s="9"/>
      <c r="V744" s="140"/>
      <c r="W744" s="9"/>
      <c r="X744" s="156"/>
      <c r="Y744" s="918">
        <f t="shared" si="42"/>
        <v>735</v>
      </c>
      <c r="AA744" s="9"/>
      <c r="AC744" s="9" t="str">
        <f t="shared" si="43"/>
        <v/>
      </c>
      <c r="AE744" s="44" t="str">
        <f t="shared" si="44"/>
        <v/>
      </c>
    </row>
    <row r="745" spans="1:31">
      <c r="A745" s="153"/>
      <c r="B745" s="49"/>
      <c r="C745" s="49" t="s">
        <v>13</v>
      </c>
      <c r="D745" s="49"/>
      <c r="E745" s="9">
        <f>+G745-Adjustments!G745</f>
        <v>0</v>
      </c>
      <c r="F745" s="9">
        <f>EXPENSES!F236</f>
        <v>0</v>
      </c>
      <c r="G745" s="9">
        <f>+Adjustments!U744</f>
        <v>0</v>
      </c>
      <c r="H745" s="9"/>
      <c r="I745" s="9">
        <f>SUM($F$745:$H$745)</f>
        <v>0</v>
      </c>
      <c r="J745" s="9">
        <f>+I745-'ROR-Model'!I745</f>
        <v>0</v>
      </c>
      <c r="K745" s="9"/>
      <c r="L745" s="9" t="s">
        <v>13</v>
      </c>
      <c r="M745" s="9">
        <f>VLOOKUP($L745,$L$2:$N$7,2,FALSE)*I745</f>
        <v>0</v>
      </c>
      <c r="N745" s="9">
        <f>VLOOKUP($L745,$L$2:$N$7,3,FALSE)*I745</f>
        <v>0</v>
      </c>
      <c r="O745" s="136"/>
      <c r="P745" s="216" t="s">
        <v>549</v>
      </c>
      <c r="Q745" s="9">
        <f>IF(P745="G",M745,IF(P745="PT",0,ERR))</f>
        <v>0</v>
      </c>
      <c r="R745" s="9">
        <f>IF(P745="PT",M745,IF(P745="G",0,ERR))</f>
        <v>0</v>
      </c>
      <c r="S745" s="142" t="s">
        <v>549</v>
      </c>
      <c r="T745" s="9">
        <f>IF(S745="G",N745,IF(S745="PT",0,ERR))</f>
        <v>0</v>
      </c>
      <c r="U745" s="9">
        <f>IF(S745="PT",N745,IF(S745="G",0,ERR))</f>
        <v>0</v>
      </c>
      <c r="V745" s="140"/>
      <c r="W745" s="9">
        <f>HLOOKUP($W$9,'ROR-Model'!$Q$10:$U$1263,Y745)</f>
        <v>0</v>
      </c>
      <c r="X745" s="156"/>
      <c r="Y745" s="918">
        <f t="shared" si="42"/>
        <v>736</v>
      </c>
      <c r="AA745" s="9">
        <v>0</v>
      </c>
      <c r="AC745" s="9" t="str">
        <f t="shared" si="43"/>
        <v/>
      </c>
      <c r="AE745" s="44" t="str">
        <f t="shared" si="44"/>
        <v/>
      </c>
    </row>
    <row r="746" spans="1:31">
      <c r="A746" s="153"/>
      <c r="B746" s="49"/>
      <c r="C746" s="49" t="s">
        <v>24</v>
      </c>
      <c r="D746" s="49"/>
      <c r="E746" s="9">
        <f>+G746-Adjustments!G746</f>
        <v>0</v>
      </c>
      <c r="F746" s="9">
        <f>EXPENSES!F237</f>
        <v>0</v>
      </c>
      <c r="G746" s="9">
        <f>+Adjustments!U745</f>
        <v>0</v>
      </c>
      <c r="H746" s="9"/>
      <c r="I746" s="9">
        <f>SUM($F$746:$H$746)</f>
        <v>0</v>
      </c>
      <c r="J746" s="9">
        <f>+I746-'ROR-Model'!I746</f>
        <v>0</v>
      </c>
      <c r="K746" s="9"/>
      <c r="L746" s="9" t="s">
        <v>24</v>
      </c>
      <c r="M746" s="9">
        <f>VLOOKUP($L746,$L$2:$N$7,2,FALSE)*I746</f>
        <v>0</v>
      </c>
      <c r="N746" s="9">
        <f>VLOOKUP($L746,$L$2:$N$7,3,FALSE)*I746</f>
        <v>0</v>
      </c>
      <c r="O746" s="136"/>
      <c r="P746" s="216" t="s">
        <v>549</v>
      </c>
      <c r="Q746" s="9">
        <f>IF(P746="G",M746,IF(P746="PT",0,ERR))</f>
        <v>0</v>
      </c>
      <c r="R746" s="9">
        <f>IF(P746="PT",M746,IF(P746="G",0,ERR))</f>
        <v>0</v>
      </c>
      <c r="S746" s="142" t="s">
        <v>549</v>
      </c>
      <c r="T746" s="9">
        <f>IF(S746="G",N746,IF(S746="PT",0,ERR))</f>
        <v>0</v>
      </c>
      <c r="U746" s="9">
        <f>IF(S746="PT",N746,IF(S746="G",0,ERR))</f>
        <v>0</v>
      </c>
      <c r="V746" s="140"/>
      <c r="W746" s="9">
        <f>HLOOKUP($W$9,'ROR-Model'!$Q$10:$U$1263,Y746)</f>
        <v>0</v>
      </c>
      <c r="X746" s="156"/>
      <c r="Y746" s="918">
        <f t="shared" si="42"/>
        <v>737</v>
      </c>
      <c r="AA746" s="9">
        <v>0</v>
      </c>
      <c r="AC746" s="9" t="str">
        <f t="shared" si="43"/>
        <v/>
      </c>
      <c r="AE746" s="44" t="str">
        <f t="shared" si="44"/>
        <v/>
      </c>
    </row>
    <row r="747" spans="1:31">
      <c r="A747" s="153"/>
      <c r="B747" s="49"/>
      <c r="C747" s="49" t="s">
        <v>160</v>
      </c>
      <c r="D747" s="49"/>
      <c r="E747" s="157">
        <f>+G747-Adjustments!G747</f>
        <v>0</v>
      </c>
      <c r="F747" s="157">
        <f>SUM(F745:F746)</f>
        <v>0</v>
      </c>
      <c r="G747" s="157">
        <f>SUM(G745:G746)</f>
        <v>0</v>
      </c>
      <c r="H747" s="157">
        <f>SUM(H745:H746)</f>
        <v>0</v>
      </c>
      <c r="I747" s="157">
        <f>SUM(I745:I746)</f>
        <v>0</v>
      </c>
      <c r="J747" s="9">
        <f>+I747-'ROR-Model'!I747</f>
        <v>0</v>
      </c>
      <c r="K747" s="9"/>
      <c r="L747" s="157"/>
      <c r="M747" s="157">
        <f>SUM(M745:M746)</f>
        <v>0</v>
      </c>
      <c r="N747" s="157">
        <f>SUM(N745:N746)</f>
        <v>0</v>
      </c>
      <c r="O747" s="136"/>
      <c r="P747" s="226"/>
      <c r="Q747" s="157">
        <f>SUM(Q745:Q746)</f>
        <v>0</v>
      </c>
      <c r="R747" s="157">
        <f>SUM(R745:R746)</f>
        <v>0</v>
      </c>
      <c r="S747" s="226"/>
      <c r="T747" s="157">
        <f>SUM(T745:T746)</f>
        <v>0</v>
      </c>
      <c r="U747" s="157">
        <f>SUM(U745:U746)</f>
        <v>0</v>
      </c>
      <c r="V747" s="140"/>
      <c r="W747" s="157">
        <f>HLOOKUP($W$9,'ROR-Model'!$Q$10:$U$1263,Y747)</f>
        <v>0</v>
      </c>
      <c r="X747" s="156"/>
      <c r="Y747" s="918">
        <f t="shared" si="42"/>
        <v>738</v>
      </c>
      <c r="AA747" s="157">
        <v>0</v>
      </c>
      <c r="AC747" s="157" t="str">
        <f t="shared" si="43"/>
        <v/>
      </c>
      <c r="AE747" s="44" t="str">
        <f t="shared" si="44"/>
        <v/>
      </c>
    </row>
    <row r="748" spans="1:31" ht="13.5" thickBot="1">
      <c r="A748" s="153"/>
      <c r="B748" s="49"/>
      <c r="C748" s="49"/>
      <c r="D748" s="49"/>
      <c r="E748" s="26">
        <f>+G748-Adjustments!G748</f>
        <v>0</v>
      </c>
      <c r="F748" s="26"/>
      <c r="G748" s="26"/>
      <c r="H748" s="26"/>
      <c r="I748" s="26"/>
      <c r="J748" s="9">
        <f>+I748-'ROR-Model'!I748</f>
        <v>0</v>
      </c>
      <c r="K748" s="9"/>
      <c r="L748" s="26"/>
      <c r="M748" s="26"/>
      <c r="N748" s="26"/>
      <c r="O748" s="136"/>
      <c r="P748" s="227"/>
      <c r="Q748" s="26"/>
      <c r="R748" s="26"/>
      <c r="S748" s="227"/>
      <c r="T748" s="26"/>
      <c r="U748" s="26"/>
      <c r="V748" s="140"/>
      <c r="W748" s="26"/>
      <c r="X748" s="156"/>
      <c r="Y748" s="918">
        <f t="shared" si="42"/>
        <v>739</v>
      </c>
      <c r="AA748" s="26"/>
      <c r="AC748" s="26" t="str">
        <f t="shared" si="43"/>
        <v/>
      </c>
      <c r="AE748" s="44" t="str">
        <f t="shared" si="44"/>
        <v/>
      </c>
    </row>
    <row r="749" spans="1:31" ht="13.5" thickTop="1">
      <c r="A749" s="130" t="s">
        <v>553</v>
      </c>
      <c r="B749" s="49"/>
      <c r="C749" s="49"/>
      <c r="D749" s="49"/>
      <c r="E749" s="9">
        <f>+G749-Adjustments!G749</f>
        <v>0</v>
      </c>
      <c r="F749" s="9"/>
      <c r="G749" s="9"/>
      <c r="H749" s="9"/>
      <c r="I749" s="9"/>
      <c r="J749" s="9">
        <f>+I749-'ROR-Model'!I749</f>
        <v>0</v>
      </c>
      <c r="K749" s="9"/>
      <c r="L749" s="9"/>
      <c r="M749" s="9"/>
      <c r="N749" s="9"/>
      <c r="O749" s="136"/>
      <c r="P749" s="142"/>
      <c r="Q749" s="9"/>
      <c r="R749" s="9"/>
      <c r="S749" s="142"/>
      <c r="T749" s="9"/>
      <c r="U749" s="9"/>
      <c r="V749" s="140"/>
      <c r="W749" s="9"/>
      <c r="X749" s="156"/>
      <c r="Y749" s="918">
        <f t="shared" si="42"/>
        <v>740</v>
      </c>
      <c r="AA749" s="9"/>
      <c r="AC749" s="9" t="str">
        <f t="shared" si="43"/>
        <v/>
      </c>
      <c r="AE749" s="44" t="str">
        <f t="shared" si="44"/>
        <v/>
      </c>
    </row>
    <row r="750" spans="1:31">
      <c r="A750" s="153"/>
      <c r="B750" s="49" t="s">
        <v>551</v>
      </c>
      <c r="C750" s="49"/>
      <c r="D750" s="49"/>
      <c r="E750" s="9">
        <f>+G750-Adjustments!G750</f>
        <v>0</v>
      </c>
      <c r="F750" s="9">
        <f>F655+F660+F665+F670+F675+F680+F685+F690+F695+F700+F705+F710+F715+F720+F725+F730+F735+F740+F745</f>
        <v>52285691.609999999</v>
      </c>
      <c r="G750" s="9">
        <f t="shared" ref="G750:I751" si="45">G655+G660+G665+G670+G675+G680+G685+G690+G695+G700+G705+G710+G715+G720+G725+G730+G735+G740+G745</f>
        <v>0</v>
      </c>
      <c r="H750" s="9">
        <f t="shared" si="45"/>
        <v>0</v>
      </c>
      <c r="I750" s="9">
        <f t="shared" si="45"/>
        <v>52285691.609999999</v>
      </c>
      <c r="J750" s="9">
        <f>+I750-'ROR-Model'!I750</f>
        <v>0</v>
      </c>
      <c r="K750" s="9"/>
      <c r="L750" s="9"/>
      <c r="M750" s="9">
        <f>M655+M660+M665+M670+M675+M680+M685+M690+M695+M700+M705+M710+M715+M720+M725+M730+M735+M740+M745</f>
        <v>52285691.609999999</v>
      </c>
      <c r="N750" s="9">
        <f>N655+N660+N665+N670+N675+N680+N685+N690+N695+N700+N705+N710+N715+N720+N725+N730+N735+N740+N745</f>
        <v>0</v>
      </c>
      <c r="O750" s="136"/>
      <c r="P750" s="142"/>
      <c r="Q750" s="9">
        <f>Q655+Q660+Q665+Q670+Q675+Q680+Q685+Q690+Q695+Q700+Q705+Q710+Q715+Q720+Q725+Q730+Q735+Q740+Q745</f>
        <v>52285691.609999999</v>
      </c>
      <c r="R750" s="9">
        <f>R655+R660+R665+R670+R675+R680+R685+R690+R695+R700+R705+R710+R715+R720+R725+R730+R735+R740+R745</f>
        <v>0</v>
      </c>
      <c r="S750" s="142"/>
      <c r="T750" s="9">
        <f>T655+T660+T665+T670+T675+T680+T685+T690+T695+T700+T705+T710+T715+T720+T725+T730+T735+T740+T745</f>
        <v>0</v>
      </c>
      <c r="U750" s="9">
        <f>U655+U660+U665+U670+U675+U680+U685+U690+U695+U700+U705+U710+U715+U720+U725+U730+U735+U740+U745</f>
        <v>0</v>
      </c>
      <c r="V750" s="140"/>
      <c r="W750" s="9">
        <f>HLOOKUP($W$9,'ROR-Model'!$Q$10:$U$1263,Y750)</f>
        <v>52285691.609999999</v>
      </c>
      <c r="X750" s="156"/>
      <c r="Y750" s="918">
        <f t="shared" si="42"/>
        <v>741</v>
      </c>
      <c r="AA750" s="9">
        <v>0</v>
      </c>
      <c r="AC750" s="9" t="str">
        <f t="shared" si="43"/>
        <v/>
      </c>
      <c r="AE750" s="44" t="str">
        <f t="shared" si="44"/>
        <v/>
      </c>
    </row>
    <row r="751" spans="1:31">
      <c r="A751" s="153"/>
      <c r="B751" s="49" t="s">
        <v>552</v>
      </c>
      <c r="C751" s="49"/>
      <c r="D751" s="49"/>
      <c r="E751" s="9">
        <f>+G751-Adjustments!G751</f>
        <v>0</v>
      </c>
      <c r="F751" s="9">
        <f>F656+F661+F666+F671+F676+F681+F686+F691+F696+F701+F706+F711+F716+F721+F726+F731+F736+F741+F746</f>
        <v>2664192.5200000005</v>
      </c>
      <c r="G751" s="9">
        <f t="shared" si="45"/>
        <v>0</v>
      </c>
      <c r="H751" s="9">
        <f t="shared" si="45"/>
        <v>0</v>
      </c>
      <c r="I751" s="9">
        <f t="shared" si="45"/>
        <v>2664192.5200000005</v>
      </c>
      <c r="J751" s="9">
        <f>+I751-'ROR-Model'!I751</f>
        <v>0</v>
      </c>
      <c r="K751" s="9"/>
      <c r="L751" s="9"/>
      <c r="M751" s="9">
        <f>M656+M661+M666+M671+M676+M681+M686+M691+M696+M701+M706+M711+M716+M721+M726+M731+M736+M741+M746</f>
        <v>0</v>
      </c>
      <c r="N751" s="9">
        <f>N656+N661+N666+N671+N676+N681+N686+N691+N696+N701+N706+N711+N716+N721+N726+N731+N736+N741+N746</f>
        <v>2664192.5200000005</v>
      </c>
      <c r="O751" s="136"/>
      <c r="P751" s="142"/>
      <c r="Q751" s="9">
        <f>Q656+Q661+Q666+Q671+Q676+Q681+Q686+Q691+Q696+Q701+Q706+Q711+Q716+Q721+Q726+Q731+Q736+Q741+Q746</f>
        <v>0</v>
      </c>
      <c r="R751" s="9">
        <f>R656+R661+R666+R671+R676+R681+R686+R691+R696+R701+R706+R711+R716+R721+R726+R731+R736+R741+R746</f>
        <v>0</v>
      </c>
      <c r="S751" s="142"/>
      <c r="T751" s="9">
        <f>T656+T661+T666+T671+T676+T681+T686+T691+T696+T701+T706+T711+T716+T721+T726+T731+T736+T741+T746</f>
        <v>2664192.5200000005</v>
      </c>
      <c r="U751" s="9">
        <f>U656+U661+U666+U671+U676+U681+U686+U691+U696+U701+U706+U711+U716+U721+U726+U731+U736+U741+U746</f>
        <v>0</v>
      </c>
      <c r="V751" s="140"/>
      <c r="W751" s="9">
        <f>HLOOKUP($W$9,'ROR-Model'!$Q$10:$U$1263,Y751)</f>
        <v>0</v>
      </c>
      <c r="X751" s="156"/>
      <c r="Y751" s="918">
        <f t="shared" si="42"/>
        <v>742</v>
      </c>
      <c r="AA751" s="9">
        <v>3212341.48</v>
      </c>
      <c r="AC751" s="9">
        <f t="shared" si="43"/>
        <v>-3212341.48</v>
      </c>
      <c r="AE751" s="44">
        <f t="shared" si="44"/>
        <v>-1</v>
      </c>
    </row>
    <row r="752" spans="1:31" ht="13.5" thickBot="1">
      <c r="A752" s="153"/>
      <c r="B752" s="49"/>
      <c r="C752" s="49"/>
      <c r="D752" s="49"/>
      <c r="E752" s="175">
        <f>+G752-Adjustments!G752</f>
        <v>0</v>
      </c>
      <c r="F752" s="175"/>
      <c r="G752" s="175"/>
      <c r="H752" s="175"/>
      <c r="I752" s="175"/>
      <c r="J752" s="9">
        <f>+I752-'ROR-Model'!I752</f>
        <v>0</v>
      </c>
      <c r="K752" s="9"/>
      <c r="L752" s="175"/>
      <c r="M752" s="175"/>
      <c r="N752" s="175"/>
      <c r="O752" s="136"/>
      <c r="P752" s="229"/>
      <c r="Q752" s="175"/>
      <c r="R752" s="175"/>
      <c r="S752" s="229"/>
      <c r="T752" s="175"/>
      <c r="U752" s="175"/>
      <c r="V752" s="140"/>
      <c r="W752" s="175">
        <f>HLOOKUP($W$9,'ROR-Model'!$Q$10:$U$1263,Y752)</f>
        <v>0</v>
      </c>
      <c r="X752" s="156"/>
      <c r="Y752" s="918">
        <f t="shared" si="42"/>
        <v>743</v>
      </c>
      <c r="AA752" s="175">
        <v>0</v>
      </c>
      <c r="AC752" s="175" t="str">
        <f t="shared" si="43"/>
        <v/>
      </c>
      <c r="AE752" s="44" t="str">
        <f t="shared" si="44"/>
        <v/>
      </c>
    </row>
    <row r="753" spans="1:31">
      <c r="A753" s="153"/>
      <c r="B753" s="158" t="s">
        <v>553</v>
      </c>
      <c r="C753" s="49"/>
      <c r="D753" s="49"/>
      <c r="E753" s="9">
        <f>+G753-Adjustments!G753</f>
        <v>0</v>
      </c>
      <c r="F753" s="9">
        <f>F657+F662+F667+F672+F677+F682+F687+F692+F697+F702+F707+F712+F717+F722+F727+F732+F737+F742+F747</f>
        <v>54949884.13000001</v>
      </c>
      <c r="G753" s="9">
        <f>G657+G662+G667+G672+G677+G682+G687+G692+G697+G702+G707+G712+G717+G722+G727+G732+G737+G742+G747</f>
        <v>0</v>
      </c>
      <c r="H753" s="9">
        <f>H657+H662+H667+H672+H677+H682+H687+H692+H697+H702+H707+H712+H717+H722+H727+H732+H737+H742+H747</f>
        <v>0</v>
      </c>
      <c r="I753" s="9">
        <f>I657+I662+I667+I672+I677+I682+I687+I692+I697+I702+I707+I712+I717+I722+I727+I732+I737+I742+I747</f>
        <v>54949884.13000001</v>
      </c>
      <c r="J753" s="9">
        <f>+I753-'ROR-Model'!I753</f>
        <v>0</v>
      </c>
      <c r="K753" s="9"/>
      <c r="L753" s="9"/>
      <c r="M753" s="9">
        <f>M657+M662+M667+M672+M677+M682+M687+M692+M697+M702+M707+M712+M717+M722+M727+M732+M737+M742+M747</f>
        <v>52285691.609999999</v>
      </c>
      <c r="N753" s="9">
        <f>N657+N662+N667+N672+N677+N682+N687+N692+N697+N702+N707+N712+N717+N722+N727+N732+N737+N742+N747</f>
        <v>2664192.5200000005</v>
      </c>
      <c r="O753" s="136"/>
      <c r="P753" s="142"/>
      <c r="Q753" s="9">
        <f>Q657+Q662+Q667+Q672+Q677+Q682+Q687+Q692+Q697+Q702+Q707+Q712+Q717+Q722+Q727+Q732+Q737+Q742+Q747</f>
        <v>52285691.609999999</v>
      </c>
      <c r="R753" s="9">
        <f>R657+R662+R667+R672+R677+R682+R687+R692+R697+R702+R707+R712+R717+R722+R727+R732+R737+R742+R747</f>
        <v>0</v>
      </c>
      <c r="S753" s="142"/>
      <c r="T753" s="9">
        <f>T657+T662+T667+T672+T677+T682+T687+T692+T697+T702+T707+T712+T717+T722+T727+T732+T737+T742+T747</f>
        <v>2664192.5200000005</v>
      </c>
      <c r="U753" s="9">
        <f>U657+U662+U667+U672+U677+U682+U687+U692+U697+U702+U707+U712+U717+U722+U727+U732+U737+U742+U747</f>
        <v>0</v>
      </c>
      <c r="V753" s="140"/>
      <c r="W753" s="9">
        <f>HLOOKUP($W$9,'ROR-Model'!$Q$10:$U$1263,Y753)</f>
        <v>52285691.609999999</v>
      </c>
      <c r="X753" s="156"/>
      <c r="Y753" s="918">
        <f t="shared" si="42"/>
        <v>744</v>
      </c>
      <c r="AA753" s="9">
        <v>3212341.48</v>
      </c>
      <c r="AC753" s="9">
        <f t="shared" si="43"/>
        <v>49073350.130000003</v>
      </c>
      <c r="AE753" s="44">
        <f t="shared" si="44"/>
        <v>15.276504828496627</v>
      </c>
    </row>
    <row r="754" spans="1:31">
      <c r="A754" s="153"/>
      <c r="B754" s="49"/>
      <c r="C754" s="49"/>
      <c r="D754" s="49"/>
      <c r="E754" s="9">
        <f>+G754-Adjustments!G754</f>
        <v>0</v>
      </c>
      <c r="F754" s="9"/>
      <c r="G754" s="9"/>
      <c r="H754" s="9"/>
      <c r="I754" s="9"/>
      <c r="J754" s="9">
        <f>+I754-'ROR-Model'!I754</f>
        <v>0</v>
      </c>
      <c r="K754" s="9"/>
      <c r="L754" s="9"/>
      <c r="M754" s="9"/>
      <c r="N754" s="9"/>
      <c r="O754" s="136"/>
      <c r="P754" s="142"/>
      <c r="Q754" s="9"/>
      <c r="R754" s="9"/>
      <c r="S754" s="142"/>
      <c r="T754" s="9"/>
      <c r="U754" s="9"/>
      <c r="V754" s="140"/>
      <c r="W754" s="9"/>
      <c r="X754" s="156"/>
      <c r="Y754" s="918">
        <f t="shared" si="42"/>
        <v>745</v>
      </c>
      <c r="AA754" s="9"/>
      <c r="AC754" s="9" t="str">
        <f t="shared" si="43"/>
        <v/>
      </c>
      <c r="AE754" s="44" t="str">
        <f t="shared" si="44"/>
        <v/>
      </c>
    </row>
    <row r="755" spans="1:31">
      <c r="A755" s="130" t="s">
        <v>383</v>
      </c>
      <c r="B755" s="49"/>
      <c r="C755" s="49"/>
      <c r="D755" s="49"/>
      <c r="E755" s="9">
        <f>+G755-Adjustments!G755</f>
        <v>0</v>
      </c>
      <c r="F755" s="9"/>
      <c r="G755" s="9"/>
      <c r="H755" s="9"/>
      <c r="I755" s="9"/>
      <c r="J755" s="9">
        <f>+I755-'ROR-Model'!I755</f>
        <v>0</v>
      </c>
      <c r="K755" s="9"/>
      <c r="L755" s="9"/>
      <c r="M755" s="9"/>
      <c r="N755" s="9"/>
      <c r="O755" s="136"/>
      <c r="P755" s="142"/>
      <c r="Q755" s="9"/>
      <c r="R755" s="9"/>
      <c r="S755" s="142"/>
      <c r="T755" s="9"/>
      <c r="U755" s="9"/>
      <c r="V755" s="140"/>
      <c r="W755" s="9"/>
      <c r="X755" s="156"/>
      <c r="Y755" s="918">
        <f t="shared" si="42"/>
        <v>746</v>
      </c>
      <c r="AA755" s="9"/>
      <c r="AC755" s="9" t="str">
        <f t="shared" si="43"/>
        <v/>
      </c>
      <c r="AE755" s="44" t="str">
        <f t="shared" si="44"/>
        <v/>
      </c>
    </row>
    <row r="756" spans="1:31">
      <c r="A756" s="153"/>
      <c r="B756" s="49"/>
      <c r="C756" s="49"/>
      <c r="D756" s="49"/>
      <c r="E756" s="9">
        <f>+G756-Adjustments!G756</f>
        <v>0</v>
      </c>
      <c r="F756" s="9"/>
      <c r="G756" s="9"/>
      <c r="H756" s="9"/>
      <c r="I756" s="9"/>
      <c r="J756" s="9">
        <f>+I756-'ROR-Model'!I756</f>
        <v>0</v>
      </c>
      <c r="K756" s="9"/>
      <c r="L756" s="9"/>
      <c r="M756" s="9"/>
      <c r="N756" s="9"/>
      <c r="O756" s="136"/>
      <c r="P756" s="142"/>
      <c r="Q756" s="9"/>
      <c r="R756" s="9"/>
      <c r="S756" s="142"/>
      <c r="T756" s="9"/>
      <c r="U756" s="9"/>
      <c r="V756" s="140"/>
      <c r="W756" s="9"/>
      <c r="X756" s="156"/>
      <c r="Y756" s="918">
        <f t="shared" si="42"/>
        <v>747</v>
      </c>
      <c r="AA756" s="9"/>
      <c r="AC756" s="9" t="str">
        <f t="shared" si="43"/>
        <v/>
      </c>
      <c r="AE756" s="44" t="str">
        <f t="shared" si="44"/>
        <v/>
      </c>
    </row>
    <row r="757" spans="1:31">
      <c r="A757" s="154">
        <v>901</v>
      </c>
      <c r="B757" s="49" t="s">
        <v>385</v>
      </c>
      <c r="C757" s="49"/>
      <c r="D757" s="49"/>
      <c r="E757" s="9">
        <f>+G757-Adjustments!G757</f>
        <v>0</v>
      </c>
      <c r="F757" s="9"/>
      <c r="G757" s="9"/>
      <c r="H757" s="9"/>
      <c r="I757" s="9"/>
      <c r="J757" s="9">
        <f>+I757-'ROR-Model'!I757</f>
        <v>0</v>
      </c>
      <c r="K757" s="9"/>
      <c r="L757" s="9"/>
      <c r="M757" s="9"/>
      <c r="N757" s="9"/>
      <c r="O757" s="136"/>
      <c r="P757" s="142"/>
      <c r="Q757" s="9"/>
      <c r="R757" s="9"/>
      <c r="S757" s="142"/>
      <c r="T757" s="9"/>
      <c r="U757" s="9"/>
      <c r="V757" s="140"/>
      <c r="W757" s="9"/>
      <c r="X757" s="156"/>
      <c r="Y757" s="918">
        <f t="shared" si="42"/>
        <v>748</v>
      </c>
      <c r="AA757" s="9"/>
      <c r="AC757" s="9" t="str">
        <f t="shared" si="43"/>
        <v/>
      </c>
      <c r="AE757" s="44" t="str">
        <f t="shared" si="44"/>
        <v/>
      </c>
    </row>
    <row r="758" spans="1:31">
      <c r="A758" s="154"/>
      <c r="B758" s="49"/>
      <c r="C758" s="49" t="s">
        <v>13</v>
      </c>
      <c r="D758" s="49"/>
      <c r="E758" s="9">
        <f>+G758-Adjustments!G758</f>
        <v>0</v>
      </c>
      <c r="F758" s="9">
        <f>EXPENSES!F249</f>
        <v>1123201.22</v>
      </c>
      <c r="G758" s="9">
        <f>+Adjustments!U757</f>
        <v>0</v>
      </c>
      <c r="H758" s="9"/>
      <c r="I758" s="9">
        <f>SUM($F$758:$H$758)</f>
        <v>1123201.22</v>
      </c>
      <c r="J758" s="9">
        <f>+I758-'ROR-Model'!I758</f>
        <v>0</v>
      </c>
      <c r="K758" s="9"/>
      <c r="L758" s="9" t="s">
        <v>13</v>
      </c>
      <c r="M758" s="9">
        <f>VLOOKUP($L758,$L$2:$N$7,2,FALSE)*I758</f>
        <v>1123201.22</v>
      </c>
      <c r="N758" s="9">
        <f>VLOOKUP($L758,$L$2:$N$7,3,FALSE)*I758</f>
        <v>0</v>
      </c>
      <c r="O758" s="136"/>
      <c r="P758" s="216" t="s">
        <v>549</v>
      </c>
      <c r="Q758" s="9">
        <f>IF(P758="G",M758,IF(P758="PT",0,ERR))</f>
        <v>1123201.22</v>
      </c>
      <c r="R758" s="9">
        <f>IF(P758="PT",M758,IF(P758="G",0,ERR))</f>
        <v>0</v>
      </c>
      <c r="S758" s="142" t="s">
        <v>549</v>
      </c>
      <c r="T758" s="9">
        <f>IF(S758="G",N758,IF(S758="PT",0,ERR))</f>
        <v>0</v>
      </c>
      <c r="U758" s="9">
        <f>IF(S758="PT",N758,IF(S758="G",0,ERR))</f>
        <v>0</v>
      </c>
      <c r="V758" s="140"/>
      <c r="W758" s="9">
        <f>HLOOKUP($W$9,'ROR-Model'!$Q$10:$U$1263,Y758)</f>
        <v>1123201.22</v>
      </c>
      <c r="X758" s="156"/>
      <c r="Y758" s="918">
        <f t="shared" si="42"/>
        <v>749</v>
      </c>
      <c r="AA758" s="9">
        <v>0</v>
      </c>
      <c r="AC758" s="9" t="str">
        <f t="shared" si="43"/>
        <v/>
      </c>
      <c r="AE758" s="44" t="str">
        <f t="shared" si="44"/>
        <v/>
      </c>
    </row>
    <row r="759" spans="1:31">
      <c r="A759" s="154"/>
      <c r="B759" s="49"/>
      <c r="C759" s="49" t="s">
        <v>24</v>
      </c>
      <c r="D759" s="49"/>
      <c r="E759" s="9">
        <f>+G759-Adjustments!G759</f>
        <v>0</v>
      </c>
      <c r="F759" s="9">
        <f>EXPENSES!F250</f>
        <v>23973.87</v>
      </c>
      <c r="G759" s="9">
        <f>+Adjustments!U758</f>
        <v>0</v>
      </c>
      <c r="H759" s="9"/>
      <c r="I759" s="9">
        <f>SUM($F$759:$H$759)</f>
        <v>23973.87</v>
      </c>
      <c r="J759" s="9">
        <f>+I759-'ROR-Model'!I759</f>
        <v>0</v>
      </c>
      <c r="K759" s="9"/>
      <c r="L759" s="9" t="s">
        <v>24</v>
      </c>
      <c r="M759" s="9">
        <f>VLOOKUP($L759,$L$2:$N$7,2,FALSE)*I759</f>
        <v>0</v>
      </c>
      <c r="N759" s="9">
        <f>VLOOKUP($L759,$L$2:$N$7,3,FALSE)*I759</f>
        <v>23973.87</v>
      </c>
      <c r="O759" s="136"/>
      <c r="P759" s="216" t="s">
        <v>549</v>
      </c>
      <c r="Q759" s="9">
        <f>IF(P759="G",M759,IF(P759="PT",0,ERR))</f>
        <v>0</v>
      </c>
      <c r="R759" s="9">
        <f>IF(P759="PT",M759,IF(P759="G",0,ERR))</f>
        <v>0</v>
      </c>
      <c r="S759" s="142" t="s">
        <v>549</v>
      </c>
      <c r="T759" s="9">
        <f>IF(S759="G",N759,IF(S759="PT",0,ERR))</f>
        <v>23973.87</v>
      </c>
      <c r="U759" s="9">
        <f>IF(S759="PT",N759,IF(S759="G",0,ERR))</f>
        <v>0</v>
      </c>
      <c r="V759" s="140"/>
      <c r="W759" s="9">
        <f>HLOOKUP($W$9,'ROR-Model'!$Q$10:$U$1263,Y759)</f>
        <v>0</v>
      </c>
      <c r="X759" s="156"/>
      <c r="Y759" s="918">
        <f t="shared" si="42"/>
        <v>750</v>
      </c>
      <c r="AA759" s="9">
        <v>30268.11</v>
      </c>
      <c r="AC759" s="9">
        <f t="shared" si="43"/>
        <v>-30268.11</v>
      </c>
      <c r="AE759" s="44">
        <f t="shared" si="44"/>
        <v>-1</v>
      </c>
    </row>
    <row r="760" spans="1:31">
      <c r="A760" s="154"/>
      <c r="B760" s="49"/>
      <c r="C760" s="49" t="s">
        <v>160</v>
      </c>
      <c r="D760" s="49"/>
      <c r="E760" s="157">
        <f>+G760-Adjustments!G760</f>
        <v>0</v>
      </c>
      <c r="F760" s="157">
        <f>SUM(F758:F759)</f>
        <v>1147175.0900000001</v>
      </c>
      <c r="G760" s="157">
        <f>SUM(G758:G759)</f>
        <v>0</v>
      </c>
      <c r="H760" s="157">
        <f>SUM(H758:H759)</f>
        <v>0</v>
      </c>
      <c r="I760" s="157">
        <f>SUM(I758:I759)</f>
        <v>1147175.0900000001</v>
      </c>
      <c r="J760" s="9">
        <f>+I760-'ROR-Model'!I760</f>
        <v>0</v>
      </c>
      <c r="K760" s="9"/>
      <c r="L760" s="157"/>
      <c r="M760" s="157">
        <f>SUM(M758:M759)</f>
        <v>1123201.22</v>
      </c>
      <c r="N760" s="157">
        <f>SUM(N758:N759)</f>
        <v>23973.87</v>
      </c>
      <c r="O760" s="136"/>
      <c r="P760" s="226"/>
      <c r="Q760" s="157">
        <f>SUM(Q758:Q759)</f>
        <v>1123201.22</v>
      </c>
      <c r="R760" s="157">
        <f>SUM(R758:R759)</f>
        <v>0</v>
      </c>
      <c r="S760" s="226"/>
      <c r="T760" s="157">
        <f>SUM(T758:T759)</f>
        <v>23973.87</v>
      </c>
      <c r="U760" s="157">
        <f>SUM(U758:U759)</f>
        <v>0</v>
      </c>
      <c r="V760" s="140"/>
      <c r="W760" s="157">
        <f>HLOOKUP($W$9,'ROR-Model'!$Q$10:$U$1263,Y760)</f>
        <v>1123201.22</v>
      </c>
      <c r="X760" s="156"/>
      <c r="Y760" s="918">
        <f t="shared" si="42"/>
        <v>751</v>
      </c>
      <c r="AA760" s="157">
        <v>30268.11</v>
      </c>
      <c r="AC760" s="157">
        <f t="shared" si="43"/>
        <v>1092933.1099999999</v>
      </c>
      <c r="AE760" s="44">
        <f t="shared" si="44"/>
        <v>36.108402870215542</v>
      </c>
    </row>
    <row r="761" spans="1:31">
      <c r="A761" s="154"/>
      <c r="B761" s="49"/>
      <c r="C761" s="49"/>
      <c r="D761" s="49"/>
      <c r="E761" s="9">
        <f>+G761-Adjustments!G761</f>
        <v>0</v>
      </c>
      <c r="F761" s="9"/>
      <c r="G761" s="9"/>
      <c r="H761" s="9"/>
      <c r="I761" s="9"/>
      <c r="J761" s="9">
        <f>+I761-'ROR-Model'!I761</f>
        <v>0</v>
      </c>
      <c r="K761" s="9"/>
      <c r="L761" s="9"/>
      <c r="M761" s="9"/>
      <c r="N761" s="9"/>
      <c r="O761" s="136"/>
      <c r="P761" s="142"/>
      <c r="Q761" s="9"/>
      <c r="R761" s="9"/>
      <c r="S761" s="142"/>
      <c r="T761" s="9"/>
      <c r="U761" s="9"/>
      <c r="V761" s="140"/>
      <c r="W761" s="9"/>
      <c r="X761" s="156"/>
      <c r="Y761" s="918">
        <f t="shared" si="42"/>
        <v>752</v>
      </c>
      <c r="AA761" s="9"/>
      <c r="AC761" s="9" t="str">
        <f t="shared" si="43"/>
        <v/>
      </c>
      <c r="AE761" s="44" t="str">
        <f t="shared" si="44"/>
        <v/>
      </c>
    </row>
    <row r="762" spans="1:31">
      <c r="A762" s="154">
        <v>902</v>
      </c>
      <c r="B762" s="49" t="s">
        <v>386</v>
      </c>
      <c r="C762" s="49"/>
      <c r="D762" s="49"/>
      <c r="E762" s="9">
        <f>+G762-Adjustments!G762</f>
        <v>0</v>
      </c>
      <c r="F762" s="9"/>
      <c r="G762" s="9"/>
      <c r="H762" s="9"/>
      <c r="I762" s="9"/>
      <c r="J762" s="9">
        <f>+I762-'ROR-Model'!I762</f>
        <v>0</v>
      </c>
      <c r="K762" s="9"/>
      <c r="L762" s="9"/>
      <c r="M762" s="9"/>
      <c r="N762" s="9"/>
      <c r="O762" s="136"/>
      <c r="P762" s="142"/>
      <c r="Q762" s="9"/>
      <c r="R762" s="9"/>
      <c r="S762" s="142"/>
      <c r="T762" s="9"/>
      <c r="U762" s="9"/>
      <c r="V762" s="140"/>
      <c r="W762" s="9"/>
      <c r="X762" s="156"/>
      <c r="Y762" s="918">
        <f t="shared" si="42"/>
        <v>753</v>
      </c>
      <c r="AA762" s="9"/>
      <c r="AC762" s="9" t="str">
        <f t="shared" si="43"/>
        <v/>
      </c>
      <c r="AE762" s="44" t="str">
        <f t="shared" si="44"/>
        <v/>
      </c>
    </row>
    <row r="763" spans="1:31">
      <c r="A763" s="154"/>
      <c r="B763" s="49"/>
      <c r="C763" s="49" t="s">
        <v>13</v>
      </c>
      <c r="D763" s="49"/>
      <c r="E763" s="9">
        <f>+G763-Adjustments!G763</f>
        <v>0</v>
      </c>
      <c r="F763" s="9">
        <f>EXPENSES!F254</f>
        <v>1931571.41</v>
      </c>
      <c r="G763" s="9">
        <f>+Adjustments!U762</f>
        <v>0</v>
      </c>
      <c r="H763" s="9"/>
      <c r="I763" s="9">
        <f>SUM($F$763:$H$763)</f>
        <v>1931571.41</v>
      </c>
      <c r="J763" s="9">
        <f>+I763-'ROR-Model'!I763</f>
        <v>0</v>
      </c>
      <c r="K763" s="9"/>
      <c r="L763" s="9" t="s">
        <v>13</v>
      </c>
      <c r="M763" s="9">
        <f>VLOOKUP($L763,$L$2:$N$7,2,FALSE)*I763</f>
        <v>1931571.41</v>
      </c>
      <c r="N763" s="9">
        <f>VLOOKUP($L763,$L$2:$N$7,3,FALSE)*I763</f>
        <v>0</v>
      </c>
      <c r="O763" s="136"/>
      <c r="P763" s="216" t="s">
        <v>549</v>
      </c>
      <c r="Q763" s="9">
        <f>IF(P763="G",M763,IF(P763="PT",0,ERR))</f>
        <v>1931571.41</v>
      </c>
      <c r="R763" s="9">
        <f>IF(P763="PT",M763,IF(P763="G",0,ERR))</f>
        <v>0</v>
      </c>
      <c r="S763" s="142" t="s">
        <v>549</v>
      </c>
      <c r="T763" s="9">
        <f>IF(S763="G",N763,IF(S763="PT",0,ERR))</f>
        <v>0</v>
      </c>
      <c r="U763" s="9">
        <f>IF(S763="PT",N763,IF(S763="G",0,ERR))</f>
        <v>0</v>
      </c>
      <c r="V763" s="140"/>
      <c r="W763" s="9">
        <f>HLOOKUP($W$9,'ROR-Model'!$Q$10:$U$1263,Y763)</f>
        <v>1931571.41</v>
      </c>
      <c r="X763" s="156"/>
      <c r="Y763" s="918">
        <f t="shared" si="42"/>
        <v>754</v>
      </c>
      <c r="AA763" s="9">
        <v>0</v>
      </c>
      <c r="AC763" s="9" t="str">
        <f t="shared" si="43"/>
        <v/>
      </c>
      <c r="AE763" s="44" t="str">
        <f t="shared" si="44"/>
        <v/>
      </c>
    </row>
    <row r="764" spans="1:31">
      <c r="A764" s="154"/>
      <c r="B764" s="49"/>
      <c r="C764" s="49" t="s">
        <v>24</v>
      </c>
      <c r="D764" s="49"/>
      <c r="E764" s="9">
        <f>+G764-Adjustments!G764</f>
        <v>0</v>
      </c>
      <c r="F764" s="9">
        <f>EXPENSES!F255</f>
        <v>66802.97</v>
      </c>
      <c r="G764" s="9">
        <f>+Adjustments!U763</f>
        <v>0</v>
      </c>
      <c r="H764" s="9"/>
      <c r="I764" s="9">
        <f>SUM($F$764:$H$764)</f>
        <v>66802.97</v>
      </c>
      <c r="J764" s="9">
        <f>+I764-'ROR-Model'!I764</f>
        <v>0</v>
      </c>
      <c r="K764" s="9"/>
      <c r="L764" s="9" t="s">
        <v>24</v>
      </c>
      <c r="M764" s="9">
        <f>VLOOKUP($L764,$L$2:$N$7,2,FALSE)*I764</f>
        <v>0</v>
      </c>
      <c r="N764" s="9">
        <f>VLOOKUP($L764,$L$2:$N$7,3,FALSE)*I764</f>
        <v>66802.97</v>
      </c>
      <c r="O764" s="136"/>
      <c r="P764" s="216" t="s">
        <v>549</v>
      </c>
      <c r="Q764" s="9">
        <f>IF(P764="G",M764,IF(P764="PT",0,ERR))</f>
        <v>0</v>
      </c>
      <c r="R764" s="9">
        <f>IF(P764="PT",M764,IF(P764="G",0,ERR))</f>
        <v>0</v>
      </c>
      <c r="S764" s="142" t="s">
        <v>549</v>
      </c>
      <c r="T764" s="9">
        <f>IF(S764="G",N764,IF(S764="PT",0,ERR))</f>
        <v>66802.97</v>
      </c>
      <c r="U764" s="9">
        <f>IF(S764="PT",N764,IF(S764="G",0,ERR))</f>
        <v>0</v>
      </c>
      <c r="V764" s="140"/>
      <c r="W764" s="9">
        <f>HLOOKUP($W$9,'ROR-Model'!$Q$10:$U$1263,Y764)</f>
        <v>0</v>
      </c>
      <c r="X764" s="156"/>
      <c r="Y764" s="918">
        <f t="shared" si="42"/>
        <v>755</v>
      </c>
      <c r="AA764" s="9">
        <v>120044.65000000001</v>
      </c>
      <c r="AC764" s="9">
        <f t="shared" si="43"/>
        <v>-120044.65000000001</v>
      </c>
      <c r="AE764" s="44">
        <f t="shared" si="44"/>
        <v>-1</v>
      </c>
    </row>
    <row r="765" spans="1:31">
      <c r="A765" s="154"/>
      <c r="B765" s="49"/>
      <c r="C765" s="49" t="s">
        <v>160</v>
      </c>
      <c r="D765" s="49"/>
      <c r="E765" s="157">
        <f>+G765-Adjustments!G765</f>
        <v>0</v>
      </c>
      <c r="F765" s="157">
        <f>SUM(F763:F764)</f>
        <v>1998374.38</v>
      </c>
      <c r="G765" s="157">
        <f>SUM(G763:G764)</f>
        <v>0</v>
      </c>
      <c r="H765" s="157">
        <f>SUM(H763:H764)</f>
        <v>0</v>
      </c>
      <c r="I765" s="157">
        <f>SUM(I763:I764)</f>
        <v>1998374.38</v>
      </c>
      <c r="J765" s="9">
        <f>+I765-'ROR-Model'!I765</f>
        <v>0</v>
      </c>
      <c r="K765" s="9"/>
      <c r="L765" s="157"/>
      <c r="M765" s="157">
        <f>SUM(M763:M764)</f>
        <v>1931571.41</v>
      </c>
      <c r="N765" s="157">
        <f>SUM(N763:N764)</f>
        <v>66802.97</v>
      </c>
      <c r="O765" s="136"/>
      <c r="P765" s="226"/>
      <c r="Q765" s="157">
        <f>SUM(Q763:Q764)</f>
        <v>1931571.41</v>
      </c>
      <c r="R765" s="157">
        <f>SUM(R763:R764)</f>
        <v>0</v>
      </c>
      <c r="S765" s="226"/>
      <c r="T765" s="157">
        <f>SUM(T763:T764)</f>
        <v>66802.97</v>
      </c>
      <c r="U765" s="157">
        <f>SUM(U763:U764)</f>
        <v>0</v>
      </c>
      <c r="V765" s="140"/>
      <c r="W765" s="157">
        <f>HLOOKUP($W$9,'ROR-Model'!$Q$10:$U$1263,Y765)</f>
        <v>1931571.41</v>
      </c>
      <c r="X765" s="156"/>
      <c r="Y765" s="918">
        <f t="shared" si="42"/>
        <v>756</v>
      </c>
      <c r="AA765" s="157">
        <v>120044.65000000001</v>
      </c>
      <c r="AC765" s="157">
        <f t="shared" si="43"/>
        <v>1811526.76</v>
      </c>
      <c r="AE765" s="44">
        <f t="shared" si="44"/>
        <v>15.090441431583997</v>
      </c>
    </row>
    <row r="766" spans="1:31">
      <c r="A766" s="154"/>
      <c r="B766" s="49"/>
      <c r="C766" s="49"/>
      <c r="D766" s="49"/>
      <c r="E766" s="9">
        <f>+G766-Adjustments!G766</f>
        <v>0</v>
      </c>
      <c r="F766" s="9"/>
      <c r="G766" s="9"/>
      <c r="H766" s="9"/>
      <c r="I766" s="9"/>
      <c r="J766" s="9">
        <f>+I766-'ROR-Model'!I766</f>
        <v>0</v>
      </c>
      <c r="K766" s="9"/>
      <c r="L766" s="9"/>
      <c r="M766" s="9"/>
      <c r="N766" s="9"/>
      <c r="O766" s="136"/>
      <c r="P766" s="142"/>
      <c r="Q766" s="9"/>
      <c r="R766" s="9"/>
      <c r="S766" s="142"/>
      <c r="T766" s="9"/>
      <c r="U766" s="9"/>
      <c r="V766" s="140"/>
      <c r="W766" s="9"/>
      <c r="X766" s="156"/>
      <c r="Y766" s="918">
        <f t="shared" si="42"/>
        <v>757</v>
      </c>
      <c r="AA766" s="9"/>
      <c r="AC766" s="9" t="str">
        <f t="shared" si="43"/>
        <v/>
      </c>
      <c r="AE766" s="44" t="str">
        <f t="shared" si="44"/>
        <v/>
      </c>
    </row>
    <row r="767" spans="1:31">
      <c r="A767" s="154">
        <v>9031</v>
      </c>
      <c r="B767" s="49" t="s">
        <v>387</v>
      </c>
      <c r="C767" s="49"/>
      <c r="D767" s="49"/>
      <c r="E767" s="9">
        <f>+G767-Adjustments!G767</f>
        <v>0</v>
      </c>
      <c r="F767" s="9"/>
      <c r="G767" s="9"/>
      <c r="H767" s="9"/>
      <c r="I767" s="9"/>
      <c r="J767" s="9">
        <f>+I767-'ROR-Model'!I767</f>
        <v>0</v>
      </c>
      <c r="K767" s="9"/>
      <c r="L767" s="9"/>
      <c r="M767" s="9"/>
      <c r="N767" s="9"/>
      <c r="O767" s="136"/>
      <c r="P767" s="142"/>
      <c r="Q767" s="9"/>
      <c r="R767" s="9"/>
      <c r="S767" s="142"/>
      <c r="T767" s="9"/>
      <c r="U767" s="9"/>
      <c r="V767" s="140"/>
      <c r="W767" s="9"/>
      <c r="X767" s="156"/>
      <c r="Y767" s="918">
        <f t="shared" si="42"/>
        <v>758</v>
      </c>
      <c r="AA767" s="9"/>
      <c r="AC767" s="9" t="str">
        <f t="shared" si="43"/>
        <v/>
      </c>
      <c r="AE767" s="44" t="str">
        <f t="shared" si="44"/>
        <v/>
      </c>
    </row>
    <row r="768" spans="1:31">
      <c r="A768" s="154"/>
      <c r="B768" s="49"/>
      <c r="C768" s="49" t="s">
        <v>13</v>
      </c>
      <c r="D768" s="49"/>
      <c r="E768" s="9">
        <f>+G768-Adjustments!G768</f>
        <v>0</v>
      </c>
      <c r="F768" s="9">
        <f>EXPENSES!F259</f>
        <v>13163140.24</v>
      </c>
      <c r="G768" s="9">
        <f>+Adjustments!U767</f>
        <v>0</v>
      </c>
      <c r="H768" s="9"/>
      <c r="I768" s="9">
        <f>SUM($F$768:$H$768)</f>
        <v>13163140.24</v>
      </c>
      <c r="J768" s="9">
        <f>+I768-'ROR-Model'!I768</f>
        <v>0</v>
      </c>
      <c r="K768" s="9"/>
      <c r="L768" s="9" t="s">
        <v>13</v>
      </c>
      <c r="M768" s="9">
        <f>VLOOKUP($L768,$L$2:$N$7,2,FALSE)*I768</f>
        <v>13163140.24</v>
      </c>
      <c r="N768" s="9">
        <f>VLOOKUP($L768,$L$2:$N$7,3,FALSE)*I768</f>
        <v>0</v>
      </c>
      <c r="O768" s="136"/>
      <c r="P768" s="216" t="s">
        <v>549</v>
      </c>
      <c r="Q768" s="9">
        <f>IF(P768="G",M768,IF(P768="PT",0,ERR))</f>
        <v>13163140.24</v>
      </c>
      <c r="R768" s="9">
        <f>IF(P768="PT",M768,IF(P768="G",0,ERR))</f>
        <v>0</v>
      </c>
      <c r="S768" s="142" t="s">
        <v>549</v>
      </c>
      <c r="T768" s="9">
        <f>IF(S768="G",N768,IF(S768="PT",0,ERR))</f>
        <v>0</v>
      </c>
      <c r="U768" s="9">
        <f>IF(S768="PT",N768,IF(S768="G",0,ERR))</f>
        <v>0</v>
      </c>
      <c r="V768" s="140"/>
      <c r="W768" s="9">
        <f>HLOOKUP($W$9,'ROR-Model'!$Q$10:$U$1263,Y768)</f>
        <v>13163140.24</v>
      </c>
      <c r="X768" s="156"/>
      <c r="Y768" s="918">
        <f t="shared" si="42"/>
        <v>759</v>
      </c>
      <c r="AA768" s="9">
        <v>0</v>
      </c>
      <c r="AC768" s="9" t="str">
        <f t="shared" si="43"/>
        <v/>
      </c>
      <c r="AE768" s="44" t="str">
        <f t="shared" si="44"/>
        <v/>
      </c>
    </row>
    <row r="769" spans="1:31">
      <c r="A769" s="154"/>
      <c r="B769" s="49"/>
      <c r="C769" s="49" t="s">
        <v>24</v>
      </c>
      <c r="D769" s="49"/>
      <c r="E769" s="9">
        <f>+G769-Adjustments!G769</f>
        <v>0</v>
      </c>
      <c r="F769" s="9">
        <f>EXPENSES!F260</f>
        <v>550191.44000000006</v>
      </c>
      <c r="G769" s="9">
        <f>+Adjustments!U768</f>
        <v>0</v>
      </c>
      <c r="H769" s="9"/>
      <c r="I769" s="9">
        <f>SUM($F$769:$H$769)</f>
        <v>550191.44000000006</v>
      </c>
      <c r="J769" s="9">
        <f>+I769-'ROR-Model'!I769</f>
        <v>0</v>
      </c>
      <c r="K769" s="9"/>
      <c r="L769" s="9" t="s">
        <v>24</v>
      </c>
      <c r="M769" s="9">
        <f>VLOOKUP($L769,$L$2:$N$7,2,FALSE)*I769</f>
        <v>0</v>
      </c>
      <c r="N769" s="9">
        <f>VLOOKUP($L769,$L$2:$N$7,3,FALSE)*I769</f>
        <v>550191.44000000006</v>
      </c>
      <c r="O769" s="136"/>
      <c r="P769" s="216" t="s">
        <v>549</v>
      </c>
      <c r="Q769" s="9">
        <f>IF(P769="G",M769,IF(P769="PT",0,ERR))</f>
        <v>0</v>
      </c>
      <c r="R769" s="9">
        <f>IF(P769="PT",M769,IF(P769="G",0,ERR))</f>
        <v>0</v>
      </c>
      <c r="S769" s="142" t="s">
        <v>549</v>
      </c>
      <c r="T769" s="9">
        <f>IF(S769="G",N769,IF(S769="PT",0,ERR))</f>
        <v>550191.44000000006</v>
      </c>
      <c r="U769" s="9">
        <f>IF(S769="PT",N769,IF(S769="G",0,ERR))</f>
        <v>0</v>
      </c>
      <c r="V769" s="140"/>
      <c r="W769" s="9">
        <f>HLOOKUP($W$9,'ROR-Model'!$Q$10:$U$1263,Y769)</f>
        <v>0</v>
      </c>
      <c r="X769" s="156"/>
      <c r="Y769" s="918">
        <f t="shared" si="42"/>
        <v>760</v>
      </c>
      <c r="AA769" s="9">
        <v>673873.29</v>
      </c>
      <c r="AC769" s="9">
        <f t="shared" si="43"/>
        <v>-673873.29</v>
      </c>
      <c r="AE769" s="44">
        <f t="shared" si="44"/>
        <v>-1</v>
      </c>
    </row>
    <row r="770" spans="1:31">
      <c r="A770" s="154"/>
      <c r="B770" s="49"/>
      <c r="C770" s="49" t="s">
        <v>160</v>
      </c>
      <c r="D770" s="49"/>
      <c r="E770" s="157">
        <f>+G770-Adjustments!G770</f>
        <v>0</v>
      </c>
      <c r="F770" s="157">
        <f>SUM(F768:F769)</f>
        <v>13713331.68</v>
      </c>
      <c r="G770" s="157">
        <f>SUM(G768:G769)</f>
        <v>0</v>
      </c>
      <c r="H770" s="157">
        <f>SUM(H768:H769)</f>
        <v>0</v>
      </c>
      <c r="I770" s="157">
        <f>SUM(I768:I769)</f>
        <v>13713331.68</v>
      </c>
      <c r="J770" s="9">
        <f>+I770-'ROR-Model'!I770</f>
        <v>0</v>
      </c>
      <c r="K770" s="9"/>
      <c r="L770" s="157"/>
      <c r="M770" s="157">
        <f>SUM(M768:M769)</f>
        <v>13163140.24</v>
      </c>
      <c r="N770" s="157">
        <f>SUM(N768:N769)</f>
        <v>550191.44000000006</v>
      </c>
      <c r="O770" s="136"/>
      <c r="P770" s="226"/>
      <c r="Q770" s="157">
        <f>SUM(Q768:Q769)</f>
        <v>13163140.24</v>
      </c>
      <c r="R770" s="157">
        <f>SUM(R768:R769)</f>
        <v>0</v>
      </c>
      <c r="S770" s="226"/>
      <c r="T770" s="157">
        <f>SUM(T768:T769)</f>
        <v>550191.44000000006</v>
      </c>
      <c r="U770" s="157">
        <f>SUM(U768:U769)</f>
        <v>0</v>
      </c>
      <c r="V770" s="140"/>
      <c r="W770" s="157">
        <f>HLOOKUP($W$9,'ROR-Model'!$Q$10:$U$1263,Y770)</f>
        <v>13163140.24</v>
      </c>
      <c r="X770" s="156"/>
      <c r="Y770" s="918">
        <f t="shared" si="42"/>
        <v>761</v>
      </c>
      <c r="AA770" s="157">
        <v>673873.29</v>
      </c>
      <c r="AC770" s="157">
        <f t="shared" si="43"/>
        <v>12489266.949999999</v>
      </c>
      <c r="AE770" s="44">
        <f t="shared" si="44"/>
        <v>18.533553911893435</v>
      </c>
    </row>
    <row r="771" spans="1:31">
      <c r="A771" s="154"/>
      <c r="B771" s="49"/>
      <c r="C771" s="49"/>
      <c r="D771" s="49"/>
      <c r="E771" s="9">
        <f>+G771-Adjustments!G771</f>
        <v>0</v>
      </c>
      <c r="F771" s="9"/>
      <c r="G771" s="9"/>
      <c r="H771" s="9"/>
      <c r="I771" s="9"/>
      <c r="J771" s="9">
        <f>+I771-'ROR-Model'!I771</f>
        <v>0</v>
      </c>
      <c r="K771" s="9"/>
      <c r="L771" s="9"/>
      <c r="M771" s="9"/>
      <c r="N771" s="9"/>
      <c r="O771" s="136"/>
      <c r="P771" s="142"/>
      <c r="Q771" s="9"/>
      <c r="R771" s="9"/>
      <c r="S771" s="142"/>
      <c r="T771" s="9"/>
      <c r="U771" s="9"/>
      <c r="V771" s="140"/>
      <c r="W771" s="9"/>
      <c r="X771" s="156"/>
      <c r="Y771" s="918">
        <f t="shared" si="42"/>
        <v>762</v>
      </c>
      <c r="AA771" s="9"/>
      <c r="AC771" s="9" t="str">
        <f t="shared" si="43"/>
        <v/>
      </c>
      <c r="AE771" s="44" t="str">
        <f t="shared" si="44"/>
        <v/>
      </c>
    </row>
    <row r="772" spans="1:31">
      <c r="A772" s="154">
        <v>9032</v>
      </c>
      <c r="B772" s="49" t="s">
        <v>388</v>
      </c>
      <c r="C772" s="49"/>
      <c r="D772" s="49"/>
      <c r="E772" s="9">
        <f>+G772-Adjustments!G772</f>
        <v>0</v>
      </c>
      <c r="F772" s="9"/>
      <c r="G772" s="9"/>
      <c r="H772" s="9"/>
      <c r="I772" s="9"/>
      <c r="J772" s="9">
        <f>+I772-'ROR-Model'!I772</f>
        <v>0</v>
      </c>
      <c r="K772" s="9"/>
      <c r="L772" s="9"/>
      <c r="M772" s="9"/>
      <c r="N772" s="9"/>
      <c r="O772" s="136"/>
      <c r="P772" s="142"/>
      <c r="Q772" s="9"/>
      <c r="R772" s="9"/>
      <c r="S772" s="142"/>
      <c r="T772" s="9"/>
      <c r="U772" s="9"/>
      <c r="V772" s="140"/>
      <c r="W772" s="9"/>
      <c r="X772" s="156"/>
      <c r="Y772" s="918">
        <f t="shared" si="42"/>
        <v>763</v>
      </c>
      <c r="AA772" s="9"/>
      <c r="AC772" s="9" t="str">
        <f t="shared" si="43"/>
        <v/>
      </c>
      <c r="AE772" s="44" t="str">
        <f t="shared" si="44"/>
        <v/>
      </c>
    </row>
    <row r="773" spans="1:31">
      <c r="A773" s="154"/>
      <c r="B773" s="49"/>
      <c r="C773" s="49" t="s">
        <v>13</v>
      </c>
      <c r="D773" s="49"/>
      <c r="E773" s="9">
        <f>+G773-Adjustments!G773</f>
        <v>0</v>
      </c>
      <c r="F773" s="9">
        <f>EXPENSES!F264</f>
        <v>139298.02000000002</v>
      </c>
      <c r="G773" s="9">
        <f>+Adjustments!U772</f>
        <v>0</v>
      </c>
      <c r="H773" s="9"/>
      <c r="I773" s="9">
        <f>SUM($F$773:$H$773)</f>
        <v>139298.02000000002</v>
      </c>
      <c r="J773" s="9">
        <f>+I773-'ROR-Model'!I773</f>
        <v>0</v>
      </c>
      <c r="K773" s="9"/>
      <c r="L773" s="9" t="s">
        <v>13</v>
      </c>
      <c r="M773" s="9">
        <f>VLOOKUP($L773,$L$2:$N$7,2,FALSE)*I773</f>
        <v>139298.02000000002</v>
      </c>
      <c r="N773" s="9">
        <f>VLOOKUP($L773,$L$2:$N$7,3,FALSE)*I773</f>
        <v>0</v>
      </c>
      <c r="O773" s="136"/>
      <c r="P773" s="216" t="s">
        <v>549</v>
      </c>
      <c r="Q773" s="9">
        <f>IF(P773="G",M773,IF(P773="PT",0,ERR))</f>
        <v>139298.02000000002</v>
      </c>
      <c r="R773" s="9">
        <f>IF(P773="PT",M773,IF(P773="G",0,ERR))</f>
        <v>0</v>
      </c>
      <c r="S773" s="142" t="s">
        <v>549</v>
      </c>
      <c r="T773" s="9">
        <f>IF(S773="G",N773,IF(S773="PT",0,ERR))</f>
        <v>0</v>
      </c>
      <c r="U773" s="9">
        <f>IF(S773="PT",N773,IF(S773="G",0,ERR))</f>
        <v>0</v>
      </c>
      <c r="V773" s="140"/>
      <c r="W773" s="9">
        <f>HLOOKUP($W$9,'ROR-Model'!$Q$10:$U$1263,Y773)</f>
        <v>139298.02000000002</v>
      </c>
      <c r="X773" s="156"/>
      <c r="Y773" s="918">
        <f t="shared" si="42"/>
        <v>764</v>
      </c>
      <c r="AA773" s="9">
        <v>0</v>
      </c>
      <c r="AC773" s="9" t="str">
        <f t="shared" si="43"/>
        <v/>
      </c>
      <c r="AE773" s="44" t="str">
        <f t="shared" si="44"/>
        <v/>
      </c>
    </row>
    <row r="774" spans="1:31">
      <c r="A774" s="154"/>
      <c r="B774" s="49"/>
      <c r="C774" s="49" t="s">
        <v>24</v>
      </c>
      <c r="D774" s="49"/>
      <c r="E774" s="9">
        <f>+G774-Adjustments!G774</f>
        <v>0</v>
      </c>
      <c r="F774" s="9">
        <f>EXPENSES!F265</f>
        <v>34517.85</v>
      </c>
      <c r="G774" s="9">
        <f>+Adjustments!U773</f>
        <v>0</v>
      </c>
      <c r="H774" s="9"/>
      <c r="I774" s="9">
        <f>SUM($F$774:$H$774)</f>
        <v>34517.85</v>
      </c>
      <c r="J774" s="9">
        <f>+I774-'ROR-Model'!I774</f>
        <v>0</v>
      </c>
      <c r="K774" s="9"/>
      <c r="L774" s="9" t="s">
        <v>24</v>
      </c>
      <c r="M774" s="9">
        <f>VLOOKUP($L774,$L$2:$N$7,2,FALSE)*I774</f>
        <v>0</v>
      </c>
      <c r="N774" s="9">
        <f>VLOOKUP($L774,$L$2:$N$7,3,FALSE)*I774</f>
        <v>34517.85</v>
      </c>
      <c r="O774" s="136"/>
      <c r="P774" s="216" t="s">
        <v>549</v>
      </c>
      <c r="Q774" s="9">
        <f>IF(P774="G",M774,IF(P774="PT",0,ERR))</f>
        <v>0</v>
      </c>
      <c r="R774" s="9">
        <f>IF(P774="PT",M774,IF(P774="G",0,ERR))</f>
        <v>0</v>
      </c>
      <c r="S774" s="142" t="s">
        <v>549</v>
      </c>
      <c r="T774" s="9">
        <f>IF(S774="G",N774,IF(S774="PT",0,ERR))</f>
        <v>34517.85</v>
      </c>
      <c r="U774" s="9">
        <f>IF(S774="PT",N774,IF(S774="G",0,ERR))</f>
        <v>0</v>
      </c>
      <c r="V774" s="140"/>
      <c r="W774" s="9">
        <f>HLOOKUP($W$9,'ROR-Model'!$Q$10:$U$1263,Y774)</f>
        <v>0</v>
      </c>
      <c r="X774" s="156"/>
      <c r="Y774" s="918">
        <f t="shared" si="42"/>
        <v>765</v>
      </c>
      <c r="AA774" s="9">
        <v>53966.930000000008</v>
      </c>
      <c r="AC774" s="9">
        <f t="shared" si="43"/>
        <v>-53966.930000000008</v>
      </c>
      <c r="AE774" s="44">
        <f t="shared" si="44"/>
        <v>-1</v>
      </c>
    </row>
    <row r="775" spans="1:31">
      <c r="A775" s="154"/>
      <c r="B775" s="49"/>
      <c r="C775" s="49" t="s">
        <v>160</v>
      </c>
      <c r="D775" s="49"/>
      <c r="E775" s="157">
        <f>+G775-Adjustments!G775</f>
        <v>0</v>
      </c>
      <c r="F775" s="157">
        <f>SUM(F773:F774)</f>
        <v>173815.87000000002</v>
      </c>
      <c r="G775" s="157">
        <f>SUM(G773:G774)</f>
        <v>0</v>
      </c>
      <c r="H775" s="157">
        <f>SUM(H773:H774)</f>
        <v>0</v>
      </c>
      <c r="I775" s="157">
        <f>SUM(I773:I774)</f>
        <v>173815.87000000002</v>
      </c>
      <c r="J775" s="9">
        <f>+I775-'ROR-Model'!I775</f>
        <v>0</v>
      </c>
      <c r="K775" s="9"/>
      <c r="L775" s="157"/>
      <c r="M775" s="157">
        <f>SUM(M773:M774)</f>
        <v>139298.02000000002</v>
      </c>
      <c r="N775" s="157">
        <f>SUM(N773:N774)</f>
        <v>34517.85</v>
      </c>
      <c r="O775" s="136"/>
      <c r="P775" s="226"/>
      <c r="Q775" s="157">
        <f>SUM(Q773:Q774)</f>
        <v>139298.02000000002</v>
      </c>
      <c r="R775" s="157">
        <f>SUM(R773:R774)</f>
        <v>0</v>
      </c>
      <c r="S775" s="226"/>
      <c r="T775" s="157">
        <f>SUM(T773:T774)</f>
        <v>34517.85</v>
      </c>
      <c r="U775" s="157">
        <f>SUM(U773:U774)</f>
        <v>0</v>
      </c>
      <c r="V775" s="140"/>
      <c r="W775" s="157">
        <f>HLOOKUP($W$9,'ROR-Model'!$Q$10:$U$1263,Y775)</f>
        <v>139298.02000000002</v>
      </c>
      <c r="X775" s="156"/>
      <c r="Y775" s="918">
        <f t="shared" si="42"/>
        <v>766</v>
      </c>
      <c r="AA775" s="157">
        <v>53966.930000000008</v>
      </c>
      <c r="AC775" s="157">
        <f t="shared" si="43"/>
        <v>85331.090000000011</v>
      </c>
      <c r="AE775" s="44">
        <f t="shared" si="44"/>
        <v>1.5811736928522708</v>
      </c>
    </row>
    <row r="776" spans="1:31">
      <c r="A776" s="154"/>
      <c r="B776" s="49"/>
      <c r="C776" s="49"/>
      <c r="D776" s="49"/>
      <c r="E776" s="9">
        <f>+G776-Adjustments!G776</f>
        <v>0</v>
      </c>
      <c r="F776" s="9"/>
      <c r="G776" s="9"/>
      <c r="H776" s="9"/>
      <c r="I776" s="9"/>
      <c r="J776" s="9">
        <f>+I776-'ROR-Model'!I776</f>
        <v>0</v>
      </c>
      <c r="K776" s="9"/>
      <c r="L776" s="9"/>
      <c r="M776" s="9"/>
      <c r="N776" s="9"/>
      <c r="O776" s="136"/>
      <c r="P776" s="142"/>
      <c r="Q776" s="9"/>
      <c r="R776" s="9"/>
      <c r="S776" s="142"/>
      <c r="T776" s="9"/>
      <c r="U776" s="9"/>
      <c r="V776" s="140"/>
      <c r="W776" s="9"/>
      <c r="X776" s="156"/>
      <c r="Y776" s="918">
        <f t="shared" si="42"/>
        <v>767</v>
      </c>
      <c r="AA776" s="9"/>
      <c r="AC776" s="9" t="str">
        <f t="shared" si="43"/>
        <v/>
      </c>
      <c r="AE776" s="44" t="str">
        <f t="shared" si="44"/>
        <v/>
      </c>
    </row>
    <row r="777" spans="1:31">
      <c r="A777" s="154">
        <v>9033</v>
      </c>
      <c r="B777" s="49" t="s">
        <v>389</v>
      </c>
      <c r="C777" s="49"/>
      <c r="D777" s="49"/>
      <c r="E777" s="9">
        <f>+G777-Adjustments!G777</f>
        <v>0</v>
      </c>
      <c r="F777" s="9"/>
      <c r="G777" s="9"/>
      <c r="H777" s="9"/>
      <c r="I777" s="9"/>
      <c r="J777" s="9">
        <f>+I777-'ROR-Model'!I777</f>
        <v>0</v>
      </c>
      <c r="K777" s="9"/>
      <c r="L777" s="9"/>
      <c r="M777" s="9"/>
      <c r="N777" s="9"/>
      <c r="O777" s="136"/>
      <c r="P777" s="142"/>
      <c r="Q777" s="9"/>
      <c r="R777" s="9"/>
      <c r="S777" s="142"/>
      <c r="T777" s="9"/>
      <c r="U777" s="9"/>
      <c r="V777" s="140"/>
      <c r="W777" s="9"/>
      <c r="X777" s="156"/>
      <c r="Y777" s="918">
        <f t="shared" si="42"/>
        <v>768</v>
      </c>
      <c r="AA777" s="9"/>
      <c r="AC777" s="9" t="str">
        <f t="shared" si="43"/>
        <v/>
      </c>
      <c r="AE777" s="44" t="str">
        <f t="shared" si="44"/>
        <v/>
      </c>
    </row>
    <row r="778" spans="1:31">
      <c r="A778" s="154"/>
      <c r="B778" s="49"/>
      <c r="C778" s="49" t="s">
        <v>13</v>
      </c>
      <c r="D778" s="49"/>
      <c r="E778" s="9">
        <f>+G778-Adjustments!G778</f>
        <v>0</v>
      </c>
      <c r="F778" s="9">
        <f>EXPENSES!F269</f>
        <v>273728.07</v>
      </c>
      <c r="G778" s="9">
        <f>+Adjustments!U777</f>
        <v>0</v>
      </c>
      <c r="H778" s="9"/>
      <c r="I778" s="9">
        <f>SUM($F$778:$H$778)</f>
        <v>273728.07</v>
      </c>
      <c r="J778" s="9">
        <f>+I778-'ROR-Model'!I778</f>
        <v>0</v>
      </c>
      <c r="K778" s="9"/>
      <c r="L778" s="9" t="s">
        <v>13</v>
      </c>
      <c r="M778" s="9">
        <f>VLOOKUP($L778,$L$2:$N$7,2,FALSE)*I778</f>
        <v>273728.07</v>
      </c>
      <c r="N778" s="9">
        <f>VLOOKUP($L778,$L$2:$N$7,3,FALSE)*I778</f>
        <v>0</v>
      </c>
      <c r="O778" s="136"/>
      <c r="P778" s="216" t="s">
        <v>549</v>
      </c>
      <c r="Q778" s="9">
        <f>IF(P778="G",M778,IF(P778="PT",0,ERR))</f>
        <v>273728.07</v>
      </c>
      <c r="R778" s="9">
        <f>IF(P778="PT",M778,IF(P778="G",0,ERR))</f>
        <v>0</v>
      </c>
      <c r="S778" s="142" t="s">
        <v>549</v>
      </c>
      <c r="T778" s="9">
        <f>IF(S778="G",N778,IF(S778="PT",0,ERR))</f>
        <v>0</v>
      </c>
      <c r="U778" s="9">
        <f>IF(S778="PT",N778,IF(S778="G",0,ERR))</f>
        <v>0</v>
      </c>
      <c r="V778" s="140"/>
      <c r="W778" s="9">
        <f>HLOOKUP($W$9,'ROR-Model'!$Q$10:$U$1263,Y778)</f>
        <v>273728.07</v>
      </c>
      <c r="X778" s="156"/>
      <c r="Y778" s="918">
        <f t="shared" si="42"/>
        <v>769</v>
      </c>
      <c r="AA778" s="9">
        <v>0</v>
      </c>
      <c r="AC778" s="9" t="str">
        <f t="shared" si="43"/>
        <v/>
      </c>
      <c r="AE778" s="44" t="str">
        <f t="shared" si="44"/>
        <v/>
      </c>
    </row>
    <row r="779" spans="1:31">
      <c r="A779" s="154"/>
      <c r="B779" s="49"/>
      <c r="C779" s="49" t="s">
        <v>24</v>
      </c>
      <c r="D779" s="49"/>
      <c r="E779" s="9">
        <f>+G779-Adjustments!G779</f>
        <v>0</v>
      </c>
      <c r="F779" s="9">
        <f>EXPENSES!F270</f>
        <v>5135.1100000000006</v>
      </c>
      <c r="G779" s="9">
        <f>+Adjustments!U778</f>
        <v>0</v>
      </c>
      <c r="H779" s="9"/>
      <c r="I779" s="9">
        <f>SUM($F$779:$H$779)</f>
        <v>5135.1100000000006</v>
      </c>
      <c r="J779" s="9">
        <f>+I779-'ROR-Model'!I779</f>
        <v>0</v>
      </c>
      <c r="K779" s="9"/>
      <c r="L779" s="9" t="s">
        <v>24</v>
      </c>
      <c r="M779" s="9">
        <f>VLOOKUP($L779,$L$2:$N$7,2,FALSE)*I779</f>
        <v>0</v>
      </c>
      <c r="N779" s="9">
        <f>VLOOKUP($L779,$L$2:$N$7,3,FALSE)*I779</f>
        <v>5135.1100000000006</v>
      </c>
      <c r="O779" s="136"/>
      <c r="P779" s="216" t="s">
        <v>549</v>
      </c>
      <c r="Q779" s="9">
        <f>IF(P779="G",M779,IF(P779="PT",0,ERR))</f>
        <v>0</v>
      </c>
      <c r="R779" s="9">
        <f>IF(P779="PT",M779,IF(P779="G",0,ERR))</f>
        <v>0</v>
      </c>
      <c r="S779" s="142" t="s">
        <v>549</v>
      </c>
      <c r="T779" s="9">
        <f>IF(S779="G",N779,IF(S779="PT",0,ERR))</f>
        <v>5135.1100000000006</v>
      </c>
      <c r="U779" s="9">
        <f>IF(S779="PT",N779,IF(S779="G",0,ERR))</f>
        <v>0</v>
      </c>
      <c r="V779" s="140"/>
      <c r="W779" s="9">
        <f>HLOOKUP($W$9,'ROR-Model'!$Q$10:$U$1263,Y779)</f>
        <v>0</v>
      </c>
      <c r="X779" s="156"/>
      <c r="Y779" s="918">
        <f t="shared" si="42"/>
        <v>770</v>
      </c>
      <c r="AA779" s="9">
        <v>3793.5400000000009</v>
      </c>
      <c r="AC779" s="9">
        <f t="shared" si="43"/>
        <v>-3793.5400000000009</v>
      </c>
      <c r="AE779" s="44">
        <f t="shared" si="44"/>
        <v>-1</v>
      </c>
    </row>
    <row r="780" spans="1:31">
      <c r="A780" s="154"/>
      <c r="B780" s="49"/>
      <c r="C780" s="49" t="s">
        <v>160</v>
      </c>
      <c r="D780" s="49"/>
      <c r="E780" s="157">
        <f>+G780-Adjustments!G780</f>
        <v>0</v>
      </c>
      <c r="F780" s="157">
        <f>SUM(F778:F779)</f>
        <v>278863.18</v>
      </c>
      <c r="G780" s="157">
        <f>SUM(G778:G779)</f>
        <v>0</v>
      </c>
      <c r="H780" s="157">
        <f>SUM(H778:H779)</f>
        <v>0</v>
      </c>
      <c r="I780" s="157">
        <f>SUM(I778:I779)</f>
        <v>278863.18</v>
      </c>
      <c r="J780" s="9">
        <f>+I780-'ROR-Model'!I780</f>
        <v>0</v>
      </c>
      <c r="K780" s="9"/>
      <c r="L780" s="157"/>
      <c r="M780" s="157">
        <f>SUM(M778:M779)</f>
        <v>273728.07</v>
      </c>
      <c r="N780" s="157">
        <f>SUM(N778:N779)</f>
        <v>5135.1100000000006</v>
      </c>
      <c r="O780" s="136"/>
      <c r="P780" s="226"/>
      <c r="Q780" s="157">
        <f>SUM(Q778:Q779)</f>
        <v>273728.07</v>
      </c>
      <c r="R780" s="157">
        <f>SUM(R778:R779)</f>
        <v>0</v>
      </c>
      <c r="S780" s="226"/>
      <c r="T780" s="157">
        <f>SUM(T778:T779)</f>
        <v>5135.1100000000006</v>
      </c>
      <c r="U780" s="157">
        <f>SUM(U778:U779)</f>
        <v>0</v>
      </c>
      <c r="V780" s="140"/>
      <c r="W780" s="157">
        <f>HLOOKUP($W$9,'ROR-Model'!$Q$10:$U$1263,Y780)</f>
        <v>273728.07</v>
      </c>
      <c r="X780" s="156"/>
      <c r="Y780" s="918">
        <f t="shared" si="42"/>
        <v>771</v>
      </c>
      <c r="AA780" s="157">
        <v>3793.5400000000009</v>
      </c>
      <c r="AC780" s="157">
        <f t="shared" si="43"/>
        <v>269934.53000000003</v>
      </c>
      <c r="AE780" s="44">
        <f t="shared" si="44"/>
        <v>71.15636845795747</v>
      </c>
    </row>
    <row r="781" spans="1:31">
      <c r="A781" s="154"/>
      <c r="B781" s="49"/>
      <c r="C781" s="49"/>
      <c r="D781" s="49"/>
      <c r="E781" s="9">
        <f>+G781-Adjustments!G781</f>
        <v>0</v>
      </c>
      <c r="F781" s="9"/>
      <c r="G781" s="9"/>
      <c r="H781" s="9"/>
      <c r="I781" s="9"/>
      <c r="J781" s="9">
        <f>+I781-'ROR-Model'!I781</f>
        <v>0</v>
      </c>
      <c r="K781" s="9"/>
      <c r="L781" s="9"/>
      <c r="M781" s="9"/>
      <c r="N781" s="9"/>
      <c r="O781" s="136"/>
      <c r="P781" s="142"/>
      <c r="Q781" s="9"/>
      <c r="R781" s="9"/>
      <c r="S781" s="142"/>
      <c r="T781" s="9"/>
      <c r="U781" s="9"/>
      <c r="V781" s="140"/>
      <c r="W781" s="9"/>
      <c r="X781" s="156"/>
      <c r="Y781" s="918">
        <f t="shared" si="42"/>
        <v>772</v>
      </c>
      <c r="AA781" s="9"/>
      <c r="AC781" s="9" t="str">
        <f t="shared" si="43"/>
        <v/>
      </c>
      <c r="AE781" s="44" t="str">
        <f t="shared" si="44"/>
        <v/>
      </c>
    </row>
    <row r="782" spans="1:31">
      <c r="A782" s="154" t="s">
        <v>0</v>
      </c>
      <c r="B782" s="49" t="s">
        <v>21</v>
      </c>
      <c r="C782" s="49"/>
      <c r="D782" s="49"/>
      <c r="E782" s="9">
        <f>+G782-Adjustments!G782</f>
        <v>0</v>
      </c>
      <c r="F782" s="9"/>
      <c r="G782" s="9"/>
      <c r="H782" s="9"/>
      <c r="I782" s="9"/>
      <c r="J782" s="9">
        <f>+I782-'ROR-Model'!I782</f>
        <v>0</v>
      </c>
      <c r="K782" s="9"/>
      <c r="L782" s="9"/>
      <c r="M782" s="9"/>
      <c r="N782" s="9"/>
      <c r="O782" s="136"/>
      <c r="P782" s="142"/>
      <c r="Q782" s="9"/>
      <c r="R782" s="9"/>
      <c r="S782" s="142"/>
      <c r="T782" s="9"/>
      <c r="U782" s="9"/>
      <c r="V782" s="140"/>
      <c r="W782" s="9"/>
      <c r="X782" s="156"/>
      <c r="Y782" s="918">
        <f t="shared" ref="Y782:Y845" si="46">Y781+1</f>
        <v>773</v>
      </c>
      <c r="AA782" s="9"/>
      <c r="AC782" s="9" t="str">
        <f t="shared" si="43"/>
        <v/>
      </c>
      <c r="AE782" s="44" t="str">
        <f t="shared" si="44"/>
        <v/>
      </c>
    </row>
    <row r="783" spans="1:31">
      <c r="A783" s="154"/>
      <c r="B783" s="49"/>
      <c r="C783" s="49" t="s">
        <v>13</v>
      </c>
      <c r="D783" s="49"/>
      <c r="E783" s="9">
        <f>+G783-Adjustments!G783</f>
        <v>91049.368103791145</v>
      </c>
      <c r="F783" s="9">
        <f>EXPENSES!F274</f>
        <v>656083.52999999991</v>
      </c>
      <c r="G783" s="9">
        <f>+Adjustments!U782</f>
        <v>91049.368103791145</v>
      </c>
      <c r="H783" s="9"/>
      <c r="I783" s="9">
        <f>SUM($F$783:$H$783)</f>
        <v>747132.89810379106</v>
      </c>
      <c r="J783" s="9">
        <f>+I783-'ROR-Model'!I783</f>
        <v>0</v>
      </c>
      <c r="K783" s="9"/>
      <c r="L783" s="9" t="s">
        <v>13</v>
      </c>
      <c r="M783" s="9">
        <f>VLOOKUP($L783,$L$2:$N$7,2,FALSE)*I783</f>
        <v>747132.89810379106</v>
      </c>
      <c r="N783" s="9">
        <f>VLOOKUP($L783,$L$2:$N$7,3,FALSE)*I783</f>
        <v>0</v>
      </c>
      <c r="O783" s="136"/>
      <c r="P783" s="216" t="s">
        <v>549</v>
      </c>
      <c r="Q783" s="9">
        <f>IF(P783="G",M783,IF(P783="PT",0,ERR))</f>
        <v>747132.89810379106</v>
      </c>
      <c r="R783" s="9">
        <f>IF(P783="PT",M783,IF(P783="G",0,ERR))</f>
        <v>0</v>
      </c>
      <c r="S783" s="142" t="s">
        <v>549</v>
      </c>
      <c r="T783" s="9">
        <f>IF(S783="G",N783,IF(S783="PT",0,ERR))</f>
        <v>0</v>
      </c>
      <c r="U783" s="9">
        <f>IF(S783="PT",N783,IF(S783="G",0,ERR))</f>
        <v>0</v>
      </c>
      <c r="V783" s="140"/>
      <c r="W783" s="9">
        <f>HLOOKUP($W$9,'ROR-Model'!$Q$10:$U$1263,Y783)</f>
        <v>747132.89810379106</v>
      </c>
      <c r="X783" s="156"/>
      <c r="Y783" s="918">
        <f t="shared" si="46"/>
        <v>774</v>
      </c>
      <c r="AA783" s="9">
        <v>0</v>
      </c>
      <c r="AC783" s="9" t="str">
        <f t="shared" si="43"/>
        <v/>
      </c>
      <c r="AE783" s="44" t="str">
        <f t="shared" si="44"/>
        <v/>
      </c>
    </row>
    <row r="784" spans="1:31">
      <c r="A784" s="154"/>
      <c r="B784" s="49"/>
      <c r="C784" s="49" t="s">
        <v>24</v>
      </c>
      <c r="D784" s="49"/>
      <c r="E784" s="9">
        <f>+G784-Adjustments!G784</f>
        <v>-37425.575731088218</v>
      </c>
      <c r="F784" s="9">
        <f>EXPENSES!F275</f>
        <v>63801.19999999999</v>
      </c>
      <c r="G784" s="9">
        <f>+Adjustments!U783</f>
        <v>-37425.575731088218</v>
      </c>
      <c r="H784" s="9"/>
      <c r="I784" s="9">
        <f>SUM($F$784:$H$784)</f>
        <v>26375.624268911772</v>
      </c>
      <c r="J784" s="9">
        <f>+I784-'ROR-Model'!I784</f>
        <v>0</v>
      </c>
      <c r="K784" s="9"/>
      <c r="L784" s="9" t="s">
        <v>24</v>
      </c>
      <c r="M784" s="9">
        <f>VLOOKUP($L784,$L$2:$N$7,2,FALSE)*I784</f>
        <v>0</v>
      </c>
      <c r="N784" s="9">
        <f>VLOOKUP($L784,$L$2:$N$7,3,FALSE)*I784</f>
        <v>26375.624268911772</v>
      </c>
      <c r="O784" s="136"/>
      <c r="P784" s="216" t="s">
        <v>549</v>
      </c>
      <c r="Q784" s="9">
        <f>IF(P784="G",M784,IF(P784="PT",0,ERR))</f>
        <v>0</v>
      </c>
      <c r="R784" s="9">
        <f>IF(P784="PT",M784,IF(P784="G",0,ERR))</f>
        <v>0</v>
      </c>
      <c r="S784" s="142" t="s">
        <v>549</v>
      </c>
      <c r="T784" s="9">
        <f>IF(S784="G",N784,IF(S784="PT",0,ERR))</f>
        <v>26375.624268911772</v>
      </c>
      <c r="U784" s="9">
        <f>IF(S784="PT",N784,IF(S784="G",0,ERR))</f>
        <v>0</v>
      </c>
      <c r="V784" s="140"/>
      <c r="W784" s="9">
        <f>HLOOKUP($W$9,'ROR-Model'!$Q$10:$U$1263,Y784)</f>
        <v>0</v>
      </c>
      <c r="X784" s="156"/>
      <c r="Y784" s="918">
        <f t="shared" si="46"/>
        <v>775</v>
      </c>
      <c r="AA784" s="9">
        <v>76905.17</v>
      </c>
      <c r="AC784" s="9">
        <f t="shared" si="43"/>
        <v>-76905.17</v>
      </c>
      <c r="AE784" s="44">
        <f t="shared" si="44"/>
        <v>-1</v>
      </c>
    </row>
    <row r="785" spans="1:31">
      <c r="A785" s="154"/>
      <c r="B785" s="49"/>
      <c r="C785" s="49" t="s">
        <v>160</v>
      </c>
      <c r="D785" s="49"/>
      <c r="E785" s="157">
        <f>+G785-Adjustments!G785</f>
        <v>53623.792372702927</v>
      </c>
      <c r="F785" s="157">
        <f>SUM(F783:F784)</f>
        <v>719884.72999999986</v>
      </c>
      <c r="G785" s="157">
        <f>SUM(G783:G784)</f>
        <v>53623.792372702927</v>
      </c>
      <c r="H785" s="157">
        <f>SUM(H783:H784)</f>
        <v>0</v>
      </c>
      <c r="I785" s="157">
        <f>SUM(I783:I784)</f>
        <v>773508.52237270284</v>
      </c>
      <c r="J785" s="9">
        <f>+I785-'ROR-Model'!I785</f>
        <v>0</v>
      </c>
      <c r="K785" s="9"/>
      <c r="L785" s="157"/>
      <c r="M785" s="157">
        <f>SUM(M783:M784)</f>
        <v>747132.89810379106</v>
      </c>
      <c r="N785" s="157">
        <f>SUM(N783:N784)</f>
        <v>26375.624268911772</v>
      </c>
      <c r="O785" s="136"/>
      <c r="P785" s="226"/>
      <c r="Q785" s="157">
        <f>SUM(Q783:Q784)</f>
        <v>747132.89810379106</v>
      </c>
      <c r="R785" s="157">
        <f>SUM(R783:R784)</f>
        <v>0</v>
      </c>
      <c r="S785" s="226"/>
      <c r="T785" s="157">
        <f>SUM(T783:T784)</f>
        <v>26375.624268911772</v>
      </c>
      <c r="U785" s="157">
        <f>SUM(U783:U784)</f>
        <v>0</v>
      </c>
      <c r="V785" s="140"/>
      <c r="W785" s="157">
        <f>HLOOKUP($W$9,'ROR-Model'!$Q$10:$U$1263,Y785)</f>
        <v>747132.89810379106</v>
      </c>
      <c r="X785" s="156"/>
      <c r="Y785" s="918">
        <f t="shared" si="46"/>
        <v>776</v>
      </c>
      <c r="AA785" s="157">
        <v>76905.17</v>
      </c>
      <c r="AC785" s="157">
        <f t="shared" ref="AC785:AC848" si="47">IF(ABS(AA785)&gt;0,W785-AA785,"")</f>
        <v>670227.72810379101</v>
      </c>
      <c r="AE785" s="44">
        <f t="shared" si="44"/>
        <v>8.7149892276915981</v>
      </c>
    </row>
    <row r="786" spans="1:31">
      <c r="A786" s="154"/>
      <c r="B786" s="49"/>
      <c r="C786" s="49"/>
      <c r="D786" s="49"/>
      <c r="E786" s="9">
        <f>+G786-Adjustments!G786</f>
        <v>0</v>
      </c>
      <c r="F786" s="9"/>
      <c r="G786" s="9"/>
      <c r="H786" s="9"/>
      <c r="I786" s="9"/>
      <c r="J786" s="9">
        <f>+I786-'ROR-Model'!I786</f>
        <v>0</v>
      </c>
      <c r="K786" s="9"/>
      <c r="L786" s="9"/>
      <c r="M786" s="9"/>
      <c r="N786" s="9"/>
      <c r="O786" s="136"/>
      <c r="P786" s="142"/>
      <c r="Q786" s="9"/>
      <c r="R786" s="9"/>
      <c r="S786" s="142"/>
      <c r="T786" s="9"/>
      <c r="U786" s="9"/>
      <c r="V786" s="140"/>
      <c r="W786" s="9"/>
      <c r="X786" s="156"/>
      <c r="Y786" s="918">
        <f t="shared" si="46"/>
        <v>777</v>
      </c>
      <c r="AA786" s="9"/>
      <c r="AC786" s="9" t="str">
        <f t="shared" si="47"/>
        <v/>
      </c>
      <c r="AE786" s="44" t="str">
        <f t="shared" ref="AE786:AE849" si="48">IF(ABS(AA786)&gt;0,AC786/AA786,"")</f>
        <v/>
      </c>
    </row>
    <row r="787" spans="1:31">
      <c r="A787" s="154" t="s">
        <v>1</v>
      </c>
      <c r="B787" s="49" t="s">
        <v>22</v>
      </c>
      <c r="C787" s="49"/>
      <c r="D787" s="49"/>
      <c r="E787" s="9">
        <f>+G787-Adjustments!G787</f>
        <v>0</v>
      </c>
      <c r="F787" s="9"/>
      <c r="G787" s="9"/>
      <c r="H787" s="9"/>
      <c r="I787" s="9"/>
      <c r="J787" s="9">
        <f>+I787-'ROR-Model'!I787</f>
        <v>0</v>
      </c>
      <c r="K787" s="9"/>
      <c r="L787" s="9"/>
      <c r="M787" s="9"/>
      <c r="N787" s="9"/>
      <c r="O787" s="136"/>
      <c r="P787" s="142"/>
      <c r="Q787" s="9"/>
      <c r="R787" s="9"/>
      <c r="S787" s="142"/>
      <c r="T787" s="9"/>
      <c r="U787" s="9"/>
      <c r="V787" s="140"/>
      <c r="W787" s="9"/>
      <c r="X787" s="156"/>
      <c r="Y787" s="918">
        <f t="shared" si="46"/>
        <v>778</v>
      </c>
      <c r="AA787" s="9"/>
      <c r="AC787" s="9" t="str">
        <f t="shared" si="47"/>
        <v/>
      </c>
      <c r="AE787" s="44" t="str">
        <f t="shared" si="48"/>
        <v/>
      </c>
    </row>
    <row r="788" spans="1:31">
      <c r="A788" s="154"/>
      <c r="B788" s="49"/>
      <c r="C788" s="49" t="s">
        <v>13</v>
      </c>
      <c r="D788" s="49"/>
      <c r="E788" s="9">
        <f>+G788-Adjustments!G788</f>
        <v>-212317.07000000004</v>
      </c>
      <c r="F788" s="9">
        <f>EXPENSES!F279</f>
        <v>212317.07000000004</v>
      </c>
      <c r="G788" s="9">
        <f>+Adjustments!U787</f>
        <v>-212317.07000000004</v>
      </c>
      <c r="H788" s="9"/>
      <c r="I788" s="9">
        <f>SUM(F788:H788)</f>
        <v>0</v>
      </c>
      <c r="J788" s="9">
        <f>+I788-'ROR-Model'!I788</f>
        <v>0</v>
      </c>
      <c r="K788" s="9"/>
      <c r="L788" s="9" t="s">
        <v>13</v>
      </c>
      <c r="M788" s="9">
        <f>VLOOKUP($L788,$L$2:$N$7,2,FALSE)*I788</f>
        <v>0</v>
      </c>
      <c r="N788" s="9">
        <f>VLOOKUP($L788,$L$2:$N$7,3,FALSE)*I788</f>
        <v>0</v>
      </c>
      <c r="O788" s="136"/>
      <c r="P788" s="513" t="s">
        <v>548</v>
      </c>
      <c r="Q788" s="9">
        <f>IF(P788="G",M788,IF(P788="PT",0,ERR))</f>
        <v>0</v>
      </c>
      <c r="R788" s="9">
        <f>IF(P788="PT",M788,IF(P788="G",0,ERR))</f>
        <v>0</v>
      </c>
      <c r="S788" s="584" t="s">
        <v>548</v>
      </c>
      <c r="T788" s="9">
        <f>IF(S788="G",N788,IF(S788="PT",0,ERR))</f>
        <v>0</v>
      </c>
      <c r="U788" s="9">
        <f>IF(S788="PT",N788,IF(S788="G",0,ERR))</f>
        <v>0</v>
      </c>
      <c r="V788" s="140"/>
      <c r="W788" s="9">
        <f>HLOOKUP($W$9,'ROR-Model'!$Q$10:$U$1263,Y788)</f>
        <v>0</v>
      </c>
      <c r="X788" s="156"/>
      <c r="Y788" s="918">
        <f t="shared" si="46"/>
        <v>779</v>
      </c>
      <c r="AA788" s="9">
        <v>0</v>
      </c>
      <c r="AC788" s="9" t="str">
        <f t="shared" si="47"/>
        <v/>
      </c>
      <c r="AE788" s="44" t="str">
        <f t="shared" si="48"/>
        <v/>
      </c>
    </row>
    <row r="789" spans="1:31">
      <c r="A789" s="154"/>
      <c r="B789" s="49"/>
      <c r="C789" s="49" t="s">
        <v>24</v>
      </c>
      <c r="D789" s="49"/>
      <c r="E789" s="9">
        <f>+G789-Adjustments!G789</f>
        <v>0</v>
      </c>
      <c r="F789" s="9">
        <f>EXPENSES!F280</f>
        <v>0</v>
      </c>
      <c r="G789" s="9">
        <f>+Adjustments!U788</f>
        <v>0</v>
      </c>
      <c r="H789" s="9"/>
      <c r="I789" s="9">
        <f>SUM(F789:H789)</f>
        <v>0</v>
      </c>
      <c r="J789" s="9">
        <f>+I789-'ROR-Model'!I789</f>
        <v>0</v>
      </c>
      <c r="K789" s="9"/>
      <c r="L789" s="9" t="s">
        <v>24</v>
      </c>
      <c r="M789" s="9">
        <f>VLOOKUP($L789,$L$2:$N$7,2,FALSE)*I789</f>
        <v>0</v>
      </c>
      <c r="N789" s="9">
        <f>VLOOKUP($L789,$L$2:$N$7,3,FALSE)*I789</f>
        <v>0</v>
      </c>
      <c r="O789" s="136"/>
      <c r="P789" s="513" t="s">
        <v>548</v>
      </c>
      <c r="Q789" s="9">
        <f>IF(P789="G",M789,IF(P789="PT",0,ERR))</f>
        <v>0</v>
      </c>
      <c r="R789" s="9">
        <f>IF(P789="PT",M789,IF(P789="G",0,ERR))</f>
        <v>0</v>
      </c>
      <c r="S789" s="584" t="s">
        <v>548</v>
      </c>
      <c r="T789" s="9">
        <f>IF(S789="G",N789,IF(S789="PT",0,ERR))</f>
        <v>0</v>
      </c>
      <c r="U789" s="9">
        <f>IF(S789="PT",N789,IF(S789="G",0,ERR))</f>
        <v>0</v>
      </c>
      <c r="V789" s="140"/>
      <c r="W789" s="9">
        <f>HLOOKUP($W$9,'ROR-Model'!$Q$10:$U$1263,Y789)</f>
        <v>0</v>
      </c>
      <c r="X789" s="156"/>
      <c r="Y789" s="918">
        <f t="shared" si="46"/>
        <v>780</v>
      </c>
      <c r="AA789" s="9">
        <v>0</v>
      </c>
      <c r="AC789" s="9" t="str">
        <f t="shared" si="47"/>
        <v/>
      </c>
      <c r="AE789" s="44" t="str">
        <f t="shared" si="48"/>
        <v/>
      </c>
    </row>
    <row r="790" spans="1:31">
      <c r="A790" s="154"/>
      <c r="B790" s="49"/>
      <c r="C790" s="49" t="s">
        <v>160</v>
      </c>
      <c r="D790" s="49"/>
      <c r="E790" s="157">
        <f>+G790-Adjustments!G790</f>
        <v>-212317.07000000004</v>
      </c>
      <c r="F790" s="157">
        <f>SUM(F788:F789)</f>
        <v>212317.07000000004</v>
      </c>
      <c r="G790" s="157">
        <f>SUM(G788:G789)</f>
        <v>-212317.07000000004</v>
      </c>
      <c r="H790" s="157">
        <f>SUM(H788:H789)</f>
        <v>0</v>
      </c>
      <c r="I790" s="157">
        <f>SUM(I788:I789)</f>
        <v>0</v>
      </c>
      <c r="J790" s="9">
        <f>+I790-'ROR-Model'!I790</f>
        <v>0</v>
      </c>
      <c r="K790" s="9"/>
      <c r="L790" s="157"/>
      <c r="M790" s="157">
        <f>SUM(M788:M789)</f>
        <v>0</v>
      </c>
      <c r="N790" s="157">
        <f>SUM(N788:N789)</f>
        <v>0</v>
      </c>
      <c r="O790" s="136"/>
      <c r="P790" s="226"/>
      <c r="Q790" s="157">
        <f>SUM(Q788:Q789)</f>
        <v>0</v>
      </c>
      <c r="R790" s="157">
        <f>SUM(R788:R789)</f>
        <v>0</v>
      </c>
      <c r="S790" s="226"/>
      <c r="T790" s="157">
        <f>SUM(T788:T789)</f>
        <v>0</v>
      </c>
      <c r="U790" s="157">
        <f>SUM(U788:U789)</f>
        <v>0</v>
      </c>
      <c r="V790" s="140"/>
      <c r="W790" s="157">
        <f>HLOOKUP($W$9,'ROR-Model'!$Q$10:$U$1263,Y790)</f>
        <v>0</v>
      </c>
      <c r="X790" s="156"/>
      <c r="Y790" s="918">
        <f t="shared" si="46"/>
        <v>781</v>
      </c>
      <c r="AA790" s="157">
        <v>0</v>
      </c>
      <c r="AC790" s="157" t="str">
        <f t="shared" si="47"/>
        <v/>
      </c>
      <c r="AE790" s="44" t="str">
        <f t="shared" si="48"/>
        <v/>
      </c>
    </row>
    <row r="791" spans="1:31">
      <c r="A791" s="154"/>
      <c r="B791" s="49"/>
      <c r="C791" s="49"/>
      <c r="D791" s="49"/>
      <c r="E791" s="9">
        <f>+G791-Adjustments!G791</f>
        <v>0</v>
      </c>
      <c r="F791" s="9"/>
      <c r="G791" s="9"/>
      <c r="H791" s="9"/>
      <c r="I791" s="9"/>
      <c r="J791" s="9">
        <f>+I791-'ROR-Model'!I791</f>
        <v>0</v>
      </c>
      <c r="K791" s="9"/>
      <c r="L791" s="9"/>
      <c r="M791" s="9"/>
      <c r="N791" s="9"/>
      <c r="O791" s="136"/>
      <c r="P791" s="142"/>
      <c r="Q791" s="9"/>
      <c r="R791" s="9"/>
      <c r="S791" s="142"/>
      <c r="T791" s="9"/>
      <c r="U791" s="9"/>
      <c r="V791" s="140"/>
      <c r="W791" s="9"/>
      <c r="X791" s="156"/>
      <c r="Y791" s="918">
        <f t="shared" si="46"/>
        <v>782</v>
      </c>
      <c r="AA791" s="9"/>
      <c r="AC791" s="9" t="str">
        <f t="shared" si="47"/>
        <v/>
      </c>
      <c r="AE791" s="44" t="str">
        <f t="shared" si="48"/>
        <v/>
      </c>
    </row>
    <row r="792" spans="1:31">
      <c r="A792" s="154" t="s">
        <v>2</v>
      </c>
      <c r="B792" s="49" t="s">
        <v>23</v>
      </c>
      <c r="C792" s="49"/>
      <c r="D792" s="49"/>
      <c r="E792" s="9">
        <f>+G792-Adjustments!G792</f>
        <v>0</v>
      </c>
      <c r="F792" s="9"/>
      <c r="G792" s="9"/>
      <c r="H792" s="9"/>
      <c r="I792" s="9"/>
      <c r="J792" s="9">
        <f>+I792-'ROR-Model'!I792</f>
        <v>0</v>
      </c>
      <c r="K792" s="9"/>
      <c r="L792" s="9"/>
      <c r="M792" s="9"/>
      <c r="N792" s="9"/>
      <c r="O792" s="136"/>
      <c r="P792" s="142"/>
      <c r="Q792" s="9"/>
      <c r="R792" s="9"/>
      <c r="S792" s="142"/>
      <c r="T792" s="9"/>
      <c r="U792" s="9"/>
      <c r="V792" s="140"/>
      <c r="W792" s="9"/>
      <c r="X792" s="156"/>
      <c r="Y792" s="918">
        <f t="shared" si="46"/>
        <v>783</v>
      </c>
      <c r="AA792" s="9"/>
      <c r="AC792" s="9" t="str">
        <f t="shared" si="47"/>
        <v/>
      </c>
      <c r="AE792" s="44" t="str">
        <f t="shared" si="48"/>
        <v/>
      </c>
    </row>
    <row r="793" spans="1:31">
      <c r="A793" s="154"/>
      <c r="B793" s="49"/>
      <c r="C793" s="49" t="s">
        <v>13</v>
      </c>
      <c r="D793" s="49"/>
      <c r="E793" s="9">
        <f>+G793-Adjustments!G793</f>
        <v>-841817.97</v>
      </c>
      <c r="F793" s="9">
        <f>EXPENSES!F284</f>
        <v>841817.97</v>
      </c>
      <c r="G793" s="9">
        <f>+Adjustments!U792</f>
        <v>-841817.97</v>
      </c>
      <c r="H793" s="9"/>
      <c r="I793" s="9">
        <f>SUM(F793:H793)</f>
        <v>0</v>
      </c>
      <c r="J793" s="9">
        <f>+I793-'ROR-Model'!I793</f>
        <v>0</v>
      </c>
      <c r="K793" s="9"/>
      <c r="L793" s="9" t="s">
        <v>13</v>
      </c>
      <c r="M793" s="9">
        <f>VLOOKUP($L793,$L$2:$N$7,2,FALSE)*I793</f>
        <v>0</v>
      </c>
      <c r="N793" s="9">
        <f>VLOOKUP($L793,$L$2:$N$7,3,FALSE)*I793</f>
        <v>0</v>
      </c>
      <c r="O793" s="136"/>
      <c r="P793" s="513" t="s">
        <v>548</v>
      </c>
      <c r="Q793" s="9">
        <f>IF(P793="G",M793,IF(P793="PT",0,ERR))</f>
        <v>0</v>
      </c>
      <c r="R793" s="9">
        <f>IF(P793="PT",M793,IF(P793="G",0,ERR))</f>
        <v>0</v>
      </c>
      <c r="S793" s="584" t="s">
        <v>548</v>
      </c>
      <c r="T793" s="9">
        <f>IF(S793="G",N793,IF(S793="PT",0,ERR))</f>
        <v>0</v>
      </c>
      <c r="U793" s="9">
        <f>IF(S793="PT",N793,IF(S793="G",0,ERR))</f>
        <v>0</v>
      </c>
      <c r="V793" s="140"/>
      <c r="W793" s="9">
        <f>HLOOKUP($W$9,'ROR-Model'!$Q$10:$U$1263,Y793)</f>
        <v>0</v>
      </c>
      <c r="X793" s="156"/>
      <c r="Y793" s="918">
        <f t="shared" si="46"/>
        <v>784</v>
      </c>
      <c r="AA793" s="9">
        <v>0</v>
      </c>
      <c r="AC793" s="9" t="str">
        <f t="shared" si="47"/>
        <v/>
      </c>
      <c r="AE793" s="44" t="str">
        <f t="shared" si="48"/>
        <v/>
      </c>
    </row>
    <row r="794" spans="1:31">
      <c r="A794" s="154"/>
      <c r="B794" s="49"/>
      <c r="C794" s="49" t="s">
        <v>24</v>
      </c>
      <c r="D794" s="49"/>
      <c r="E794" s="9">
        <f>+G794-Adjustments!G794</f>
        <v>0</v>
      </c>
      <c r="F794" s="9">
        <f>EXPENSES!F285</f>
        <v>0</v>
      </c>
      <c r="G794" s="9">
        <f>+Adjustments!U793</f>
        <v>0</v>
      </c>
      <c r="H794" s="9"/>
      <c r="I794" s="9">
        <f>SUM(F794:H794)</f>
        <v>0</v>
      </c>
      <c r="J794" s="9">
        <f>+I794-'ROR-Model'!I794</f>
        <v>0</v>
      </c>
      <c r="K794" s="9"/>
      <c r="L794" s="9" t="s">
        <v>24</v>
      </c>
      <c r="M794" s="9">
        <f>VLOOKUP($L794,$L$2:$N$7,2,FALSE)*I794</f>
        <v>0</v>
      </c>
      <c r="N794" s="9">
        <f>VLOOKUP($L794,$L$2:$N$7,3,FALSE)*I794</f>
        <v>0</v>
      </c>
      <c r="O794" s="136"/>
      <c r="P794" s="513" t="s">
        <v>548</v>
      </c>
      <c r="Q794" s="9">
        <f>IF(P794="G",M794,IF(P794="PT",0,ERR))</f>
        <v>0</v>
      </c>
      <c r="R794" s="9">
        <f>IF(P794="PT",M794,IF(P794="G",0,ERR))</f>
        <v>0</v>
      </c>
      <c r="S794" s="584" t="s">
        <v>548</v>
      </c>
      <c r="T794" s="9">
        <f>IF(S794="G",N794,IF(S794="PT",0,ERR))</f>
        <v>0</v>
      </c>
      <c r="U794" s="9">
        <f>IF(S794="PT",N794,IF(S794="G",0,ERR))</f>
        <v>0</v>
      </c>
      <c r="V794" s="140"/>
      <c r="W794" s="9">
        <f>HLOOKUP($W$9,'ROR-Model'!$Q$10:$U$1263,Y794)</f>
        <v>0</v>
      </c>
      <c r="X794" s="156"/>
      <c r="Y794" s="918">
        <f t="shared" si="46"/>
        <v>785</v>
      </c>
      <c r="AA794" s="9">
        <v>0</v>
      </c>
      <c r="AC794" s="9" t="str">
        <f t="shared" si="47"/>
        <v/>
      </c>
      <c r="AE794" s="44" t="str">
        <f t="shared" si="48"/>
        <v/>
      </c>
    </row>
    <row r="795" spans="1:31">
      <c r="A795" s="154"/>
      <c r="B795" s="49"/>
      <c r="C795" s="49" t="s">
        <v>160</v>
      </c>
      <c r="D795" s="49"/>
      <c r="E795" s="157">
        <f>+G795-Adjustments!G795</f>
        <v>-841817.97</v>
      </c>
      <c r="F795" s="157">
        <f>SUM(F793:F794)</f>
        <v>841817.97</v>
      </c>
      <c r="G795" s="157">
        <f>SUM(G793:G794)</f>
        <v>-841817.97</v>
      </c>
      <c r="H795" s="157">
        <f>SUM(H793:H794)</f>
        <v>0</v>
      </c>
      <c r="I795" s="157">
        <f>SUM(I793:I794)</f>
        <v>0</v>
      </c>
      <c r="J795" s="9">
        <f>+I795-'ROR-Model'!I795</f>
        <v>0</v>
      </c>
      <c r="K795" s="9"/>
      <c r="L795" s="157"/>
      <c r="M795" s="157">
        <f>SUM(M793:M794)</f>
        <v>0</v>
      </c>
      <c r="N795" s="157">
        <f>SUM(N793:N794)</f>
        <v>0</v>
      </c>
      <c r="O795" s="136"/>
      <c r="P795" s="226"/>
      <c r="Q795" s="157">
        <f>SUM(Q793:Q794)</f>
        <v>0</v>
      </c>
      <c r="R795" s="157">
        <f>SUM(R793:R794)</f>
        <v>0</v>
      </c>
      <c r="S795" s="226"/>
      <c r="T795" s="157">
        <f>SUM(T793:T794)</f>
        <v>0</v>
      </c>
      <c r="U795" s="157">
        <f>SUM(U793:U794)</f>
        <v>0</v>
      </c>
      <c r="V795" s="140"/>
      <c r="W795" s="157">
        <f>HLOOKUP($W$9,'ROR-Model'!$Q$10:$U$1263,Y795)</f>
        <v>0</v>
      </c>
      <c r="X795" s="156"/>
      <c r="Y795" s="918">
        <f t="shared" si="46"/>
        <v>786</v>
      </c>
      <c r="AA795" s="157">
        <v>0</v>
      </c>
      <c r="AC795" s="157" t="str">
        <f t="shared" si="47"/>
        <v/>
      </c>
      <c r="AE795" s="44" t="str">
        <f t="shared" si="48"/>
        <v/>
      </c>
    </row>
    <row r="796" spans="1:31">
      <c r="A796" s="154"/>
      <c r="B796" s="49"/>
      <c r="C796" s="49"/>
      <c r="D796" s="49"/>
      <c r="E796" s="9">
        <f>+G796-Adjustments!G796</f>
        <v>0</v>
      </c>
      <c r="F796" s="9"/>
      <c r="G796" s="9"/>
      <c r="H796" s="9"/>
      <c r="I796" s="9"/>
      <c r="J796" s="9">
        <f>+I796-'ROR-Model'!I796</f>
        <v>0</v>
      </c>
      <c r="K796" s="9"/>
      <c r="L796" s="9"/>
      <c r="M796" s="9"/>
      <c r="N796" s="9"/>
      <c r="O796" s="136"/>
      <c r="P796" s="142"/>
      <c r="Q796" s="9"/>
      <c r="R796" s="9"/>
      <c r="S796" s="142"/>
      <c r="T796" s="9"/>
      <c r="U796" s="9"/>
      <c r="V796" s="140"/>
      <c r="W796" s="9"/>
      <c r="X796" s="156"/>
      <c r="Y796" s="918">
        <f t="shared" si="46"/>
        <v>787</v>
      </c>
      <c r="AA796" s="9"/>
      <c r="AC796" s="9" t="str">
        <f t="shared" si="47"/>
        <v/>
      </c>
      <c r="AE796" s="44" t="str">
        <f t="shared" si="48"/>
        <v/>
      </c>
    </row>
    <row r="797" spans="1:31">
      <c r="A797" s="154">
        <v>905</v>
      </c>
      <c r="B797" s="49" t="s">
        <v>392</v>
      </c>
      <c r="C797" s="49"/>
      <c r="D797" s="49"/>
      <c r="E797" s="9">
        <f>+G797-Adjustments!G797</f>
        <v>0</v>
      </c>
      <c r="F797" s="9"/>
      <c r="G797" s="9"/>
      <c r="H797" s="9"/>
      <c r="I797" s="9"/>
      <c r="J797" s="9">
        <f>+I797-'ROR-Model'!I797</f>
        <v>0</v>
      </c>
      <c r="K797" s="9"/>
      <c r="L797" s="9"/>
      <c r="M797" s="9"/>
      <c r="N797" s="9"/>
      <c r="O797" s="136"/>
      <c r="P797" s="142"/>
      <c r="Q797" s="9"/>
      <c r="R797" s="9"/>
      <c r="S797" s="142"/>
      <c r="T797" s="9"/>
      <c r="U797" s="9"/>
      <c r="V797" s="140"/>
      <c r="W797" s="9"/>
      <c r="X797" s="156"/>
      <c r="Y797" s="918">
        <f t="shared" si="46"/>
        <v>788</v>
      </c>
      <c r="AA797" s="9"/>
      <c r="AC797" s="9" t="str">
        <f t="shared" si="47"/>
        <v/>
      </c>
      <c r="AE797" s="44" t="str">
        <f t="shared" si="48"/>
        <v/>
      </c>
    </row>
    <row r="798" spans="1:31">
      <c r="A798" s="153"/>
      <c r="B798" s="49"/>
      <c r="C798" s="49" t="s">
        <v>13</v>
      </c>
      <c r="D798" s="49"/>
      <c r="E798" s="9">
        <f>+G798-Adjustments!G798</f>
        <v>0</v>
      </c>
      <c r="F798" s="9">
        <f>EXPENSES!F290</f>
        <v>0</v>
      </c>
      <c r="G798" s="9">
        <f>+Adjustments!U797</f>
        <v>0</v>
      </c>
      <c r="H798" s="9"/>
      <c r="I798" s="9">
        <f>SUM($F$798:$H$798)</f>
        <v>0</v>
      </c>
      <c r="J798" s="9">
        <f>+I798-'ROR-Model'!I798</f>
        <v>0</v>
      </c>
      <c r="K798" s="9"/>
      <c r="L798" s="9" t="s">
        <v>13</v>
      </c>
      <c r="M798" s="9">
        <f>VLOOKUP($L798,$L$2:$N$7,2,FALSE)*I798</f>
        <v>0</v>
      </c>
      <c r="N798" s="9">
        <f>VLOOKUP($L798,$L$2:$N$7,3,FALSE)*I798</f>
        <v>0</v>
      </c>
      <c r="O798" s="136"/>
      <c r="P798" s="216" t="s">
        <v>549</v>
      </c>
      <c r="Q798" s="9">
        <f>IF(P798="G",M798,IF(P798="PT",0,ERR))</f>
        <v>0</v>
      </c>
      <c r="R798" s="9">
        <f>IF(P798="PT",M798,IF(P798="G",0,ERR))</f>
        <v>0</v>
      </c>
      <c r="S798" s="142" t="s">
        <v>549</v>
      </c>
      <c r="T798" s="9">
        <f>IF(S798="G",N798,IF(S798="PT",0,ERR))</f>
        <v>0</v>
      </c>
      <c r="U798" s="9">
        <f>IF(S798="PT",N798,IF(S798="G",0,ERR))</f>
        <v>0</v>
      </c>
      <c r="V798" s="140"/>
      <c r="W798" s="9">
        <f>HLOOKUP($W$9,'ROR-Model'!$Q$10:$U$1263,Y798)</f>
        <v>0</v>
      </c>
      <c r="X798" s="156"/>
      <c r="Y798" s="918">
        <f t="shared" si="46"/>
        <v>789</v>
      </c>
      <c r="AA798" s="9">
        <v>0</v>
      </c>
      <c r="AC798" s="9" t="str">
        <f t="shared" si="47"/>
        <v/>
      </c>
      <c r="AE798" s="44" t="str">
        <f t="shared" si="48"/>
        <v/>
      </c>
    </row>
    <row r="799" spans="1:31">
      <c r="A799" s="153"/>
      <c r="B799" s="49"/>
      <c r="C799" s="49" t="s">
        <v>24</v>
      </c>
      <c r="D799" s="49"/>
      <c r="E799" s="9">
        <f>+G799-Adjustments!G799</f>
        <v>0</v>
      </c>
      <c r="F799" s="9">
        <f>EXPENSES!F291</f>
        <v>0</v>
      </c>
      <c r="G799" s="9">
        <f>+Adjustments!U798</f>
        <v>0</v>
      </c>
      <c r="H799" s="9"/>
      <c r="I799" s="9">
        <f>SUM($F$799:$H$799)</f>
        <v>0</v>
      </c>
      <c r="J799" s="9">
        <f>+I799-'ROR-Model'!I799</f>
        <v>0</v>
      </c>
      <c r="K799" s="9"/>
      <c r="L799" s="9" t="s">
        <v>24</v>
      </c>
      <c r="M799" s="9">
        <f>VLOOKUP($L799,$L$2:$N$7,2,FALSE)*I799</f>
        <v>0</v>
      </c>
      <c r="N799" s="9">
        <f>VLOOKUP($L799,$L$2:$N$7,3,FALSE)*I799</f>
        <v>0</v>
      </c>
      <c r="O799" s="136"/>
      <c r="P799" s="216" t="s">
        <v>549</v>
      </c>
      <c r="Q799" s="9">
        <f>IF(P799="G",M799,IF(P799="PT",0,ERR))</f>
        <v>0</v>
      </c>
      <c r="R799" s="9">
        <f>IF(P799="PT",M799,IF(P799="G",0,ERR))</f>
        <v>0</v>
      </c>
      <c r="S799" s="142" t="s">
        <v>549</v>
      </c>
      <c r="T799" s="9">
        <f>IF(S799="G",N799,IF(S799="PT",0,ERR))</f>
        <v>0</v>
      </c>
      <c r="U799" s="9">
        <f>IF(S799="PT",N799,IF(S799="G",0,ERR))</f>
        <v>0</v>
      </c>
      <c r="V799" s="140"/>
      <c r="W799" s="9">
        <f>HLOOKUP($W$9,'ROR-Model'!$Q$10:$U$1263,Y799)</f>
        <v>0</v>
      </c>
      <c r="X799" s="156"/>
      <c r="Y799" s="918">
        <f t="shared" si="46"/>
        <v>790</v>
      </c>
      <c r="AA799" s="9">
        <v>0</v>
      </c>
      <c r="AC799" s="9" t="str">
        <f t="shared" si="47"/>
        <v/>
      </c>
      <c r="AE799" s="44" t="str">
        <f t="shared" si="48"/>
        <v/>
      </c>
    </row>
    <row r="800" spans="1:31">
      <c r="A800" s="153"/>
      <c r="B800" s="49"/>
      <c r="C800" s="49" t="s">
        <v>160</v>
      </c>
      <c r="D800" s="49"/>
      <c r="E800" s="157">
        <f>+G800-Adjustments!G800</f>
        <v>0</v>
      </c>
      <c r="F800" s="157">
        <f>SUM(F798:F799)</f>
        <v>0</v>
      </c>
      <c r="G800" s="157">
        <f>SUM(G798:G799)</f>
        <v>0</v>
      </c>
      <c r="H800" s="157">
        <f>SUM(H798:H799)</f>
        <v>0</v>
      </c>
      <c r="I800" s="157">
        <f>SUM(I798:I799)</f>
        <v>0</v>
      </c>
      <c r="J800" s="9">
        <f>+I800-'ROR-Model'!I800</f>
        <v>0</v>
      </c>
      <c r="K800" s="9"/>
      <c r="L800" s="157"/>
      <c r="M800" s="157">
        <f>SUM(M798:M799)</f>
        <v>0</v>
      </c>
      <c r="N800" s="157">
        <f>SUM(N798:N799)</f>
        <v>0</v>
      </c>
      <c r="O800" s="136"/>
      <c r="P800" s="226"/>
      <c r="Q800" s="157">
        <f>SUM(Q798:Q799)</f>
        <v>0</v>
      </c>
      <c r="R800" s="157">
        <f>SUM(R798:R799)</f>
        <v>0</v>
      </c>
      <c r="S800" s="226"/>
      <c r="T800" s="157">
        <f>SUM(T798:T799)</f>
        <v>0</v>
      </c>
      <c r="U800" s="157">
        <f>SUM(U798:U799)</f>
        <v>0</v>
      </c>
      <c r="V800" s="140"/>
      <c r="W800" s="157">
        <f>HLOOKUP($W$9,'ROR-Model'!$Q$10:$U$1263,Y800)</f>
        <v>0</v>
      </c>
      <c r="X800" s="156"/>
      <c r="Y800" s="918">
        <f t="shared" si="46"/>
        <v>791</v>
      </c>
      <c r="AA800" s="157">
        <v>0</v>
      </c>
      <c r="AC800" s="157" t="str">
        <f t="shared" si="47"/>
        <v/>
      </c>
      <c r="AE800" s="44" t="str">
        <f t="shared" si="48"/>
        <v/>
      </c>
    </row>
    <row r="801" spans="1:31" ht="13.5" thickBot="1">
      <c r="A801" s="153"/>
      <c r="B801" s="49"/>
      <c r="C801" s="49"/>
      <c r="D801" s="49"/>
      <c r="E801" s="26">
        <f>+G801-Adjustments!G801</f>
        <v>0</v>
      </c>
      <c r="F801" s="26"/>
      <c r="G801" s="26"/>
      <c r="H801" s="26"/>
      <c r="I801" s="26"/>
      <c r="J801" s="9">
        <f>+I801-'ROR-Model'!I801</f>
        <v>0</v>
      </c>
      <c r="K801" s="9"/>
      <c r="L801" s="26"/>
      <c r="M801" s="26"/>
      <c r="N801" s="26"/>
      <c r="O801" s="136"/>
      <c r="P801" s="227"/>
      <c r="Q801" s="26"/>
      <c r="R801" s="26"/>
      <c r="S801" s="227"/>
      <c r="T801" s="26"/>
      <c r="U801" s="26"/>
      <c r="V801" s="140"/>
      <c r="W801" s="26"/>
      <c r="X801" s="156"/>
      <c r="Y801" s="918">
        <f t="shared" si="46"/>
        <v>792</v>
      </c>
      <c r="AA801" s="26"/>
      <c r="AC801" s="26" t="str">
        <f t="shared" si="47"/>
        <v/>
      </c>
      <c r="AE801" s="44" t="str">
        <f t="shared" si="48"/>
        <v/>
      </c>
    </row>
    <row r="802" spans="1:31" ht="13.5" thickTop="1">
      <c r="A802" s="130" t="s">
        <v>634</v>
      </c>
      <c r="B802" s="49"/>
      <c r="C802" s="49"/>
      <c r="D802" s="49"/>
      <c r="E802" s="9">
        <f>+G802-Adjustments!G802</f>
        <v>0</v>
      </c>
      <c r="F802" s="9"/>
      <c r="G802" s="9"/>
      <c r="H802" s="9"/>
      <c r="I802" s="9"/>
      <c r="J802" s="9">
        <f>+I802-'ROR-Model'!I802</f>
        <v>0</v>
      </c>
      <c r="K802" s="9"/>
      <c r="L802" s="9"/>
      <c r="M802" s="9"/>
      <c r="N802" s="9"/>
      <c r="O802" s="136"/>
      <c r="P802" s="142"/>
      <c r="Q802" s="9"/>
      <c r="R802" s="9"/>
      <c r="S802" s="142"/>
      <c r="T802" s="9"/>
      <c r="U802" s="9"/>
      <c r="V802" s="140"/>
      <c r="W802" s="9"/>
      <c r="X802" s="156"/>
      <c r="Y802" s="918">
        <f t="shared" si="46"/>
        <v>793</v>
      </c>
      <c r="AA802" s="9"/>
      <c r="AC802" s="9" t="str">
        <f t="shared" si="47"/>
        <v/>
      </c>
      <c r="AE802" s="44" t="str">
        <f t="shared" si="48"/>
        <v/>
      </c>
    </row>
    <row r="803" spans="1:31">
      <c r="A803" s="153"/>
      <c r="B803" s="49" t="s">
        <v>635</v>
      </c>
      <c r="C803" s="49"/>
      <c r="D803" s="49"/>
      <c r="E803" s="404">
        <f>+G803-Adjustments!G803</f>
        <v>-963085.67189620889</v>
      </c>
      <c r="F803" s="404">
        <f t="shared" ref="F803:I804" si="49">F798+F793+F788+F783+F778+F773+F768+F763+F758</f>
        <v>18341157.529999997</v>
      </c>
      <c r="G803" s="404">
        <f t="shared" si="49"/>
        <v>-963085.67189620889</v>
      </c>
      <c r="H803" s="404">
        <f t="shared" si="49"/>
        <v>0</v>
      </c>
      <c r="I803" s="404">
        <f t="shared" si="49"/>
        <v>17378071.858103789</v>
      </c>
      <c r="J803" s="9">
        <f>+I803-'ROR-Model'!I803</f>
        <v>0</v>
      </c>
      <c r="K803" s="9"/>
      <c r="L803" s="9"/>
      <c r="M803" s="9">
        <f>M758+M763+M768+M773+M778+M783+M798+M788+M793</f>
        <v>17378071.858103793</v>
      </c>
      <c r="N803" s="9">
        <f>N758+N763+N768+N773+N778+N783+N798</f>
        <v>0</v>
      </c>
      <c r="O803" s="136"/>
      <c r="P803" s="142"/>
      <c r="Q803" s="9">
        <f>Q758+Q763+Q768+Q773+Q778+Q783+Q798+Q788+Q793</f>
        <v>17378071.858103793</v>
      </c>
      <c r="R803" s="9">
        <f>R758+R763+R768+R773+R778+R783+R798+R788+R793</f>
        <v>0</v>
      </c>
      <c r="S803" s="142"/>
      <c r="T803" s="9">
        <f>T758+T763+T768+T773+T778+T783+T798+T788+T793</f>
        <v>0</v>
      </c>
      <c r="U803" s="9">
        <f>U758+U763+U768+U773+U778+U783+U798+U788+U793</f>
        <v>0</v>
      </c>
      <c r="V803" s="140"/>
      <c r="W803" s="9">
        <f>W758+W763+W768+W773+W778+W783+W798+W788+W793</f>
        <v>17378071.858103793</v>
      </c>
      <c r="X803" s="156"/>
      <c r="Y803" s="918">
        <f t="shared" si="46"/>
        <v>794</v>
      </c>
      <c r="AA803" s="9">
        <v>0</v>
      </c>
      <c r="AC803" s="9" t="str">
        <f t="shared" si="47"/>
        <v/>
      </c>
      <c r="AE803" s="44" t="str">
        <f t="shared" si="48"/>
        <v/>
      </c>
    </row>
    <row r="804" spans="1:31">
      <c r="A804" s="153"/>
      <c r="B804" s="49" t="s">
        <v>637</v>
      </c>
      <c r="C804" s="49"/>
      <c r="D804" s="49"/>
      <c r="E804" s="404">
        <f>+G804-Adjustments!G804</f>
        <v>-37425.575731088218</v>
      </c>
      <c r="F804" s="404">
        <f t="shared" si="49"/>
        <v>744422.44000000006</v>
      </c>
      <c r="G804" s="404">
        <f t="shared" si="49"/>
        <v>-37425.575731088218</v>
      </c>
      <c r="H804" s="404">
        <f t="shared" si="49"/>
        <v>0</v>
      </c>
      <c r="I804" s="404">
        <f t="shared" si="49"/>
        <v>706996.86426891177</v>
      </c>
      <c r="J804" s="9">
        <f>+I804-'ROR-Model'!I804</f>
        <v>0</v>
      </c>
      <c r="K804" s="9"/>
      <c r="L804" s="9"/>
      <c r="M804" s="9">
        <f>M759+M764+M769+M774+M779+M784+M799</f>
        <v>0</v>
      </c>
      <c r="N804" s="9">
        <f>N759+N764+N769+N774+N779+N784+N799</f>
        <v>706996.86426891177</v>
      </c>
      <c r="O804" s="136"/>
      <c r="P804" s="142"/>
      <c r="Q804" s="9">
        <f>Q759+Q764+Q769+Q774+Q779+Q784+Q799</f>
        <v>0</v>
      </c>
      <c r="R804" s="9">
        <f>R759+R764+R769+R774+R779+R784+R799</f>
        <v>0</v>
      </c>
      <c r="S804" s="142"/>
      <c r="T804" s="9">
        <f>T759+T764+T769+T774+T779+T784+T799</f>
        <v>706996.86426891177</v>
      </c>
      <c r="U804" s="9">
        <f>U759+U764+U769+U774+U779+U784+U799</f>
        <v>0</v>
      </c>
      <c r="V804" s="140"/>
      <c r="W804" s="9">
        <f>HLOOKUP($W$9,'ROR-Model'!$Q$10:$U$1263,Y804)</f>
        <v>0</v>
      </c>
      <c r="X804" s="156"/>
      <c r="Y804" s="918">
        <f t="shared" si="46"/>
        <v>795</v>
      </c>
      <c r="AA804" s="9">
        <v>958851.69000000018</v>
      </c>
      <c r="AC804" s="9">
        <f t="shared" si="47"/>
        <v>-958851.69000000018</v>
      </c>
      <c r="AE804" s="44">
        <f t="shared" si="48"/>
        <v>-1</v>
      </c>
    </row>
    <row r="805" spans="1:31" ht="13.5" thickBot="1">
      <c r="A805" s="153"/>
      <c r="B805" s="49"/>
      <c r="C805" s="49"/>
      <c r="D805" s="49"/>
      <c r="E805" s="175">
        <f>+G805-Adjustments!G805</f>
        <v>0</v>
      </c>
      <c r="F805" s="175"/>
      <c r="G805" s="175"/>
      <c r="H805" s="175"/>
      <c r="I805" s="175"/>
      <c r="J805" s="9">
        <f>+I805-'ROR-Model'!I805</f>
        <v>0</v>
      </c>
      <c r="K805" s="9"/>
      <c r="L805" s="175"/>
      <c r="M805" s="175"/>
      <c r="N805" s="175"/>
      <c r="O805" s="136"/>
      <c r="P805" s="229"/>
      <c r="Q805" s="175"/>
      <c r="R805" s="175"/>
      <c r="S805" s="229"/>
      <c r="T805" s="175"/>
      <c r="U805" s="175"/>
      <c r="V805" s="140"/>
      <c r="W805" s="175"/>
      <c r="X805" s="156"/>
      <c r="Y805" s="918">
        <f t="shared" si="46"/>
        <v>796</v>
      </c>
      <c r="AA805" s="175"/>
      <c r="AC805" s="175" t="str">
        <f t="shared" si="47"/>
        <v/>
      </c>
      <c r="AE805" s="44" t="str">
        <f t="shared" si="48"/>
        <v/>
      </c>
    </row>
    <row r="806" spans="1:31">
      <c r="A806" s="153"/>
      <c r="B806" s="158" t="s">
        <v>634</v>
      </c>
      <c r="C806" s="49"/>
      <c r="D806" s="49"/>
      <c r="E806" s="9">
        <f>+G806-Adjustments!G806</f>
        <v>-1000511.2476272971</v>
      </c>
      <c r="F806" s="9">
        <f>F800+F795+F790+F785+F780+F775+F770+F765+F760</f>
        <v>19085579.969999999</v>
      </c>
      <c r="G806" s="9">
        <f>G800+G795+G790+G785+G780+G775+G770+G765+G760</f>
        <v>-1000511.2476272971</v>
      </c>
      <c r="H806" s="9">
        <f>H800+H795+H790+H785+H780+H775+H770+H765+H760</f>
        <v>0</v>
      </c>
      <c r="I806" s="9">
        <f>I800+I795+I790+I785+I780+I775+I770+I765+I760</f>
        <v>18085068.722372703</v>
      </c>
      <c r="J806" s="9">
        <f>+I806-'ROR-Model'!I806</f>
        <v>0</v>
      </c>
      <c r="K806" s="9"/>
      <c r="L806" s="9"/>
      <c r="M806" s="9">
        <f>M800+M795+M790+M785+M780+M775+M770+M765+M760</f>
        <v>17378071.858103789</v>
      </c>
      <c r="N806" s="9">
        <f>N800+N795+N790+N785+N780+N775+N770+N765+N760</f>
        <v>706996.86426891177</v>
      </c>
      <c r="O806" s="136"/>
      <c r="P806" s="142"/>
      <c r="Q806" s="9">
        <f>Q800+Q795+Q790+Q785+Q780+Q775+Q770+Q765+Q760</f>
        <v>17378071.858103789</v>
      </c>
      <c r="R806" s="9">
        <f>R800+R795+R790+R785+R780+R775+R770+R765+R760</f>
        <v>0</v>
      </c>
      <c r="S806" s="142"/>
      <c r="T806" s="9">
        <f>T800+T795+T790+T785+T780+T775+T770+T765+T760</f>
        <v>706996.86426891177</v>
      </c>
      <c r="U806" s="9">
        <f>U800+U795+U790+U785+U780+U775+U770+U765+U760</f>
        <v>0</v>
      </c>
      <c r="V806" s="140"/>
      <c r="W806" s="9">
        <f>HLOOKUP($W$9,'ROR-Model'!$Q$10:$U$1263,Y806)</f>
        <v>17378071.858103789</v>
      </c>
      <c r="X806" s="156"/>
      <c r="Y806" s="918">
        <f t="shared" si="46"/>
        <v>797</v>
      </c>
      <c r="AA806" s="9">
        <v>958851.69000000006</v>
      </c>
      <c r="AC806" s="9">
        <f t="shared" si="47"/>
        <v>16419220.16810379</v>
      </c>
      <c r="AE806" s="44">
        <f t="shared" si="48"/>
        <v>17.123837126577719</v>
      </c>
    </row>
    <row r="807" spans="1:31">
      <c r="A807" s="153"/>
      <c r="B807" s="49"/>
      <c r="C807" s="49"/>
      <c r="D807" s="49"/>
      <c r="E807" s="9">
        <f>+G807-Adjustments!G807</f>
        <v>0</v>
      </c>
      <c r="F807" s="9"/>
      <c r="G807" s="9"/>
      <c r="H807" s="9"/>
      <c r="I807" s="9"/>
      <c r="J807" s="9">
        <f>+I807-'ROR-Model'!I807</f>
        <v>0</v>
      </c>
      <c r="K807" s="9"/>
      <c r="L807" s="9"/>
      <c r="M807" s="9"/>
      <c r="N807" s="9"/>
      <c r="O807" s="136"/>
      <c r="P807" s="142"/>
      <c r="Q807" s="9"/>
      <c r="R807" s="9"/>
      <c r="S807" s="142"/>
      <c r="T807" s="9"/>
      <c r="U807" s="9"/>
      <c r="V807" s="140"/>
      <c r="W807" s="9"/>
      <c r="X807" s="156"/>
      <c r="Y807" s="918">
        <f t="shared" si="46"/>
        <v>798</v>
      </c>
      <c r="AA807" s="9"/>
      <c r="AC807" s="9" t="str">
        <f t="shared" si="47"/>
        <v/>
      </c>
      <c r="AE807" s="44" t="str">
        <f t="shared" si="48"/>
        <v/>
      </c>
    </row>
    <row r="808" spans="1:31">
      <c r="A808" s="130" t="s">
        <v>393</v>
      </c>
      <c r="B808" s="49"/>
      <c r="C808" s="49"/>
      <c r="D808" s="49"/>
      <c r="E808" s="9">
        <f>+G808-Adjustments!G808</f>
        <v>0</v>
      </c>
      <c r="F808" s="9"/>
      <c r="G808" s="9"/>
      <c r="H808" s="9"/>
      <c r="I808" s="9"/>
      <c r="J808" s="9">
        <f>+I808-'ROR-Model'!I808</f>
        <v>0</v>
      </c>
      <c r="K808" s="9"/>
      <c r="L808" s="9"/>
      <c r="M808" s="9"/>
      <c r="N808" s="9"/>
      <c r="O808" s="136"/>
      <c r="P808" s="142"/>
      <c r="Q808" s="9"/>
      <c r="R808" s="9"/>
      <c r="S808" s="142"/>
      <c r="T808" s="9"/>
      <c r="U808" s="9"/>
      <c r="V808" s="140"/>
      <c r="W808" s="9"/>
      <c r="X808" s="156"/>
      <c r="Y808" s="918">
        <f t="shared" si="46"/>
        <v>799</v>
      </c>
      <c r="AA808" s="9"/>
      <c r="AC808" s="9" t="str">
        <f t="shared" si="47"/>
        <v/>
      </c>
      <c r="AE808" s="44" t="str">
        <f t="shared" si="48"/>
        <v/>
      </c>
    </row>
    <row r="809" spans="1:31">
      <c r="A809" s="153"/>
      <c r="B809" s="49"/>
      <c r="C809" s="49"/>
      <c r="D809" s="49"/>
      <c r="E809" s="9">
        <f>+G809-Adjustments!G809</f>
        <v>0</v>
      </c>
      <c r="F809" s="9"/>
      <c r="G809" s="9"/>
      <c r="H809" s="9"/>
      <c r="I809" s="9"/>
      <c r="J809" s="9">
        <f>+I809-'ROR-Model'!I809</f>
        <v>0</v>
      </c>
      <c r="K809" s="9"/>
      <c r="L809" s="9"/>
      <c r="M809" s="9"/>
      <c r="N809" s="9"/>
      <c r="O809" s="136"/>
      <c r="P809" s="142"/>
      <c r="Q809" s="9"/>
      <c r="R809" s="9"/>
      <c r="S809" s="142"/>
      <c r="T809" s="9"/>
      <c r="U809" s="9"/>
      <c r="V809" s="140"/>
      <c r="W809" s="9"/>
      <c r="X809" s="156"/>
      <c r="Y809" s="918">
        <f t="shared" si="46"/>
        <v>800</v>
      </c>
      <c r="AA809" s="9"/>
      <c r="AC809" s="9" t="str">
        <f t="shared" si="47"/>
        <v/>
      </c>
      <c r="AE809" s="44" t="str">
        <f t="shared" si="48"/>
        <v/>
      </c>
    </row>
    <row r="810" spans="1:31">
      <c r="A810" s="154">
        <v>907</v>
      </c>
      <c r="B810" s="49" t="s">
        <v>385</v>
      </c>
      <c r="C810" s="49"/>
      <c r="D810" s="49"/>
      <c r="E810" s="9">
        <f>+G810-Adjustments!G810</f>
        <v>0</v>
      </c>
      <c r="F810" s="9"/>
      <c r="G810" s="9"/>
      <c r="H810" s="9"/>
      <c r="I810" s="9"/>
      <c r="J810" s="9">
        <f>+I810-'ROR-Model'!I810</f>
        <v>0</v>
      </c>
      <c r="K810" s="9"/>
      <c r="L810" s="9"/>
      <c r="M810" s="9"/>
      <c r="N810" s="9"/>
      <c r="O810" s="136"/>
      <c r="P810" s="142"/>
      <c r="Q810" s="9"/>
      <c r="R810" s="9"/>
      <c r="S810" s="142"/>
      <c r="T810" s="9"/>
      <c r="U810" s="9"/>
      <c r="V810" s="140"/>
      <c r="W810" s="9"/>
      <c r="X810" s="156"/>
      <c r="Y810" s="918">
        <f t="shared" si="46"/>
        <v>801</v>
      </c>
      <c r="AA810" s="9"/>
      <c r="AC810" s="9" t="str">
        <f t="shared" si="47"/>
        <v/>
      </c>
      <c r="AE810" s="44" t="str">
        <f t="shared" si="48"/>
        <v/>
      </c>
    </row>
    <row r="811" spans="1:31">
      <c r="A811" s="154"/>
      <c r="B811" s="49"/>
      <c r="C811" s="49" t="s">
        <v>13</v>
      </c>
      <c r="D811" s="49"/>
      <c r="E811" s="9">
        <f>+G811-Adjustments!G811</f>
        <v>0</v>
      </c>
      <c r="F811" s="9">
        <f>EXPENSES!F303</f>
        <v>370305.81000000006</v>
      </c>
      <c r="G811" s="9">
        <f>+Adjustments!U810</f>
        <v>0</v>
      </c>
      <c r="H811" s="9"/>
      <c r="I811" s="9">
        <f>SUM($F$811:$H$811)</f>
        <v>370305.81000000006</v>
      </c>
      <c r="J811" s="9">
        <f>+I811-'ROR-Model'!I811</f>
        <v>0</v>
      </c>
      <c r="K811" s="9"/>
      <c r="L811" s="9" t="s">
        <v>13</v>
      </c>
      <c r="M811" s="9">
        <f>VLOOKUP($L811,$L$2:$N$7,2,FALSE)*I811</f>
        <v>370305.81000000006</v>
      </c>
      <c r="N811" s="9">
        <f>VLOOKUP($L811,$L$2:$N$7,3,FALSE)*I811</f>
        <v>0</v>
      </c>
      <c r="O811" s="136"/>
      <c r="P811" s="216" t="s">
        <v>549</v>
      </c>
      <c r="Q811" s="9">
        <f>IF(P811="G",M811,IF(P811="PT",0,ERR))</f>
        <v>370305.81000000006</v>
      </c>
      <c r="R811" s="9">
        <f>IF(P811="PT",M811,IF(P811="G",0,ERR))</f>
        <v>0</v>
      </c>
      <c r="S811" s="142" t="s">
        <v>549</v>
      </c>
      <c r="T811" s="9">
        <f>IF(S811="G",N811,IF(S811="PT",0,ERR))</f>
        <v>0</v>
      </c>
      <c r="U811" s="9">
        <f>IF(S811="PT",N811,IF(S811="G",0,ERR))</f>
        <v>0</v>
      </c>
      <c r="V811" s="140"/>
      <c r="W811" s="9">
        <f>HLOOKUP($W$9,'ROR-Model'!$Q$10:$U$1263,Y811)</f>
        <v>370305.81000000006</v>
      </c>
      <c r="X811" s="156"/>
      <c r="Y811" s="918">
        <f t="shared" si="46"/>
        <v>802</v>
      </c>
      <c r="AA811" s="9">
        <v>0</v>
      </c>
      <c r="AC811" s="9" t="str">
        <f t="shared" si="47"/>
        <v/>
      </c>
      <c r="AE811" s="44" t="str">
        <f t="shared" si="48"/>
        <v/>
      </c>
    </row>
    <row r="812" spans="1:31">
      <c r="A812" s="154"/>
      <c r="B812" s="49"/>
      <c r="C812" s="49" t="s">
        <v>24</v>
      </c>
      <c r="D812" s="49"/>
      <c r="E812" s="9">
        <f>+G812-Adjustments!G812</f>
        <v>0</v>
      </c>
      <c r="F812" s="9">
        <f>EXPENSES!F304</f>
        <v>9679.8300000000017</v>
      </c>
      <c r="G812" s="9">
        <f>+Adjustments!U811</f>
        <v>0</v>
      </c>
      <c r="H812" s="9"/>
      <c r="I812" s="9">
        <f>SUM($F$812:$H$812)</f>
        <v>9679.8300000000017</v>
      </c>
      <c r="J812" s="9">
        <f>+I812-'ROR-Model'!I812</f>
        <v>0</v>
      </c>
      <c r="K812" s="9"/>
      <c r="L812" s="9" t="s">
        <v>24</v>
      </c>
      <c r="M812" s="9">
        <f>VLOOKUP($L812,$L$2:$N$7,2,FALSE)*I812</f>
        <v>0</v>
      </c>
      <c r="N812" s="9">
        <f>VLOOKUP($L812,$L$2:$N$7,3,FALSE)*I812</f>
        <v>9679.8300000000017</v>
      </c>
      <c r="O812" s="136"/>
      <c r="P812" s="216" t="s">
        <v>549</v>
      </c>
      <c r="Q812" s="9">
        <f>IF(P812="G",M812,IF(P812="PT",0,ERR))</f>
        <v>0</v>
      </c>
      <c r="R812" s="9">
        <f>IF(P812="PT",M812,IF(P812="G",0,ERR))</f>
        <v>0</v>
      </c>
      <c r="S812" s="142" t="s">
        <v>549</v>
      </c>
      <c r="T812" s="9">
        <f>IF(S812="G",N812,IF(S812="PT",0,ERR))</f>
        <v>9679.8300000000017</v>
      </c>
      <c r="U812" s="9">
        <f>IF(S812="PT",N812,IF(S812="G",0,ERR))</f>
        <v>0</v>
      </c>
      <c r="V812" s="140"/>
      <c r="W812" s="9">
        <f>HLOOKUP($W$9,'ROR-Model'!$Q$10:$U$1263,Y812)</f>
        <v>0</v>
      </c>
      <c r="X812" s="156"/>
      <c r="Y812" s="918">
        <f t="shared" si="46"/>
        <v>803</v>
      </c>
      <c r="AA812" s="9">
        <v>12534.099999999999</v>
      </c>
      <c r="AC812" s="9">
        <f t="shared" si="47"/>
        <v>-12534.099999999999</v>
      </c>
      <c r="AE812" s="44">
        <f t="shared" si="48"/>
        <v>-1</v>
      </c>
    </row>
    <row r="813" spans="1:31">
      <c r="A813" s="154"/>
      <c r="B813" s="49"/>
      <c r="C813" s="49" t="s">
        <v>160</v>
      </c>
      <c r="D813" s="49"/>
      <c r="E813" s="157">
        <f>+G813-Adjustments!G813</f>
        <v>0</v>
      </c>
      <c r="F813" s="157">
        <f>SUM(F811:F812)</f>
        <v>379985.64000000007</v>
      </c>
      <c r="G813" s="157">
        <f>SUM(G811:G812)</f>
        <v>0</v>
      </c>
      <c r="H813" s="157">
        <f>SUM(H811:H812)</f>
        <v>0</v>
      </c>
      <c r="I813" s="157">
        <f>SUM(I811:I812)</f>
        <v>379985.64000000007</v>
      </c>
      <c r="J813" s="9">
        <f>+I813-'ROR-Model'!I813</f>
        <v>0</v>
      </c>
      <c r="K813" s="9"/>
      <c r="L813" s="157"/>
      <c r="M813" s="157">
        <f>SUM(M811:M812)</f>
        <v>370305.81000000006</v>
      </c>
      <c r="N813" s="157">
        <f>SUM(N811:N812)</f>
        <v>9679.8300000000017</v>
      </c>
      <c r="O813" s="136"/>
      <c r="P813" s="226"/>
      <c r="Q813" s="157">
        <f>SUM(Q811:Q812)</f>
        <v>370305.81000000006</v>
      </c>
      <c r="R813" s="157">
        <f>SUM(R811:R812)</f>
        <v>0</v>
      </c>
      <c r="S813" s="226"/>
      <c r="T813" s="157">
        <f>SUM(T811:T812)</f>
        <v>9679.8300000000017</v>
      </c>
      <c r="U813" s="157">
        <f>SUM(U811:U812)</f>
        <v>0</v>
      </c>
      <c r="V813" s="140"/>
      <c r="W813" s="157">
        <f>HLOOKUP($W$9,'ROR-Model'!$Q$10:$U$1263,Y813)</f>
        <v>370305.81000000006</v>
      </c>
      <c r="X813" s="156"/>
      <c r="Y813" s="918">
        <f t="shared" si="46"/>
        <v>804</v>
      </c>
      <c r="AA813" s="157">
        <v>12534.099999999999</v>
      </c>
      <c r="AC813" s="157">
        <f t="shared" si="47"/>
        <v>357771.71000000008</v>
      </c>
      <c r="AE813" s="44">
        <f t="shared" si="48"/>
        <v>28.543869125026937</v>
      </c>
    </row>
    <row r="814" spans="1:31">
      <c r="A814" s="154"/>
      <c r="B814" s="49"/>
      <c r="C814" s="49"/>
      <c r="D814" s="49"/>
      <c r="E814" s="9">
        <f>+G814-Adjustments!G814</f>
        <v>0</v>
      </c>
      <c r="F814" s="9"/>
      <c r="G814" s="9"/>
      <c r="H814" s="9"/>
      <c r="I814" s="9"/>
      <c r="J814" s="9">
        <f>+I814-'ROR-Model'!I814</f>
        <v>0</v>
      </c>
      <c r="K814" s="9"/>
      <c r="L814" s="9"/>
      <c r="M814" s="9"/>
      <c r="N814" s="9"/>
      <c r="O814" s="136"/>
      <c r="P814" s="142"/>
      <c r="Q814" s="9"/>
      <c r="R814" s="9"/>
      <c r="S814" s="142"/>
      <c r="T814" s="9"/>
      <c r="U814" s="9"/>
      <c r="V814" s="140"/>
      <c r="W814" s="9"/>
      <c r="X814" s="156"/>
      <c r="Y814" s="918">
        <f t="shared" si="46"/>
        <v>805</v>
      </c>
      <c r="AA814" s="9"/>
      <c r="AC814" s="9" t="str">
        <f t="shared" si="47"/>
        <v/>
      </c>
      <c r="AE814" s="44" t="str">
        <f t="shared" si="48"/>
        <v/>
      </c>
    </row>
    <row r="815" spans="1:31">
      <c r="A815" s="154">
        <v>908</v>
      </c>
      <c r="B815" s="49" t="s">
        <v>394</v>
      </c>
      <c r="C815" s="49"/>
      <c r="D815" s="49"/>
      <c r="E815" s="9">
        <f>+G815-Adjustments!G815</f>
        <v>20806992</v>
      </c>
      <c r="F815" s="9"/>
      <c r="G815" s="9"/>
      <c r="H815" s="9"/>
      <c r="I815" s="9"/>
      <c r="J815" s="9">
        <f>+I815-'ROR-Model'!I815</f>
        <v>0</v>
      </c>
      <c r="K815" s="9"/>
      <c r="L815" s="9"/>
      <c r="M815" s="9"/>
      <c r="N815" s="9"/>
      <c r="O815" s="136"/>
      <c r="P815" s="142"/>
      <c r="Q815" s="9"/>
      <c r="R815" s="9"/>
      <c r="S815" s="142"/>
      <c r="T815" s="9"/>
      <c r="U815" s="9"/>
      <c r="V815" s="140"/>
      <c r="W815" s="9"/>
      <c r="X815" s="156"/>
      <c r="Y815" s="918">
        <f t="shared" si="46"/>
        <v>806</v>
      </c>
      <c r="AA815" s="9"/>
      <c r="AC815" s="9" t="str">
        <f t="shared" si="47"/>
        <v/>
      </c>
      <c r="AE815" s="44" t="str">
        <f t="shared" si="48"/>
        <v/>
      </c>
    </row>
    <row r="816" spans="1:31">
      <c r="A816" s="154"/>
      <c r="B816" s="49"/>
      <c r="C816" s="49" t="s">
        <v>13</v>
      </c>
      <c r="D816" s="49"/>
      <c r="E816" s="9">
        <f>+G816-Adjustments!G816</f>
        <v>-20641934.879999999</v>
      </c>
      <c r="F816" s="9">
        <f>EXPENSES!F308</f>
        <v>23269929.850000001</v>
      </c>
      <c r="G816" s="9">
        <f>+Adjustments!U815</f>
        <v>-20806992</v>
      </c>
      <c r="H816" s="9"/>
      <c r="I816" s="9">
        <f>SUM($F$816:$H$816)</f>
        <v>2462937.8500000015</v>
      </c>
      <c r="J816" s="9">
        <f>+I816-'ROR-Model'!I816</f>
        <v>0</v>
      </c>
      <c r="K816" s="9"/>
      <c r="L816" s="9" t="s">
        <v>13</v>
      </c>
      <c r="M816" s="9">
        <f>VLOOKUP($L816,$L$2:$N$7,2,FALSE)*I816</f>
        <v>2462937.8500000015</v>
      </c>
      <c r="N816" s="9">
        <f>VLOOKUP($L816,$L$2:$N$7,3,FALSE)*I816</f>
        <v>0</v>
      </c>
      <c r="O816" s="136"/>
      <c r="P816" s="216" t="s">
        <v>549</v>
      </c>
      <c r="Q816" s="9">
        <f>IF(P816="G",M816,IF(P816="PT",0,ERR))</f>
        <v>2462937.8500000015</v>
      </c>
      <c r="R816" s="9">
        <f>IF(P816="PT",M816,IF(P816="G",0,ERR))</f>
        <v>0</v>
      </c>
      <c r="S816" s="142" t="s">
        <v>549</v>
      </c>
      <c r="T816" s="9">
        <f>IF(S816="G",N816,IF(S816="PT",0,ERR))</f>
        <v>0</v>
      </c>
      <c r="U816" s="9">
        <f>IF(S816="PT",N816,IF(S816="G",0,ERR))</f>
        <v>0</v>
      </c>
      <c r="V816" s="140"/>
      <c r="W816" s="9">
        <f>HLOOKUP($W$9,'ROR-Model'!$Q$10:$U$1263,Y816)</f>
        <v>2462937.8500000015</v>
      </c>
      <c r="X816" s="156"/>
      <c r="Y816" s="918">
        <f t="shared" si="46"/>
        <v>807</v>
      </c>
      <c r="AA816" s="9">
        <v>0</v>
      </c>
      <c r="AC816" s="9" t="str">
        <f t="shared" si="47"/>
        <v/>
      </c>
      <c r="AE816" s="44" t="str">
        <f t="shared" si="48"/>
        <v/>
      </c>
    </row>
    <row r="817" spans="1:31">
      <c r="A817" s="154"/>
      <c r="B817" s="49"/>
      <c r="C817" s="49" t="s">
        <v>24</v>
      </c>
      <c r="D817" s="49"/>
      <c r="E817" s="9">
        <f>+G817-Adjustments!G817</f>
        <v>20806992</v>
      </c>
      <c r="F817" s="9">
        <f>EXPENSES!F309</f>
        <v>237202.52999999997</v>
      </c>
      <c r="G817" s="9">
        <f>+Adjustments!U816</f>
        <v>-165057.12000000002</v>
      </c>
      <c r="H817" s="9"/>
      <c r="I817" s="9">
        <f>SUM($F$817:$H$817)</f>
        <v>72145.409999999945</v>
      </c>
      <c r="J817" s="9">
        <f>+I817-'ROR-Model'!I817</f>
        <v>0</v>
      </c>
      <c r="K817" s="9"/>
      <c r="L817" s="9" t="s">
        <v>24</v>
      </c>
      <c r="M817" s="9">
        <f>VLOOKUP($L817,$L$2:$N$7,2,FALSE)*I817</f>
        <v>0</v>
      </c>
      <c r="N817" s="9">
        <f>VLOOKUP($L817,$L$2:$N$7,3,FALSE)*I817</f>
        <v>72145.409999999945</v>
      </c>
      <c r="O817" s="136"/>
      <c r="P817" s="216" t="s">
        <v>549</v>
      </c>
      <c r="Q817" s="9">
        <f>IF(P817="G",M817,IF(P817="PT",0,ERR))</f>
        <v>0</v>
      </c>
      <c r="R817" s="9">
        <f>IF(P817="PT",M817,IF(P817="G",0,ERR))</f>
        <v>0</v>
      </c>
      <c r="S817" s="142" t="s">
        <v>549</v>
      </c>
      <c r="T817" s="9">
        <f>IF(S817="G",N817,IF(S817="PT",0,ERR))</f>
        <v>72145.409999999945</v>
      </c>
      <c r="U817" s="9">
        <f>IF(S817="PT",N817,IF(S817="G",0,ERR))</f>
        <v>0</v>
      </c>
      <c r="V817" s="140"/>
      <c r="W817" s="9">
        <f>HLOOKUP($W$9,'ROR-Model'!$Q$10:$U$1263,Y817)</f>
        <v>0</v>
      </c>
      <c r="X817" s="156"/>
      <c r="Y817" s="918">
        <f t="shared" si="46"/>
        <v>808</v>
      </c>
      <c r="AA817" s="9">
        <v>127306.97999999995</v>
      </c>
      <c r="AC817" s="9">
        <f t="shared" si="47"/>
        <v>-127306.97999999995</v>
      </c>
      <c r="AE817" s="44">
        <f t="shared" si="48"/>
        <v>-1</v>
      </c>
    </row>
    <row r="818" spans="1:31">
      <c r="A818" s="154"/>
      <c r="B818" s="49"/>
      <c r="C818" s="49" t="s">
        <v>160</v>
      </c>
      <c r="D818" s="49"/>
      <c r="E818" s="157">
        <f>+G818-Adjustments!G818</f>
        <v>-20972049.120000001</v>
      </c>
      <c r="F818" s="157">
        <f>SUM(F816:F817)</f>
        <v>23507132.380000003</v>
      </c>
      <c r="G818" s="157">
        <f>SUM(G816:G817)</f>
        <v>-20972049.120000001</v>
      </c>
      <c r="H818" s="157">
        <f>SUM(H816:H817)</f>
        <v>0</v>
      </c>
      <c r="I818" s="157">
        <f>SUM(I816:I817)</f>
        <v>2535083.2600000016</v>
      </c>
      <c r="J818" s="9">
        <f>+I818-'ROR-Model'!I818</f>
        <v>0</v>
      </c>
      <c r="K818" s="9"/>
      <c r="L818" s="157"/>
      <c r="M818" s="157">
        <f>SUM(M816:M817)</f>
        <v>2462937.8500000015</v>
      </c>
      <c r="N818" s="157">
        <f>SUM(N816:N817)</f>
        <v>72145.409999999945</v>
      </c>
      <c r="O818" s="136"/>
      <c r="P818" s="226"/>
      <c r="Q818" s="157">
        <f>SUM(Q816:Q817)</f>
        <v>2462937.8500000015</v>
      </c>
      <c r="R818" s="157">
        <f>SUM(R816:R817)</f>
        <v>0</v>
      </c>
      <c r="S818" s="226"/>
      <c r="T818" s="157">
        <f>SUM(T816:T817)</f>
        <v>72145.409999999945</v>
      </c>
      <c r="U818" s="157">
        <f>SUM(U816:U817)</f>
        <v>0</v>
      </c>
      <c r="V818" s="140"/>
      <c r="W818" s="157">
        <f>HLOOKUP($W$9,'ROR-Model'!$Q$10:$U$1263,Y818)</f>
        <v>2462937.8500000015</v>
      </c>
      <c r="X818" s="156"/>
      <c r="Y818" s="918">
        <f t="shared" si="46"/>
        <v>809</v>
      </c>
      <c r="AA818" s="157">
        <v>127306.97999999995</v>
      </c>
      <c r="AC818" s="157">
        <f t="shared" si="47"/>
        <v>2335630.8700000015</v>
      </c>
      <c r="AE818" s="44">
        <f t="shared" si="48"/>
        <v>18.346447853841184</v>
      </c>
    </row>
    <row r="819" spans="1:31">
      <c r="A819" s="154"/>
      <c r="B819" s="49"/>
      <c r="C819" s="49"/>
      <c r="D819" s="49"/>
      <c r="E819" s="9">
        <f>+G819-Adjustments!G819</f>
        <v>0</v>
      </c>
      <c r="F819" s="9"/>
      <c r="G819" s="9"/>
      <c r="H819" s="9"/>
      <c r="I819" s="9"/>
      <c r="J819" s="9">
        <f>+I819-'ROR-Model'!I819</f>
        <v>0</v>
      </c>
      <c r="K819" s="9"/>
      <c r="L819" s="9"/>
      <c r="M819" s="9"/>
      <c r="N819" s="9"/>
      <c r="O819" s="136"/>
      <c r="P819" s="142"/>
      <c r="Q819" s="9"/>
      <c r="R819" s="9"/>
      <c r="S819" s="142"/>
      <c r="T819" s="9"/>
      <c r="U819" s="9"/>
      <c r="V819" s="140"/>
      <c r="W819" s="9"/>
      <c r="X819" s="156"/>
      <c r="Y819" s="918">
        <f t="shared" si="46"/>
        <v>810</v>
      </c>
      <c r="AA819" s="9"/>
      <c r="AC819" s="9" t="str">
        <f t="shared" si="47"/>
        <v/>
      </c>
      <c r="AE819" s="44" t="str">
        <f t="shared" si="48"/>
        <v/>
      </c>
    </row>
    <row r="820" spans="1:31">
      <c r="A820" s="154">
        <v>909</v>
      </c>
      <c r="B820" s="49" t="s">
        <v>407</v>
      </c>
      <c r="C820" s="49"/>
      <c r="D820" s="49"/>
      <c r="E820" s="9">
        <f>+G820-Adjustments!G820</f>
        <v>0</v>
      </c>
      <c r="F820" s="9"/>
      <c r="G820" s="9"/>
      <c r="H820" s="9"/>
      <c r="I820" s="9"/>
      <c r="J820" s="9">
        <f>+I820-'ROR-Model'!I820</f>
        <v>0</v>
      </c>
      <c r="K820" s="9"/>
      <c r="L820" s="9"/>
      <c r="M820" s="9"/>
      <c r="N820" s="9"/>
      <c r="O820" s="136"/>
      <c r="P820" s="142"/>
      <c r="Q820" s="9"/>
      <c r="R820" s="9"/>
      <c r="S820" s="142"/>
      <c r="T820" s="9"/>
      <c r="U820" s="9"/>
      <c r="V820" s="140"/>
      <c r="W820" s="9"/>
      <c r="X820" s="156"/>
      <c r="Y820" s="918">
        <f t="shared" si="46"/>
        <v>811</v>
      </c>
      <c r="AA820" s="9"/>
      <c r="AC820" s="9" t="str">
        <f t="shared" si="47"/>
        <v/>
      </c>
      <c r="AE820" s="44" t="str">
        <f t="shared" si="48"/>
        <v/>
      </c>
    </row>
    <row r="821" spans="1:31">
      <c r="A821" s="154"/>
      <c r="B821" s="49"/>
      <c r="C821" s="49" t="s">
        <v>13</v>
      </c>
      <c r="D821" s="49"/>
      <c r="E821" s="9">
        <f>+G821-Adjustments!G821</f>
        <v>-5704.0649908124824</v>
      </c>
      <c r="F821" s="9">
        <f>EXPENSES!F313</f>
        <v>745487.52</v>
      </c>
      <c r="G821" s="9">
        <f>+Adjustments!U820</f>
        <v>-5704.0649908124824</v>
      </c>
      <c r="H821" s="9"/>
      <c r="I821" s="9">
        <f>SUM($F$821:$H$821)</f>
        <v>739783.45500918757</v>
      </c>
      <c r="J821" s="9">
        <f>+I821-'ROR-Model'!I821</f>
        <v>0</v>
      </c>
      <c r="K821" s="9"/>
      <c r="L821" s="9" t="s">
        <v>13</v>
      </c>
      <c r="M821" s="9">
        <f>VLOOKUP($L821,$L$2:$N$7,2,FALSE)*I821</f>
        <v>739783.45500918757</v>
      </c>
      <c r="N821" s="9">
        <f>VLOOKUP($L821,$L$2:$N$7,3,FALSE)*I821</f>
        <v>0</v>
      </c>
      <c r="O821" s="136"/>
      <c r="P821" s="216" t="s">
        <v>549</v>
      </c>
      <c r="Q821" s="9">
        <f>IF(P821="G",M821,IF(P821="PT",0,ERR))</f>
        <v>739783.45500918757</v>
      </c>
      <c r="R821" s="9">
        <f>IF(P821="PT",M821,IF(P821="G",0,ERR))</f>
        <v>0</v>
      </c>
      <c r="S821" s="142" t="s">
        <v>549</v>
      </c>
      <c r="T821" s="9">
        <f>IF(S821="G",N821,IF(S821="PT",0,ERR))</f>
        <v>0</v>
      </c>
      <c r="U821" s="9">
        <f>IF(S821="PT",N821,IF(S821="G",0,ERR))</f>
        <v>0</v>
      </c>
      <c r="V821" s="140"/>
      <c r="W821" s="9">
        <f>HLOOKUP($W$9,'ROR-Model'!$Q$10:$U$1263,Y821)</f>
        <v>739783.45500918757</v>
      </c>
      <c r="X821" s="156"/>
      <c r="Y821" s="918">
        <f t="shared" si="46"/>
        <v>812</v>
      </c>
      <c r="AA821" s="9">
        <v>0</v>
      </c>
      <c r="AC821" s="9" t="str">
        <f t="shared" si="47"/>
        <v/>
      </c>
      <c r="AE821" s="44" t="str">
        <f t="shared" si="48"/>
        <v/>
      </c>
    </row>
    <row r="822" spans="1:31">
      <c r="A822" s="154"/>
      <c r="B822" s="49"/>
      <c r="C822" s="49" t="s">
        <v>24</v>
      </c>
      <c r="D822" s="49"/>
      <c r="E822" s="9">
        <f>+G822-Adjustments!G822</f>
        <v>-192.33250918751688</v>
      </c>
      <c r="F822" s="9">
        <f>EXPENSES!F314</f>
        <v>20519.680000000004</v>
      </c>
      <c r="G822" s="9">
        <f>+Adjustments!U821</f>
        <v>-192.33250918751688</v>
      </c>
      <c r="H822" s="9"/>
      <c r="I822" s="9">
        <f>SUM($F$822:$H$822)</f>
        <v>20327.347490812488</v>
      </c>
      <c r="J822" s="9">
        <f>+I822-'ROR-Model'!I822</f>
        <v>0</v>
      </c>
      <c r="K822" s="9"/>
      <c r="L822" s="9" t="s">
        <v>24</v>
      </c>
      <c r="M822" s="9">
        <f>VLOOKUP($L822,$L$2:$N$7,2,FALSE)*I822</f>
        <v>0</v>
      </c>
      <c r="N822" s="9">
        <f>VLOOKUP($L822,$L$2:$N$7,3,FALSE)*I822</f>
        <v>20327.347490812488</v>
      </c>
      <c r="O822" s="136"/>
      <c r="P822" s="216" t="s">
        <v>549</v>
      </c>
      <c r="Q822" s="9">
        <f>IF(P822="G",M822,IF(P822="PT",0,ERR))</f>
        <v>0</v>
      </c>
      <c r="R822" s="9">
        <f>IF(P822="PT",M822,IF(P822="G",0,ERR))</f>
        <v>0</v>
      </c>
      <c r="S822" s="142" t="s">
        <v>549</v>
      </c>
      <c r="T822" s="9">
        <f>IF(S822="G",N822,IF(S822="PT",0,ERR))</f>
        <v>20327.347490812488</v>
      </c>
      <c r="U822" s="9">
        <f>IF(S822="PT",N822,IF(S822="G",0,ERR))</f>
        <v>0</v>
      </c>
      <c r="V822" s="140"/>
      <c r="W822" s="9">
        <f>HLOOKUP($W$9,'ROR-Model'!$Q$10:$U$1263,Y822)</f>
        <v>0</v>
      </c>
      <c r="X822" s="156"/>
      <c r="Y822" s="918">
        <f t="shared" si="46"/>
        <v>813</v>
      </c>
      <c r="AA822" s="9">
        <v>17553.2</v>
      </c>
      <c r="AC822" s="9">
        <f t="shared" si="47"/>
        <v>-17553.2</v>
      </c>
      <c r="AE822" s="44">
        <f t="shared" si="48"/>
        <v>-1</v>
      </c>
    </row>
    <row r="823" spans="1:31">
      <c r="A823" s="154"/>
      <c r="B823" s="49"/>
      <c r="C823" s="49" t="s">
        <v>160</v>
      </c>
      <c r="D823" s="49"/>
      <c r="E823" s="157">
        <f>+G823-Adjustments!G823</f>
        <v>-5896.3974999999991</v>
      </c>
      <c r="F823" s="157">
        <f>SUM(F821:F822)</f>
        <v>766007.20000000007</v>
      </c>
      <c r="G823" s="157">
        <f>SUM(G821:G822)</f>
        <v>-5896.3974999999991</v>
      </c>
      <c r="H823" s="157">
        <f>SUM(H821:H822)</f>
        <v>0</v>
      </c>
      <c r="I823" s="157">
        <f>SUM(I821:I822)</f>
        <v>760110.80250000011</v>
      </c>
      <c r="J823" s="9">
        <f>+I823-'ROR-Model'!I823</f>
        <v>0</v>
      </c>
      <c r="K823" s="9"/>
      <c r="L823" s="157"/>
      <c r="M823" s="157">
        <f>SUM(M821:M822)</f>
        <v>739783.45500918757</v>
      </c>
      <c r="N823" s="157">
        <f>SUM(N821:N822)</f>
        <v>20327.347490812488</v>
      </c>
      <c r="O823" s="136"/>
      <c r="P823" s="226"/>
      <c r="Q823" s="157">
        <f>SUM(Q821:Q822)</f>
        <v>739783.45500918757</v>
      </c>
      <c r="R823" s="157">
        <f>SUM(R821:R822)</f>
        <v>0</v>
      </c>
      <c r="S823" s="226"/>
      <c r="T823" s="157">
        <f>SUM(T821:T822)</f>
        <v>20327.347490812488</v>
      </c>
      <c r="U823" s="157">
        <f>SUM(U821:U822)</f>
        <v>0</v>
      </c>
      <c r="V823" s="140"/>
      <c r="W823" s="157">
        <f>HLOOKUP($W$9,'ROR-Model'!$Q$10:$U$1263,Y823)</f>
        <v>739783.45500918757</v>
      </c>
      <c r="X823" s="156"/>
      <c r="Y823" s="918">
        <f t="shared" si="46"/>
        <v>814</v>
      </c>
      <c r="AA823" s="157">
        <v>17553.2</v>
      </c>
      <c r="AC823" s="157">
        <f t="shared" si="47"/>
        <v>722230.25500918762</v>
      </c>
      <c r="AE823" s="44">
        <f t="shared" si="48"/>
        <v>41.145218821023377</v>
      </c>
    </row>
    <row r="824" spans="1:31">
      <c r="A824" s="154"/>
      <c r="B824" s="49"/>
      <c r="C824" s="49"/>
      <c r="D824" s="49"/>
      <c r="E824" s="9">
        <f>+G824-Adjustments!G824</f>
        <v>0</v>
      </c>
      <c r="F824" s="9"/>
      <c r="G824" s="9"/>
      <c r="H824" s="9"/>
      <c r="I824" s="9"/>
      <c r="J824" s="9">
        <f>+I824-'ROR-Model'!I824</f>
        <v>0</v>
      </c>
      <c r="K824" s="9"/>
      <c r="L824" s="9"/>
      <c r="M824" s="9"/>
      <c r="N824" s="9"/>
      <c r="O824" s="136"/>
      <c r="P824" s="142"/>
      <c r="Q824" s="9"/>
      <c r="R824" s="9"/>
      <c r="S824" s="142"/>
      <c r="T824" s="9"/>
      <c r="U824" s="9"/>
      <c r="V824" s="140"/>
      <c r="W824" s="9"/>
      <c r="X824" s="156"/>
      <c r="Y824" s="918">
        <f t="shared" si="46"/>
        <v>815</v>
      </c>
      <c r="AA824" s="9"/>
      <c r="AC824" s="9" t="str">
        <f t="shared" si="47"/>
        <v/>
      </c>
      <c r="AE824" s="44" t="str">
        <f t="shared" si="48"/>
        <v/>
      </c>
    </row>
    <row r="825" spans="1:31">
      <c r="A825" s="154">
        <v>910</v>
      </c>
      <c r="B825" s="49" t="s">
        <v>408</v>
      </c>
      <c r="C825" s="49"/>
      <c r="D825" s="49"/>
      <c r="E825" s="9">
        <f>+G825-Adjustments!G825</f>
        <v>0</v>
      </c>
      <c r="F825" s="9"/>
      <c r="G825" s="9"/>
      <c r="H825" s="9"/>
      <c r="I825" s="9"/>
      <c r="J825" s="9">
        <f>+I825-'ROR-Model'!I825</f>
        <v>0</v>
      </c>
      <c r="K825" s="9"/>
      <c r="L825" s="9"/>
      <c r="M825" s="9"/>
      <c r="N825" s="9"/>
      <c r="O825" s="136"/>
      <c r="P825" s="142"/>
      <c r="Q825" s="9"/>
      <c r="R825" s="9"/>
      <c r="S825" s="142"/>
      <c r="T825" s="9"/>
      <c r="U825" s="9"/>
      <c r="V825" s="140"/>
      <c r="W825" s="9"/>
      <c r="X825" s="156"/>
      <c r="Y825" s="918">
        <f t="shared" si="46"/>
        <v>816</v>
      </c>
      <c r="AA825" s="9"/>
      <c r="AC825" s="9" t="str">
        <f t="shared" si="47"/>
        <v/>
      </c>
      <c r="AE825" s="44" t="str">
        <f t="shared" si="48"/>
        <v/>
      </c>
    </row>
    <row r="826" spans="1:31">
      <c r="A826" s="153"/>
      <c r="B826" s="49"/>
      <c r="C826" s="49" t="s">
        <v>13</v>
      </c>
      <c r="D826" s="49"/>
      <c r="E826" s="9">
        <f>+G826-Adjustments!G826</f>
        <v>0</v>
      </c>
      <c r="F826" s="9">
        <f>EXPENSES!F318</f>
        <v>0</v>
      </c>
      <c r="G826" s="9">
        <f>+Adjustments!U825</f>
        <v>0</v>
      </c>
      <c r="H826" s="9"/>
      <c r="I826" s="9">
        <f>SUM($F$826:$H$826)</f>
        <v>0</v>
      </c>
      <c r="J826" s="9">
        <f>+I826-'ROR-Model'!I826</f>
        <v>0</v>
      </c>
      <c r="K826" s="9"/>
      <c r="L826" s="9" t="s">
        <v>13</v>
      </c>
      <c r="M826" s="9">
        <f>VLOOKUP($L826,$L$2:$N$7,2,FALSE)*I826</f>
        <v>0</v>
      </c>
      <c r="N826" s="9">
        <f>VLOOKUP($L826,$L$2:$N$7,3,FALSE)*I826</f>
        <v>0</v>
      </c>
      <c r="O826" s="136"/>
      <c r="P826" s="216" t="s">
        <v>549</v>
      </c>
      <c r="Q826" s="9">
        <f>IF(P826="G",M826,IF(P826="PT",0,ERR))</f>
        <v>0</v>
      </c>
      <c r="R826" s="9">
        <f>IF(P826="PT",M826,IF(P826="G",0,ERR))</f>
        <v>0</v>
      </c>
      <c r="S826" s="142" t="s">
        <v>549</v>
      </c>
      <c r="T826" s="9">
        <f>IF(S826="G",N826,IF(S826="PT",0,ERR))</f>
        <v>0</v>
      </c>
      <c r="U826" s="9">
        <f>IF(S826="PT",N826,IF(S826="G",0,ERR))</f>
        <v>0</v>
      </c>
      <c r="V826" s="140"/>
      <c r="W826" s="9">
        <f>HLOOKUP($W$9,'ROR-Model'!$Q$10:$U$1263,Y826)</f>
        <v>0</v>
      </c>
      <c r="X826" s="156"/>
      <c r="Y826" s="918">
        <f t="shared" si="46"/>
        <v>817</v>
      </c>
      <c r="AA826" s="9">
        <v>0</v>
      </c>
      <c r="AC826" s="9" t="str">
        <f t="shared" si="47"/>
        <v/>
      </c>
      <c r="AE826" s="44" t="str">
        <f t="shared" si="48"/>
        <v/>
      </c>
    </row>
    <row r="827" spans="1:31">
      <c r="A827" s="153"/>
      <c r="B827" s="49"/>
      <c r="C827" s="49" t="s">
        <v>24</v>
      </c>
      <c r="D827" s="49"/>
      <c r="E827" s="9">
        <f>+G827-Adjustments!G827</f>
        <v>0</v>
      </c>
      <c r="F827" s="9">
        <f>EXPENSES!F319</f>
        <v>0</v>
      </c>
      <c r="G827" s="9">
        <f>+Adjustments!U826</f>
        <v>0</v>
      </c>
      <c r="H827" s="9"/>
      <c r="I827" s="9">
        <f>SUM($F$827:$H$827)</f>
        <v>0</v>
      </c>
      <c r="J827" s="9">
        <f>+I827-'ROR-Model'!I827</f>
        <v>0</v>
      </c>
      <c r="K827" s="9"/>
      <c r="L827" s="9" t="s">
        <v>24</v>
      </c>
      <c r="M827" s="9">
        <f>VLOOKUP($L827,$L$2:$N$7,2,FALSE)*I827</f>
        <v>0</v>
      </c>
      <c r="N827" s="9">
        <f>VLOOKUP($L827,$L$2:$N$7,3,FALSE)*I827</f>
        <v>0</v>
      </c>
      <c r="O827" s="136"/>
      <c r="P827" s="216" t="s">
        <v>549</v>
      </c>
      <c r="Q827" s="9">
        <f>IF(P827="G",M827,IF(P827="PT",0,ERR))</f>
        <v>0</v>
      </c>
      <c r="R827" s="9">
        <f>IF(P827="PT",M827,IF(P827="G",0,ERR))</f>
        <v>0</v>
      </c>
      <c r="S827" s="142" t="s">
        <v>549</v>
      </c>
      <c r="T827" s="9">
        <f>IF(S827="G",N827,IF(S827="PT",0,ERR))</f>
        <v>0</v>
      </c>
      <c r="U827" s="9">
        <f>IF(S827="PT",N827,IF(S827="G",0,ERR))</f>
        <v>0</v>
      </c>
      <c r="V827" s="140"/>
      <c r="W827" s="9">
        <f>HLOOKUP($W$9,'ROR-Model'!$Q$10:$U$1263,Y827)</f>
        <v>0</v>
      </c>
      <c r="X827" s="156"/>
      <c r="Y827" s="918">
        <f t="shared" si="46"/>
        <v>818</v>
      </c>
      <c r="AA827" s="9">
        <v>0</v>
      </c>
      <c r="AC827" s="9" t="str">
        <f t="shared" si="47"/>
        <v/>
      </c>
      <c r="AE827" s="44" t="str">
        <f t="shared" si="48"/>
        <v/>
      </c>
    </row>
    <row r="828" spans="1:31">
      <c r="A828" s="153"/>
      <c r="B828" s="49"/>
      <c r="C828" s="49" t="s">
        <v>160</v>
      </c>
      <c r="D828" s="49"/>
      <c r="E828" s="157">
        <f>+G828-Adjustments!G828</f>
        <v>0</v>
      </c>
      <c r="F828" s="157">
        <f>SUM(F826:F827)</f>
        <v>0</v>
      </c>
      <c r="G828" s="157">
        <f>SUM(G826:G827)</f>
        <v>0</v>
      </c>
      <c r="H828" s="157">
        <f>SUM(H826:H827)</f>
        <v>0</v>
      </c>
      <c r="I828" s="157">
        <f>SUM(I826:I827)</f>
        <v>0</v>
      </c>
      <c r="J828" s="9">
        <f>+I828-'ROR-Model'!I828</f>
        <v>0</v>
      </c>
      <c r="K828" s="9"/>
      <c r="L828" s="157"/>
      <c r="M828" s="157">
        <f>SUM(M826:M827)</f>
        <v>0</v>
      </c>
      <c r="N828" s="157">
        <f>SUM(N826:N827)</f>
        <v>0</v>
      </c>
      <c r="O828" s="136"/>
      <c r="P828" s="226"/>
      <c r="Q828" s="157">
        <f>SUM(Q826:Q827)</f>
        <v>0</v>
      </c>
      <c r="R828" s="157">
        <f>SUM(R826:R827)</f>
        <v>0</v>
      </c>
      <c r="S828" s="226"/>
      <c r="T828" s="157">
        <f>SUM(T826:T827)</f>
        <v>0</v>
      </c>
      <c r="U828" s="157">
        <f>SUM(U826:U827)</f>
        <v>0</v>
      </c>
      <c r="V828" s="140"/>
      <c r="W828" s="157">
        <f>HLOOKUP($W$9,'ROR-Model'!$Q$10:$U$1263,Y828)</f>
        <v>0</v>
      </c>
      <c r="X828" s="156"/>
      <c r="Y828" s="918">
        <f t="shared" si="46"/>
        <v>819</v>
      </c>
      <c r="AA828" s="157">
        <v>0</v>
      </c>
      <c r="AC828" s="157" t="str">
        <f t="shared" si="47"/>
        <v/>
      </c>
      <c r="AE828" s="44" t="str">
        <f t="shared" si="48"/>
        <v/>
      </c>
    </row>
    <row r="829" spans="1:31" ht="13.5" thickBot="1">
      <c r="A829" s="153"/>
      <c r="B829" s="49"/>
      <c r="C829" s="49"/>
      <c r="D829" s="49"/>
      <c r="E829" s="26">
        <f>+G829-Adjustments!G829</f>
        <v>0</v>
      </c>
      <c r="F829" s="26"/>
      <c r="G829" s="26"/>
      <c r="H829" s="26"/>
      <c r="I829" s="26"/>
      <c r="J829" s="9">
        <f>+I829-'ROR-Model'!I829</f>
        <v>0</v>
      </c>
      <c r="K829" s="9"/>
      <c r="L829" s="26"/>
      <c r="M829" s="26"/>
      <c r="N829" s="26"/>
      <c r="O829" s="136"/>
      <c r="P829" s="227"/>
      <c r="Q829" s="26"/>
      <c r="R829" s="26"/>
      <c r="S829" s="227"/>
      <c r="T829" s="26"/>
      <c r="U829" s="26"/>
      <c r="V829" s="140"/>
      <c r="W829" s="26"/>
      <c r="X829" s="156"/>
      <c r="Y829" s="918">
        <f t="shared" si="46"/>
        <v>820</v>
      </c>
      <c r="AA829" s="26"/>
      <c r="AC829" s="26" t="str">
        <f t="shared" si="47"/>
        <v/>
      </c>
      <c r="AE829" s="44" t="str">
        <f t="shared" si="48"/>
        <v/>
      </c>
    </row>
    <row r="830" spans="1:31" ht="13.5" thickTop="1">
      <c r="A830" s="130" t="s">
        <v>638</v>
      </c>
      <c r="B830" s="49"/>
      <c r="C830" s="49"/>
      <c r="D830" s="49"/>
      <c r="E830" s="9">
        <f>+G830-Adjustments!G830</f>
        <v>20806992</v>
      </c>
      <c r="F830" s="9"/>
      <c r="G830" s="9"/>
      <c r="H830" s="9"/>
      <c r="I830" s="9"/>
      <c r="J830" s="9">
        <f>+I830-'ROR-Model'!I830</f>
        <v>0</v>
      </c>
      <c r="K830" s="9"/>
      <c r="L830" s="9"/>
      <c r="M830" s="9"/>
      <c r="N830" s="9"/>
      <c r="O830" s="136"/>
      <c r="P830" s="142"/>
      <c r="Q830" s="9"/>
      <c r="R830" s="9"/>
      <c r="S830" s="142"/>
      <c r="T830" s="9"/>
      <c r="U830" s="9"/>
      <c r="V830" s="140"/>
      <c r="W830" s="9"/>
      <c r="X830" s="156"/>
      <c r="Y830" s="918">
        <f t="shared" si="46"/>
        <v>821</v>
      </c>
      <c r="AA830" s="9"/>
      <c r="AC830" s="9" t="str">
        <f t="shared" si="47"/>
        <v/>
      </c>
      <c r="AE830" s="44" t="str">
        <f t="shared" si="48"/>
        <v/>
      </c>
    </row>
    <row r="831" spans="1:31">
      <c r="A831" s="153"/>
      <c r="B831" s="515" t="s">
        <v>639</v>
      </c>
      <c r="C831" s="49"/>
      <c r="D831" s="49"/>
      <c r="E831" s="9">
        <f>+G831-Adjustments!G831</f>
        <v>-20647638.94499081</v>
      </c>
      <c r="F831" s="9">
        <f>F811+F816+F821+F826</f>
        <v>24385723.18</v>
      </c>
      <c r="G831" s="9">
        <f t="shared" ref="G831:G832" si="50">G811+G816+G821+G826</f>
        <v>-20812696.064990811</v>
      </c>
      <c r="H831" s="9">
        <f t="shared" ref="H831:I832" si="51">H811+H816+H821+H826</f>
        <v>0</v>
      </c>
      <c r="I831" s="9">
        <f t="shared" si="51"/>
        <v>3573027.1150091891</v>
      </c>
      <c r="J831" s="9">
        <f>+I831-'ROR-Model'!I831</f>
        <v>0</v>
      </c>
      <c r="K831" s="9"/>
      <c r="L831" s="9"/>
      <c r="M831" s="9">
        <f>M811+M816+M821+M826</f>
        <v>3573027.1150091891</v>
      </c>
      <c r="N831" s="9">
        <f>N811+N816+N821+N826</f>
        <v>0</v>
      </c>
      <c r="O831" s="136"/>
      <c r="P831" s="142"/>
      <c r="Q831" s="9">
        <f>Q811+Q816+Q821+Q826</f>
        <v>3573027.1150091891</v>
      </c>
      <c r="R831" s="9">
        <f>R811+R816+R821+R826</f>
        <v>0</v>
      </c>
      <c r="S831" s="142"/>
      <c r="T831" s="9">
        <f>T811+T816+T821+T826</f>
        <v>0</v>
      </c>
      <c r="U831" s="9">
        <f>U811+U816+U821+U826</f>
        <v>0</v>
      </c>
      <c r="V831" s="140"/>
      <c r="W831" s="9">
        <f>HLOOKUP($W$9,'ROR-Model'!$Q$10:$U$1263,Y831)</f>
        <v>3573027.1150091891</v>
      </c>
      <c r="X831" s="156"/>
      <c r="Y831" s="918">
        <f t="shared" si="46"/>
        <v>822</v>
      </c>
      <c r="AA831" s="9">
        <v>0</v>
      </c>
      <c r="AC831" s="9" t="str">
        <f t="shared" si="47"/>
        <v/>
      </c>
      <c r="AE831" s="44" t="str">
        <f t="shared" si="48"/>
        <v/>
      </c>
    </row>
    <row r="832" spans="1:31">
      <c r="A832" s="153"/>
      <c r="B832" s="515" t="s">
        <v>640</v>
      </c>
      <c r="C832" s="49"/>
      <c r="D832" s="49"/>
      <c r="E832" s="9">
        <f>+G832-Adjustments!G832</f>
        <v>-165249.45250918754</v>
      </c>
      <c r="F832" s="9">
        <f>F812+F817+F822+F827</f>
        <v>267402.03999999998</v>
      </c>
      <c r="G832" s="9">
        <f t="shared" si="50"/>
        <v>-165249.45250918754</v>
      </c>
      <c r="H832" s="9">
        <f t="shared" si="51"/>
        <v>0</v>
      </c>
      <c r="I832" s="9">
        <f t="shared" si="51"/>
        <v>102152.58749081244</v>
      </c>
      <c r="J832" s="9">
        <f>+I832-'ROR-Model'!I832</f>
        <v>0</v>
      </c>
      <c r="K832" s="9"/>
      <c r="L832" s="9"/>
      <c r="M832" s="9">
        <f>M812+M817+M822+M827</f>
        <v>0</v>
      </c>
      <c r="N832" s="9">
        <f>N812+N817+N822+N827</f>
        <v>102152.58749081244</v>
      </c>
      <c r="O832" s="136"/>
      <c r="P832" s="142"/>
      <c r="Q832" s="9">
        <f>Q812+Q817+Q822+Q827</f>
        <v>0</v>
      </c>
      <c r="R832" s="9">
        <f>R812+R817+R822+R827</f>
        <v>0</v>
      </c>
      <c r="S832" s="142"/>
      <c r="T832" s="9">
        <f>T812+T817+T822+T827</f>
        <v>102152.58749081244</v>
      </c>
      <c r="U832" s="9">
        <f>U812+U817+U822+U827</f>
        <v>0</v>
      </c>
      <c r="V832" s="140"/>
      <c r="W832" s="9">
        <f>HLOOKUP($W$9,'ROR-Model'!$Q$10:$U$1263,Y832)</f>
        <v>0</v>
      </c>
      <c r="X832" s="156"/>
      <c r="Y832" s="918">
        <f t="shared" si="46"/>
        <v>823</v>
      </c>
      <c r="AA832" s="9">
        <v>157394.27999999997</v>
      </c>
      <c r="AC832" s="9">
        <f t="shared" si="47"/>
        <v>-157394.27999999997</v>
      </c>
      <c r="AE832" s="44">
        <f t="shared" si="48"/>
        <v>-1</v>
      </c>
    </row>
    <row r="833" spans="1:31" ht="13.5" thickBot="1">
      <c r="A833" s="153"/>
      <c r="B833" s="49"/>
      <c r="C833" s="49"/>
      <c r="D833" s="49"/>
      <c r="E833" s="175">
        <f>+G833-Adjustments!G833</f>
        <v>20972049.120000001</v>
      </c>
      <c r="F833" s="175"/>
      <c r="G833" s="175"/>
      <c r="H833" s="175"/>
      <c r="I833" s="175"/>
      <c r="J833" s="9">
        <f>+I833-'ROR-Model'!I833</f>
        <v>0</v>
      </c>
      <c r="K833" s="9"/>
      <c r="L833" s="175"/>
      <c r="M833" s="175"/>
      <c r="N833" s="175"/>
      <c r="O833" s="136"/>
      <c r="P833" s="229"/>
      <c r="Q833" s="175"/>
      <c r="R833" s="175"/>
      <c r="S833" s="229"/>
      <c r="T833" s="175"/>
      <c r="U833" s="175"/>
      <c r="V833" s="140"/>
      <c r="W833" s="175"/>
      <c r="X833" s="156"/>
      <c r="Y833" s="918">
        <f t="shared" si="46"/>
        <v>824</v>
      </c>
      <c r="AA833" s="175"/>
      <c r="AC833" s="175" t="str">
        <f t="shared" si="47"/>
        <v/>
      </c>
      <c r="AE833" s="44" t="str">
        <f t="shared" si="48"/>
        <v/>
      </c>
    </row>
    <row r="834" spans="1:31">
      <c r="A834" s="153"/>
      <c r="B834" s="158" t="s">
        <v>638</v>
      </c>
      <c r="C834" s="49"/>
      <c r="D834" s="49"/>
      <c r="E834" s="9">
        <f>+G834-Adjustments!G834</f>
        <v>-20977945.517500002</v>
      </c>
      <c r="F834" s="9">
        <f>F813+F818+F823+F828</f>
        <v>24653125.220000003</v>
      </c>
      <c r="G834" s="9">
        <f>G813+G818+G823+G828</f>
        <v>-20977945.517500002</v>
      </c>
      <c r="H834" s="9">
        <f>H813+H818+H823+H828</f>
        <v>0</v>
      </c>
      <c r="I834" s="9">
        <f>I813+I818+I823+I828</f>
        <v>3675179.702500002</v>
      </c>
      <c r="J834" s="9">
        <f>+I834-'ROR-Model'!I834</f>
        <v>0</v>
      </c>
      <c r="K834" s="9"/>
      <c r="L834" s="9"/>
      <c r="M834" s="9">
        <f>M813+M818+M823+M828</f>
        <v>3573027.1150091891</v>
      </c>
      <c r="N834" s="9">
        <f>N813+N818+N823+N828</f>
        <v>102152.58749081244</v>
      </c>
      <c r="O834" s="136"/>
      <c r="P834" s="142"/>
      <c r="Q834" s="9">
        <f>Q813+Q818+Q823+Q828</f>
        <v>3573027.1150091891</v>
      </c>
      <c r="R834" s="9">
        <f>R813+R818+R823+R828</f>
        <v>0</v>
      </c>
      <c r="S834" s="142"/>
      <c r="T834" s="9">
        <f>T813+T818+T823+T828</f>
        <v>102152.58749081244</v>
      </c>
      <c r="U834" s="9">
        <f>U813+U818+U823+U828</f>
        <v>0</v>
      </c>
      <c r="V834" s="140"/>
      <c r="W834" s="9">
        <f>HLOOKUP($W$9,'ROR-Model'!$Q$10:$U$1263,Y834)</f>
        <v>3573027.1150091891</v>
      </c>
      <c r="X834" s="156"/>
      <c r="Y834" s="918">
        <f t="shared" si="46"/>
        <v>825</v>
      </c>
      <c r="AA834" s="9">
        <v>157394.27999999997</v>
      </c>
      <c r="AC834" s="9">
        <f t="shared" si="47"/>
        <v>3415632.8350091893</v>
      </c>
      <c r="AE834" s="44">
        <f t="shared" si="48"/>
        <v>21.701124303940333</v>
      </c>
    </row>
    <row r="835" spans="1:31">
      <c r="A835" s="153"/>
      <c r="B835" s="49"/>
      <c r="C835" s="49"/>
      <c r="D835" s="49"/>
      <c r="E835" s="9">
        <f>+G835-Adjustments!G835</f>
        <v>0</v>
      </c>
      <c r="F835" s="9"/>
      <c r="G835" s="9"/>
      <c r="H835" s="9"/>
      <c r="I835" s="9"/>
      <c r="J835" s="9">
        <f>+I835-'ROR-Model'!I835</f>
        <v>0</v>
      </c>
      <c r="K835" s="9"/>
      <c r="L835" s="9"/>
      <c r="M835" s="9"/>
      <c r="N835" s="9"/>
      <c r="O835" s="136"/>
      <c r="P835" s="142"/>
      <c r="Q835" s="9"/>
      <c r="R835" s="9"/>
      <c r="S835" s="142"/>
      <c r="T835" s="9"/>
      <c r="U835" s="9"/>
      <c r="V835" s="140"/>
      <c r="W835" s="9"/>
      <c r="X835" s="156"/>
      <c r="Y835" s="918">
        <f t="shared" si="46"/>
        <v>826</v>
      </c>
      <c r="AA835" s="9"/>
      <c r="AC835" s="9" t="str">
        <f t="shared" si="47"/>
        <v/>
      </c>
      <c r="AE835" s="44" t="str">
        <f t="shared" si="48"/>
        <v/>
      </c>
    </row>
    <row r="836" spans="1:31">
      <c r="A836" s="189" t="s">
        <v>409</v>
      </c>
      <c r="B836" s="52"/>
      <c r="C836" s="52"/>
      <c r="D836" s="52"/>
      <c r="E836" s="9">
        <f>+G836-Adjustments!G836</f>
        <v>0</v>
      </c>
      <c r="F836" s="9"/>
      <c r="G836" s="9"/>
      <c r="H836" s="9"/>
      <c r="I836" s="9"/>
      <c r="J836" s="9">
        <f>+I836-'ROR-Model'!I836</f>
        <v>0</v>
      </c>
      <c r="K836" s="9"/>
      <c r="L836" s="232"/>
      <c r="M836" s="9"/>
      <c r="N836" s="9"/>
      <c r="O836" s="136"/>
      <c r="P836" s="142"/>
      <c r="Q836" s="9"/>
      <c r="R836" s="9"/>
      <c r="S836" s="142"/>
      <c r="T836" s="9"/>
      <c r="U836" s="9"/>
      <c r="V836" s="140"/>
      <c r="W836" s="9"/>
      <c r="X836" s="156"/>
      <c r="Y836" s="918">
        <f t="shared" si="46"/>
        <v>827</v>
      </c>
      <c r="AA836" s="9"/>
      <c r="AC836" s="9" t="str">
        <f t="shared" si="47"/>
        <v/>
      </c>
      <c r="AE836" s="44" t="str">
        <f t="shared" si="48"/>
        <v/>
      </c>
    </row>
    <row r="837" spans="1:31">
      <c r="A837" s="190"/>
      <c r="B837" s="52"/>
      <c r="C837" s="52"/>
      <c r="D837" s="52"/>
      <c r="E837" s="9">
        <f>+G837-Adjustments!G837</f>
        <v>0</v>
      </c>
      <c r="F837" s="9"/>
      <c r="G837" s="9"/>
      <c r="H837" s="9"/>
      <c r="I837" s="9"/>
      <c r="J837" s="9">
        <f>+I837-'ROR-Model'!I837</f>
        <v>0</v>
      </c>
      <c r="K837" s="9"/>
      <c r="L837" s="9"/>
      <c r="M837" s="9"/>
      <c r="N837" s="9"/>
      <c r="O837" s="136"/>
      <c r="P837" s="142"/>
      <c r="Q837" s="9"/>
      <c r="R837" s="9"/>
      <c r="S837" s="142"/>
      <c r="T837" s="9"/>
      <c r="U837" s="9"/>
      <c r="V837" s="140"/>
      <c r="W837" s="9"/>
      <c r="X837" s="156"/>
      <c r="Y837" s="918">
        <f t="shared" si="46"/>
        <v>828</v>
      </c>
      <c r="AA837" s="9"/>
      <c r="AC837" s="9" t="str">
        <f t="shared" si="47"/>
        <v/>
      </c>
      <c r="AE837" s="44" t="str">
        <f t="shared" si="48"/>
        <v/>
      </c>
    </row>
    <row r="838" spans="1:31">
      <c r="A838" s="195">
        <v>920</v>
      </c>
      <c r="B838" s="52" t="s">
        <v>410</v>
      </c>
      <c r="C838" s="52"/>
      <c r="D838" s="52"/>
      <c r="E838" s="9">
        <f>+G838-Adjustments!G838</f>
        <v>0</v>
      </c>
      <c r="F838" s="9"/>
      <c r="G838" s="9"/>
      <c r="H838" s="9"/>
      <c r="I838" s="9"/>
      <c r="J838" s="9">
        <f>+I838-'ROR-Model'!I838</f>
        <v>0</v>
      </c>
      <c r="K838" s="9"/>
      <c r="L838" s="9"/>
      <c r="M838" s="9"/>
      <c r="N838" s="9"/>
      <c r="O838" s="136"/>
      <c r="P838" s="142"/>
      <c r="Q838" s="9"/>
      <c r="R838" s="9"/>
      <c r="S838" s="142"/>
      <c r="T838" s="9"/>
      <c r="U838" s="9"/>
      <c r="V838" s="140"/>
      <c r="W838" s="9"/>
      <c r="X838" s="156"/>
      <c r="Y838" s="918">
        <f t="shared" si="46"/>
        <v>829</v>
      </c>
      <c r="AA838" s="9"/>
      <c r="AC838" s="9" t="str">
        <f t="shared" si="47"/>
        <v/>
      </c>
      <c r="AE838" s="44" t="str">
        <f t="shared" si="48"/>
        <v/>
      </c>
    </row>
    <row r="839" spans="1:31">
      <c r="A839" s="190"/>
      <c r="C839" s="52" t="s">
        <v>13</v>
      </c>
      <c r="D839" s="52"/>
      <c r="E839" s="9">
        <f>+G839-Adjustments!G839</f>
        <v>1533438.7720554092</v>
      </c>
      <c r="F839" s="9">
        <f>EXPENSES!F331</f>
        <v>4406724.58</v>
      </c>
      <c r="G839" s="9">
        <f>Adjustments!U838</f>
        <v>1533438.7720554092</v>
      </c>
      <c r="H839" s="9"/>
      <c r="I839" s="9">
        <f>SUM(F839:H839)</f>
        <v>5940163.352055409</v>
      </c>
      <c r="J839" s="9">
        <f>+I839-'ROR-Model'!I839</f>
        <v>0</v>
      </c>
      <c r="K839" s="9"/>
      <c r="L839" s="9" t="s">
        <v>13</v>
      </c>
      <c r="M839" s="9">
        <f>VLOOKUP($L839,$L$2:$N$7,2,FALSE)*I839</f>
        <v>5940163.352055409</v>
      </c>
      <c r="N839" s="9">
        <f>VLOOKUP($L839,$L$2:$N$7,3,FALSE)*I839</f>
        <v>0</v>
      </c>
      <c r="O839" s="136"/>
      <c r="P839" s="216" t="s">
        <v>549</v>
      </c>
      <c r="Q839" s="9">
        <f>IF(P839="G",M839,IF(P839="PT",0,ERR))</f>
        <v>5940163.352055409</v>
      </c>
      <c r="R839" s="9">
        <f>IF(P839="PT",M839,IF(P839="G",0,ERR))</f>
        <v>0</v>
      </c>
      <c r="S839" s="142" t="s">
        <v>549</v>
      </c>
      <c r="T839" s="9">
        <f>IF(S839="G",N839,IF(S839="PT",0,ERR))</f>
        <v>0</v>
      </c>
      <c r="U839" s="9">
        <f>IF(S839="PT",N839,IF(S839="G",0,ERR))</f>
        <v>0</v>
      </c>
      <c r="V839" s="140"/>
      <c r="W839" s="9">
        <f>HLOOKUP($W$9,'ROR-Model'!$Q$10:$U$1263,Y839)</f>
        <v>5940163.352055409</v>
      </c>
      <c r="X839" s="156"/>
      <c r="Y839" s="918">
        <f t="shared" si="46"/>
        <v>830</v>
      </c>
      <c r="AA839" s="9">
        <v>0</v>
      </c>
      <c r="AC839" s="9" t="str">
        <f t="shared" si="47"/>
        <v/>
      </c>
      <c r="AE839" s="44" t="str">
        <f t="shared" si="48"/>
        <v/>
      </c>
    </row>
    <row r="840" spans="1:31">
      <c r="A840" s="190"/>
      <c r="C840" s="52" t="s">
        <v>24</v>
      </c>
      <c r="D840" s="52"/>
      <c r="E840" s="9">
        <f>+G840-Adjustments!G840</f>
        <v>50354.741055498111</v>
      </c>
      <c r="F840" s="9">
        <f>EXPENSES!F332</f>
        <v>116002.97</v>
      </c>
      <c r="G840" s="9">
        <f>Adjustments!U839</f>
        <v>50354.741055498111</v>
      </c>
      <c r="H840" s="9"/>
      <c r="I840" s="9">
        <f>SUM(F840:H840)</f>
        <v>166357.7110554981</v>
      </c>
      <c r="J840" s="9">
        <f>+I840-'ROR-Model'!I840</f>
        <v>0</v>
      </c>
      <c r="K840" s="9"/>
      <c r="L840" s="9" t="s">
        <v>24</v>
      </c>
      <c r="M840" s="9">
        <f>VLOOKUP($L840,$L$2:$N$7,2,FALSE)*I840</f>
        <v>0</v>
      </c>
      <c r="N840" s="9">
        <f>VLOOKUP($L840,$L$2:$N$7,3,FALSE)*I840</f>
        <v>166357.7110554981</v>
      </c>
      <c r="O840" s="136"/>
      <c r="P840" s="216" t="s">
        <v>549</v>
      </c>
      <c r="Q840" s="9">
        <f>IF(P840="G",M840,IF(P840="PT",0,ERR))</f>
        <v>0</v>
      </c>
      <c r="R840" s="9">
        <f>IF(P840="PT",M840,IF(P840="G",0,ERR))</f>
        <v>0</v>
      </c>
      <c r="S840" s="142" t="s">
        <v>549</v>
      </c>
      <c r="T840" s="9">
        <f>IF(S840="G",N840,IF(S840="PT",0,ERR))</f>
        <v>166357.7110554981</v>
      </c>
      <c r="U840" s="9">
        <f>IF(S840="PT",N840,IF(S840="G",0,ERR))</f>
        <v>0</v>
      </c>
      <c r="V840" s="140"/>
      <c r="W840" s="9">
        <f>HLOOKUP($W$9,'ROR-Model'!$Q$10:$U$1263,Y840)</f>
        <v>0</v>
      </c>
      <c r="X840" s="156"/>
      <c r="Y840" s="918">
        <f t="shared" si="46"/>
        <v>831</v>
      </c>
      <c r="AA840" s="9">
        <v>603999.18118110555</v>
      </c>
      <c r="AC840" s="9">
        <f t="shared" si="47"/>
        <v>-603999.18118110555</v>
      </c>
      <c r="AE840" s="44">
        <f t="shared" si="48"/>
        <v>-1</v>
      </c>
    </row>
    <row r="841" spans="1:31">
      <c r="A841" s="195"/>
      <c r="C841" s="52" t="s">
        <v>160</v>
      </c>
      <c r="D841" s="52"/>
      <c r="E841" s="157">
        <f>+G841-Adjustments!G841</f>
        <v>1583793.5131109075</v>
      </c>
      <c r="F841" s="157">
        <f>SUM(F839:F840)</f>
        <v>4522727.55</v>
      </c>
      <c r="G841" s="157">
        <f>Adjustments!U840</f>
        <v>1583793.5131109075</v>
      </c>
      <c r="H841" s="157"/>
      <c r="I841" s="157">
        <f>SUM(I839:I840)</f>
        <v>6106521.0631109066</v>
      </c>
      <c r="J841" s="9">
        <f>+I841-'ROR-Model'!I841</f>
        <v>0</v>
      </c>
      <c r="K841" s="9"/>
      <c r="L841" s="157"/>
      <c r="M841" s="157">
        <f>SUM(M839:M840)</f>
        <v>5940163.352055409</v>
      </c>
      <c r="N841" s="157">
        <f>SUM(N839:N840)</f>
        <v>166357.7110554981</v>
      </c>
      <c r="O841" s="136"/>
      <c r="P841" s="226"/>
      <c r="Q841" s="157">
        <f>SUM(Q839:Q840)</f>
        <v>5940163.352055409</v>
      </c>
      <c r="R841" s="157">
        <f>SUM(R839:R840)</f>
        <v>0</v>
      </c>
      <c r="S841" s="226"/>
      <c r="T841" s="157">
        <f>SUM(T839:T840)</f>
        <v>166357.7110554981</v>
      </c>
      <c r="U841" s="157">
        <f>SUM(U839:U840)</f>
        <v>0</v>
      </c>
      <c r="V841" s="140"/>
      <c r="W841" s="157">
        <f>HLOOKUP($W$9,'ROR-Model'!$Q$10:$U$1263,Y841)</f>
        <v>5940163.352055409</v>
      </c>
      <c r="X841" s="156"/>
      <c r="Y841" s="918">
        <f t="shared" si="46"/>
        <v>832</v>
      </c>
      <c r="AA841" s="157">
        <v>603999.18118110555</v>
      </c>
      <c r="AC841" s="157">
        <f t="shared" si="47"/>
        <v>5336164.1708743032</v>
      </c>
      <c r="AE841" s="44">
        <f t="shared" si="48"/>
        <v>8.8347208690574135</v>
      </c>
    </row>
    <row r="842" spans="1:31">
      <c r="A842" s="195"/>
      <c r="B842" s="52"/>
      <c r="C842" s="52"/>
      <c r="D842" s="52"/>
      <c r="E842" s="9">
        <f>+G842-Adjustments!G842</f>
        <v>0</v>
      </c>
      <c r="F842" s="9"/>
      <c r="G842" s="9"/>
      <c r="H842" s="9"/>
      <c r="I842" s="9"/>
      <c r="J842" s="9">
        <f>+I842-'ROR-Model'!I842</f>
        <v>0</v>
      </c>
      <c r="K842" s="156"/>
      <c r="L842" s="9"/>
      <c r="M842" s="9"/>
      <c r="N842" s="156"/>
      <c r="O842" s="136"/>
      <c r="P842" s="216"/>
      <c r="Q842" s="9"/>
      <c r="R842" s="9"/>
      <c r="S842" s="142"/>
      <c r="T842" s="9"/>
      <c r="U842" s="9"/>
      <c r="V842" s="140"/>
      <c r="W842" s="9"/>
      <c r="X842" s="156"/>
      <c r="Y842" s="918">
        <f t="shared" si="46"/>
        <v>833</v>
      </c>
      <c r="AA842" s="9"/>
      <c r="AC842" s="9" t="str">
        <f t="shared" si="47"/>
        <v/>
      </c>
      <c r="AE842" s="44" t="str">
        <f t="shared" si="48"/>
        <v/>
      </c>
    </row>
    <row r="843" spans="1:31">
      <c r="A843" s="195">
        <v>921</v>
      </c>
      <c r="B843" s="52" t="s">
        <v>411</v>
      </c>
      <c r="C843" s="52"/>
      <c r="D843" s="52"/>
      <c r="E843" s="9">
        <f>+G843-Adjustments!G843</f>
        <v>0</v>
      </c>
      <c r="F843" s="9"/>
      <c r="G843" s="9"/>
      <c r="H843" s="9"/>
      <c r="I843" s="9"/>
      <c r="J843" s="9">
        <f>+I843-'ROR-Model'!I843</f>
        <v>0</v>
      </c>
      <c r="K843" s="9"/>
      <c r="L843" s="9"/>
      <c r="M843" s="9"/>
      <c r="N843" s="9"/>
      <c r="O843" s="136"/>
      <c r="P843" s="142"/>
      <c r="Q843" s="9"/>
      <c r="R843" s="9"/>
      <c r="S843" s="142"/>
      <c r="T843" s="9"/>
      <c r="U843" s="9"/>
      <c r="V843" s="140"/>
      <c r="W843" s="9"/>
      <c r="X843" s="156"/>
      <c r="Y843" s="918">
        <f t="shared" si="46"/>
        <v>834</v>
      </c>
      <c r="AA843" s="9"/>
      <c r="AC843" s="9" t="str">
        <f t="shared" si="47"/>
        <v/>
      </c>
      <c r="AE843" s="44" t="str">
        <f t="shared" si="48"/>
        <v/>
      </c>
    </row>
    <row r="844" spans="1:31">
      <c r="A844" s="195"/>
      <c r="C844" s="52" t="s">
        <v>13</v>
      </c>
      <c r="D844" s="52"/>
      <c r="E844" s="9">
        <f ca="1">+G844-Adjustments!G844</f>
        <v>18888968.033494283</v>
      </c>
      <c r="F844" s="9">
        <f>EXPENSES!F335</f>
        <v>32693295.829999998</v>
      </c>
      <c r="G844" s="9">
        <f ca="1">Adjustments!U842</f>
        <v>18888968.033494283</v>
      </c>
      <c r="H844" s="9"/>
      <c r="I844" s="9">
        <f ca="1">SUM(F844:H844)</f>
        <v>51582263.863494277</v>
      </c>
      <c r="J844" s="9">
        <f ca="1">+I844-'ROR-Model'!I844</f>
        <v>0</v>
      </c>
      <c r="K844" s="9"/>
      <c r="L844" s="9" t="s">
        <v>13</v>
      </c>
      <c r="M844" s="9">
        <f ca="1">VLOOKUP($L844,$L$2:$N$7,2,FALSE)*I844</f>
        <v>51582263.863494277</v>
      </c>
      <c r="N844" s="9">
        <f ca="1">VLOOKUP($L844,$L$2:$N$7,3,FALSE)*I844</f>
        <v>0</v>
      </c>
      <c r="O844" s="136"/>
      <c r="P844" s="216" t="s">
        <v>549</v>
      </c>
      <c r="Q844" s="9">
        <f ca="1">IF(P844="G",M844,IF(P844="PT",0,ERR))</f>
        <v>51582263.863494277</v>
      </c>
      <c r="R844" s="9">
        <f>IF(P844="PT",M844,IF(P844="G",0,ERR))</f>
        <v>0</v>
      </c>
      <c r="S844" s="142" t="s">
        <v>549</v>
      </c>
      <c r="T844" s="9">
        <f ca="1">IF(S844="G",N844,IF(S844="PT",0,ERR))</f>
        <v>0</v>
      </c>
      <c r="U844" s="9">
        <f>IF(S844="PT",N844,IF(S844="G",0,ERR))</f>
        <v>0</v>
      </c>
      <c r="V844" s="140"/>
      <c r="W844" s="9">
        <f ca="1">HLOOKUP($W$9,'ROR-Model'!$Q$10:$U$1263,Y844)</f>
        <v>51582263.863494277</v>
      </c>
      <c r="X844" s="156"/>
      <c r="Y844" s="918">
        <f t="shared" si="46"/>
        <v>835</v>
      </c>
      <c r="AA844" s="9">
        <v>0</v>
      </c>
      <c r="AC844" s="9" t="str">
        <f t="shared" si="47"/>
        <v/>
      </c>
      <c r="AE844" s="44" t="str">
        <f t="shared" si="48"/>
        <v/>
      </c>
    </row>
    <row r="845" spans="1:31">
      <c r="A845" s="195"/>
      <c r="C845" s="52" t="s">
        <v>24</v>
      </c>
      <c r="D845" s="52"/>
      <c r="E845" s="9">
        <f ca="1">+G845-Adjustments!G845</f>
        <v>626937.87802371464</v>
      </c>
      <c r="F845" s="9">
        <f>EXPENSES!F336</f>
        <v>1489434.61</v>
      </c>
      <c r="G845" s="9">
        <f ca="1">Adjustments!U843</f>
        <v>626937.87802371464</v>
      </c>
      <c r="H845" s="9"/>
      <c r="I845" s="9">
        <f ca="1">SUM(F845:H845)</f>
        <v>2116372.4880237146</v>
      </c>
      <c r="J845" s="9">
        <f ca="1">+I845-'ROR-Model'!I845</f>
        <v>0</v>
      </c>
      <c r="K845" s="9"/>
      <c r="L845" s="9" t="s">
        <v>24</v>
      </c>
      <c r="M845" s="9">
        <f ca="1">VLOOKUP($L845,$L$2:$N$7,2,FALSE)*I845</f>
        <v>0</v>
      </c>
      <c r="N845" s="9">
        <f ca="1">VLOOKUP($L845,$L$2:$N$7,3,FALSE)*I845</f>
        <v>2116372.4880237146</v>
      </c>
      <c r="O845" s="136"/>
      <c r="P845" s="216" t="s">
        <v>549</v>
      </c>
      <c r="Q845" s="9">
        <f ca="1">IF(P845="G",M845,IF(P845="PT",0,ERR))</f>
        <v>0</v>
      </c>
      <c r="R845" s="9">
        <f>IF(P845="PT",M845,IF(P845="G",0,ERR))</f>
        <v>0</v>
      </c>
      <c r="S845" s="142" t="s">
        <v>549</v>
      </c>
      <c r="T845" s="9">
        <f ca="1">IF(S845="G",N845,IF(S845="PT",0,ERR))</f>
        <v>2116372.4880237146</v>
      </c>
      <c r="U845" s="9">
        <f>IF(S845="PT",N845,IF(S845="G",0,ERR))</f>
        <v>0</v>
      </c>
      <c r="V845" s="140"/>
      <c r="W845" s="9">
        <f ca="1">HLOOKUP($W$9,'ROR-Model'!$Q$10:$U$1263,Y845)</f>
        <v>0</v>
      </c>
      <c r="X845" s="156"/>
      <c r="Y845" s="918">
        <f t="shared" si="46"/>
        <v>836</v>
      </c>
      <c r="AA845" s="9">
        <v>1518305.2900000003</v>
      </c>
      <c r="AC845" s="9">
        <f t="shared" ca="1" si="47"/>
        <v>-1518305.2900000003</v>
      </c>
      <c r="AE845" s="44">
        <f t="shared" ca="1" si="48"/>
        <v>-1</v>
      </c>
    </row>
    <row r="846" spans="1:31">
      <c r="A846" s="195"/>
      <c r="C846" s="52" t="s">
        <v>160</v>
      </c>
      <c r="D846" s="52"/>
      <c r="E846" s="157">
        <f ca="1">+G846-Adjustments!G846</f>
        <v>19515905.911517996</v>
      </c>
      <c r="F846" s="157">
        <f>SUM(F844:F845)</f>
        <v>34182730.439999998</v>
      </c>
      <c r="G846" s="157">
        <f ca="1">SUM(G844:G845)</f>
        <v>19515905.911517996</v>
      </c>
      <c r="H846" s="157"/>
      <c r="I846" s="157">
        <f ca="1">SUM(I844:I845)</f>
        <v>53698636.35151799</v>
      </c>
      <c r="J846" s="9">
        <f ca="1">+I846-'ROR-Model'!I846</f>
        <v>0</v>
      </c>
      <c r="K846" s="9"/>
      <c r="L846" s="157"/>
      <c r="M846" s="157">
        <f ca="1">SUM(M844:M845)</f>
        <v>51582263.863494277</v>
      </c>
      <c r="N846" s="157">
        <f ca="1">SUM(N844:N845)</f>
        <v>2116372.4880237146</v>
      </c>
      <c r="O846" s="136"/>
      <c r="P846" s="226"/>
      <c r="Q846" s="157">
        <f ca="1">SUM(Q844:Q845)</f>
        <v>51582263.863494277</v>
      </c>
      <c r="R846" s="157">
        <f>SUM(R844:R845)</f>
        <v>0</v>
      </c>
      <c r="S846" s="226"/>
      <c r="T846" s="157">
        <f ca="1">SUM(T844:T845)</f>
        <v>2116372.4880237146</v>
      </c>
      <c r="U846" s="157">
        <f>SUM(U844:U845)</f>
        <v>0</v>
      </c>
      <c r="V846" s="140"/>
      <c r="W846" s="157">
        <f ca="1">HLOOKUP($W$9,'ROR-Model'!$Q$10:$U$1263,Y846)</f>
        <v>51582263.863494277</v>
      </c>
      <c r="X846" s="156"/>
      <c r="Y846" s="918">
        <f t="shared" ref="Y846:Y909" si="52">Y845+1</f>
        <v>837</v>
      </c>
      <c r="AA846" s="157">
        <v>1518305.2900000003</v>
      </c>
      <c r="AC846" s="157">
        <f t="shared" ca="1" si="47"/>
        <v>50063958.573494278</v>
      </c>
      <c r="AE846" s="44">
        <f t="shared" ca="1" si="48"/>
        <v>32.97357843855913</v>
      </c>
    </row>
    <row r="847" spans="1:31">
      <c r="A847" s="195"/>
      <c r="B847" s="52"/>
      <c r="C847" s="52"/>
      <c r="D847" s="52"/>
      <c r="E847" s="9">
        <f>+G847-Adjustments!G847</f>
        <v>0</v>
      </c>
      <c r="F847" s="9"/>
      <c r="G847" s="9"/>
      <c r="H847" s="9"/>
      <c r="I847" s="9"/>
      <c r="J847" s="9">
        <f>+I847-'ROR-Model'!I847</f>
        <v>0</v>
      </c>
      <c r="K847" s="156"/>
      <c r="L847" s="9"/>
      <c r="M847" s="9"/>
      <c r="N847" s="156"/>
      <c r="O847" s="136"/>
      <c r="P847" s="216"/>
      <c r="Q847" s="9"/>
      <c r="R847" s="9"/>
      <c r="S847" s="142"/>
      <c r="T847" s="9"/>
      <c r="U847" s="9"/>
      <c r="V847" s="140"/>
      <c r="W847" s="9"/>
      <c r="X847" s="156"/>
      <c r="Y847" s="918">
        <f t="shared" si="52"/>
        <v>838</v>
      </c>
      <c r="AA847" s="9"/>
      <c r="AC847" s="9" t="str">
        <f t="shared" si="47"/>
        <v/>
      </c>
      <c r="AE847" s="44" t="str">
        <f t="shared" si="48"/>
        <v/>
      </c>
    </row>
    <row r="848" spans="1:31">
      <c r="A848" s="195">
        <v>922</v>
      </c>
      <c r="B848" s="52" t="s">
        <v>412</v>
      </c>
      <c r="C848" s="52"/>
      <c r="D848" s="52"/>
      <c r="E848" s="9">
        <f>+G848-Adjustments!G848</f>
        <v>0</v>
      </c>
      <c r="F848" s="9"/>
      <c r="G848" s="9"/>
      <c r="H848" s="9"/>
      <c r="I848" s="9"/>
      <c r="J848" s="9">
        <f>+I848-'ROR-Model'!I848</f>
        <v>0</v>
      </c>
      <c r="K848" s="9"/>
      <c r="L848" s="9"/>
      <c r="M848" s="9"/>
      <c r="N848" s="9"/>
      <c r="O848" s="136"/>
      <c r="P848" s="142"/>
      <c r="Q848" s="9"/>
      <c r="R848" s="9"/>
      <c r="S848" s="142"/>
      <c r="T848" s="9"/>
      <c r="U848" s="9"/>
      <c r="V848" s="140"/>
      <c r="W848" s="9"/>
      <c r="X848" s="156"/>
      <c r="Y848" s="918">
        <f t="shared" si="52"/>
        <v>839</v>
      </c>
      <c r="AA848" s="9"/>
      <c r="AC848" s="9" t="str">
        <f t="shared" si="47"/>
        <v/>
      </c>
      <c r="AE848" s="44" t="str">
        <f t="shared" si="48"/>
        <v/>
      </c>
    </row>
    <row r="849" spans="1:31">
      <c r="A849" s="195"/>
      <c r="C849" s="52" t="s">
        <v>13</v>
      </c>
      <c r="D849" s="52"/>
      <c r="E849" s="9">
        <f>+G849-Adjustments!G849</f>
        <v>0</v>
      </c>
      <c r="F849" s="9">
        <f>EXPENSES!F339</f>
        <v>-3802906.8900000006</v>
      </c>
      <c r="G849" s="9">
        <f>Adjustments!U846</f>
        <v>0</v>
      </c>
      <c r="H849" s="9"/>
      <c r="I849" s="9">
        <f>SUM(F849:H849)</f>
        <v>-3802906.8900000006</v>
      </c>
      <c r="J849" s="9">
        <f>+I849-'ROR-Model'!I849</f>
        <v>0</v>
      </c>
      <c r="K849" s="9"/>
      <c r="L849" s="9" t="s">
        <v>13</v>
      </c>
      <c r="M849" s="9">
        <f>VLOOKUP($L849,$L$2:$N$7,2,FALSE)*I849</f>
        <v>-3802906.8900000006</v>
      </c>
      <c r="N849" s="9">
        <f>VLOOKUP($L849,$L$2:$N$7,3,FALSE)*I849</f>
        <v>0</v>
      </c>
      <c r="O849" s="136"/>
      <c r="P849" s="216" t="s">
        <v>549</v>
      </c>
      <c r="Q849" s="9">
        <f>IF(P849="G",M849,IF(P849="PT",0,ERR))</f>
        <v>-3802906.8900000006</v>
      </c>
      <c r="R849" s="9">
        <f>IF(P849="PT",M849,IF(P849="G",0,ERR))</f>
        <v>0</v>
      </c>
      <c r="S849" s="142" t="s">
        <v>549</v>
      </c>
      <c r="T849" s="9">
        <f>IF(S849="G",N849,IF(S849="PT",0,ERR))</f>
        <v>0</v>
      </c>
      <c r="U849" s="9">
        <f>IF(S849="PT",N849,IF(S849="G",0,ERR))</f>
        <v>0</v>
      </c>
      <c r="V849" s="140"/>
      <c r="W849" s="9">
        <f>HLOOKUP($W$9,'ROR-Model'!$Q$10:$U$1263,Y849)</f>
        <v>-3802906.8900000006</v>
      </c>
      <c r="X849" s="156"/>
      <c r="Y849" s="918">
        <f t="shared" si="52"/>
        <v>840</v>
      </c>
      <c r="AA849" s="9">
        <v>0</v>
      </c>
      <c r="AC849" s="9" t="str">
        <f t="shared" ref="AC849:AC912" si="53">IF(ABS(AA849)&gt;0,W849-AA849,"")</f>
        <v/>
      </c>
      <c r="AE849" s="44" t="str">
        <f t="shared" si="48"/>
        <v/>
      </c>
    </row>
    <row r="850" spans="1:31">
      <c r="A850" s="195"/>
      <c r="C850" s="52" t="s">
        <v>24</v>
      </c>
      <c r="D850" s="52"/>
      <c r="E850" s="9">
        <f>+G850-Adjustments!G850</f>
        <v>0</v>
      </c>
      <c r="F850" s="9">
        <f>EXPENSES!F340</f>
        <v>-125232.56</v>
      </c>
      <c r="G850" s="9">
        <f>Adjustments!U847</f>
        <v>0</v>
      </c>
      <c r="H850" s="9"/>
      <c r="I850" s="9">
        <f>SUM(F850:H850)</f>
        <v>-125232.56</v>
      </c>
      <c r="J850" s="9">
        <f>+I850-'ROR-Model'!I850</f>
        <v>0</v>
      </c>
      <c r="K850" s="9"/>
      <c r="L850" s="9" t="s">
        <v>24</v>
      </c>
      <c r="M850" s="9">
        <f>VLOOKUP($L850,$L$2:$N$7,2,FALSE)*I850</f>
        <v>0</v>
      </c>
      <c r="N850" s="9">
        <f>VLOOKUP($L850,$L$2:$N$7,3,FALSE)*I850</f>
        <v>-125232.56</v>
      </c>
      <c r="O850" s="136"/>
      <c r="P850" s="216" t="s">
        <v>549</v>
      </c>
      <c r="Q850" s="9">
        <f>IF(P850="G",M850,IF(P850="PT",0,ERR))</f>
        <v>0</v>
      </c>
      <c r="R850" s="9">
        <f>IF(P850="PT",M850,IF(P850="G",0,ERR))</f>
        <v>0</v>
      </c>
      <c r="S850" s="142" t="s">
        <v>549</v>
      </c>
      <c r="T850" s="9">
        <f>IF(S850="G",N850,IF(S850="PT",0,ERR))</f>
        <v>-125232.56</v>
      </c>
      <c r="U850" s="9">
        <f>IF(S850="PT",N850,IF(S850="G",0,ERR))</f>
        <v>0</v>
      </c>
      <c r="V850" s="140"/>
      <c r="W850" s="9">
        <f>HLOOKUP($W$9,'ROR-Model'!$Q$10:$U$1263,Y850)</f>
        <v>0</v>
      </c>
      <c r="X850" s="156"/>
      <c r="Y850" s="918">
        <f t="shared" si="52"/>
        <v>841</v>
      </c>
      <c r="AA850" s="9">
        <v>-111884.98000000001</v>
      </c>
      <c r="AC850" s="9">
        <f t="shared" si="53"/>
        <v>111884.98000000001</v>
      </c>
      <c r="AE850" s="44">
        <f t="shared" ref="AE850:AE913" si="54">IF(ABS(AA850)&gt;0,AC850/AA850,"")</f>
        <v>-1</v>
      </c>
    </row>
    <row r="851" spans="1:31">
      <c r="A851" s="195"/>
      <c r="C851" s="52" t="s">
        <v>160</v>
      </c>
      <c r="D851" s="52"/>
      <c r="E851" s="157">
        <f>+G851-Adjustments!G851</f>
        <v>0</v>
      </c>
      <c r="F851" s="157">
        <f>SUM(F849:F850)</f>
        <v>-3928139.4500000007</v>
      </c>
      <c r="G851" s="157">
        <f>Adjustments!U848</f>
        <v>0</v>
      </c>
      <c r="H851" s="157"/>
      <c r="I851" s="157">
        <f>SUM(I849:I850)</f>
        <v>-3928139.4500000007</v>
      </c>
      <c r="J851" s="9">
        <f>+I851-'ROR-Model'!I851</f>
        <v>0</v>
      </c>
      <c r="K851" s="9"/>
      <c r="L851" s="157"/>
      <c r="M851" s="157">
        <f>SUM(M849:M850)</f>
        <v>-3802906.8900000006</v>
      </c>
      <c r="N851" s="157">
        <f>SUM(N849:N850)</f>
        <v>-125232.56</v>
      </c>
      <c r="O851" s="136"/>
      <c r="P851" s="226"/>
      <c r="Q851" s="157">
        <f>SUM(Q849:Q850)</f>
        <v>-3802906.8900000006</v>
      </c>
      <c r="R851" s="157">
        <f>SUM(R849:R850)</f>
        <v>0</v>
      </c>
      <c r="S851" s="226"/>
      <c r="T851" s="157">
        <f>SUM(T849:T850)</f>
        <v>-125232.56</v>
      </c>
      <c r="U851" s="157">
        <f>SUM(U849:U850)</f>
        <v>0</v>
      </c>
      <c r="V851" s="140"/>
      <c r="W851" s="157">
        <f>HLOOKUP($W$9,'ROR-Model'!$Q$10:$U$1263,Y851)</f>
        <v>-3802906.8900000006</v>
      </c>
      <c r="X851" s="156"/>
      <c r="Y851" s="918">
        <f t="shared" si="52"/>
        <v>842</v>
      </c>
      <c r="AA851" s="157">
        <v>-111884.98000000001</v>
      </c>
      <c r="AC851" s="157">
        <f t="shared" si="53"/>
        <v>-3691021.9100000006</v>
      </c>
      <c r="AE851" s="44">
        <f t="shared" si="54"/>
        <v>32.989431736056083</v>
      </c>
    </row>
    <row r="852" spans="1:31">
      <c r="A852" s="195"/>
      <c r="B852" s="52"/>
      <c r="C852" s="52"/>
      <c r="D852" s="52"/>
      <c r="E852" s="9">
        <f>+G852-Adjustments!G852</f>
        <v>0</v>
      </c>
      <c r="F852" s="9"/>
      <c r="G852" s="9"/>
      <c r="H852" s="9"/>
      <c r="I852" s="9"/>
      <c r="J852" s="9">
        <f>+I852-'ROR-Model'!I852</f>
        <v>0</v>
      </c>
      <c r="K852" s="156"/>
      <c r="L852" s="9"/>
      <c r="M852" s="9"/>
      <c r="N852" s="156"/>
      <c r="O852" s="136"/>
      <c r="P852" s="216"/>
      <c r="Q852" s="9"/>
      <c r="R852" s="9"/>
      <c r="S852" s="142"/>
      <c r="T852" s="9"/>
      <c r="U852" s="9"/>
      <c r="V852" s="140"/>
      <c r="W852" s="9"/>
      <c r="X852" s="156"/>
      <c r="Y852" s="918">
        <f t="shared" si="52"/>
        <v>843</v>
      </c>
      <c r="AA852" s="9"/>
      <c r="AC852" s="9" t="str">
        <f t="shared" si="53"/>
        <v/>
      </c>
      <c r="AE852" s="44" t="str">
        <f t="shared" si="54"/>
        <v/>
      </c>
    </row>
    <row r="853" spans="1:31">
      <c r="A853" s="195">
        <v>923</v>
      </c>
      <c r="B853" s="52" t="s">
        <v>413</v>
      </c>
      <c r="C853" s="52"/>
      <c r="D853" s="52"/>
      <c r="E853" s="9">
        <f>+G853-Adjustments!G853</f>
        <v>0</v>
      </c>
      <c r="F853" s="9"/>
      <c r="G853" s="9"/>
      <c r="H853" s="9"/>
      <c r="I853" s="9"/>
      <c r="J853" s="9">
        <f>+I853-'ROR-Model'!I853</f>
        <v>0</v>
      </c>
      <c r="K853" s="9"/>
      <c r="L853" s="9"/>
      <c r="M853" s="9"/>
      <c r="N853" s="9"/>
      <c r="O853" s="136"/>
      <c r="P853" s="142"/>
      <c r="Q853" s="9"/>
      <c r="R853" s="9"/>
      <c r="S853" s="142"/>
      <c r="T853" s="9"/>
      <c r="U853" s="9"/>
      <c r="V853" s="140"/>
      <c r="W853" s="9"/>
      <c r="X853" s="156"/>
      <c r="Y853" s="918">
        <f t="shared" si="52"/>
        <v>844</v>
      </c>
      <c r="AA853" s="9"/>
      <c r="AC853" s="9" t="str">
        <f t="shared" si="53"/>
        <v/>
      </c>
      <c r="AE853" s="44" t="str">
        <f t="shared" si="54"/>
        <v/>
      </c>
    </row>
    <row r="854" spans="1:31">
      <c r="A854" s="195"/>
      <c r="C854" s="52" t="s">
        <v>13</v>
      </c>
      <c r="D854" s="52"/>
      <c r="E854" s="9">
        <f>+G854-Adjustments!G854</f>
        <v>0</v>
      </c>
      <c r="F854" s="9">
        <f>EXPENSES!F343</f>
        <v>1318004.83</v>
      </c>
      <c r="G854" s="9">
        <f>Adjustments!U850</f>
        <v>0</v>
      </c>
      <c r="H854" s="9"/>
      <c r="I854" s="9">
        <f>SUM(F854:H854)</f>
        <v>1318004.83</v>
      </c>
      <c r="J854" s="9">
        <f>+I854-'ROR-Model'!I854</f>
        <v>0</v>
      </c>
      <c r="K854" s="9"/>
      <c r="L854" s="9" t="s">
        <v>13</v>
      </c>
      <c r="M854" s="717">
        <f>VLOOKUP($L854,$L$2:$N$7,2,FALSE)*I854</f>
        <v>1318004.83</v>
      </c>
      <c r="N854" s="9">
        <f>VLOOKUP($L854,$L$2:$N$7,3,FALSE)*I854</f>
        <v>0</v>
      </c>
      <c r="O854" s="136"/>
      <c r="P854" s="216" t="s">
        <v>549</v>
      </c>
      <c r="Q854" s="9">
        <f>IF(P854="G",M854,IF(P854="PT",0,ERR))</f>
        <v>1318004.83</v>
      </c>
      <c r="R854" s="9">
        <f>IF(P854="PT",M854,IF(P854="G",0,ERR))</f>
        <v>0</v>
      </c>
      <c r="S854" s="142" t="s">
        <v>549</v>
      </c>
      <c r="T854" s="9">
        <f>IF(S854="G",N854,IF(S854="PT",0,ERR))</f>
        <v>0</v>
      </c>
      <c r="U854" s="9">
        <f>IF(S854="PT",N854,IF(S854="G",0,ERR))</f>
        <v>0</v>
      </c>
      <c r="V854" s="140"/>
      <c r="W854" s="9">
        <f>HLOOKUP($W$9,'ROR-Model'!$Q$10:$U$1263,Y854)</f>
        <v>1318004.83</v>
      </c>
      <c r="X854" s="156"/>
      <c r="Y854" s="918">
        <f t="shared" si="52"/>
        <v>845</v>
      </c>
      <c r="AA854" s="9">
        <v>0</v>
      </c>
      <c r="AC854" s="9" t="str">
        <f t="shared" si="53"/>
        <v/>
      </c>
      <c r="AE854" s="44" t="str">
        <f t="shared" si="54"/>
        <v/>
      </c>
    </row>
    <row r="855" spans="1:31">
      <c r="A855" s="195"/>
      <c r="C855" s="52" t="s">
        <v>24</v>
      </c>
      <c r="D855" s="52"/>
      <c r="E855" s="9">
        <f>+G855-Adjustments!G855</f>
        <v>0</v>
      </c>
      <c r="F855" s="9">
        <f>EXPENSES!F344</f>
        <v>81652.27</v>
      </c>
      <c r="G855" s="9">
        <f>Adjustments!U851</f>
        <v>0</v>
      </c>
      <c r="H855" s="9"/>
      <c r="I855" s="9">
        <f>SUM(F855:H855)</f>
        <v>81652.27</v>
      </c>
      <c r="J855" s="9">
        <f>+I855-'ROR-Model'!I855</f>
        <v>0</v>
      </c>
      <c r="K855" s="9"/>
      <c r="L855" s="9" t="s">
        <v>24</v>
      </c>
      <c r="M855" s="9">
        <f>VLOOKUP($L855,$L$2:$N$7,2,FALSE)*I855</f>
        <v>0</v>
      </c>
      <c r="N855" s="9">
        <f>VLOOKUP($L855,$L$2:$N$7,3,FALSE)*I855</f>
        <v>81652.27</v>
      </c>
      <c r="O855" s="136"/>
      <c r="P855" s="216" t="s">
        <v>549</v>
      </c>
      <c r="Q855" s="9">
        <f>IF(P855="G",M855,IF(P855="PT",0,ERR))</f>
        <v>0</v>
      </c>
      <c r="R855" s="9">
        <f>IF(P855="PT",M855,IF(P855="G",0,ERR))</f>
        <v>0</v>
      </c>
      <c r="S855" s="142" t="s">
        <v>549</v>
      </c>
      <c r="T855" s="9">
        <f>IF(S855="G",N855,IF(S855="PT",0,ERR))</f>
        <v>81652.27</v>
      </c>
      <c r="U855" s="9">
        <f>IF(S855="PT",N855,IF(S855="G",0,ERR))</f>
        <v>0</v>
      </c>
      <c r="V855" s="140"/>
      <c r="W855" s="9">
        <f>HLOOKUP($W$9,'ROR-Model'!$Q$10:$U$1263,Y855)</f>
        <v>0</v>
      </c>
      <c r="X855" s="156"/>
      <c r="Y855" s="918">
        <f t="shared" si="52"/>
        <v>846</v>
      </c>
      <c r="AA855" s="9">
        <v>122940.42000000001</v>
      </c>
      <c r="AC855" s="9">
        <f t="shared" si="53"/>
        <v>-122940.42000000001</v>
      </c>
      <c r="AE855" s="44">
        <f t="shared" si="54"/>
        <v>-1</v>
      </c>
    </row>
    <row r="856" spans="1:31">
      <c r="A856" s="195"/>
      <c r="C856" s="52" t="s">
        <v>160</v>
      </c>
      <c r="D856" s="52"/>
      <c r="E856" s="157">
        <f>+G856-Adjustments!G856</f>
        <v>0</v>
      </c>
      <c r="F856" s="157">
        <f>SUM(F854:F855)</f>
        <v>1399657.1</v>
      </c>
      <c r="G856" s="157">
        <f>Adjustments!U852</f>
        <v>0</v>
      </c>
      <c r="H856" s="157"/>
      <c r="I856" s="157">
        <f>SUM(I854:I855)</f>
        <v>1399657.1</v>
      </c>
      <c r="J856" s="9">
        <f>+I856-'ROR-Model'!I856</f>
        <v>0</v>
      </c>
      <c r="K856" s="9"/>
      <c r="L856" s="157"/>
      <c r="M856" s="157">
        <f>SUM(M854:M855)</f>
        <v>1318004.83</v>
      </c>
      <c r="N856" s="157">
        <f>SUM(N854:N855)</f>
        <v>81652.27</v>
      </c>
      <c r="O856" s="136"/>
      <c r="P856" s="226"/>
      <c r="Q856" s="157">
        <f>SUM(Q854:Q855)</f>
        <v>1318004.83</v>
      </c>
      <c r="R856" s="157">
        <f>SUM(R854:R855)</f>
        <v>0</v>
      </c>
      <c r="S856" s="226"/>
      <c r="T856" s="157">
        <f>SUM(T854:T855)</f>
        <v>81652.27</v>
      </c>
      <c r="U856" s="157">
        <f>SUM(U854:U855)</f>
        <v>0</v>
      </c>
      <c r="V856" s="140"/>
      <c r="W856" s="157">
        <f>HLOOKUP($W$9,'ROR-Model'!$Q$10:$U$1263,Y856)</f>
        <v>1318004.83</v>
      </c>
      <c r="X856" s="156"/>
      <c r="Y856" s="918">
        <f t="shared" si="52"/>
        <v>847</v>
      </c>
      <c r="AA856" s="157">
        <v>122940.42000000001</v>
      </c>
      <c r="AC856" s="157">
        <f t="shared" si="53"/>
        <v>1195064.4100000001</v>
      </c>
      <c r="AE856" s="44">
        <f t="shared" si="54"/>
        <v>9.7206794152809959</v>
      </c>
    </row>
    <row r="857" spans="1:31">
      <c r="A857" s="195"/>
      <c r="B857" s="52"/>
      <c r="C857" s="52"/>
      <c r="D857" s="52"/>
      <c r="E857" s="9">
        <f>+G857-Adjustments!G857</f>
        <v>0</v>
      </c>
      <c r="F857" s="9"/>
      <c r="G857" s="9"/>
      <c r="H857" s="9"/>
      <c r="I857" s="9"/>
      <c r="J857" s="9">
        <f>+I857-'ROR-Model'!I857</f>
        <v>0</v>
      </c>
      <c r="K857" s="156"/>
      <c r="L857" s="9"/>
      <c r="M857" s="9"/>
      <c r="N857" s="156"/>
      <c r="O857" s="136"/>
      <c r="P857" s="216"/>
      <c r="Q857" s="9"/>
      <c r="R857" s="9"/>
      <c r="S857" s="142"/>
      <c r="T857" s="9"/>
      <c r="U857" s="9"/>
      <c r="V857" s="140"/>
      <c r="W857" s="9"/>
      <c r="X857" s="156"/>
      <c r="Y857" s="918">
        <f t="shared" si="52"/>
        <v>848</v>
      </c>
      <c r="AA857" s="9"/>
      <c r="AC857" s="9" t="str">
        <f t="shared" si="53"/>
        <v/>
      </c>
      <c r="AE857" s="44" t="str">
        <f t="shared" si="54"/>
        <v/>
      </c>
    </row>
    <row r="858" spans="1:31">
      <c r="A858" s="195">
        <v>924</v>
      </c>
      <c r="B858" s="52" t="s">
        <v>414</v>
      </c>
      <c r="C858" s="52"/>
      <c r="D858" s="52"/>
      <c r="E858" s="9">
        <f>+G858-Adjustments!G858</f>
        <v>0</v>
      </c>
      <c r="F858" s="9"/>
      <c r="G858" s="9"/>
      <c r="H858" s="9"/>
      <c r="I858" s="9"/>
      <c r="J858" s="9">
        <f>+I858-'ROR-Model'!I858</f>
        <v>0</v>
      </c>
      <c r="K858" s="9"/>
      <c r="L858" s="9"/>
      <c r="M858" s="9"/>
      <c r="N858" s="9"/>
      <c r="O858" s="136"/>
      <c r="P858" s="142"/>
      <c r="Q858" s="9"/>
      <c r="R858" s="9"/>
      <c r="S858" s="142"/>
      <c r="T858" s="9"/>
      <c r="U858" s="9"/>
      <c r="V858" s="140"/>
      <c r="W858" s="9"/>
      <c r="X858" s="156"/>
      <c r="Y858" s="918">
        <f t="shared" si="52"/>
        <v>849</v>
      </c>
      <c r="AA858" s="9"/>
      <c r="AC858" s="9" t="str">
        <f t="shared" si="53"/>
        <v/>
      </c>
      <c r="AE858" s="44" t="str">
        <f t="shared" si="54"/>
        <v/>
      </c>
    </row>
    <row r="859" spans="1:31">
      <c r="A859" s="195"/>
      <c r="C859" s="52" t="s">
        <v>13</v>
      </c>
      <c r="D859" s="52"/>
      <c r="E859" s="9">
        <f>+G859-Adjustments!G859</f>
        <v>0</v>
      </c>
      <c r="F859" s="9">
        <f>EXPENSES!F347</f>
        <v>304598</v>
      </c>
      <c r="G859" s="9">
        <f>Adjustments!U854</f>
        <v>0</v>
      </c>
      <c r="H859" s="9"/>
      <c r="I859" s="9">
        <f>SUM(F859:H859)</f>
        <v>304598</v>
      </c>
      <c r="J859" s="9">
        <f>+I859-'ROR-Model'!I859</f>
        <v>0</v>
      </c>
      <c r="K859" s="9"/>
      <c r="L859" s="9" t="s">
        <v>13</v>
      </c>
      <c r="M859" s="9">
        <f>VLOOKUP($L859,$L$2:$N$7,2,FALSE)*I859</f>
        <v>304598</v>
      </c>
      <c r="N859" s="9">
        <f>VLOOKUP($L859,$L$2:$N$7,3,FALSE)*I859</f>
        <v>0</v>
      </c>
      <c r="O859" s="136"/>
      <c r="P859" s="216" t="s">
        <v>549</v>
      </c>
      <c r="Q859" s="9">
        <f>IF(P859="G",M859,IF(P859="PT",0,ERR))</f>
        <v>304598</v>
      </c>
      <c r="R859" s="9">
        <f>IF(P859="PT",M859,IF(P859="G",0,ERR))</f>
        <v>0</v>
      </c>
      <c r="S859" s="142" t="s">
        <v>549</v>
      </c>
      <c r="T859" s="9">
        <f>IF(S859="G",N859,IF(S859="PT",0,ERR))</f>
        <v>0</v>
      </c>
      <c r="U859" s="9">
        <f>IF(S859="PT",N859,IF(S859="G",0,ERR))</f>
        <v>0</v>
      </c>
      <c r="V859" s="140"/>
      <c r="W859" s="9">
        <f>HLOOKUP($W$9,'ROR-Model'!$Q$10:$U$1263,Y859)</f>
        <v>304598</v>
      </c>
      <c r="X859" s="156"/>
      <c r="Y859" s="918">
        <f t="shared" si="52"/>
        <v>850</v>
      </c>
      <c r="AA859" s="9">
        <v>0</v>
      </c>
      <c r="AC859" s="9" t="str">
        <f t="shared" si="53"/>
        <v/>
      </c>
      <c r="AE859" s="44" t="str">
        <f t="shared" si="54"/>
        <v/>
      </c>
    </row>
    <row r="860" spans="1:31">
      <c r="A860" s="195"/>
      <c r="C860" s="52" t="s">
        <v>24</v>
      </c>
      <c r="D860" s="52"/>
      <c r="E860" s="9">
        <f>+G860-Adjustments!G860</f>
        <v>0</v>
      </c>
      <c r="F860" s="9">
        <f>EXPENSES!F348</f>
        <v>10049.430000000004</v>
      </c>
      <c r="G860" s="9">
        <f>Adjustments!U855</f>
        <v>0</v>
      </c>
      <c r="H860" s="9"/>
      <c r="I860" s="9">
        <f>SUM(F860:H860)</f>
        <v>10049.430000000004</v>
      </c>
      <c r="J860" s="9">
        <f>+I860-'ROR-Model'!I860</f>
        <v>0</v>
      </c>
      <c r="K860" s="9"/>
      <c r="L860" s="9" t="s">
        <v>24</v>
      </c>
      <c r="M860" s="9">
        <f>VLOOKUP($L860,$L$2:$N$7,2,FALSE)*I860</f>
        <v>0</v>
      </c>
      <c r="N860" s="9">
        <f>VLOOKUP($L860,$L$2:$N$7,3,FALSE)*I860</f>
        <v>10049.430000000004</v>
      </c>
      <c r="O860" s="136"/>
      <c r="P860" s="216" t="s">
        <v>549</v>
      </c>
      <c r="Q860" s="9">
        <f>IF(P860="G",M860,IF(P860="PT",0,ERR))</f>
        <v>0</v>
      </c>
      <c r="R860" s="9">
        <f>IF(P860="PT",M860,IF(P860="G",0,ERR))</f>
        <v>0</v>
      </c>
      <c r="S860" s="142" t="s">
        <v>549</v>
      </c>
      <c r="T860" s="9">
        <f>IF(S860="G",N860,IF(S860="PT",0,ERR))</f>
        <v>10049.430000000004</v>
      </c>
      <c r="U860" s="9">
        <f>IF(S860="PT",N860,IF(S860="G",0,ERR))</f>
        <v>0</v>
      </c>
      <c r="V860" s="140"/>
      <c r="W860" s="9">
        <f>HLOOKUP($W$9,'ROR-Model'!$Q$10:$U$1263,Y860)</f>
        <v>0</v>
      </c>
      <c r="X860" s="156"/>
      <c r="Y860" s="918">
        <f t="shared" si="52"/>
        <v>851</v>
      </c>
      <c r="AA860" s="9">
        <v>13921.29</v>
      </c>
      <c r="AC860" s="9">
        <f t="shared" si="53"/>
        <v>-13921.29</v>
      </c>
      <c r="AE860" s="44">
        <f t="shared" si="54"/>
        <v>-1</v>
      </c>
    </row>
    <row r="861" spans="1:31">
      <c r="A861" s="195"/>
      <c r="C861" s="52" t="s">
        <v>160</v>
      </c>
      <c r="D861" s="52"/>
      <c r="E861" s="157">
        <f>+G861-Adjustments!G861</f>
        <v>0</v>
      </c>
      <c r="F861" s="157">
        <f>SUM(F859:F860)</f>
        <v>314647.43</v>
      </c>
      <c r="G861" s="157">
        <f>Adjustments!U856</f>
        <v>0</v>
      </c>
      <c r="H861" s="157"/>
      <c r="I861" s="157">
        <f>SUM(I859:I860)</f>
        <v>314647.43</v>
      </c>
      <c r="J861" s="9">
        <f>+I861-'ROR-Model'!I861</f>
        <v>0</v>
      </c>
      <c r="K861" s="9"/>
      <c r="L861" s="157"/>
      <c r="M861" s="157">
        <f>SUM(M859:M860)</f>
        <v>304598</v>
      </c>
      <c r="N861" s="157">
        <f>SUM(N859:N860)</f>
        <v>10049.430000000004</v>
      </c>
      <c r="O861" s="136"/>
      <c r="P861" s="226"/>
      <c r="Q861" s="157">
        <f>SUM(Q859:Q860)</f>
        <v>304598</v>
      </c>
      <c r="R861" s="157">
        <f>SUM(R859:R860)</f>
        <v>0</v>
      </c>
      <c r="S861" s="226"/>
      <c r="T861" s="157">
        <f>SUM(T859:T860)</f>
        <v>10049.430000000004</v>
      </c>
      <c r="U861" s="157">
        <f>SUM(U859:U860)</f>
        <v>0</v>
      </c>
      <c r="V861" s="140"/>
      <c r="W861" s="157">
        <f>HLOOKUP($W$9,'ROR-Model'!$Q$10:$U$1263,Y861)</f>
        <v>304598</v>
      </c>
      <c r="X861" s="156"/>
      <c r="Y861" s="918">
        <f t="shared" si="52"/>
        <v>852</v>
      </c>
      <c r="AA861" s="157">
        <v>13921.29</v>
      </c>
      <c r="AC861" s="157">
        <f t="shared" si="53"/>
        <v>290676.71000000002</v>
      </c>
      <c r="AE861" s="44">
        <f t="shared" si="54"/>
        <v>20.880012556307641</v>
      </c>
    </row>
    <row r="862" spans="1:31">
      <c r="A862" s="195"/>
      <c r="B862" s="52"/>
      <c r="C862" s="52"/>
      <c r="D862" s="52"/>
      <c r="E862" s="9">
        <f>+G862-Adjustments!G862</f>
        <v>0</v>
      </c>
      <c r="F862" s="9"/>
      <c r="G862" s="9"/>
      <c r="H862" s="9"/>
      <c r="I862" s="9"/>
      <c r="J862" s="9">
        <f>+I862-'ROR-Model'!I862</f>
        <v>0</v>
      </c>
      <c r="K862" s="156"/>
      <c r="L862" s="9"/>
      <c r="M862" s="9"/>
      <c r="N862" s="156"/>
      <c r="O862" s="136"/>
      <c r="P862" s="216"/>
      <c r="Q862" s="9"/>
      <c r="R862" s="9"/>
      <c r="S862" s="142"/>
      <c r="T862" s="9"/>
      <c r="U862" s="9"/>
      <c r="V862" s="140"/>
      <c r="W862" s="9"/>
      <c r="X862" s="156"/>
      <c r="Y862" s="918">
        <f t="shared" si="52"/>
        <v>853</v>
      </c>
      <c r="AA862" s="9"/>
      <c r="AC862" s="9" t="str">
        <f t="shared" si="53"/>
        <v/>
      </c>
      <c r="AE862" s="44" t="str">
        <f t="shared" si="54"/>
        <v/>
      </c>
    </row>
    <row r="863" spans="1:31">
      <c r="A863" s="195">
        <v>925</v>
      </c>
      <c r="B863" s="52" t="s">
        <v>415</v>
      </c>
      <c r="C863" s="52"/>
      <c r="D863" s="52"/>
      <c r="E863" s="9">
        <f>+G863-Adjustments!G863</f>
        <v>0</v>
      </c>
      <c r="F863" s="9"/>
      <c r="G863" s="9"/>
      <c r="H863" s="9"/>
      <c r="I863" s="9"/>
      <c r="J863" s="9">
        <f>+I863-'ROR-Model'!I863</f>
        <v>0</v>
      </c>
      <c r="K863" s="9"/>
      <c r="L863" s="9"/>
      <c r="M863" s="9"/>
      <c r="N863" s="9"/>
      <c r="O863" s="136"/>
      <c r="P863" s="142"/>
      <c r="Q863" s="9"/>
      <c r="R863" s="9"/>
      <c r="S863" s="142"/>
      <c r="T863" s="9"/>
      <c r="U863" s="9"/>
      <c r="V863" s="140"/>
      <c r="W863" s="9"/>
      <c r="X863" s="156"/>
      <c r="Y863" s="918">
        <f t="shared" si="52"/>
        <v>854</v>
      </c>
      <c r="AA863" s="9"/>
      <c r="AC863" s="9" t="str">
        <f t="shared" si="53"/>
        <v/>
      </c>
      <c r="AE863" s="44" t="str">
        <f t="shared" si="54"/>
        <v/>
      </c>
    </row>
    <row r="864" spans="1:31">
      <c r="A864" s="195"/>
      <c r="C864" s="52" t="s">
        <v>13</v>
      </c>
      <c r="D864" s="52"/>
      <c r="E864" s="9">
        <f>+G864-Adjustments!G864</f>
        <v>0</v>
      </c>
      <c r="F864" s="9">
        <f>EXPENSES!F351</f>
        <v>11516.189999999999</v>
      </c>
      <c r="G864" s="9">
        <f>Adjustments!U858</f>
        <v>0</v>
      </c>
      <c r="H864" s="9"/>
      <c r="I864" s="9">
        <f>SUM(F864:H864)</f>
        <v>11516.189999999999</v>
      </c>
      <c r="J864" s="9">
        <f>+I864-'ROR-Model'!I864</f>
        <v>0</v>
      </c>
      <c r="K864" s="9"/>
      <c r="L864" s="9" t="s">
        <v>13</v>
      </c>
      <c r="M864" s="9">
        <f>VLOOKUP($L864,$L$2:$N$7,2,FALSE)*I864</f>
        <v>11516.189999999999</v>
      </c>
      <c r="N864" s="9">
        <f>VLOOKUP($L864,$L$2:$N$7,3,FALSE)*I864</f>
        <v>0</v>
      </c>
      <c r="O864" s="136"/>
      <c r="P864" s="216" t="s">
        <v>549</v>
      </c>
      <c r="Q864" s="9">
        <f>IF(P864="G",M864,IF(P864="PT",0,ERR))</f>
        <v>11516.189999999999</v>
      </c>
      <c r="R864" s="9">
        <f>IF(P864="PT",M864,IF(P864="G",0,ERR))</f>
        <v>0</v>
      </c>
      <c r="S864" s="142" t="s">
        <v>549</v>
      </c>
      <c r="T864" s="9">
        <f>IF(S864="G",N864,IF(S864="PT",0,ERR))</f>
        <v>0</v>
      </c>
      <c r="U864" s="9">
        <f>IF(S864="PT",N864,IF(S864="G",0,ERR))</f>
        <v>0</v>
      </c>
      <c r="V864" s="140"/>
      <c r="W864" s="9">
        <f>HLOOKUP($W$9,'ROR-Model'!$Q$10:$U$1263,Y864)</f>
        <v>11516.189999999999</v>
      </c>
      <c r="X864" s="156"/>
      <c r="Y864" s="918">
        <f t="shared" si="52"/>
        <v>855</v>
      </c>
      <c r="AA864" s="9">
        <v>0</v>
      </c>
      <c r="AC864" s="9" t="str">
        <f t="shared" si="53"/>
        <v/>
      </c>
      <c r="AE864" s="44" t="str">
        <f t="shared" si="54"/>
        <v/>
      </c>
    </row>
    <row r="865" spans="1:31">
      <c r="A865" s="195"/>
      <c r="C865" s="52" t="s">
        <v>24</v>
      </c>
      <c r="D865" s="52"/>
      <c r="E865" s="9">
        <f>+G865-Adjustments!G865</f>
        <v>0</v>
      </c>
      <c r="F865" s="9">
        <f>EXPENSES!F352</f>
        <v>224.67000000000002</v>
      </c>
      <c r="G865" s="9">
        <f>Adjustments!U859</f>
        <v>0</v>
      </c>
      <c r="H865" s="9"/>
      <c r="I865" s="9">
        <f>SUM(F865:H865)</f>
        <v>224.67000000000002</v>
      </c>
      <c r="J865" s="9">
        <f>+I865-'ROR-Model'!I865</f>
        <v>0</v>
      </c>
      <c r="K865" s="9"/>
      <c r="L865" s="9" t="s">
        <v>24</v>
      </c>
      <c r="M865" s="9">
        <f>VLOOKUP($L865,$L$2:$N$7,2,FALSE)*I865</f>
        <v>0</v>
      </c>
      <c r="N865" s="9">
        <f>VLOOKUP($L865,$L$2:$N$7,3,FALSE)*I865</f>
        <v>224.67000000000002</v>
      </c>
      <c r="O865" s="136"/>
      <c r="P865" s="216" t="s">
        <v>549</v>
      </c>
      <c r="Q865" s="9">
        <f>IF(P865="G",M865,IF(P865="PT",0,ERR))</f>
        <v>0</v>
      </c>
      <c r="R865" s="9">
        <f>IF(P865="PT",M865,IF(P865="G",0,ERR))</f>
        <v>0</v>
      </c>
      <c r="S865" s="142" t="s">
        <v>549</v>
      </c>
      <c r="T865" s="9">
        <f>IF(S865="G",N865,IF(S865="PT",0,ERR))</f>
        <v>224.67000000000002</v>
      </c>
      <c r="U865" s="9">
        <f>IF(S865="PT",N865,IF(S865="G",0,ERR))</f>
        <v>0</v>
      </c>
      <c r="V865" s="140"/>
      <c r="W865" s="9">
        <f>HLOOKUP($W$9,'ROR-Model'!$Q$10:$U$1263,Y865)</f>
        <v>0</v>
      </c>
      <c r="X865" s="156"/>
      <c r="Y865" s="918">
        <f t="shared" si="52"/>
        <v>856</v>
      </c>
      <c r="AA865" s="9">
        <v>10033.099999999999</v>
      </c>
      <c r="AC865" s="9">
        <f t="shared" si="53"/>
        <v>-10033.099999999999</v>
      </c>
      <c r="AE865" s="44">
        <f t="shared" si="54"/>
        <v>-1</v>
      </c>
    </row>
    <row r="866" spans="1:31">
      <c r="A866" s="195"/>
      <c r="C866" s="52" t="s">
        <v>160</v>
      </c>
      <c r="D866" s="52"/>
      <c r="E866" s="157">
        <f>+G866-Adjustments!G866</f>
        <v>0</v>
      </c>
      <c r="F866" s="157">
        <f>SUM(F864:F865)</f>
        <v>11740.859999999999</v>
      </c>
      <c r="G866" s="157">
        <f>Adjustments!U860</f>
        <v>0</v>
      </c>
      <c r="H866" s="157"/>
      <c r="I866" s="157">
        <f>SUM(I864:I865)</f>
        <v>11740.859999999999</v>
      </c>
      <c r="J866" s="9">
        <f>+I866-'ROR-Model'!I866</f>
        <v>0</v>
      </c>
      <c r="K866" s="9"/>
      <c r="L866" s="157"/>
      <c r="M866" s="157">
        <f>SUM(M864:M865)</f>
        <v>11516.189999999999</v>
      </c>
      <c r="N866" s="157">
        <f>SUM(N864:N865)</f>
        <v>224.67000000000002</v>
      </c>
      <c r="O866" s="136"/>
      <c r="P866" s="226"/>
      <c r="Q866" s="157">
        <f>SUM(Q864:Q865)</f>
        <v>11516.189999999999</v>
      </c>
      <c r="R866" s="157">
        <f>SUM(R864:R865)</f>
        <v>0</v>
      </c>
      <c r="S866" s="226"/>
      <c r="T866" s="157">
        <f>SUM(T864:T865)</f>
        <v>224.67000000000002</v>
      </c>
      <c r="U866" s="157">
        <f>SUM(U864:U865)</f>
        <v>0</v>
      </c>
      <c r="V866" s="140"/>
      <c r="W866" s="157">
        <f>HLOOKUP($W$9,'ROR-Model'!$Q$10:$U$1263,Y866)</f>
        <v>11516.189999999999</v>
      </c>
      <c r="X866" s="156"/>
      <c r="Y866" s="918">
        <f t="shared" si="52"/>
        <v>857</v>
      </c>
      <c r="AA866" s="157">
        <v>10033.099999999999</v>
      </c>
      <c r="AC866" s="157">
        <f t="shared" si="53"/>
        <v>1483.0900000000001</v>
      </c>
      <c r="AE866" s="44">
        <f t="shared" si="54"/>
        <v>0.14781971673759858</v>
      </c>
    </row>
    <row r="867" spans="1:31">
      <c r="A867" s="195"/>
      <c r="B867" s="52"/>
      <c r="C867" s="52"/>
      <c r="D867" s="52"/>
      <c r="E867" s="9">
        <f>+G867-Adjustments!G867</f>
        <v>0</v>
      </c>
      <c r="F867" s="9"/>
      <c r="G867" s="9"/>
      <c r="H867" s="9"/>
      <c r="I867" s="9"/>
      <c r="J867" s="9">
        <f>+I867-'ROR-Model'!I867</f>
        <v>0</v>
      </c>
      <c r="K867" s="156"/>
      <c r="L867" s="9"/>
      <c r="M867" s="9"/>
      <c r="N867" s="156"/>
      <c r="O867" s="136"/>
      <c r="P867" s="216"/>
      <c r="Q867" s="9"/>
      <c r="R867" s="9"/>
      <c r="S867" s="142"/>
      <c r="T867" s="9"/>
      <c r="U867" s="9"/>
      <c r="V867" s="140"/>
      <c r="W867" s="9"/>
      <c r="X867" s="156"/>
      <c r="Y867" s="918">
        <f t="shared" si="52"/>
        <v>858</v>
      </c>
      <c r="AA867" s="9"/>
      <c r="AC867" s="9" t="str">
        <f t="shared" si="53"/>
        <v/>
      </c>
      <c r="AE867" s="44" t="str">
        <f t="shared" si="54"/>
        <v/>
      </c>
    </row>
    <row r="868" spans="1:31">
      <c r="A868" s="195">
        <v>926</v>
      </c>
      <c r="B868" s="52" t="s">
        <v>416</v>
      </c>
      <c r="C868" s="52"/>
      <c r="D868" s="52"/>
      <c r="E868" s="9">
        <f>+G868-Adjustments!G868</f>
        <v>0</v>
      </c>
      <c r="F868" s="9"/>
      <c r="G868" s="9"/>
      <c r="H868" s="9"/>
      <c r="I868" s="9"/>
      <c r="J868" s="9">
        <f>+I868-'ROR-Model'!I868</f>
        <v>0</v>
      </c>
      <c r="K868" s="9"/>
      <c r="L868" s="9"/>
      <c r="M868" s="9"/>
      <c r="N868" s="9"/>
      <c r="O868" s="136"/>
      <c r="P868" s="142"/>
      <c r="Q868" s="9"/>
      <c r="R868" s="9"/>
      <c r="S868" s="142"/>
      <c r="T868" s="9"/>
      <c r="U868" s="9"/>
      <c r="V868" s="140"/>
      <c r="W868" s="9"/>
      <c r="X868" s="156"/>
      <c r="Y868" s="918">
        <f t="shared" si="52"/>
        <v>859</v>
      </c>
      <c r="AA868" s="9"/>
      <c r="AC868" s="9" t="str">
        <f t="shared" si="53"/>
        <v/>
      </c>
      <c r="AE868" s="44" t="str">
        <f t="shared" si="54"/>
        <v/>
      </c>
    </row>
    <row r="869" spans="1:31">
      <c r="A869" s="195"/>
      <c r="C869" s="52" t="s">
        <v>13</v>
      </c>
      <c r="D869" s="52"/>
      <c r="E869" s="9">
        <f>+G869-Adjustments!G869</f>
        <v>0</v>
      </c>
      <c r="F869" s="9">
        <f>EXPENSES!F355</f>
        <v>162902.46000000002</v>
      </c>
      <c r="G869" s="9">
        <f>Adjustments!U862</f>
        <v>0</v>
      </c>
      <c r="H869" s="9"/>
      <c r="I869" s="9">
        <f>SUM(F869:H869)</f>
        <v>162902.46000000002</v>
      </c>
      <c r="J869" s="9">
        <f>+I869-'ROR-Model'!I869</f>
        <v>0</v>
      </c>
      <c r="K869" s="9"/>
      <c r="L869" s="9" t="s">
        <v>13</v>
      </c>
      <c r="M869" s="9">
        <f>VLOOKUP($L869,$L$2:$N$7,2,FALSE)*I869</f>
        <v>162902.46000000002</v>
      </c>
      <c r="N869" s="9">
        <f>VLOOKUP($L869,$L$2:$N$7,3,FALSE)*I869</f>
        <v>0</v>
      </c>
      <c r="O869" s="136"/>
      <c r="P869" s="216" t="s">
        <v>549</v>
      </c>
      <c r="Q869" s="9">
        <f>IF(P869="G",M869,IF(P869="PT",0,ERR))</f>
        <v>162902.46000000002</v>
      </c>
      <c r="R869" s="9">
        <f>IF(P869="PT",M869,IF(P869="G",0,ERR))</f>
        <v>0</v>
      </c>
      <c r="S869" s="142" t="s">
        <v>549</v>
      </c>
      <c r="T869" s="9">
        <f>IF(S869="G",N869,IF(S869="PT",0,ERR))</f>
        <v>0</v>
      </c>
      <c r="U869" s="9">
        <f>IF(S869="PT",N869,IF(S869="G",0,ERR))</f>
        <v>0</v>
      </c>
      <c r="V869" s="140"/>
      <c r="W869" s="9">
        <f>HLOOKUP($W$9,'ROR-Model'!$Q$10:$U$1263,Y869)</f>
        <v>162902.46000000002</v>
      </c>
      <c r="X869" s="156"/>
      <c r="Y869" s="918">
        <f t="shared" si="52"/>
        <v>860</v>
      </c>
      <c r="AA869" s="9">
        <v>0</v>
      </c>
      <c r="AC869" s="9" t="str">
        <f t="shared" si="53"/>
        <v/>
      </c>
      <c r="AE869" s="44" t="str">
        <f t="shared" si="54"/>
        <v/>
      </c>
    </row>
    <row r="870" spans="1:31">
      <c r="A870" s="195"/>
      <c r="C870" s="52" t="s">
        <v>24</v>
      </c>
      <c r="D870" s="52"/>
      <c r="E870" s="9">
        <f>+G870-Adjustments!G870</f>
        <v>0</v>
      </c>
      <c r="F870" s="9">
        <f>EXPENSES!F356</f>
        <v>4488.2200000000021</v>
      </c>
      <c r="G870" s="9">
        <f>Adjustments!U863</f>
        <v>0</v>
      </c>
      <c r="H870" s="9"/>
      <c r="I870" s="9">
        <f>SUM(F870:H870)</f>
        <v>4488.2200000000021</v>
      </c>
      <c r="J870" s="9">
        <f>+I870-'ROR-Model'!I870</f>
        <v>0</v>
      </c>
      <c r="K870" s="9"/>
      <c r="L870" s="9" t="s">
        <v>24</v>
      </c>
      <c r="M870" s="9">
        <f>VLOOKUP($L870,$L$2:$N$7,2,FALSE)*I870</f>
        <v>0</v>
      </c>
      <c r="N870" s="9">
        <f>VLOOKUP($L870,$L$2:$N$7,3,FALSE)*I870</f>
        <v>4488.2200000000021</v>
      </c>
      <c r="O870" s="136"/>
      <c r="P870" s="216" t="s">
        <v>549</v>
      </c>
      <c r="Q870" s="9">
        <f>IF(P870="G",M870,IF(P870="PT",0,ERR))</f>
        <v>0</v>
      </c>
      <c r="R870" s="9">
        <f>IF(P870="PT",M870,IF(P870="G",0,ERR))</f>
        <v>0</v>
      </c>
      <c r="S870" s="142" t="s">
        <v>549</v>
      </c>
      <c r="T870" s="9">
        <f>IF(S870="G",N870,IF(S870="PT",0,ERR))</f>
        <v>4488.2200000000021</v>
      </c>
      <c r="U870" s="9">
        <f>IF(S870="PT",N870,IF(S870="G",0,ERR))</f>
        <v>0</v>
      </c>
      <c r="V870" s="140"/>
      <c r="W870" s="9">
        <f>HLOOKUP($W$9,'ROR-Model'!$Q$10:$U$1263,Y870)</f>
        <v>0</v>
      </c>
      <c r="X870" s="156"/>
      <c r="Y870" s="918">
        <f t="shared" si="52"/>
        <v>861</v>
      </c>
      <c r="AA870" s="9">
        <v>209569.38000000003</v>
      </c>
      <c r="AC870" s="9">
        <f t="shared" si="53"/>
        <v>-209569.38000000003</v>
      </c>
      <c r="AE870" s="44">
        <f t="shared" si="54"/>
        <v>-1</v>
      </c>
    </row>
    <row r="871" spans="1:31">
      <c r="A871" s="195"/>
      <c r="C871" s="52" t="s">
        <v>160</v>
      </c>
      <c r="D871" s="52"/>
      <c r="E871" s="157">
        <f>+G871-Adjustments!G871</f>
        <v>0</v>
      </c>
      <c r="F871" s="157">
        <f>SUM(F869:F870)</f>
        <v>167390.68000000002</v>
      </c>
      <c r="G871" s="157">
        <f>Adjustments!U864</f>
        <v>0</v>
      </c>
      <c r="H871" s="157"/>
      <c r="I871" s="157">
        <f>SUM(I869:I870)</f>
        <v>167390.68000000002</v>
      </c>
      <c r="J871" s="9">
        <f>+I871-'ROR-Model'!I871</f>
        <v>0</v>
      </c>
      <c r="K871" s="9"/>
      <c r="L871" s="157"/>
      <c r="M871" s="157">
        <f>SUM(M869:M870)</f>
        <v>162902.46000000002</v>
      </c>
      <c r="N871" s="157">
        <f>SUM(N869:N870)</f>
        <v>4488.2200000000021</v>
      </c>
      <c r="O871" s="136"/>
      <c r="P871" s="226"/>
      <c r="Q871" s="157">
        <f>SUM(Q869:Q870)</f>
        <v>162902.46000000002</v>
      </c>
      <c r="R871" s="157">
        <f>SUM(R869:R870)</f>
        <v>0</v>
      </c>
      <c r="S871" s="226"/>
      <c r="T871" s="157">
        <f>SUM(T869:T870)</f>
        <v>4488.2200000000021</v>
      </c>
      <c r="U871" s="157">
        <f>SUM(U869:U870)</f>
        <v>0</v>
      </c>
      <c r="V871" s="140"/>
      <c r="W871" s="157">
        <f>HLOOKUP($W$9,'ROR-Model'!$Q$10:$U$1263,Y871)</f>
        <v>162902.46000000002</v>
      </c>
      <c r="X871" s="156"/>
      <c r="Y871" s="918">
        <f t="shared" si="52"/>
        <v>862</v>
      </c>
      <c r="AA871" s="157">
        <v>209569.38000000003</v>
      </c>
      <c r="AC871" s="157">
        <f t="shared" si="53"/>
        <v>-46666.920000000013</v>
      </c>
      <c r="AE871" s="44">
        <f t="shared" si="54"/>
        <v>-0.22268004991950641</v>
      </c>
    </row>
    <row r="872" spans="1:31">
      <c r="A872" s="195"/>
      <c r="B872" s="52"/>
      <c r="C872" s="52"/>
      <c r="D872" s="52"/>
      <c r="E872" s="9">
        <f>+G872-Adjustments!G872</f>
        <v>0</v>
      </c>
      <c r="F872" s="9"/>
      <c r="G872" s="9"/>
      <c r="H872" s="9"/>
      <c r="I872" s="9"/>
      <c r="J872" s="9">
        <f>+I872-'ROR-Model'!I872</f>
        <v>0</v>
      </c>
      <c r="K872" s="156"/>
      <c r="L872" s="9"/>
      <c r="M872" s="9"/>
      <c r="N872" s="156"/>
      <c r="O872" s="136"/>
      <c r="P872" s="216"/>
      <c r="Q872" s="9"/>
      <c r="R872" s="9"/>
      <c r="S872" s="142"/>
      <c r="T872" s="9"/>
      <c r="U872" s="9"/>
      <c r="V872" s="140"/>
      <c r="W872" s="9"/>
      <c r="X872" s="156"/>
      <c r="Y872" s="918">
        <f t="shared" si="52"/>
        <v>863</v>
      </c>
      <c r="AA872" s="9"/>
      <c r="AC872" s="9" t="str">
        <f t="shared" si="53"/>
        <v/>
      </c>
      <c r="AE872" s="44" t="str">
        <f t="shared" si="54"/>
        <v/>
      </c>
    </row>
    <row r="873" spans="1:31">
      <c r="A873" s="195" t="s">
        <v>814</v>
      </c>
      <c r="B873" s="52" t="s">
        <v>815</v>
      </c>
      <c r="C873" s="52"/>
      <c r="D873" s="52"/>
      <c r="E873" s="9">
        <f>+G873-Adjustments!G873</f>
        <v>0</v>
      </c>
      <c r="F873" s="9"/>
      <c r="G873" s="9"/>
      <c r="H873" s="9"/>
      <c r="I873" s="9"/>
      <c r="J873" s="9">
        <f>+I873-'ROR-Model'!I873</f>
        <v>0</v>
      </c>
      <c r="K873" s="9"/>
      <c r="L873" s="9"/>
      <c r="M873" s="9"/>
      <c r="N873" s="9"/>
      <c r="O873" s="136"/>
      <c r="P873" s="142"/>
      <c r="Q873" s="9"/>
      <c r="R873" s="9"/>
      <c r="S873" s="142"/>
      <c r="T873" s="9"/>
      <c r="U873" s="9"/>
      <c r="V873" s="140"/>
      <c r="W873" s="9"/>
      <c r="X873" s="156"/>
      <c r="Y873" s="918">
        <f t="shared" si="52"/>
        <v>864</v>
      </c>
      <c r="AA873" s="9"/>
      <c r="AC873" s="9" t="str">
        <f t="shared" si="53"/>
        <v/>
      </c>
      <c r="AE873" s="44" t="str">
        <f t="shared" si="54"/>
        <v/>
      </c>
    </row>
    <row r="874" spans="1:31">
      <c r="A874" s="195"/>
      <c r="C874" s="52" t="s">
        <v>13</v>
      </c>
      <c r="D874" s="52"/>
      <c r="E874" s="9">
        <f>+G874-Adjustments!G874</f>
        <v>0</v>
      </c>
      <c r="F874" s="9">
        <f>EXPENSES!F359</f>
        <v>0</v>
      </c>
      <c r="G874" s="9">
        <f>Adjustments!U866</f>
        <v>0</v>
      </c>
      <c r="H874" s="9"/>
      <c r="I874" s="9">
        <f>SUM(F874:H874)</f>
        <v>0</v>
      </c>
      <c r="J874" s="9">
        <f>+I874-'ROR-Model'!I874</f>
        <v>0</v>
      </c>
      <c r="K874" s="9"/>
      <c r="L874" s="9" t="s">
        <v>13</v>
      </c>
      <c r="M874" s="9">
        <f>VLOOKUP($L874,$L$2:$N$7,2,FALSE)*I874</f>
        <v>0</v>
      </c>
      <c r="N874" s="9">
        <f>VLOOKUP($L874,$L$2:$N$7,3,FALSE)*I874</f>
        <v>0</v>
      </c>
      <c r="O874" s="136"/>
      <c r="P874" s="216" t="s">
        <v>549</v>
      </c>
      <c r="Q874" s="9">
        <f>IF(P874="G",M874,IF(P874="PT",0,ERR))</f>
        <v>0</v>
      </c>
      <c r="R874" s="9">
        <f>IF(P874="PT",M874,IF(P874="G",0,ERR))</f>
        <v>0</v>
      </c>
      <c r="S874" s="142" t="s">
        <v>549</v>
      </c>
      <c r="T874" s="9">
        <f>IF(S874="G",N874,IF(S874="PT",0,ERR))</f>
        <v>0</v>
      </c>
      <c r="U874" s="9">
        <f>IF(S874="PT",N874,IF(S874="G",0,ERR))</f>
        <v>0</v>
      </c>
      <c r="V874" s="140"/>
      <c r="W874" s="9">
        <f>HLOOKUP($W$9,'ROR-Model'!$Q$10:$U$1263,Y874)</f>
        <v>0</v>
      </c>
      <c r="X874" s="156"/>
      <c r="Y874" s="918">
        <f t="shared" si="52"/>
        <v>865</v>
      </c>
      <c r="AA874" s="9">
        <v>0</v>
      </c>
      <c r="AC874" s="9" t="str">
        <f t="shared" si="53"/>
        <v/>
      </c>
      <c r="AE874" s="44" t="str">
        <f t="shared" si="54"/>
        <v/>
      </c>
    </row>
    <row r="875" spans="1:31">
      <c r="A875" s="195"/>
      <c r="C875" s="52" t="s">
        <v>24</v>
      </c>
      <c r="D875" s="52"/>
      <c r="E875" s="9">
        <f>+G875-Adjustments!G875</f>
        <v>0</v>
      </c>
      <c r="F875" s="9">
        <f>EXPENSES!F360</f>
        <v>0</v>
      </c>
      <c r="G875" s="9">
        <f>Adjustments!U867</f>
        <v>0</v>
      </c>
      <c r="H875" s="9"/>
      <c r="I875" s="9">
        <f>SUM(F875:H875)</f>
        <v>0</v>
      </c>
      <c r="J875" s="9">
        <f>+I875-'ROR-Model'!I875</f>
        <v>0</v>
      </c>
      <c r="K875" s="9"/>
      <c r="L875" s="9" t="s">
        <v>24</v>
      </c>
      <c r="M875" s="9">
        <f>VLOOKUP($L875,$L$2:$N$7,2,FALSE)*I875</f>
        <v>0</v>
      </c>
      <c r="N875" s="9">
        <f>VLOOKUP($L875,$L$2:$N$7,3,FALSE)*I875</f>
        <v>0</v>
      </c>
      <c r="O875" s="136"/>
      <c r="P875" s="216" t="s">
        <v>549</v>
      </c>
      <c r="Q875" s="9">
        <f>IF(P875="G",M875,IF(P875="PT",0,ERR))</f>
        <v>0</v>
      </c>
      <c r="R875" s="9">
        <f>IF(P875="PT",M875,IF(P875="G",0,ERR))</f>
        <v>0</v>
      </c>
      <c r="S875" s="142" t="s">
        <v>549</v>
      </c>
      <c r="T875" s="9">
        <f>IF(S875="G",N875,IF(S875="PT",0,ERR))</f>
        <v>0</v>
      </c>
      <c r="U875" s="9">
        <f>IF(S875="PT",N875,IF(S875="G",0,ERR))</f>
        <v>0</v>
      </c>
      <c r="V875" s="140"/>
      <c r="W875" s="9">
        <f>HLOOKUP($W$9,'ROR-Model'!$Q$10:$U$1263,Y875)</f>
        <v>0</v>
      </c>
      <c r="X875" s="156"/>
      <c r="Y875" s="918">
        <f t="shared" si="52"/>
        <v>866</v>
      </c>
      <c r="AA875" s="9">
        <v>0</v>
      </c>
      <c r="AC875" s="9" t="str">
        <f t="shared" si="53"/>
        <v/>
      </c>
      <c r="AE875" s="44" t="str">
        <f t="shared" si="54"/>
        <v/>
      </c>
    </row>
    <row r="876" spans="1:31">
      <c r="A876" s="195"/>
      <c r="C876" s="52" t="s">
        <v>160</v>
      </c>
      <c r="D876" s="52"/>
      <c r="E876" s="157">
        <f>+G876-Adjustments!G876</f>
        <v>0</v>
      </c>
      <c r="F876" s="157">
        <f>SUM(F874:F875)</f>
        <v>0</v>
      </c>
      <c r="G876" s="157">
        <f>Adjustments!U868</f>
        <v>0</v>
      </c>
      <c r="H876" s="157"/>
      <c r="I876" s="157">
        <f>SUM(I874:I875)</f>
        <v>0</v>
      </c>
      <c r="J876" s="9">
        <f>+I876-'ROR-Model'!I876</f>
        <v>0</v>
      </c>
      <c r="K876" s="9"/>
      <c r="L876" s="157"/>
      <c r="M876" s="157">
        <f>SUM(M874:M875)</f>
        <v>0</v>
      </c>
      <c r="N876" s="157">
        <f>SUM(N874:N875)</f>
        <v>0</v>
      </c>
      <c r="O876" s="136"/>
      <c r="P876" s="226"/>
      <c r="Q876" s="157">
        <f>SUM(Q874:Q875)</f>
        <v>0</v>
      </c>
      <c r="R876" s="157">
        <f>SUM(R874:R875)</f>
        <v>0</v>
      </c>
      <c r="S876" s="226"/>
      <c r="T876" s="157">
        <f>SUM(T874:T875)</f>
        <v>0</v>
      </c>
      <c r="U876" s="157">
        <f>SUM(U874:U875)</f>
        <v>0</v>
      </c>
      <c r="V876" s="140"/>
      <c r="W876" s="157">
        <f>HLOOKUP($W$9,'ROR-Model'!$Q$10:$U$1263,Y876)</f>
        <v>0</v>
      </c>
      <c r="X876" s="156"/>
      <c r="Y876" s="918">
        <f t="shared" si="52"/>
        <v>867</v>
      </c>
      <c r="AA876" s="157">
        <v>0</v>
      </c>
      <c r="AC876" s="157" t="str">
        <f t="shared" si="53"/>
        <v/>
      </c>
      <c r="AE876" s="44" t="str">
        <f t="shared" si="54"/>
        <v/>
      </c>
    </row>
    <row r="877" spans="1:31">
      <c r="A877" s="195"/>
      <c r="B877" s="52"/>
      <c r="C877" s="52"/>
      <c r="D877" s="52"/>
      <c r="E877" s="9">
        <f>+G877-Adjustments!G877</f>
        <v>0</v>
      </c>
      <c r="F877" s="9"/>
      <c r="G877" s="9"/>
      <c r="H877" s="9"/>
      <c r="I877" s="9"/>
      <c r="J877" s="9">
        <f>+I877-'ROR-Model'!I877</f>
        <v>0</v>
      </c>
      <c r="K877" s="156"/>
      <c r="L877" s="9"/>
      <c r="M877" s="9"/>
      <c r="N877" s="156"/>
      <c r="O877" s="136"/>
      <c r="P877" s="216"/>
      <c r="Q877" s="9"/>
      <c r="R877" s="9"/>
      <c r="S877" s="142"/>
      <c r="T877" s="9"/>
      <c r="U877" s="9"/>
      <c r="V877" s="140"/>
      <c r="W877" s="9"/>
      <c r="X877" s="156"/>
      <c r="Y877" s="918">
        <f t="shared" si="52"/>
        <v>868</v>
      </c>
      <c r="AA877" s="9"/>
      <c r="AC877" s="9" t="str">
        <f t="shared" si="53"/>
        <v/>
      </c>
      <c r="AE877" s="44" t="str">
        <f t="shared" si="54"/>
        <v/>
      </c>
    </row>
    <row r="878" spans="1:31">
      <c r="A878" s="195">
        <v>9301</v>
      </c>
      <c r="B878" s="52" t="s">
        <v>417</v>
      </c>
      <c r="C878" s="52"/>
      <c r="D878" s="52"/>
      <c r="E878" s="9">
        <f>+G878-Adjustments!G878</f>
        <v>0</v>
      </c>
      <c r="F878" s="9"/>
      <c r="G878" s="9"/>
      <c r="H878" s="9"/>
      <c r="I878" s="9"/>
      <c r="J878" s="9">
        <f>+I878-'ROR-Model'!I878</f>
        <v>0</v>
      </c>
      <c r="K878" s="9"/>
      <c r="L878" s="9"/>
      <c r="M878" s="9"/>
      <c r="N878" s="9"/>
      <c r="O878" s="136"/>
      <c r="P878" s="142"/>
      <c r="Q878" s="9"/>
      <c r="R878" s="9"/>
      <c r="S878" s="142"/>
      <c r="T878" s="9"/>
      <c r="U878" s="9"/>
      <c r="V878" s="140"/>
      <c r="W878" s="9"/>
      <c r="X878" s="156"/>
      <c r="Y878" s="918">
        <f t="shared" si="52"/>
        <v>869</v>
      </c>
      <c r="AA878" s="9"/>
      <c r="AC878" s="9" t="str">
        <f t="shared" si="53"/>
        <v/>
      </c>
      <c r="AE878" s="44" t="str">
        <f t="shared" si="54"/>
        <v/>
      </c>
    </row>
    <row r="879" spans="1:31">
      <c r="A879" s="195"/>
      <c r="C879" s="52" t="s">
        <v>13</v>
      </c>
      <c r="D879" s="52"/>
      <c r="E879" s="9">
        <f>+G879-Adjustments!G879</f>
        <v>0</v>
      </c>
      <c r="F879" s="9">
        <f>EXPENSES!F363</f>
        <v>0</v>
      </c>
      <c r="G879" s="9">
        <f>Adjustments!U870</f>
        <v>0</v>
      </c>
      <c r="H879" s="9"/>
      <c r="I879" s="9">
        <f>SUM(F879:H879)</f>
        <v>0</v>
      </c>
      <c r="J879" s="9">
        <f>+I879-'ROR-Model'!I879</f>
        <v>0</v>
      </c>
      <c r="K879" s="9"/>
      <c r="L879" s="9" t="s">
        <v>13</v>
      </c>
      <c r="M879" s="9">
        <f>VLOOKUP($L879,$L$2:$N$7,2,FALSE)*I879</f>
        <v>0</v>
      </c>
      <c r="N879" s="9">
        <f>VLOOKUP($L879,$L$2:$N$7,3,FALSE)*I879</f>
        <v>0</v>
      </c>
      <c r="O879" s="136"/>
      <c r="P879" s="216" t="s">
        <v>549</v>
      </c>
      <c r="Q879" s="9">
        <f>IF(P879="G",M879,IF(P879="PT",0,ERR))</f>
        <v>0</v>
      </c>
      <c r="R879" s="9">
        <f>IF(P879="PT",M879,IF(P879="G",0,ERR))</f>
        <v>0</v>
      </c>
      <c r="S879" s="142" t="s">
        <v>549</v>
      </c>
      <c r="T879" s="9">
        <f>IF(S879="G",N879,IF(S879="PT",0,ERR))</f>
        <v>0</v>
      </c>
      <c r="U879" s="9">
        <f>IF(S879="PT",N879,IF(S879="G",0,ERR))</f>
        <v>0</v>
      </c>
      <c r="V879" s="140"/>
      <c r="W879" s="9">
        <f>HLOOKUP($W$9,'ROR-Model'!$Q$10:$U$1263,Y879)</f>
        <v>0</v>
      </c>
      <c r="X879" s="156"/>
      <c r="Y879" s="918">
        <f t="shared" si="52"/>
        <v>870</v>
      </c>
      <c r="AA879" s="9">
        <v>0</v>
      </c>
      <c r="AC879" s="9" t="str">
        <f t="shared" si="53"/>
        <v/>
      </c>
      <c r="AE879" s="44" t="str">
        <f t="shared" si="54"/>
        <v/>
      </c>
    </row>
    <row r="880" spans="1:31">
      <c r="A880" s="195"/>
      <c r="C880" s="52" t="s">
        <v>24</v>
      </c>
      <c r="D880" s="52"/>
      <c r="E880" s="9">
        <f>+G880-Adjustments!G880</f>
        <v>0</v>
      </c>
      <c r="F880" s="9">
        <f>EXPENSES!F364</f>
        <v>0</v>
      </c>
      <c r="G880" s="9">
        <f>Adjustments!U871</f>
        <v>0</v>
      </c>
      <c r="H880" s="9"/>
      <c r="I880" s="9">
        <f>SUM(F880:H880)</f>
        <v>0</v>
      </c>
      <c r="J880" s="9">
        <f>+I880-'ROR-Model'!I880</f>
        <v>0</v>
      </c>
      <c r="K880" s="9"/>
      <c r="L880" s="9" t="s">
        <v>24</v>
      </c>
      <c r="M880" s="9">
        <f>VLOOKUP($L880,$L$2:$N$7,2,FALSE)*I880</f>
        <v>0</v>
      </c>
      <c r="N880" s="9">
        <f>VLOOKUP($L880,$L$2:$N$7,3,FALSE)*I880</f>
        <v>0</v>
      </c>
      <c r="O880" s="136"/>
      <c r="P880" s="216" t="s">
        <v>549</v>
      </c>
      <c r="Q880" s="9">
        <f>IF(P880="G",M880,IF(P880="PT",0,ERR))</f>
        <v>0</v>
      </c>
      <c r="R880" s="9">
        <f>IF(P880="PT",M880,IF(P880="G",0,ERR))</f>
        <v>0</v>
      </c>
      <c r="S880" s="142" t="s">
        <v>549</v>
      </c>
      <c r="T880" s="9">
        <f>IF(S880="G",N880,IF(S880="PT",0,ERR))</f>
        <v>0</v>
      </c>
      <c r="U880" s="9">
        <f>IF(S880="PT",N880,IF(S880="G",0,ERR))</f>
        <v>0</v>
      </c>
      <c r="V880" s="140"/>
      <c r="W880" s="9">
        <f>HLOOKUP($W$9,'ROR-Model'!$Q$10:$U$1263,Y880)</f>
        <v>0</v>
      </c>
      <c r="X880" s="156"/>
      <c r="Y880" s="918">
        <f t="shared" si="52"/>
        <v>871</v>
      </c>
      <c r="AA880" s="9">
        <v>0</v>
      </c>
      <c r="AC880" s="9" t="str">
        <f t="shared" si="53"/>
        <v/>
      </c>
      <c r="AE880" s="44" t="str">
        <f t="shared" si="54"/>
        <v/>
      </c>
    </row>
    <row r="881" spans="1:31">
      <c r="A881" s="195"/>
      <c r="C881" s="52" t="s">
        <v>160</v>
      </c>
      <c r="D881" s="52"/>
      <c r="E881" s="157">
        <f>+G881-Adjustments!G881</f>
        <v>0</v>
      </c>
      <c r="F881" s="157">
        <f>SUM(F879:F880)</f>
        <v>0</v>
      </c>
      <c r="G881" s="157">
        <f>Adjustments!U872</f>
        <v>0</v>
      </c>
      <c r="H881" s="157"/>
      <c r="I881" s="157">
        <f>SUM(I879:I880)</f>
        <v>0</v>
      </c>
      <c r="J881" s="9">
        <f>+I881-'ROR-Model'!I881</f>
        <v>0</v>
      </c>
      <c r="K881" s="9"/>
      <c r="L881" s="157"/>
      <c r="M881" s="157">
        <f>SUM(M879:M880)</f>
        <v>0</v>
      </c>
      <c r="N881" s="157">
        <f>SUM(N879:N880)</f>
        <v>0</v>
      </c>
      <c r="O881" s="136"/>
      <c r="P881" s="226"/>
      <c r="Q881" s="157">
        <f>SUM(Q879:Q880)</f>
        <v>0</v>
      </c>
      <c r="R881" s="157">
        <f>SUM(R879:R880)</f>
        <v>0</v>
      </c>
      <c r="S881" s="226"/>
      <c r="T881" s="157">
        <f>SUM(T879:T880)</f>
        <v>0</v>
      </c>
      <c r="U881" s="157">
        <f>SUM(U879:U880)</f>
        <v>0</v>
      </c>
      <c r="V881" s="140"/>
      <c r="W881" s="157">
        <f>HLOOKUP($W$9,'ROR-Model'!$Q$10:$U$1263,Y881)</f>
        <v>0</v>
      </c>
      <c r="X881" s="156"/>
      <c r="Y881" s="918">
        <f t="shared" si="52"/>
        <v>872</v>
      </c>
      <c r="AA881" s="157">
        <v>0</v>
      </c>
      <c r="AC881" s="157" t="str">
        <f t="shared" si="53"/>
        <v/>
      </c>
      <c r="AE881" s="44" t="str">
        <f t="shared" si="54"/>
        <v/>
      </c>
    </row>
    <row r="882" spans="1:31">
      <c r="A882" s="195"/>
      <c r="B882" s="52"/>
      <c r="C882" s="52"/>
      <c r="D882" s="52"/>
      <c r="E882" s="9">
        <f>+G882-Adjustments!G882</f>
        <v>0</v>
      </c>
      <c r="F882" s="9"/>
      <c r="G882" s="9"/>
      <c r="H882" s="9"/>
      <c r="I882" s="9"/>
      <c r="J882" s="9">
        <f>+I882-'ROR-Model'!I882</f>
        <v>0</v>
      </c>
      <c r="K882" s="156"/>
      <c r="L882" s="9"/>
      <c r="M882" s="9"/>
      <c r="N882" s="156"/>
      <c r="O882" s="136"/>
      <c r="P882" s="216"/>
      <c r="Q882" s="9"/>
      <c r="R882" s="9"/>
      <c r="S882" s="142"/>
      <c r="T882" s="9"/>
      <c r="U882" s="9"/>
      <c r="V882" s="140"/>
      <c r="W882" s="9"/>
      <c r="X882" s="156"/>
      <c r="Y882" s="918">
        <f t="shared" si="52"/>
        <v>873</v>
      </c>
      <c r="AA882" s="9"/>
      <c r="AC882" s="9" t="str">
        <f t="shared" si="53"/>
        <v/>
      </c>
      <c r="AE882" s="44" t="str">
        <f t="shared" si="54"/>
        <v/>
      </c>
    </row>
    <row r="883" spans="1:31">
      <c r="A883" s="195">
        <v>9302</v>
      </c>
      <c r="B883" s="52" t="s">
        <v>419</v>
      </c>
      <c r="C883" s="52"/>
      <c r="D883" s="52"/>
      <c r="E883" s="9">
        <f>+G883-Adjustments!G883</f>
        <v>0</v>
      </c>
      <c r="F883" s="9"/>
      <c r="G883" s="9"/>
      <c r="H883" s="9"/>
      <c r="I883" s="9"/>
      <c r="J883" s="9">
        <f>+I883-'ROR-Model'!I883</f>
        <v>0</v>
      </c>
      <c r="K883" s="9"/>
      <c r="L883" s="9"/>
      <c r="M883" s="9"/>
      <c r="N883" s="9"/>
      <c r="O883" s="136"/>
      <c r="P883" s="142"/>
      <c r="Q883" s="9"/>
      <c r="R883" s="9"/>
      <c r="S883" s="142"/>
      <c r="T883" s="9"/>
      <c r="U883" s="9"/>
      <c r="V883" s="140"/>
      <c r="W883" s="9"/>
      <c r="X883" s="156"/>
      <c r="Y883" s="918">
        <f t="shared" si="52"/>
        <v>874</v>
      </c>
      <c r="AA883" s="9"/>
      <c r="AC883" s="9" t="str">
        <f t="shared" si="53"/>
        <v/>
      </c>
      <c r="AE883" s="44" t="str">
        <f t="shared" si="54"/>
        <v/>
      </c>
    </row>
    <row r="884" spans="1:31">
      <c r="A884" s="195"/>
      <c r="C884" s="52" t="s">
        <v>13</v>
      </c>
      <c r="D884" s="52"/>
      <c r="E884" s="9">
        <f>+G884-Adjustments!G884</f>
        <v>7353381.9971292093</v>
      </c>
      <c r="F884" s="9">
        <f>EXPENSES!F367</f>
        <v>2062151.78</v>
      </c>
      <c r="G884" s="9">
        <f>Adjustments!U874</f>
        <v>7353381.9971292093</v>
      </c>
      <c r="H884" s="9"/>
      <c r="I884" s="9">
        <f>SUM(F884:H884)</f>
        <v>9415533.7771292087</v>
      </c>
      <c r="J884" s="9">
        <f>+I884-'ROR-Model'!I884</f>
        <v>0</v>
      </c>
      <c r="K884" s="9"/>
      <c r="L884" s="9" t="s">
        <v>13</v>
      </c>
      <c r="M884" s="9">
        <f>VLOOKUP($L884,$L$2:$N$7,2,FALSE)*I884</f>
        <v>9415533.7771292087</v>
      </c>
      <c r="N884" s="9">
        <f>VLOOKUP($L884,$L$2:$N$7,3,FALSE)*I884</f>
        <v>0</v>
      </c>
      <c r="O884" s="136"/>
      <c r="P884" s="216" t="s">
        <v>549</v>
      </c>
      <c r="Q884" s="9">
        <f>IF(P884="G",M884,IF(P884="PT",0,ERR))</f>
        <v>9415533.7771292087</v>
      </c>
      <c r="R884" s="9">
        <f>IF(P884="PT",M884,IF(P884="G",0,ERR))</f>
        <v>0</v>
      </c>
      <c r="S884" s="142" t="s">
        <v>549</v>
      </c>
      <c r="T884" s="9">
        <f>IF(S884="G",N884,IF(S884="PT",0,ERR))</f>
        <v>0</v>
      </c>
      <c r="U884" s="9">
        <f>IF(S884="PT",N884,IF(S884="G",0,ERR))</f>
        <v>0</v>
      </c>
      <c r="V884" s="140"/>
      <c r="W884" s="9">
        <f>HLOOKUP($W$9,'ROR-Model'!$Q$10:$U$1263,Y884)</f>
        <v>9415533.7771292087</v>
      </c>
      <c r="X884" s="156"/>
      <c r="Y884" s="918">
        <f t="shared" si="52"/>
        <v>875</v>
      </c>
      <c r="AA884" s="9">
        <v>0</v>
      </c>
      <c r="AC884" s="9" t="str">
        <f t="shared" si="53"/>
        <v/>
      </c>
      <c r="AE884" s="44" t="str">
        <f t="shared" si="54"/>
        <v/>
      </c>
    </row>
    <row r="885" spans="1:31">
      <c r="A885" s="195"/>
      <c r="C885" s="52" t="s">
        <v>24</v>
      </c>
      <c r="D885" s="52"/>
      <c r="E885" s="9">
        <f>+G885-Adjustments!G885</f>
        <v>247945.00287079066</v>
      </c>
      <c r="F885" s="9">
        <f>EXPENSES!F368</f>
        <v>42540.13</v>
      </c>
      <c r="G885" s="9">
        <f>Adjustments!U875</f>
        <v>247945.00287079066</v>
      </c>
      <c r="H885" s="9"/>
      <c r="I885" s="9">
        <f>SUM(F885:H885)</f>
        <v>290485.13287079067</v>
      </c>
      <c r="J885" s="9">
        <f>+I885-'ROR-Model'!I885</f>
        <v>0</v>
      </c>
      <c r="K885" s="9"/>
      <c r="L885" s="9" t="s">
        <v>24</v>
      </c>
      <c r="M885" s="9">
        <f>VLOOKUP($L885,$L$2:$N$7,2,FALSE)*I885</f>
        <v>0</v>
      </c>
      <c r="N885" s="9">
        <f>VLOOKUP($L885,$L$2:$N$7,3,FALSE)*I885</f>
        <v>290485.13287079067</v>
      </c>
      <c r="O885" s="136"/>
      <c r="P885" s="216" t="s">
        <v>549</v>
      </c>
      <c r="Q885" s="9">
        <f>IF(P885="G",M885,IF(P885="PT",0,ERR))</f>
        <v>0</v>
      </c>
      <c r="R885" s="9">
        <f>IF(P885="PT",M885,IF(P885="G",0,ERR))</f>
        <v>0</v>
      </c>
      <c r="S885" s="142" t="s">
        <v>549</v>
      </c>
      <c r="T885" s="9">
        <f>IF(S885="G",N885,IF(S885="PT",0,ERR))</f>
        <v>290485.13287079067</v>
      </c>
      <c r="U885" s="9">
        <f>IF(S885="PT",N885,IF(S885="G",0,ERR))</f>
        <v>0</v>
      </c>
      <c r="V885" s="140"/>
      <c r="W885" s="9">
        <f>HLOOKUP($W$9,'ROR-Model'!$Q$10:$U$1263,Y885)</f>
        <v>0</v>
      </c>
      <c r="X885" s="156"/>
      <c r="Y885" s="918">
        <f t="shared" si="52"/>
        <v>876</v>
      </c>
      <c r="AA885" s="9">
        <v>39920.820000000007</v>
      </c>
      <c r="AC885" s="9">
        <f t="shared" si="53"/>
        <v>-39920.820000000007</v>
      </c>
      <c r="AE885" s="44">
        <f t="shared" si="54"/>
        <v>-1</v>
      </c>
    </row>
    <row r="886" spans="1:31">
      <c r="A886" s="195"/>
      <c r="C886" s="52" t="s">
        <v>160</v>
      </c>
      <c r="D886" s="52"/>
      <c r="E886" s="157">
        <f>+G886-Adjustments!G886</f>
        <v>7601327</v>
      </c>
      <c r="F886" s="157">
        <f>SUM(F884:F885)</f>
        <v>2104691.91</v>
      </c>
      <c r="G886" s="157">
        <f>Adjustments!U876</f>
        <v>7601327</v>
      </c>
      <c r="H886" s="157"/>
      <c r="I886" s="157">
        <f>SUM(I884:I885)</f>
        <v>9706018.9100000001</v>
      </c>
      <c r="J886" s="9">
        <f>+I886-'ROR-Model'!I886</f>
        <v>0</v>
      </c>
      <c r="K886" s="9"/>
      <c r="L886" s="157"/>
      <c r="M886" s="157">
        <f>SUM(M884:M885)</f>
        <v>9415533.7771292087</v>
      </c>
      <c r="N886" s="157">
        <f>SUM(N884:N885)</f>
        <v>290485.13287079067</v>
      </c>
      <c r="O886" s="136"/>
      <c r="P886" s="226"/>
      <c r="Q886" s="157">
        <f>SUM(Q884:Q885)</f>
        <v>9415533.7771292087</v>
      </c>
      <c r="R886" s="157">
        <f>SUM(R884:R885)</f>
        <v>0</v>
      </c>
      <c r="S886" s="226"/>
      <c r="T886" s="157">
        <f>SUM(T884:T885)</f>
        <v>290485.13287079067</v>
      </c>
      <c r="U886" s="157">
        <f>SUM(U884:U885)</f>
        <v>0</v>
      </c>
      <c r="V886" s="140"/>
      <c r="W886" s="157">
        <f>HLOOKUP($W$9,'ROR-Model'!$Q$10:$U$1263,Y886)</f>
        <v>9415533.7771292087</v>
      </c>
      <c r="X886" s="156"/>
      <c r="Y886" s="918">
        <f t="shared" si="52"/>
        <v>877</v>
      </c>
      <c r="AA886" s="157">
        <v>39920.820000000007</v>
      </c>
      <c r="AC886" s="157">
        <f t="shared" si="53"/>
        <v>9375612.9571292084</v>
      </c>
      <c r="AE886" s="44">
        <f t="shared" si="54"/>
        <v>234.85521983589533</v>
      </c>
    </row>
    <row r="887" spans="1:31">
      <c r="A887" s="195"/>
      <c r="B887" s="52"/>
      <c r="C887" s="52"/>
      <c r="D887" s="52"/>
      <c r="E887" s="9">
        <f>+G887-Adjustments!G887</f>
        <v>0</v>
      </c>
      <c r="F887" s="9"/>
      <c r="G887" s="9"/>
      <c r="H887" s="9"/>
      <c r="I887" s="9"/>
      <c r="J887" s="9">
        <f>+I887-'ROR-Model'!I887</f>
        <v>0</v>
      </c>
      <c r="K887" s="156"/>
      <c r="L887" s="9"/>
      <c r="M887" s="9"/>
      <c r="N887" s="156"/>
      <c r="O887" s="136"/>
      <c r="P887" s="216"/>
      <c r="Q887" s="9"/>
      <c r="R887" s="9"/>
      <c r="S887" s="142"/>
      <c r="T887" s="9"/>
      <c r="U887" s="9"/>
      <c r="V887" s="140"/>
      <c r="W887" s="9"/>
      <c r="X887" s="156"/>
      <c r="Y887" s="918">
        <f t="shared" si="52"/>
        <v>878</v>
      </c>
      <c r="AA887" s="9"/>
      <c r="AC887" s="9" t="str">
        <f t="shared" si="53"/>
        <v/>
      </c>
      <c r="AE887" s="44" t="str">
        <f t="shared" si="54"/>
        <v/>
      </c>
    </row>
    <row r="888" spans="1:31">
      <c r="A888" s="195">
        <v>931</v>
      </c>
      <c r="B888" s="52" t="s">
        <v>370</v>
      </c>
      <c r="C888" s="52"/>
      <c r="D888" s="52"/>
      <c r="E888" s="9">
        <f>+G888-Adjustments!G888</f>
        <v>0</v>
      </c>
      <c r="F888" s="9"/>
      <c r="G888" s="9"/>
      <c r="H888" s="9"/>
      <c r="I888" s="9"/>
      <c r="J888" s="9">
        <f>+I888-'ROR-Model'!I888</f>
        <v>0</v>
      </c>
      <c r="K888" s="9"/>
      <c r="L888" s="9"/>
      <c r="M888" s="9"/>
      <c r="N888" s="9"/>
      <c r="O888" s="136"/>
      <c r="P888" s="142"/>
      <c r="Q888" s="9"/>
      <c r="R888" s="9"/>
      <c r="S888" s="142"/>
      <c r="T888" s="9"/>
      <c r="U888" s="9"/>
      <c r="V888" s="140"/>
      <c r="W888" s="9"/>
      <c r="X888" s="156"/>
      <c r="Y888" s="918">
        <f t="shared" si="52"/>
        <v>879</v>
      </c>
      <c r="AA888" s="9"/>
      <c r="AC888" s="9" t="str">
        <f t="shared" si="53"/>
        <v/>
      </c>
      <c r="AE888" s="44" t="str">
        <f t="shared" si="54"/>
        <v/>
      </c>
    </row>
    <row r="889" spans="1:31">
      <c r="A889" s="195"/>
      <c r="C889" s="52" t="s">
        <v>13</v>
      </c>
      <c r="D889" s="52"/>
      <c r="E889" s="9">
        <f>+G889-Adjustments!G889</f>
        <v>0</v>
      </c>
      <c r="F889" s="9">
        <f>EXPENSES!F371</f>
        <v>849584.07999999984</v>
      </c>
      <c r="G889" s="9">
        <f>Adjustments!U878</f>
        <v>0</v>
      </c>
      <c r="H889" s="9"/>
      <c r="I889" s="9">
        <f>SUM(F889:H889)</f>
        <v>849584.07999999984</v>
      </c>
      <c r="J889" s="9">
        <f>+I889-'ROR-Model'!I889</f>
        <v>0</v>
      </c>
      <c r="K889" s="9"/>
      <c r="L889" s="9" t="s">
        <v>13</v>
      </c>
      <c r="M889" s="9">
        <f>VLOOKUP($L889,$L$2:$N$7,2,FALSE)*I889</f>
        <v>849584.07999999984</v>
      </c>
      <c r="N889" s="9">
        <f>VLOOKUP($L889,$L$2:$N$7,3,FALSE)*I889</f>
        <v>0</v>
      </c>
      <c r="O889" s="136"/>
      <c r="P889" s="216" t="s">
        <v>549</v>
      </c>
      <c r="Q889" s="9">
        <f>IF(P889="G",M889,IF(P889="PT",0,ERR))</f>
        <v>849584.07999999984</v>
      </c>
      <c r="R889" s="9">
        <f>IF(P889="PT",M889,IF(P889="G",0,ERR))</f>
        <v>0</v>
      </c>
      <c r="S889" s="142" t="s">
        <v>549</v>
      </c>
      <c r="T889" s="9">
        <f>IF(S889="G",N889,IF(S889="PT",0,ERR))</f>
        <v>0</v>
      </c>
      <c r="U889" s="9">
        <f>IF(S889="PT",N889,IF(S889="G",0,ERR))</f>
        <v>0</v>
      </c>
      <c r="V889" s="140"/>
      <c r="W889" s="9">
        <f>HLOOKUP($W$9,'ROR-Model'!$Q$10:$U$1263,Y889)</f>
        <v>849584.07999999984</v>
      </c>
      <c r="X889" s="156"/>
      <c r="Y889" s="918">
        <f t="shared" si="52"/>
        <v>880</v>
      </c>
      <c r="AA889" s="9">
        <v>0</v>
      </c>
      <c r="AC889" s="9" t="str">
        <f t="shared" si="53"/>
        <v/>
      </c>
      <c r="AE889" s="44" t="str">
        <f t="shared" si="54"/>
        <v/>
      </c>
    </row>
    <row r="890" spans="1:31">
      <c r="A890" s="195"/>
      <c r="C890" s="52" t="s">
        <v>24</v>
      </c>
      <c r="D890" s="52"/>
      <c r="E890" s="9">
        <f>+G890-Adjustments!G890</f>
        <v>0</v>
      </c>
      <c r="F890" s="9">
        <f>EXPENSES!F372</f>
        <v>27802.480000000003</v>
      </c>
      <c r="G890" s="9">
        <f>Adjustments!U879</f>
        <v>0</v>
      </c>
      <c r="H890" s="9"/>
      <c r="I890" s="9">
        <f>SUM(F890:H890)</f>
        <v>27802.480000000003</v>
      </c>
      <c r="J890" s="9">
        <f>+I890-'ROR-Model'!I890</f>
        <v>0</v>
      </c>
      <c r="K890" s="9"/>
      <c r="L890" s="9" t="s">
        <v>24</v>
      </c>
      <c r="M890" s="9">
        <f>VLOOKUP($L890,$L$2:$N$7,2,FALSE)*I890</f>
        <v>0</v>
      </c>
      <c r="N890" s="9">
        <f>VLOOKUP($L890,$L$2:$N$7,3,FALSE)*I890</f>
        <v>27802.480000000003</v>
      </c>
      <c r="O890" s="136"/>
      <c r="P890" s="216" t="s">
        <v>549</v>
      </c>
      <c r="Q890" s="9">
        <f>IF(P890="G",M890,IF(P890="PT",0,ERR))</f>
        <v>0</v>
      </c>
      <c r="R890" s="9">
        <f>IF(P890="PT",M890,IF(P890="G",0,ERR))</f>
        <v>0</v>
      </c>
      <c r="S890" s="142" t="s">
        <v>549</v>
      </c>
      <c r="T890" s="9">
        <f>IF(S890="G",N890,IF(S890="PT",0,ERR))</f>
        <v>27802.480000000003</v>
      </c>
      <c r="U890" s="9">
        <f>IF(S890="PT",N890,IF(S890="G",0,ERR))</f>
        <v>0</v>
      </c>
      <c r="V890" s="140"/>
      <c r="W890" s="9">
        <f>HLOOKUP($W$9,'ROR-Model'!$Q$10:$U$1263,Y890)</f>
        <v>0</v>
      </c>
      <c r="X890" s="156"/>
      <c r="Y890" s="918">
        <f t="shared" si="52"/>
        <v>881</v>
      </c>
      <c r="AA890" s="9">
        <v>34455.54</v>
      </c>
      <c r="AC890" s="9">
        <f t="shared" si="53"/>
        <v>-34455.54</v>
      </c>
      <c r="AE890" s="44">
        <f t="shared" si="54"/>
        <v>-1</v>
      </c>
    </row>
    <row r="891" spans="1:31">
      <c r="A891" s="195"/>
      <c r="C891" s="52" t="s">
        <v>160</v>
      </c>
      <c r="D891" s="52"/>
      <c r="E891" s="157">
        <f>+G891-Adjustments!G891</f>
        <v>0</v>
      </c>
      <c r="F891" s="157">
        <f>SUM(F889:F890)</f>
        <v>877386.55999999982</v>
      </c>
      <c r="G891" s="157">
        <f>Adjustments!U880</f>
        <v>0</v>
      </c>
      <c r="H891" s="157"/>
      <c r="I891" s="157">
        <f>SUM(I889:I890)</f>
        <v>877386.55999999982</v>
      </c>
      <c r="J891" s="9">
        <f>+I891-'ROR-Model'!I891</f>
        <v>0</v>
      </c>
      <c r="K891" s="9"/>
      <c r="L891" s="157"/>
      <c r="M891" s="157">
        <f>SUM(M889:M890)</f>
        <v>849584.07999999984</v>
      </c>
      <c r="N891" s="157">
        <f>SUM(N889:N890)</f>
        <v>27802.480000000003</v>
      </c>
      <c r="O891" s="136"/>
      <c r="P891" s="226"/>
      <c r="Q891" s="157">
        <f>SUM(Q889:Q890)</f>
        <v>849584.07999999984</v>
      </c>
      <c r="R891" s="157">
        <f>SUM(R889:R890)</f>
        <v>0</v>
      </c>
      <c r="S891" s="226"/>
      <c r="T891" s="157">
        <f>SUM(T889:T890)</f>
        <v>27802.480000000003</v>
      </c>
      <c r="U891" s="157">
        <f>SUM(U889:U890)</f>
        <v>0</v>
      </c>
      <c r="V891" s="140"/>
      <c r="W891" s="157">
        <f>HLOOKUP($W$9,'ROR-Model'!$Q$10:$U$1263,Y891)</f>
        <v>849584.07999999984</v>
      </c>
      <c r="X891" s="156"/>
      <c r="Y891" s="918">
        <f t="shared" si="52"/>
        <v>882</v>
      </c>
      <c r="AA891" s="157">
        <v>34455.54</v>
      </c>
      <c r="AC891" s="157">
        <f t="shared" si="53"/>
        <v>815128.5399999998</v>
      </c>
      <c r="AE891" s="44">
        <f t="shared" si="54"/>
        <v>23.657401393215714</v>
      </c>
    </row>
    <row r="892" spans="1:31">
      <c r="A892" s="195"/>
      <c r="B892" s="52"/>
      <c r="C892" s="52"/>
      <c r="D892" s="52"/>
      <c r="E892" s="9">
        <f>+G892-Adjustments!G892</f>
        <v>20972049.120000001</v>
      </c>
      <c r="F892" s="9"/>
      <c r="G892" s="9"/>
      <c r="H892" s="9"/>
      <c r="I892" s="9"/>
      <c r="J892" s="9">
        <f>+I892-'ROR-Model'!I892</f>
        <v>0</v>
      </c>
      <c r="K892" s="156"/>
      <c r="L892" s="9"/>
      <c r="M892" s="9"/>
      <c r="N892" s="156"/>
      <c r="O892" s="136"/>
      <c r="P892" s="216"/>
      <c r="Q892" s="9"/>
      <c r="R892" s="9"/>
      <c r="S892" s="142"/>
      <c r="T892" s="9"/>
      <c r="U892" s="9"/>
      <c r="V892" s="140"/>
      <c r="W892" s="9"/>
      <c r="X892" s="156"/>
      <c r="Y892" s="918">
        <f t="shared" si="52"/>
        <v>883</v>
      </c>
      <c r="AA892" s="9"/>
      <c r="AC892" s="9" t="str">
        <f t="shared" si="53"/>
        <v/>
      </c>
      <c r="AE892" s="44" t="str">
        <f t="shared" si="54"/>
        <v/>
      </c>
    </row>
    <row r="893" spans="1:31">
      <c r="A893" s="195" t="s">
        <v>816</v>
      </c>
      <c r="B893" s="52" t="s">
        <v>420</v>
      </c>
      <c r="C893" s="52"/>
      <c r="D893" s="52"/>
      <c r="E893" s="9">
        <f>+G893-Adjustments!G893</f>
        <v>0</v>
      </c>
      <c r="F893" s="9"/>
      <c r="G893" s="9"/>
      <c r="H893" s="9"/>
      <c r="I893" s="9"/>
      <c r="J893" s="9">
        <f>+I893-'ROR-Model'!I893</f>
        <v>0</v>
      </c>
      <c r="K893" s="9"/>
      <c r="L893" s="9"/>
      <c r="M893" s="9"/>
      <c r="N893" s="9"/>
      <c r="O893" s="136"/>
      <c r="P893" s="142"/>
      <c r="Q893" s="9"/>
      <c r="R893" s="9"/>
      <c r="S893" s="142"/>
      <c r="T893" s="9"/>
      <c r="U893" s="9"/>
      <c r="V893" s="140"/>
      <c r="W893" s="9"/>
      <c r="X893" s="156"/>
      <c r="Y893" s="918">
        <f t="shared" si="52"/>
        <v>884</v>
      </c>
      <c r="AA893" s="9"/>
      <c r="AC893" s="9" t="str">
        <f t="shared" si="53"/>
        <v/>
      </c>
      <c r="AE893" s="44" t="str">
        <f t="shared" si="54"/>
        <v/>
      </c>
    </row>
    <row r="894" spans="1:31">
      <c r="A894" s="195"/>
      <c r="C894" s="52" t="s">
        <v>13</v>
      </c>
      <c r="D894" s="52"/>
      <c r="E894" s="9">
        <f>+G894-Adjustments!G894</f>
        <v>0</v>
      </c>
      <c r="F894" s="9">
        <f>EXPENSES!F375</f>
        <v>0</v>
      </c>
      <c r="G894" s="9">
        <f>Adjustments!U882</f>
        <v>0</v>
      </c>
      <c r="H894" s="9"/>
      <c r="I894" s="9">
        <f>SUM(F894:H894)</f>
        <v>0</v>
      </c>
      <c r="J894" s="9">
        <f>+I894-'ROR-Model'!I894</f>
        <v>0</v>
      </c>
      <c r="K894" s="9"/>
      <c r="L894" s="9" t="s">
        <v>13</v>
      </c>
      <c r="M894" s="9">
        <f>VLOOKUP($L894,$L$2:$N$7,2,FALSE)*I894</f>
        <v>0</v>
      </c>
      <c r="N894" s="9">
        <f>VLOOKUP($L894,$L$2:$N$7,3,FALSE)*I894</f>
        <v>0</v>
      </c>
      <c r="O894" s="136"/>
      <c r="P894" s="216" t="s">
        <v>549</v>
      </c>
      <c r="Q894" s="9">
        <f>IF(P894="G",M894,IF(P894="PT",0,ERR))</f>
        <v>0</v>
      </c>
      <c r="R894" s="9">
        <f>IF(P894="PT",M894,IF(P894="G",0,ERR))</f>
        <v>0</v>
      </c>
      <c r="S894" s="142" t="s">
        <v>549</v>
      </c>
      <c r="T894" s="9">
        <f>IF(S894="G",N894,IF(S894="PT",0,ERR))</f>
        <v>0</v>
      </c>
      <c r="U894" s="9">
        <f>IF(S894="PT",N894,IF(S894="G",0,ERR))</f>
        <v>0</v>
      </c>
      <c r="V894" s="140"/>
      <c r="W894" s="9">
        <f>HLOOKUP($W$9,'ROR-Model'!$Q$10:$U$1263,Y894)</f>
        <v>0</v>
      </c>
      <c r="X894" s="156"/>
      <c r="Y894" s="918">
        <f t="shared" si="52"/>
        <v>885</v>
      </c>
      <c r="AA894" s="9">
        <v>0</v>
      </c>
      <c r="AC894" s="9" t="str">
        <f t="shared" si="53"/>
        <v/>
      </c>
      <c r="AE894" s="44" t="str">
        <f t="shared" si="54"/>
        <v/>
      </c>
    </row>
    <row r="895" spans="1:31">
      <c r="A895" s="195"/>
      <c r="C895" s="52" t="s">
        <v>24</v>
      </c>
      <c r="D895" s="52"/>
      <c r="E895" s="9">
        <f>+G895-Adjustments!G895</f>
        <v>0</v>
      </c>
      <c r="F895" s="9">
        <f>EXPENSES!F376</f>
        <v>0</v>
      </c>
      <c r="G895" s="9">
        <f>Adjustments!U883</f>
        <v>0</v>
      </c>
      <c r="H895" s="9"/>
      <c r="I895" s="9">
        <f>SUM(F895:H895)</f>
        <v>0</v>
      </c>
      <c r="J895" s="9">
        <f>+I895-'ROR-Model'!I895</f>
        <v>0</v>
      </c>
      <c r="K895" s="9"/>
      <c r="L895" s="9" t="s">
        <v>24</v>
      </c>
      <c r="M895" s="9">
        <f>VLOOKUP($L895,$L$2:$N$7,2,FALSE)*I895</f>
        <v>0</v>
      </c>
      <c r="N895" s="9">
        <f>VLOOKUP($L895,$L$2:$N$7,3,FALSE)*I895</f>
        <v>0</v>
      </c>
      <c r="O895" s="136"/>
      <c r="P895" s="216" t="s">
        <v>549</v>
      </c>
      <c r="Q895" s="9">
        <f>IF(P895="G",M895,IF(P895="PT",0,ERR))</f>
        <v>0</v>
      </c>
      <c r="R895" s="9">
        <f>IF(P895="PT",M895,IF(P895="G",0,ERR))</f>
        <v>0</v>
      </c>
      <c r="S895" s="142" t="s">
        <v>549</v>
      </c>
      <c r="T895" s="9">
        <f>IF(S895="G",N895,IF(S895="PT",0,ERR))</f>
        <v>0</v>
      </c>
      <c r="U895" s="9">
        <f>IF(S895="PT",N895,IF(S895="G",0,ERR))</f>
        <v>0</v>
      </c>
      <c r="V895" s="140"/>
      <c r="W895" s="9">
        <f>HLOOKUP($W$9,'ROR-Model'!$Q$10:$U$1263,Y895)</f>
        <v>0</v>
      </c>
      <c r="X895" s="156"/>
      <c r="Y895" s="918">
        <f t="shared" si="52"/>
        <v>886</v>
      </c>
      <c r="AA895" s="9">
        <v>0</v>
      </c>
      <c r="AC895" s="9" t="str">
        <f t="shared" si="53"/>
        <v/>
      </c>
      <c r="AE895" s="44" t="str">
        <f t="shared" si="54"/>
        <v/>
      </c>
    </row>
    <row r="896" spans="1:31">
      <c r="A896" s="195"/>
      <c r="C896" s="52" t="s">
        <v>160</v>
      </c>
      <c r="D896" s="52"/>
      <c r="E896" s="157">
        <f>+G896-Adjustments!G896</f>
        <v>0</v>
      </c>
      <c r="F896" s="157">
        <f>SUM(F894:F895)</f>
        <v>0</v>
      </c>
      <c r="G896" s="157">
        <f>Adjustments!U884</f>
        <v>0</v>
      </c>
      <c r="H896" s="157"/>
      <c r="I896" s="157">
        <f>SUM(I894:I895)</f>
        <v>0</v>
      </c>
      <c r="J896" s="9">
        <f>+I896-'ROR-Model'!I896</f>
        <v>0</v>
      </c>
      <c r="K896" s="9"/>
      <c r="L896" s="157"/>
      <c r="M896" s="157">
        <f>SUM(M894:M895)</f>
        <v>0</v>
      </c>
      <c r="N896" s="157">
        <f>SUM(N894:N895)</f>
        <v>0</v>
      </c>
      <c r="O896" s="136"/>
      <c r="P896" s="226"/>
      <c r="Q896" s="157">
        <f>SUM(Q894:Q895)</f>
        <v>0</v>
      </c>
      <c r="R896" s="157">
        <f>SUM(R894:R895)</f>
        <v>0</v>
      </c>
      <c r="S896" s="226"/>
      <c r="T896" s="157">
        <f>SUM(T894:T895)</f>
        <v>0</v>
      </c>
      <c r="U896" s="157">
        <f>SUM(U894:U895)</f>
        <v>0</v>
      </c>
      <c r="V896" s="140"/>
      <c r="W896" s="157">
        <f>HLOOKUP($W$9,'ROR-Model'!$Q$10:$U$1263,Y896)</f>
        <v>0</v>
      </c>
      <c r="X896" s="156"/>
      <c r="Y896" s="918">
        <f t="shared" si="52"/>
        <v>887</v>
      </c>
      <c r="AA896" s="157">
        <v>0</v>
      </c>
      <c r="AC896" s="157" t="str">
        <f t="shared" si="53"/>
        <v/>
      </c>
      <c r="AE896" s="44" t="str">
        <f t="shared" si="54"/>
        <v/>
      </c>
    </row>
    <row r="897" spans="1:31" ht="13.5" thickBot="1">
      <c r="A897" s="190"/>
      <c r="B897" s="52"/>
      <c r="C897" s="52"/>
      <c r="D897" s="52"/>
      <c r="E897" s="9">
        <f>+G897-Adjustments!G897</f>
        <v>0</v>
      </c>
      <c r="F897" s="9"/>
      <c r="G897" s="9"/>
      <c r="H897" s="9"/>
      <c r="I897" s="9"/>
      <c r="J897" s="9">
        <f>+I897-'ROR-Model'!I897</f>
        <v>0</v>
      </c>
      <c r="K897" s="229"/>
      <c r="L897" s="175"/>
      <c r="M897" s="175"/>
      <c r="N897" s="229"/>
      <c r="O897" s="136"/>
      <c r="P897" s="175"/>
      <c r="Q897" s="175"/>
      <c r="R897" s="175"/>
      <c r="S897" s="229"/>
      <c r="T897" s="175"/>
      <c r="U897" s="175"/>
      <c r="V897" s="140"/>
      <c r="W897" s="175"/>
      <c r="X897" s="156"/>
      <c r="Y897" s="918">
        <f t="shared" si="52"/>
        <v>888</v>
      </c>
      <c r="AA897" s="175"/>
      <c r="AC897" s="175" t="str">
        <f t="shared" si="53"/>
        <v/>
      </c>
      <c r="AE897" s="44" t="str">
        <f t="shared" si="54"/>
        <v/>
      </c>
    </row>
    <row r="898" spans="1:31">
      <c r="A898" s="197" t="s">
        <v>421</v>
      </c>
      <c r="B898" s="55"/>
      <c r="C898" s="52"/>
      <c r="D898" s="52"/>
      <c r="E898" s="25">
        <f>+G898-Adjustments!G898</f>
        <v>0</v>
      </c>
      <c r="F898" s="25"/>
      <c r="G898" s="25"/>
      <c r="H898" s="25"/>
      <c r="I898" s="25"/>
      <c r="J898" s="9">
        <f>+I898-'ROR-Model'!I898</f>
        <v>0</v>
      </c>
      <c r="K898" s="9"/>
      <c r="L898" s="9"/>
      <c r="M898" s="9"/>
      <c r="N898" s="9"/>
      <c r="O898" s="136"/>
      <c r="P898" s="9"/>
      <c r="Q898" s="9"/>
      <c r="R898" s="9"/>
      <c r="S898" s="142"/>
      <c r="T898" s="9"/>
      <c r="U898" s="9"/>
      <c r="V898" s="140"/>
      <c r="W898" s="9"/>
      <c r="X898" s="156"/>
      <c r="Y898" s="918">
        <f t="shared" si="52"/>
        <v>889</v>
      </c>
      <c r="AA898" s="9"/>
      <c r="AC898" s="9" t="str">
        <f t="shared" si="53"/>
        <v/>
      </c>
      <c r="AE898" s="44" t="str">
        <f t="shared" si="54"/>
        <v/>
      </c>
    </row>
    <row r="899" spans="1:31">
      <c r="A899" s="190"/>
      <c r="B899" s="575" t="s">
        <v>318</v>
      </c>
      <c r="C899" s="52"/>
      <c r="D899" s="52"/>
      <c r="E899" s="9">
        <f ca="1">+G899-Adjustments!G899</f>
        <v>27775788.802678902</v>
      </c>
      <c r="F899" s="9">
        <f>F894+F889+F884+F879+F874+F869+F864+F859+F854+F849+F844+F839</f>
        <v>38005870.859999999</v>
      </c>
      <c r="G899" s="9">
        <f ca="1">G894+G889+G884+G879+G874+G869+G864+G859+G854+G849+G844+G839</f>
        <v>27775788.802678902</v>
      </c>
      <c r="H899" s="9">
        <f t="shared" ref="G899:I900" si="55">H894+H889+H884+H879+H874+H869+H864+H859+H854+H849+H844+H839</f>
        <v>0</v>
      </c>
      <c r="I899" s="9">
        <f t="shared" ca="1" si="55"/>
        <v>65781659.66267889</v>
      </c>
      <c r="J899" s="9">
        <f ca="1">+I899-'ROR-Model'!I899</f>
        <v>0</v>
      </c>
      <c r="K899" s="9"/>
      <c r="L899" s="9"/>
      <c r="M899" s="9">
        <f ca="1">M894+M889+M884+M879+M874+M869+M864+M859+M854+M849+M844+M839</f>
        <v>65781659.66267889</v>
      </c>
      <c r="N899" s="9">
        <f ca="1">N894+N889+N884+N879+N874+N869+N864+N859+N854+N849+N844+N839</f>
        <v>0</v>
      </c>
      <c r="O899" s="136"/>
      <c r="P899" s="9"/>
      <c r="Q899" s="9">
        <f ca="1">Q894+Q889+Q884+Q879+Q874+Q869+Q864+Q859+Q854+Q849+Q844+Q839</f>
        <v>65781659.66267889</v>
      </c>
      <c r="R899" s="9">
        <f>R894+R889+R884+R879+R874+R869+R864+R859+R854+R849+R844+R839</f>
        <v>0</v>
      </c>
      <c r="S899" s="142"/>
      <c r="T899" s="9">
        <f ca="1">T894+T889+T884+T879+T874+T869+T864+T859+T854+T849+T844+T839</f>
        <v>0</v>
      </c>
      <c r="U899" s="9">
        <f>U894+U889+U884+U879+U874+U869+U864+U859+U854+U849+U844+U839</f>
        <v>0</v>
      </c>
      <c r="V899" s="140"/>
      <c r="W899" s="9">
        <f ca="1">W894+W889+W884+W879+W874+W869+W864+W859+W854+W849+W844+W839</f>
        <v>65781659.66267889</v>
      </c>
      <c r="X899" s="156"/>
      <c r="Y899" s="918">
        <f t="shared" si="52"/>
        <v>890</v>
      </c>
      <c r="AA899" s="9">
        <v>0</v>
      </c>
      <c r="AC899" s="9" t="str">
        <f t="shared" si="53"/>
        <v/>
      </c>
      <c r="AE899" s="44" t="str">
        <f t="shared" si="54"/>
        <v/>
      </c>
    </row>
    <row r="900" spans="1:31">
      <c r="A900" s="190"/>
      <c r="B900" s="575" t="s">
        <v>319</v>
      </c>
      <c r="C900" s="52"/>
      <c r="D900" s="52"/>
      <c r="E900" s="9">
        <f ca="1">+G900-Adjustments!G900</f>
        <v>925237.62195000343</v>
      </c>
      <c r="F900" s="9">
        <f>F895+F890+F885+F880+F875+F870+F865+F860+F855+F850+F845+F840</f>
        <v>1646962.22</v>
      </c>
      <c r="G900" s="9">
        <f t="shared" ca="1" si="55"/>
        <v>925237.62195000343</v>
      </c>
      <c r="H900" s="9">
        <f t="shared" si="55"/>
        <v>0</v>
      </c>
      <c r="I900" s="9">
        <f t="shared" ca="1" si="55"/>
        <v>2572199.8419500035</v>
      </c>
      <c r="J900" s="9">
        <f ca="1">+I900-'ROR-Model'!I900</f>
        <v>0</v>
      </c>
      <c r="K900" s="9"/>
      <c r="L900" s="9"/>
      <c r="M900" s="9">
        <f ca="1">M895+M890+M885+M880+M875+M870+M865+M860+M855+M850+M845+M840</f>
        <v>0</v>
      </c>
      <c r="N900" s="9">
        <f ca="1">N895+N890+N885+N880+N875+N870+N865+N860+N855+N850+N845+N840</f>
        <v>2572199.8419500035</v>
      </c>
      <c r="O900" s="136"/>
      <c r="P900" s="9"/>
      <c r="Q900" s="9">
        <f ca="1">Q895+Q890+Q885+Q880+Q875+Q870+Q865+Q860+Q855+Q850+Q845+Q840</f>
        <v>0</v>
      </c>
      <c r="R900" s="9">
        <f>R895+R890+R885+R880+R875+R870+R865+R860+R855+R850+R845+R840</f>
        <v>0</v>
      </c>
      <c r="S900" s="142"/>
      <c r="T900" s="9">
        <f ca="1">T895+T890+T885+T880+T875+T870+T865+T860+T855+T850+T845+T840</f>
        <v>2572199.8419500035</v>
      </c>
      <c r="U900" s="9">
        <f>U895+U890+U885+U880+U875+U870+U865+U860+U855+U850+U845+U840</f>
        <v>0</v>
      </c>
      <c r="V900" s="140"/>
      <c r="W900" s="9">
        <f ca="1">W895+W890+W885+W880+W875+W870+W865+W860+W855+W850+W845+W840</f>
        <v>0</v>
      </c>
      <c r="X900" s="156"/>
      <c r="Y900" s="918">
        <f t="shared" si="52"/>
        <v>891</v>
      </c>
      <c r="AA900" s="9">
        <v>2441260.0411811061</v>
      </c>
      <c r="AC900" s="9">
        <f t="shared" ca="1" si="53"/>
        <v>-2441260.0411811061</v>
      </c>
      <c r="AE900" s="44">
        <f t="shared" ca="1" si="54"/>
        <v>-1</v>
      </c>
    </row>
    <row r="901" spans="1:31" ht="13.5" thickBot="1">
      <c r="A901" s="190"/>
      <c r="B901" s="52"/>
      <c r="C901" s="52"/>
      <c r="D901" s="52"/>
      <c r="E901" s="9">
        <f>+G901-Adjustments!G901</f>
        <v>0</v>
      </c>
      <c r="F901" s="9"/>
      <c r="G901" s="9"/>
      <c r="H901" s="9"/>
      <c r="I901" s="9"/>
      <c r="J901" s="9">
        <f>+I901-'ROR-Model'!I901</f>
        <v>0</v>
      </c>
      <c r="K901" s="9"/>
      <c r="L901" s="9"/>
      <c r="M901" s="9"/>
      <c r="N901" s="9"/>
      <c r="O901" s="136"/>
      <c r="P901" s="9"/>
      <c r="Q901" s="9"/>
      <c r="R901" s="9"/>
      <c r="S901" s="142"/>
      <c r="T901" s="175"/>
      <c r="U901" s="175"/>
      <c r="V901" s="140"/>
      <c r="W901" s="175"/>
      <c r="X901" s="156"/>
      <c r="Y901" s="918">
        <f t="shared" si="52"/>
        <v>892</v>
      </c>
      <c r="AA901" s="175"/>
      <c r="AC901" s="175" t="str">
        <f t="shared" si="53"/>
        <v/>
      </c>
      <c r="AE901" s="44" t="str">
        <f t="shared" si="54"/>
        <v/>
      </c>
    </row>
    <row r="902" spans="1:31">
      <c r="A902" s="190"/>
      <c r="B902" s="197" t="s">
        <v>421</v>
      </c>
      <c r="C902" s="52"/>
      <c r="D902" s="52"/>
      <c r="E902" s="25">
        <f ca="1">+G902-Adjustments!G902</f>
        <v>28701026.424628902</v>
      </c>
      <c r="F902" s="25">
        <f>IF(F896+F891+F886+F881+F876+F871+F866+F861+F856+F851+F846+F841=F899+F900,F899+F900,"ERROR")</f>
        <v>39652833.079999998</v>
      </c>
      <c r="G902" s="25">
        <f ca="1">G896+G891+G886+G881+G876+G871+G866+G861+G856+G851+G846+G841</f>
        <v>28701026.424628902</v>
      </c>
      <c r="H902" s="25">
        <f>H896+H891+H886+H881+H876+H871+H866+H861+H856+H851+H846+H841</f>
        <v>0</v>
      </c>
      <c r="I902" s="25">
        <f ca="1">I896+I891+I886+I881+I876+I871+I866+I861+I856+I851+I846+I841</f>
        <v>68353859.504628897</v>
      </c>
      <c r="J902" s="9">
        <f ca="1">+I902-'ROR-Model'!I902</f>
        <v>0</v>
      </c>
      <c r="K902" s="25"/>
      <c r="L902" s="25">
        <f>L896+L891+L886+L881+L876+L871+L866+L861+L856+L851+L846+L841</f>
        <v>0</v>
      </c>
      <c r="M902" s="25">
        <f ca="1">M896+M891+M886+M881+M876+M871+M866+M861+M856+M851+M846+M841</f>
        <v>65781659.66267889</v>
      </c>
      <c r="N902" s="25">
        <f ca="1">N896+N891+N886+N881+N876+N871+N866+N861+N856+N851+N846+N841</f>
        <v>2572199.8419500035</v>
      </c>
      <c r="O902" s="136"/>
      <c r="P902" s="25"/>
      <c r="Q902" s="25">
        <f ca="1">Q896+Q891+Q886+Q881+Q876+Q871+Q866+Q861+Q856+Q851+Q846+Q841</f>
        <v>65781659.66267889</v>
      </c>
      <c r="R902" s="25">
        <f>R896+R891+R886+R881+R876+R871+R866+R861+R856+R851+R846+R841</f>
        <v>0</v>
      </c>
      <c r="S902" s="233"/>
      <c r="T902" s="25">
        <f ca="1">T896+T891+T886+T881+T876+T871+T866+T861+T856+T851+T846+T841</f>
        <v>2572199.8419500035</v>
      </c>
      <c r="U902" s="25">
        <f>U896+U891+U886+U881+U876+U871+U866+U861+U856+U851+U846+U841</f>
        <v>0</v>
      </c>
      <c r="V902" s="140"/>
      <c r="W902" s="25">
        <f ca="1">HLOOKUP($W$9,'ROR-Model'!$Q$10:$U$1263,Y902)</f>
        <v>65781659.66267889</v>
      </c>
      <c r="X902" s="156"/>
      <c r="Y902" s="918">
        <f t="shared" si="52"/>
        <v>893</v>
      </c>
      <c r="AA902" s="25">
        <v>2441260.0411811061</v>
      </c>
      <c r="AC902" s="25">
        <f t="shared" ca="1" si="53"/>
        <v>63340399.62149778</v>
      </c>
      <c r="AE902" s="44">
        <f t="shared" ca="1" si="54"/>
        <v>25.94578150341291</v>
      </c>
    </row>
    <row r="903" spans="1:31" ht="13.5" thickBot="1">
      <c r="A903" s="153"/>
      <c r="B903" s="49"/>
      <c r="C903" s="49"/>
      <c r="D903" s="49"/>
      <c r="E903" s="26">
        <f>+G903-Adjustments!G903</f>
        <v>0</v>
      </c>
      <c r="F903" s="26"/>
      <c r="G903" s="26"/>
      <c r="H903" s="26"/>
      <c r="I903" s="26"/>
      <c r="J903" s="9">
        <f>+I903-'ROR-Model'!I903</f>
        <v>0</v>
      </c>
      <c r="K903" s="9"/>
      <c r="L903" s="26"/>
      <c r="M903" s="26"/>
      <c r="N903" s="26"/>
      <c r="O903" s="136"/>
      <c r="P903" s="227"/>
      <c r="Q903" s="26"/>
      <c r="R903" s="26"/>
      <c r="S903" s="227"/>
      <c r="T903" s="26"/>
      <c r="U903" s="26"/>
      <c r="V903" s="140"/>
      <c r="W903" s="26"/>
      <c r="X903" s="156"/>
      <c r="Y903" s="918">
        <f t="shared" si="52"/>
        <v>894</v>
      </c>
      <c r="AA903" s="26"/>
      <c r="AC903" s="26" t="str">
        <f t="shared" si="53"/>
        <v/>
      </c>
      <c r="AE903" s="44" t="str">
        <f t="shared" si="54"/>
        <v/>
      </c>
    </row>
    <row r="904" spans="1:31" ht="13.5" thickTop="1">
      <c r="A904" s="153"/>
      <c r="B904" s="49"/>
      <c r="C904" s="49"/>
      <c r="D904" s="49"/>
      <c r="E904" s="9">
        <f>+G904-Adjustments!G904</f>
        <v>0</v>
      </c>
      <c r="F904" s="9"/>
      <c r="G904" s="9"/>
      <c r="H904" s="9"/>
      <c r="I904" s="9"/>
      <c r="J904" s="9">
        <f>+I904-'ROR-Model'!I904</f>
        <v>0</v>
      </c>
      <c r="K904" s="9"/>
      <c r="L904" s="9"/>
      <c r="M904" s="9"/>
      <c r="N904" s="9"/>
      <c r="O904" s="136"/>
      <c r="P904" s="142"/>
      <c r="Q904" s="9"/>
      <c r="R904" s="9"/>
      <c r="S904" s="142"/>
      <c r="T904" s="9"/>
      <c r="U904" s="9"/>
      <c r="V904" s="140"/>
      <c r="W904" s="9"/>
      <c r="X904" s="156"/>
      <c r="Y904" s="918">
        <f t="shared" si="52"/>
        <v>895</v>
      </c>
      <c r="AA904" s="9"/>
      <c r="AC904" s="9" t="str">
        <f t="shared" si="53"/>
        <v/>
      </c>
      <c r="AE904" s="44" t="str">
        <f t="shared" si="54"/>
        <v/>
      </c>
    </row>
    <row r="905" spans="1:31">
      <c r="A905" s="190"/>
      <c r="B905" s="197" t="s">
        <v>641</v>
      </c>
      <c r="C905" s="52"/>
      <c r="D905" s="52"/>
      <c r="E905" s="31">
        <f ca="1">+G905-Adjustments!G905</f>
        <v>6722569.6595016047</v>
      </c>
      <c r="F905" s="31">
        <f>F650+F753+F806+F834+F902</f>
        <v>137434097.47000003</v>
      </c>
      <c r="G905" s="9">
        <f ca="1">G650+G753+G806+G834+G902</f>
        <v>6722569.6595016047</v>
      </c>
      <c r="H905" s="9">
        <f>H650+H753+H806+H834+H902</f>
        <v>0</v>
      </c>
      <c r="I905" s="9">
        <f ca="1">I650+I753+I806+I834+I902</f>
        <v>144156667.12950161</v>
      </c>
      <c r="J905" s="9">
        <f ca="1">+I905-'ROR-Model'!I905</f>
        <v>0</v>
      </c>
      <c r="K905" s="9"/>
      <c r="L905" s="9"/>
      <c r="M905" s="718">
        <f ca="1">M650+M753+M806+M834+M902</f>
        <v>138143063.53718659</v>
      </c>
      <c r="N905" s="9">
        <f ca="1">N650+N753+N806+N834+N902</f>
        <v>6013603.5923150172</v>
      </c>
      <c r="O905" s="136"/>
      <c r="P905" s="9"/>
      <c r="Q905" s="9">
        <f ca="1">Q650+Q753+Q806+Q834+Q902</f>
        <v>138143063.53718659</v>
      </c>
      <c r="R905" s="9">
        <f>R650+R753+R806+R834+R902</f>
        <v>0</v>
      </c>
      <c r="S905" s="142"/>
      <c r="T905" s="9">
        <f ca="1">T650+T753+T806+T834+T902</f>
        <v>6013603.5923150172</v>
      </c>
      <c r="U905" s="9">
        <f>U650+U753+U806+U834+U902</f>
        <v>0</v>
      </c>
      <c r="V905" s="140"/>
      <c r="W905" s="9">
        <f ca="1">HLOOKUP($W$9,'ROR-Model'!$Q$10:$U$1263,Y905)</f>
        <v>138143063.53718659</v>
      </c>
      <c r="X905" s="156"/>
      <c r="Y905" s="918">
        <f t="shared" si="52"/>
        <v>896</v>
      </c>
      <c r="AA905" s="9">
        <v>6751804.0669446616</v>
      </c>
      <c r="AC905" s="9">
        <f t="shared" ca="1" si="53"/>
        <v>131391259.47024193</v>
      </c>
      <c r="AE905" s="44">
        <f t="shared" ca="1" si="54"/>
        <v>19.460170669570296</v>
      </c>
    </row>
    <row r="906" spans="1:31">
      <c r="A906" s="153"/>
      <c r="B906" s="49"/>
      <c r="C906" s="49"/>
      <c r="D906" s="49"/>
      <c r="E906" s="9">
        <f>+G906-Adjustments!G906</f>
        <v>0</v>
      </c>
      <c r="F906" s="9"/>
      <c r="G906" s="9"/>
      <c r="H906" s="9"/>
      <c r="I906" s="9"/>
      <c r="J906" s="9">
        <f>+I906-'ROR-Model'!I906</f>
        <v>0</v>
      </c>
      <c r="K906" s="9"/>
      <c r="L906" s="9"/>
      <c r="M906" s="9"/>
      <c r="N906" s="9"/>
      <c r="O906" s="136"/>
      <c r="P906" s="142"/>
      <c r="Q906" s="9"/>
      <c r="R906" s="9"/>
      <c r="S906" s="142"/>
      <c r="T906" s="9"/>
      <c r="U906" s="9"/>
      <c r="V906" s="140"/>
      <c r="W906" s="9"/>
      <c r="X906" s="156"/>
      <c r="Y906" s="918">
        <f t="shared" si="52"/>
        <v>897</v>
      </c>
      <c r="AA906" s="9"/>
      <c r="AC906" s="9" t="str">
        <f t="shared" si="53"/>
        <v/>
      </c>
      <c r="AE906" s="44" t="str">
        <f t="shared" si="54"/>
        <v/>
      </c>
    </row>
    <row r="907" spans="1:31">
      <c r="A907" s="153"/>
      <c r="B907" s="49"/>
      <c r="C907" s="49"/>
      <c r="D907" s="49"/>
      <c r="E907" s="9">
        <f>+G907-Adjustments!G907</f>
        <v>0</v>
      </c>
      <c r="F907" s="9"/>
      <c r="G907" s="9"/>
      <c r="H907" s="9"/>
      <c r="I907" s="9"/>
      <c r="J907" s="9">
        <f>+I907-'ROR-Model'!I907</f>
        <v>0</v>
      </c>
      <c r="K907" s="9"/>
      <c r="L907" s="9"/>
      <c r="M907" s="9"/>
      <c r="N907" s="9"/>
      <c r="O907" s="136"/>
      <c r="P907" s="142"/>
      <c r="Q907" s="9"/>
      <c r="R907" s="9"/>
      <c r="S907" s="142"/>
      <c r="T907" s="9"/>
      <c r="U907" s="9"/>
      <c r="V907" s="140"/>
      <c r="W907" s="9"/>
      <c r="X907" s="156"/>
      <c r="Y907" s="918">
        <f t="shared" si="52"/>
        <v>898</v>
      </c>
      <c r="AA907" s="9"/>
      <c r="AC907" s="9" t="str">
        <f t="shared" si="53"/>
        <v/>
      </c>
      <c r="AE907" s="44" t="str">
        <f t="shared" si="54"/>
        <v/>
      </c>
    </row>
    <row r="908" spans="1:31">
      <c r="A908" s="130" t="s">
        <v>422</v>
      </c>
      <c r="B908" s="49"/>
      <c r="C908" s="49"/>
      <c r="D908" s="49"/>
      <c r="E908" s="9">
        <f>+G908-Adjustments!G908</f>
        <v>0</v>
      </c>
      <c r="F908" s="9"/>
      <c r="G908" s="9"/>
      <c r="H908" s="9"/>
      <c r="I908" s="9"/>
      <c r="J908" s="9">
        <f>+I908-'ROR-Model'!I908</f>
        <v>0</v>
      </c>
      <c r="K908" s="9"/>
      <c r="L908" s="9"/>
      <c r="M908" s="9"/>
      <c r="N908" s="9"/>
      <c r="O908" s="136"/>
      <c r="P908" s="142"/>
      <c r="Q908" s="9"/>
      <c r="R908" s="9"/>
      <c r="S908" s="142"/>
      <c r="T908" s="9"/>
      <c r="U908" s="9"/>
      <c r="V908" s="140"/>
      <c r="W908" s="9"/>
      <c r="X908" s="156"/>
      <c r="Y908" s="918">
        <f t="shared" si="52"/>
        <v>899</v>
      </c>
      <c r="AA908" s="9"/>
      <c r="AC908" s="9" t="str">
        <f t="shared" si="53"/>
        <v/>
      </c>
      <c r="AE908" s="44" t="str">
        <f t="shared" si="54"/>
        <v/>
      </c>
    </row>
    <row r="909" spans="1:31">
      <c r="A909" s="153"/>
      <c r="B909" s="49"/>
      <c r="C909" s="49"/>
      <c r="D909" s="49"/>
      <c r="E909" s="9">
        <f>+G909-Adjustments!G909</f>
        <v>0</v>
      </c>
      <c r="F909" s="9"/>
      <c r="G909" s="9"/>
      <c r="H909" s="9"/>
      <c r="I909" s="9"/>
      <c r="J909" s="9">
        <f>+I909-'ROR-Model'!I909</f>
        <v>0</v>
      </c>
      <c r="K909" s="9"/>
      <c r="L909" s="9"/>
      <c r="M909" s="9"/>
      <c r="N909" s="9"/>
      <c r="O909" s="136"/>
      <c r="P909" s="142"/>
      <c r="Q909" s="9"/>
      <c r="R909" s="9"/>
      <c r="S909" s="142"/>
      <c r="T909" s="9"/>
      <c r="U909" s="9"/>
      <c r="V909" s="140"/>
      <c r="W909" s="9"/>
      <c r="X909" s="156"/>
      <c r="Y909" s="918">
        <f t="shared" si="52"/>
        <v>900</v>
      </c>
      <c r="AA909" s="9"/>
      <c r="AC909" s="9" t="str">
        <f t="shared" si="53"/>
        <v/>
      </c>
      <c r="AE909" s="44" t="str">
        <f t="shared" si="54"/>
        <v/>
      </c>
    </row>
    <row r="910" spans="1:31">
      <c r="A910" s="130" t="s">
        <v>423</v>
      </c>
      <c r="B910" s="49"/>
      <c r="C910" s="49"/>
      <c r="D910" s="49"/>
      <c r="E910" s="9">
        <f>+G910-Adjustments!G910</f>
        <v>0</v>
      </c>
      <c r="F910" s="9"/>
      <c r="G910" s="9"/>
      <c r="H910" s="9"/>
      <c r="I910" s="9"/>
      <c r="J910" s="9">
        <f>+I910-'ROR-Model'!I910</f>
        <v>0</v>
      </c>
      <c r="K910" s="9"/>
      <c r="L910" s="9"/>
      <c r="M910" s="9"/>
      <c r="N910" s="9"/>
      <c r="O910" s="136"/>
      <c r="P910" s="142"/>
      <c r="Q910" s="9"/>
      <c r="R910" s="9"/>
      <c r="S910" s="142"/>
      <c r="T910" s="9"/>
      <c r="U910" s="9"/>
      <c r="V910" s="140"/>
      <c r="W910" s="9"/>
      <c r="X910" s="156"/>
      <c r="Y910" s="918">
        <f t="shared" ref="Y910:Y973" si="56">Y909+1</f>
        <v>901</v>
      </c>
      <c r="AA910" s="9"/>
      <c r="AC910" s="9" t="str">
        <f t="shared" si="53"/>
        <v/>
      </c>
      <c r="AE910" s="44" t="str">
        <f t="shared" si="54"/>
        <v/>
      </c>
    </row>
    <row r="911" spans="1:31">
      <c r="A911" s="153"/>
      <c r="B911" s="49"/>
      <c r="C911" s="49"/>
      <c r="D911" s="49"/>
      <c r="E911" s="9">
        <f>+G911-Adjustments!G911</f>
        <v>0</v>
      </c>
      <c r="F911" s="9"/>
      <c r="G911" s="9"/>
      <c r="H911" s="9"/>
      <c r="I911" s="9"/>
      <c r="J911" s="9">
        <f>+I911-'ROR-Model'!I911</f>
        <v>0</v>
      </c>
      <c r="K911" s="9"/>
      <c r="L911" s="9"/>
      <c r="M911" s="9"/>
      <c r="N911" s="9"/>
      <c r="O911" s="136"/>
      <c r="P911" s="142"/>
      <c r="Q911" s="9"/>
      <c r="R911" s="9"/>
      <c r="S911" s="142"/>
      <c r="T911" s="9"/>
      <c r="U911" s="9"/>
      <c r="V911" s="140"/>
      <c r="W911" s="9"/>
      <c r="X911" s="156"/>
      <c r="Y911" s="918">
        <f t="shared" si="56"/>
        <v>902</v>
      </c>
      <c r="AA911" s="9"/>
      <c r="AC911" s="9" t="str">
        <f t="shared" si="53"/>
        <v/>
      </c>
      <c r="AE911" s="44" t="str">
        <f t="shared" si="54"/>
        <v/>
      </c>
    </row>
    <row r="912" spans="1:31">
      <c r="A912" s="154">
        <v>403</v>
      </c>
      <c r="B912" s="49" t="s">
        <v>426</v>
      </c>
      <c r="C912" s="49"/>
      <c r="D912" s="49"/>
      <c r="E912" s="9">
        <f>+G912-Adjustments!G912</f>
        <v>0</v>
      </c>
      <c r="F912" s="9"/>
      <c r="G912" s="9"/>
      <c r="H912" s="9"/>
      <c r="I912" s="9"/>
      <c r="J912" s="9">
        <f>+I912-'ROR-Model'!I912</f>
        <v>0</v>
      </c>
      <c r="K912" s="9"/>
      <c r="L912" s="9"/>
      <c r="M912" s="9"/>
      <c r="N912" s="9"/>
      <c r="O912" s="136"/>
      <c r="P912" s="142"/>
      <c r="Q912" s="9"/>
      <c r="R912" s="9"/>
      <c r="S912" s="142"/>
      <c r="T912" s="9"/>
      <c r="U912" s="9"/>
      <c r="V912" s="140"/>
      <c r="W912" s="9"/>
      <c r="X912" s="156"/>
      <c r="Y912" s="918">
        <f t="shared" si="56"/>
        <v>903</v>
      </c>
      <c r="AA912" s="9"/>
      <c r="AC912" s="9" t="str">
        <f t="shared" si="53"/>
        <v/>
      </c>
      <c r="AE912" s="44" t="str">
        <f t="shared" si="54"/>
        <v/>
      </c>
    </row>
    <row r="913" spans="1:31">
      <c r="A913" s="154"/>
      <c r="B913" s="49"/>
      <c r="C913" s="49" t="s">
        <v>427</v>
      </c>
      <c r="D913" s="49"/>
      <c r="E913" s="9">
        <f>+G913-Adjustments!G913</f>
        <v>0</v>
      </c>
      <c r="F913" s="9">
        <f>EXPENSES!F388</f>
        <v>649452.47999999986</v>
      </c>
      <c r="G913" s="9">
        <f>+Adjustments!U900</f>
        <v>0</v>
      </c>
      <c r="H913" s="9"/>
      <c r="I913" s="9">
        <f>SUM($F$913:$H$913)</f>
        <v>649452.47999999986</v>
      </c>
      <c r="J913" s="9">
        <f>+I913-'ROR-Model'!I913</f>
        <v>0</v>
      </c>
      <c r="K913" s="9"/>
      <c r="L913" s="9" t="s">
        <v>679</v>
      </c>
      <c r="M913" s="9">
        <f>VLOOKUP($L913,$L$2:$N$7,2,FALSE)*I913</f>
        <v>626591.47794246313</v>
      </c>
      <c r="N913" s="9">
        <f>VLOOKUP($L913,$L$2:$N$7,3,FALSE)*I913</f>
        <v>22861.002057536632</v>
      </c>
      <c r="O913" s="136"/>
      <c r="P913" s="216" t="s">
        <v>549</v>
      </c>
      <c r="Q913" s="9">
        <f>IF(P913="G",M913,IF(P913="PT",0,ERR))</f>
        <v>626591.47794246313</v>
      </c>
      <c r="R913" s="9">
        <f>IF(P913="PT",M913,IF(P913="G",0,ERR))</f>
        <v>0</v>
      </c>
      <c r="S913" s="142" t="s">
        <v>548</v>
      </c>
      <c r="T913" s="9">
        <f>IF(S913="G",N913,IF(S913="PT",0,ERR))</f>
        <v>0</v>
      </c>
      <c r="U913" s="9">
        <f>IF(S913="PT",N913,IF(S913="G",0,ERR))</f>
        <v>22861.002057536632</v>
      </c>
      <c r="V913" s="140"/>
      <c r="W913" s="9">
        <f>HLOOKUP($W$9,'ROR-Model'!$Q$10:$U$1263,Y913)</f>
        <v>626591.47794246313</v>
      </c>
      <c r="X913" s="156"/>
      <c r="Y913" s="918">
        <f t="shared" si="56"/>
        <v>904</v>
      </c>
      <c r="AA913" s="9">
        <v>0</v>
      </c>
      <c r="AC913" s="9" t="str">
        <f t="shared" ref="AC913:AC976" si="57">IF(ABS(AA913)&gt;0,W913-AA913,"")</f>
        <v/>
      </c>
      <c r="AE913" s="44" t="str">
        <f t="shared" si="54"/>
        <v/>
      </c>
    </row>
    <row r="914" spans="1:31">
      <c r="A914" s="154"/>
      <c r="B914" s="49"/>
      <c r="C914" s="49" t="s">
        <v>581</v>
      </c>
      <c r="D914" s="49"/>
      <c r="E914" s="9">
        <f>+G914-Adjustments!G914</f>
        <v>0</v>
      </c>
      <c r="F914" s="9">
        <f>EXPENSES!F389</f>
        <v>1756908.57</v>
      </c>
      <c r="G914" s="9">
        <f>+Adjustments!U901</f>
        <v>0</v>
      </c>
      <c r="H914" s="9"/>
      <c r="I914" s="9">
        <f>SUM($F$914:$H$914)</f>
        <v>1756908.57</v>
      </c>
      <c r="J914" s="9">
        <f>+I914-'ROR-Model'!I914</f>
        <v>0</v>
      </c>
      <c r="K914" s="9"/>
      <c r="L914" s="9" t="s">
        <v>24</v>
      </c>
      <c r="M914" s="9">
        <f>VLOOKUP($L914,$L$2:$N$7,2,FALSE)*I914</f>
        <v>0</v>
      </c>
      <c r="N914" s="9">
        <f>VLOOKUP($L914,$L$2:$N$7,3,FALSE)*I914</f>
        <v>1756908.57</v>
      </c>
      <c r="O914" s="136"/>
      <c r="P914" s="216" t="s">
        <v>549</v>
      </c>
      <c r="Q914" s="9">
        <f>IF(P914="G",M914,IF(P914="PT",0,ERR))</f>
        <v>0</v>
      </c>
      <c r="R914" s="9">
        <f>IF(P914="PT",M914,IF(P914="G",0,ERR))</f>
        <v>0</v>
      </c>
      <c r="S914" s="142" t="s">
        <v>549</v>
      </c>
      <c r="T914" s="9">
        <f>IF(S914="G",N914,IF(S914="PT",0,ERR))</f>
        <v>1756908.57</v>
      </c>
      <c r="U914" s="9">
        <f>IF(S914="PT",N914,IF(S914="G",0,ERR))</f>
        <v>0</v>
      </c>
      <c r="V914" s="140"/>
      <c r="W914" s="9">
        <f>HLOOKUP($W$9,'ROR-Model'!$Q$10:$U$1263,Y914)</f>
        <v>0</v>
      </c>
      <c r="X914" s="156"/>
      <c r="Y914" s="918">
        <f t="shared" si="56"/>
        <v>905</v>
      </c>
      <c r="AA914" s="9">
        <v>1630191.48</v>
      </c>
      <c r="AC914" s="9">
        <f t="shared" si="57"/>
        <v>-1630191.48</v>
      </c>
      <c r="AE914" s="44">
        <f t="shared" ref="AE914:AE977" si="58">IF(ABS(AA914)&gt;0,AC914/AA914,"")</f>
        <v>-1</v>
      </c>
    </row>
    <row r="915" spans="1:31">
      <c r="A915" s="154"/>
      <c r="B915" s="49"/>
      <c r="C915" s="49" t="s">
        <v>582</v>
      </c>
      <c r="D915" s="49"/>
      <c r="E915" s="9">
        <f>+G915-Adjustments!G915</f>
        <v>0</v>
      </c>
      <c r="F915" s="9">
        <f>EXPENSES!F390</f>
        <v>55992912.410000004</v>
      </c>
      <c r="G915" s="9">
        <f>+Adjustments!U902</f>
        <v>0</v>
      </c>
      <c r="H915" s="9"/>
      <c r="I915" s="9">
        <f>SUM($F$915:$H$915)</f>
        <v>55992912.410000004</v>
      </c>
      <c r="J915" s="9">
        <f>+I915-'ROR-Model'!I915</f>
        <v>0</v>
      </c>
      <c r="K915" s="9"/>
      <c r="L915" s="9" t="s">
        <v>13</v>
      </c>
      <c r="M915" s="9">
        <f>VLOOKUP($L915,$L$2:$N$7,2,FALSE)*I915</f>
        <v>55992912.410000004</v>
      </c>
      <c r="N915" s="9">
        <f>VLOOKUP($L915,$L$2:$N$7,3,FALSE)*I915</f>
        <v>0</v>
      </c>
      <c r="O915" s="136"/>
      <c r="P915" s="216" t="s">
        <v>549</v>
      </c>
      <c r="Q915" s="9">
        <f>IF(P915="G",M915,IF(P915="PT",0,ERR))</f>
        <v>55992912.410000004</v>
      </c>
      <c r="R915" s="9">
        <f>IF(P915="PT",M915,IF(P915="G",0,ERR))</f>
        <v>0</v>
      </c>
      <c r="S915" s="142" t="s">
        <v>549</v>
      </c>
      <c r="T915" s="9">
        <f>IF(S915="G",N915,IF(S915="PT",0,ERR))</f>
        <v>0</v>
      </c>
      <c r="U915" s="9">
        <f>IF(S915="PT",N915,IF(S915="G",0,ERR))</f>
        <v>0</v>
      </c>
      <c r="V915" s="140"/>
      <c r="W915" s="9">
        <f>HLOOKUP($W$9,'ROR-Model'!$Q$10:$U$1263,Y915)</f>
        <v>55992912.410000004</v>
      </c>
      <c r="X915" s="156"/>
      <c r="Y915" s="918">
        <f t="shared" si="56"/>
        <v>906</v>
      </c>
      <c r="AA915" s="9">
        <v>0</v>
      </c>
      <c r="AC915" s="9" t="str">
        <f t="shared" si="57"/>
        <v/>
      </c>
      <c r="AE915" s="44" t="str">
        <f t="shared" si="58"/>
        <v/>
      </c>
    </row>
    <row r="916" spans="1:31">
      <c r="A916" s="154"/>
      <c r="B916" s="49"/>
      <c r="C916" s="49" t="s">
        <v>584</v>
      </c>
      <c r="D916" s="49"/>
      <c r="E916" s="9">
        <f>+G916-Adjustments!G916</f>
        <v>0</v>
      </c>
      <c r="F916" s="9">
        <f>EXPENSES!F391</f>
        <v>8318552.7500000047</v>
      </c>
      <c r="G916" s="9">
        <f>+Adjustments!U903</f>
        <v>0</v>
      </c>
      <c r="H916" s="9"/>
      <c r="I916" s="9">
        <f>SUM($F$916:$H$916)</f>
        <v>8318552.7500000047</v>
      </c>
      <c r="J916" s="9">
        <f>+I916-'ROR-Model'!I916</f>
        <v>0</v>
      </c>
      <c r="K916" s="9"/>
      <c r="L916" s="9" t="s">
        <v>458</v>
      </c>
      <c r="M916" s="9">
        <f>VLOOKUP($L916,$L$2:$N$7,2,FALSE)*I916</f>
        <v>8047212.8135021301</v>
      </c>
      <c r="N916" s="9">
        <f>VLOOKUP($L916,$L$2:$N$7,3,FALSE)*I916</f>
        <v>271339.93649787345</v>
      </c>
      <c r="O916" s="136"/>
      <c r="P916" s="216" t="s">
        <v>549</v>
      </c>
      <c r="Q916" s="9">
        <f>IF(P916="G",M916,IF(P916="PT",0,ERR))</f>
        <v>8047212.8135021301</v>
      </c>
      <c r="R916" s="9">
        <f>IF(P916="PT",M916,IF(P916="G",0,ERR))</f>
        <v>0</v>
      </c>
      <c r="S916" s="142" t="s">
        <v>549</v>
      </c>
      <c r="T916" s="9">
        <f>IF(S916="G",N916,IF(S916="PT",0,ERR))</f>
        <v>271339.93649787345</v>
      </c>
      <c r="U916" s="9">
        <f>IF(S916="PT",N916,IF(S916="G",0,ERR))</f>
        <v>0</v>
      </c>
      <c r="V916" s="140"/>
      <c r="W916" s="9">
        <f>HLOOKUP($W$9,'ROR-Model'!$Q$10:$U$1263,Y916)</f>
        <v>8047212.8135021301</v>
      </c>
      <c r="X916" s="156"/>
      <c r="Y916" s="918">
        <f t="shared" si="56"/>
        <v>907</v>
      </c>
      <c r="AA916" s="9">
        <v>209973.75477298314</v>
      </c>
      <c r="AC916" s="9">
        <f t="shared" si="57"/>
        <v>7837239.0587291466</v>
      </c>
      <c r="AE916" s="44">
        <f t="shared" si="58"/>
        <v>37.32485075195477</v>
      </c>
    </row>
    <row r="917" spans="1:31">
      <c r="A917" s="154"/>
      <c r="B917" s="49"/>
      <c r="C917" s="49" t="s">
        <v>585</v>
      </c>
      <c r="D917" s="49"/>
      <c r="E917" s="157">
        <f>+G917-Adjustments!G917</f>
        <v>0</v>
      </c>
      <c r="F917" s="157">
        <f>SUM(F913:F916)</f>
        <v>66717826.210000008</v>
      </c>
      <c r="G917" s="157">
        <f>SUM(G913:G916)</f>
        <v>0</v>
      </c>
      <c r="H917" s="157">
        <f>SUM(H913:H916)</f>
        <v>0</v>
      </c>
      <c r="I917" s="157">
        <f>SUM(I913:I916)</f>
        <v>66717826.210000008</v>
      </c>
      <c r="J917" s="9">
        <f>+I917-'ROR-Model'!I917</f>
        <v>0</v>
      </c>
      <c r="K917" s="9"/>
      <c r="L917" s="157"/>
      <c r="M917" s="157">
        <f>SUM(M913:M916)</f>
        <v>64666716.701444604</v>
      </c>
      <c r="N917" s="157">
        <f>SUM(N913:N916)</f>
        <v>2051109.5085554102</v>
      </c>
      <c r="O917" s="136"/>
      <c r="P917" s="226"/>
      <c r="Q917" s="157">
        <f>SUM(Q913:Q916)</f>
        <v>64666716.701444604</v>
      </c>
      <c r="R917" s="157">
        <f>SUM(R913:R916)</f>
        <v>0</v>
      </c>
      <c r="S917" s="226"/>
      <c r="T917" s="157">
        <f>SUM(T913:T916)</f>
        <v>2028248.5064978735</v>
      </c>
      <c r="U917" s="157">
        <f>SUM(U913:U916)</f>
        <v>22861.002057536632</v>
      </c>
      <c r="V917" s="140"/>
      <c r="W917" s="157">
        <f>HLOOKUP($W$9,'ROR-Model'!$Q$10:$U$1263,Y917)</f>
        <v>64666716.701444604</v>
      </c>
      <c r="X917" s="156"/>
      <c r="Y917" s="918">
        <f t="shared" si="56"/>
        <v>908</v>
      </c>
      <c r="AA917" s="157">
        <v>1840165.234772983</v>
      </c>
      <c r="AC917" s="157">
        <f t="shared" si="57"/>
        <v>62826551.466671623</v>
      </c>
      <c r="AE917" s="44">
        <f t="shared" si="58"/>
        <v>34.141798942540284</v>
      </c>
    </row>
    <row r="918" spans="1:31">
      <c r="A918" s="154"/>
      <c r="B918" s="49"/>
      <c r="C918" s="49"/>
      <c r="D918" s="49"/>
      <c r="E918" s="9">
        <f>+G918-Adjustments!G918</f>
        <v>0</v>
      </c>
      <c r="F918" s="9"/>
      <c r="G918" s="9"/>
      <c r="H918" s="9"/>
      <c r="I918" s="9"/>
      <c r="J918" s="9">
        <f>+I918-'ROR-Model'!I918</f>
        <v>0</v>
      </c>
      <c r="K918" s="9"/>
      <c r="L918" s="9"/>
      <c r="M918" s="9"/>
      <c r="N918" s="9"/>
      <c r="O918" s="136"/>
      <c r="P918" s="142"/>
      <c r="Q918" s="9"/>
      <c r="R918" s="9"/>
      <c r="S918" s="142"/>
      <c r="T918" s="9"/>
      <c r="U918" s="9"/>
      <c r="V918" s="140"/>
      <c r="W918" s="9"/>
      <c r="X918" s="156"/>
      <c r="Y918" s="918">
        <f t="shared" si="56"/>
        <v>909</v>
      </c>
      <c r="AA918" s="9"/>
      <c r="AC918" s="9" t="str">
        <f t="shared" si="57"/>
        <v/>
      </c>
      <c r="AE918" s="44" t="str">
        <f t="shared" si="58"/>
        <v/>
      </c>
    </row>
    <row r="919" spans="1:31">
      <c r="A919" s="154">
        <v>404</v>
      </c>
      <c r="B919" s="49" t="s">
        <v>586</v>
      </c>
      <c r="C919" s="49"/>
      <c r="D919" s="49"/>
      <c r="E919" s="9">
        <f>+G919-Adjustments!G919</f>
        <v>0</v>
      </c>
      <c r="F919" s="9"/>
      <c r="G919" s="9"/>
      <c r="H919" s="9"/>
      <c r="I919" s="9"/>
      <c r="J919" s="9">
        <f>+I919-'ROR-Model'!I919</f>
        <v>0</v>
      </c>
      <c r="K919" s="9"/>
      <c r="L919" s="9"/>
      <c r="M919" s="9"/>
      <c r="N919" s="9"/>
      <c r="O919" s="136"/>
      <c r="P919" s="142"/>
      <c r="Q919" s="9"/>
      <c r="R919" s="9"/>
      <c r="S919" s="142"/>
      <c r="T919" s="9"/>
      <c r="U919" s="9"/>
      <c r="V919" s="140"/>
      <c r="W919" s="9"/>
      <c r="X919" s="156"/>
      <c r="Y919" s="918">
        <f t="shared" si="56"/>
        <v>910</v>
      </c>
      <c r="AA919" s="9"/>
      <c r="AC919" s="9" t="str">
        <f t="shared" si="57"/>
        <v/>
      </c>
      <c r="AE919" s="44" t="str">
        <f t="shared" si="58"/>
        <v/>
      </c>
    </row>
    <row r="920" spans="1:31">
      <c r="A920" s="154"/>
      <c r="B920" s="49"/>
      <c r="C920" s="49" t="s">
        <v>427</v>
      </c>
      <c r="D920" s="49"/>
      <c r="E920" s="9">
        <f>+G920-Adjustments!G920</f>
        <v>0</v>
      </c>
      <c r="F920" s="9">
        <f>EXPENSES!F395</f>
        <v>17107.560000000001</v>
      </c>
      <c r="G920" s="9">
        <f>+Adjustments!U907</f>
        <v>0</v>
      </c>
      <c r="H920" s="9"/>
      <c r="I920" s="9">
        <f>SUM($F$920:$H$920)</f>
        <v>17107.560000000001</v>
      </c>
      <c r="J920" s="9">
        <f>+I920-'ROR-Model'!I920</f>
        <v>0</v>
      </c>
      <c r="K920" s="9"/>
      <c r="L920" s="9" t="s">
        <v>679</v>
      </c>
      <c r="M920" s="9">
        <f>VLOOKUP($L920,$L$2:$N$7,2,FALSE)*I920</f>
        <v>16505.36665036581</v>
      </c>
      <c r="N920" s="9">
        <f>VLOOKUP($L920,$L$2:$N$7,3,FALSE)*I920</f>
        <v>602.19334963418953</v>
      </c>
      <c r="O920" s="136"/>
      <c r="P920" s="216" t="s">
        <v>549</v>
      </c>
      <c r="Q920" s="9">
        <f>IF(P920="G",M920,IF(P920="PT",0,ERR))</f>
        <v>16505.36665036581</v>
      </c>
      <c r="R920" s="9">
        <f>IF(P920="PT",M920,IF(P920="G",0,ERR))</f>
        <v>0</v>
      </c>
      <c r="S920" s="142" t="s">
        <v>548</v>
      </c>
      <c r="T920" s="9">
        <f>IF(S920="G",N920,IF(S920="PT",0,ERR))</f>
        <v>0</v>
      </c>
      <c r="U920" s="9">
        <f>IF(S920="PT",N920,IF(S920="G",0,ERR))</f>
        <v>602.19334963418953</v>
      </c>
      <c r="V920" s="140"/>
      <c r="W920" s="9">
        <f>HLOOKUP($W$9,'ROR-Model'!$Q$10:$U$1263,Y920)</f>
        <v>16505.36665036581</v>
      </c>
      <c r="X920" s="156"/>
      <c r="Y920" s="918">
        <f t="shared" si="56"/>
        <v>911</v>
      </c>
      <c r="AA920" s="9">
        <v>0</v>
      </c>
      <c r="AC920" s="9" t="str">
        <f t="shared" si="57"/>
        <v/>
      </c>
      <c r="AE920" s="44" t="str">
        <f t="shared" si="58"/>
        <v/>
      </c>
    </row>
    <row r="921" spans="1:31">
      <c r="A921" s="154"/>
      <c r="B921" s="49"/>
      <c r="C921" s="49" t="s">
        <v>581</v>
      </c>
      <c r="D921" s="49"/>
      <c r="E921" s="9">
        <f>+G921-Adjustments!G921</f>
        <v>0</v>
      </c>
      <c r="F921" s="9">
        <f>EXPENSES!F396</f>
        <v>0</v>
      </c>
      <c r="G921" s="9">
        <f>+Adjustments!U908</f>
        <v>0</v>
      </c>
      <c r="H921" s="9"/>
      <c r="I921" s="9">
        <f>SUM($F$921:$H$921)</f>
        <v>0</v>
      </c>
      <c r="J921" s="9">
        <f>+I921-'ROR-Model'!I921</f>
        <v>0</v>
      </c>
      <c r="K921" s="9"/>
      <c r="L921" s="9" t="s">
        <v>24</v>
      </c>
      <c r="M921" s="9">
        <f>VLOOKUP($L921,$L$2:$N$7,2,FALSE)*I921</f>
        <v>0</v>
      </c>
      <c r="N921" s="9">
        <f>VLOOKUP($L921,$L$2:$N$7,3,FALSE)*I921</f>
        <v>0</v>
      </c>
      <c r="O921" s="136"/>
      <c r="P921" s="216" t="s">
        <v>549</v>
      </c>
      <c r="Q921" s="9">
        <f>IF(P921="G",M921,IF(P921="PT",0,ERR))</f>
        <v>0</v>
      </c>
      <c r="R921" s="9">
        <f>IF(P921="PT",M921,IF(P921="G",0,ERR))</f>
        <v>0</v>
      </c>
      <c r="S921" s="142" t="s">
        <v>549</v>
      </c>
      <c r="T921" s="9">
        <f>IF(S921="G",N921,IF(S921="PT",0,ERR))</f>
        <v>0</v>
      </c>
      <c r="U921" s="9">
        <f>IF(S921="PT",N921,IF(S921="G",0,ERR))</f>
        <v>0</v>
      </c>
      <c r="V921" s="140"/>
      <c r="W921" s="9">
        <f>HLOOKUP($W$9,'ROR-Model'!$Q$10:$U$1263,Y921)</f>
        <v>0</v>
      </c>
      <c r="X921" s="156"/>
      <c r="Y921" s="918">
        <f t="shared" si="56"/>
        <v>912</v>
      </c>
      <c r="AA921" s="9">
        <v>0</v>
      </c>
      <c r="AC921" s="9" t="str">
        <f t="shared" si="57"/>
        <v/>
      </c>
      <c r="AE921" s="44" t="str">
        <f t="shared" si="58"/>
        <v/>
      </c>
    </row>
    <row r="922" spans="1:31">
      <c r="A922" s="154"/>
      <c r="B922" s="49"/>
      <c r="C922" s="49" t="s">
        <v>582</v>
      </c>
      <c r="D922" s="49"/>
      <c r="E922" s="9">
        <f>+G922-Adjustments!G922</f>
        <v>0</v>
      </c>
      <c r="F922" s="9">
        <f>EXPENSES!F397</f>
        <v>0</v>
      </c>
      <c r="G922" s="9">
        <f>+Adjustments!U909</f>
        <v>0</v>
      </c>
      <c r="H922" s="9"/>
      <c r="I922" s="9">
        <f>SUM($F$922:$H$922)</f>
        <v>0</v>
      </c>
      <c r="J922" s="9">
        <f>+I922-'ROR-Model'!I922</f>
        <v>0</v>
      </c>
      <c r="K922" s="9"/>
      <c r="L922" s="9" t="s">
        <v>13</v>
      </c>
      <c r="M922" s="9">
        <f>VLOOKUP($L922,$L$2:$N$7,2,FALSE)*I922</f>
        <v>0</v>
      </c>
      <c r="N922" s="9">
        <f>VLOOKUP($L922,$L$2:$N$7,3,FALSE)*I922</f>
        <v>0</v>
      </c>
      <c r="O922" s="136"/>
      <c r="P922" s="216" t="s">
        <v>549</v>
      </c>
      <c r="Q922" s="9">
        <f>IF(P922="G",M922,IF(P922="PT",0,ERR))</f>
        <v>0</v>
      </c>
      <c r="R922" s="9">
        <f>IF(P922="PT",M922,IF(P922="G",0,ERR))</f>
        <v>0</v>
      </c>
      <c r="S922" s="142" t="s">
        <v>549</v>
      </c>
      <c r="T922" s="9">
        <f>IF(S922="G",N922,IF(S922="PT",0,ERR))</f>
        <v>0</v>
      </c>
      <c r="U922" s="9">
        <f>IF(S922="PT",N922,IF(S922="G",0,ERR))</f>
        <v>0</v>
      </c>
      <c r="V922" s="140"/>
      <c r="W922" s="9">
        <f>HLOOKUP($W$9,'ROR-Model'!$Q$10:$U$1263,Y922)</f>
        <v>0</v>
      </c>
      <c r="X922" s="156"/>
      <c r="Y922" s="918">
        <f t="shared" si="56"/>
        <v>913</v>
      </c>
      <c r="AA922" s="9">
        <v>0</v>
      </c>
      <c r="AC922" s="9" t="str">
        <f t="shared" si="57"/>
        <v/>
      </c>
      <c r="AE922" s="44" t="str">
        <f t="shared" si="58"/>
        <v/>
      </c>
    </row>
    <row r="923" spans="1:31">
      <c r="A923" s="154"/>
      <c r="B923" s="49"/>
      <c r="C923" s="49" t="s">
        <v>584</v>
      </c>
      <c r="D923" s="49"/>
      <c r="E923" s="9">
        <f>+G923-Adjustments!G923</f>
        <v>0</v>
      </c>
      <c r="F923" s="9">
        <f>EXPENSES!F398</f>
        <v>0</v>
      </c>
      <c r="G923" s="9">
        <f>+Adjustments!U910</f>
        <v>0</v>
      </c>
      <c r="H923" s="9"/>
      <c r="I923" s="9">
        <f>SUM($F$923:$H$923)</f>
        <v>0</v>
      </c>
      <c r="J923" s="9">
        <f>+I923-'ROR-Model'!I923</f>
        <v>0</v>
      </c>
      <c r="K923" s="9"/>
      <c r="L923" s="9" t="s">
        <v>458</v>
      </c>
      <c r="M923" s="9">
        <f>VLOOKUP($L923,$L$2:$N$7,2,FALSE)*I923</f>
        <v>0</v>
      </c>
      <c r="N923" s="9">
        <f>VLOOKUP($L923,$L$2:$N$7,3,FALSE)*I923</f>
        <v>0</v>
      </c>
      <c r="O923" s="136"/>
      <c r="P923" s="216" t="s">
        <v>549</v>
      </c>
      <c r="Q923" s="9">
        <f>IF(P923="G",M923,IF(P923="PT",0,ERR))</f>
        <v>0</v>
      </c>
      <c r="R923" s="9">
        <f>IF(P923="PT",M923,IF(P923="G",0,ERR))</f>
        <v>0</v>
      </c>
      <c r="S923" s="142" t="s">
        <v>549</v>
      </c>
      <c r="T923" s="9">
        <f>IF(S923="G",N923,IF(S923="PT",0,ERR))</f>
        <v>0</v>
      </c>
      <c r="U923" s="9">
        <f>IF(S923="PT",N923,IF(S923="G",0,ERR))</f>
        <v>0</v>
      </c>
      <c r="V923" s="140"/>
      <c r="W923" s="9">
        <f>HLOOKUP($W$9,'ROR-Model'!$Q$10:$U$1263,Y923)</f>
        <v>0</v>
      </c>
      <c r="X923" s="156"/>
      <c r="Y923" s="918">
        <f t="shared" si="56"/>
        <v>914</v>
      </c>
      <c r="AA923" s="9">
        <v>0</v>
      </c>
      <c r="AC923" s="9" t="str">
        <f t="shared" si="57"/>
        <v/>
      </c>
      <c r="AE923" s="44" t="str">
        <f t="shared" si="58"/>
        <v/>
      </c>
    </row>
    <row r="924" spans="1:31">
      <c r="A924" s="154"/>
      <c r="B924" s="49"/>
      <c r="C924" s="49" t="s">
        <v>587</v>
      </c>
      <c r="D924" s="49"/>
      <c r="E924" s="157">
        <f>+G924-Adjustments!G924</f>
        <v>0</v>
      </c>
      <c r="F924" s="157">
        <f>SUM(F920:F923)</f>
        <v>17107.560000000001</v>
      </c>
      <c r="G924" s="157">
        <f>SUM(G920:G923)</f>
        <v>0</v>
      </c>
      <c r="H924" s="157">
        <f>SUM(H920:H923)</f>
        <v>0</v>
      </c>
      <c r="I924" s="157">
        <f>SUM(I920:I923)</f>
        <v>17107.560000000001</v>
      </c>
      <c r="J924" s="9">
        <f>+I924-'ROR-Model'!I924</f>
        <v>0</v>
      </c>
      <c r="K924" s="9"/>
      <c r="L924" s="157"/>
      <c r="M924" s="157">
        <f>SUM(M920:M923)</f>
        <v>16505.36665036581</v>
      </c>
      <c r="N924" s="157">
        <f>SUM(N920:N923)</f>
        <v>602.19334963418953</v>
      </c>
      <c r="O924" s="136"/>
      <c r="P924" s="226"/>
      <c r="Q924" s="157">
        <f>SUM(Q920:Q923)</f>
        <v>16505.36665036581</v>
      </c>
      <c r="R924" s="157">
        <f>SUM(R920:R923)</f>
        <v>0</v>
      </c>
      <c r="S924" s="226"/>
      <c r="T924" s="157">
        <f>SUM(T920:T923)</f>
        <v>0</v>
      </c>
      <c r="U924" s="157">
        <f>SUM(U920:U923)</f>
        <v>602.19334963418953</v>
      </c>
      <c r="V924" s="140"/>
      <c r="W924" s="157">
        <f>HLOOKUP($W$9,'ROR-Model'!$Q$10:$U$1263,Y924)</f>
        <v>16505.36665036581</v>
      </c>
      <c r="X924" s="156"/>
      <c r="Y924" s="918">
        <f t="shared" si="56"/>
        <v>915</v>
      </c>
      <c r="AA924" s="157">
        <v>0</v>
      </c>
      <c r="AC924" s="157" t="str">
        <f t="shared" si="57"/>
        <v/>
      </c>
      <c r="AE924" s="44" t="str">
        <f t="shared" si="58"/>
        <v/>
      </c>
    </row>
    <row r="925" spans="1:31" ht="13.5" thickBot="1">
      <c r="A925" s="154"/>
      <c r="B925" s="49"/>
      <c r="C925" s="49"/>
      <c r="D925" s="49"/>
      <c r="E925" s="175">
        <f>+G925-Adjustments!G925</f>
        <v>0</v>
      </c>
      <c r="F925" s="175"/>
      <c r="G925" s="175"/>
      <c r="H925" s="175"/>
      <c r="I925" s="175"/>
      <c r="J925" s="9">
        <f>+I925-'ROR-Model'!I925</f>
        <v>0</v>
      </c>
      <c r="K925" s="9"/>
      <c r="L925" s="175"/>
      <c r="M925" s="175"/>
      <c r="N925" s="175"/>
      <c r="O925" s="136"/>
      <c r="P925" s="229"/>
      <c r="Q925" s="175"/>
      <c r="R925" s="175"/>
      <c r="S925" s="229"/>
      <c r="T925" s="175"/>
      <c r="U925" s="175"/>
      <c r="V925" s="140"/>
      <c r="W925" s="175"/>
      <c r="X925" s="156"/>
      <c r="Y925" s="918">
        <f t="shared" si="56"/>
        <v>916</v>
      </c>
      <c r="AA925" s="175"/>
      <c r="AC925" s="175" t="str">
        <f t="shared" si="57"/>
        <v/>
      </c>
      <c r="AE925" s="44" t="str">
        <f t="shared" si="58"/>
        <v/>
      </c>
    </row>
    <row r="926" spans="1:31">
      <c r="A926" s="154"/>
      <c r="B926" s="158" t="s">
        <v>644</v>
      </c>
      <c r="C926" s="49"/>
      <c r="D926" s="49"/>
      <c r="E926" s="9">
        <f>+G926-Adjustments!G926</f>
        <v>0</v>
      </c>
      <c r="F926" s="9">
        <f>F917+F924</f>
        <v>66734933.770000011</v>
      </c>
      <c r="G926" s="9">
        <f t="shared" ref="G926:I927" si="59">G917+G924</f>
        <v>0</v>
      </c>
      <c r="H926" s="9">
        <f t="shared" si="59"/>
        <v>0</v>
      </c>
      <c r="I926" s="9">
        <f t="shared" si="59"/>
        <v>66734933.770000011</v>
      </c>
      <c r="J926" s="9">
        <f>+I926-'ROR-Model'!I926</f>
        <v>0</v>
      </c>
      <c r="K926" s="9"/>
      <c r="L926" s="9"/>
      <c r="M926" s="9">
        <f>M917+M924</f>
        <v>64683222.068094969</v>
      </c>
      <c r="N926" s="9">
        <f>N917+N924</f>
        <v>2051711.7019050445</v>
      </c>
      <c r="O926" s="136"/>
      <c r="P926" s="142"/>
      <c r="Q926" s="9">
        <f>Q917+Q924</f>
        <v>64683222.068094969</v>
      </c>
      <c r="R926" s="9">
        <f>R917+R924</f>
        <v>0</v>
      </c>
      <c r="S926" s="142"/>
      <c r="T926" s="9">
        <f>T917+T924</f>
        <v>2028248.5064978735</v>
      </c>
      <c r="U926" s="9">
        <f>U917+U924</f>
        <v>23463.195407170821</v>
      </c>
      <c r="V926" s="140"/>
      <c r="W926" s="9">
        <f>HLOOKUP($W$9,'ROR-Model'!$Q$10:$U$1263,Y926)</f>
        <v>64683222.068094969</v>
      </c>
      <c r="X926" s="156"/>
      <c r="Y926" s="918">
        <f t="shared" si="56"/>
        <v>917</v>
      </c>
      <c r="AA926" s="9">
        <v>1840165.234772983</v>
      </c>
      <c r="AC926" s="9">
        <f t="shared" si="57"/>
        <v>62843056.833321989</v>
      </c>
      <c r="AE926" s="44">
        <f t="shared" si="58"/>
        <v>34.150768445027595</v>
      </c>
    </row>
    <row r="927" spans="1:31">
      <c r="A927" s="154"/>
      <c r="B927" s="49"/>
      <c r="C927" s="49"/>
      <c r="D927" s="49"/>
      <c r="E927" s="9">
        <f>+G927-Adjustments!G927</f>
        <v>0</v>
      </c>
      <c r="F927" s="9">
        <f>F918+F925</f>
        <v>0</v>
      </c>
      <c r="G927" s="9">
        <f t="shared" si="59"/>
        <v>0</v>
      </c>
      <c r="H927" s="9">
        <f t="shared" si="59"/>
        <v>0</v>
      </c>
      <c r="I927" s="9">
        <f t="shared" si="59"/>
        <v>0</v>
      </c>
      <c r="J927" s="9">
        <f>+I927-'ROR-Model'!I927</f>
        <v>0</v>
      </c>
      <c r="K927" s="9"/>
      <c r="L927" s="9"/>
      <c r="M927" s="9"/>
      <c r="N927" s="9"/>
      <c r="O927" s="136"/>
      <c r="P927" s="142"/>
      <c r="Q927" s="9"/>
      <c r="R927" s="9"/>
      <c r="S927" s="142"/>
      <c r="T927" s="9"/>
      <c r="U927" s="9"/>
      <c r="V927" s="140"/>
      <c r="W927" s="9"/>
      <c r="X927" s="156"/>
      <c r="Y927" s="918">
        <f t="shared" si="56"/>
        <v>918</v>
      </c>
      <c r="AA927" s="9"/>
      <c r="AC927" s="9" t="str">
        <f t="shared" si="57"/>
        <v/>
      </c>
      <c r="AE927" s="44" t="str">
        <f t="shared" si="58"/>
        <v/>
      </c>
    </row>
    <row r="928" spans="1:31">
      <c r="A928" s="225" t="s">
        <v>645</v>
      </c>
      <c r="B928" s="49"/>
      <c r="C928" s="49"/>
      <c r="D928" s="49"/>
      <c r="E928" s="9">
        <f>+G928-Adjustments!G928</f>
        <v>0</v>
      </c>
      <c r="F928" s="9"/>
      <c r="G928" s="9"/>
      <c r="H928" s="9"/>
      <c r="I928" s="9"/>
      <c r="J928" s="9">
        <f>+I928-'ROR-Model'!I928</f>
        <v>0</v>
      </c>
      <c r="K928" s="9"/>
      <c r="L928" s="9"/>
      <c r="M928" s="9"/>
      <c r="N928" s="9"/>
      <c r="O928" s="136"/>
      <c r="P928" s="142"/>
      <c r="Q928" s="9"/>
      <c r="R928" s="9"/>
      <c r="S928" s="142"/>
      <c r="T928" s="9"/>
      <c r="U928" s="9"/>
      <c r="V928" s="140"/>
      <c r="W928" s="9"/>
      <c r="X928" s="156"/>
      <c r="Y928" s="918">
        <f t="shared" si="56"/>
        <v>919</v>
      </c>
      <c r="AA928" s="9"/>
      <c r="AC928" s="9" t="str">
        <f t="shared" si="57"/>
        <v/>
      </c>
      <c r="AE928" s="44" t="str">
        <f t="shared" si="58"/>
        <v/>
      </c>
    </row>
    <row r="929" spans="1:31">
      <c r="A929" s="154">
        <v>408</v>
      </c>
      <c r="B929" s="49" t="s">
        <v>588</v>
      </c>
      <c r="C929" s="49"/>
      <c r="D929" s="49"/>
      <c r="E929" s="9">
        <f>+G929-Adjustments!G929</f>
        <v>0</v>
      </c>
      <c r="F929" s="9"/>
      <c r="G929" s="9"/>
      <c r="H929" s="9"/>
      <c r="I929" s="9"/>
      <c r="J929" s="9">
        <f>+I929-'ROR-Model'!I929</f>
        <v>0</v>
      </c>
      <c r="K929" s="9"/>
      <c r="L929" s="9"/>
      <c r="M929" s="9"/>
      <c r="N929" s="9"/>
      <c r="O929" s="136"/>
      <c r="P929" s="216" t="s">
        <v>549</v>
      </c>
      <c r="Q929" s="9">
        <f>IF(P929="G",M929,IF(P929="PT",0,ERR))</f>
        <v>0</v>
      </c>
      <c r="R929" s="9">
        <f>IF(P929="PT",M929,IF(P929="G",0,ERR))</f>
        <v>0</v>
      </c>
      <c r="S929" s="142" t="s">
        <v>549</v>
      </c>
      <c r="T929" s="9">
        <f>IF(S929="G",N929,IF(S929="PT",0,ERR))</f>
        <v>0</v>
      </c>
      <c r="U929" s="9">
        <f>IF(S929="PT",N929,IF(S929="G",0,ERR))</f>
        <v>0</v>
      </c>
      <c r="V929" s="140"/>
      <c r="W929" s="9">
        <f>HLOOKUP($W$9,'ROR-Model'!$Q$10:$U$1263,Y929)</f>
        <v>0</v>
      </c>
      <c r="X929" s="156"/>
      <c r="Y929" s="918">
        <f t="shared" si="56"/>
        <v>920</v>
      </c>
      <c r="AA929" s="9">
        <v>0</v>
      </c>
      <c r="AC929" s="9" t="str">
        <f t="shared" si="57"/>
        <v/>
      </c>
      <c r="AE929" s="44" t="str">
        <f t="shared" si="58"/>
        <v/>
      </c>
    </row>
    <row r="930" spans="1:31">
      <c r="A930" s="153"/>
      <c r="B930" s="49"/>
      <c r="C930" s="49" t="s">
        <v>427</v>
      </c>
      <c r="D930" s="49"/>
      <c r="E930" s="9">
        <f>+G930-Adjustments!G930</f>
        <v>0</v>
      </c>
      <c r="F930" s="9">
        <f>EXPENSES!F405</f>
        <v>0</v>
      </c>
      <c r="G930" s="9">
        <f>+Adjustments!U917</f>
        <v>0</v>
      </c>
      <c r="H930" s="9"/>
      <c r="I930" s="9">
        <f>SUM($F$930:$H$930)</f>
        <v>0</v>
      </c>
      <c r="J930" s="9">
        <f>+I930-'ROR-Model'!I930</f>
        <v>0</v>
      </c>
      <c r="K930" s="9"/>
      <c r="L930" s="9" t="s">
        <v>679</v>
      </c>
      <c r="M930" s="9">
        <f>VLOOKUP($L930,$L$2:$N$7,2,FALSE)*I930</f>
        <v>0</v>
      </c>
      <c r="N930" s="9">
        <f>VLOOKUP($L930,$L$2:$N$7,3,FALSE)*I930</f>
        <v>0</v>
      </c>
      <c r="O930" s="136"/>
      <c r="P930" s="216" t="s">
        <v>549</v>
      </c>
      <c r="Q930" s="9">
        <f>IF(P930="G",M930,IF(P930="PT",0,ERR))</f>
        <v>0</v>
      </c>
      <c r="R930" s="9">
        <f>IF(P930="PT",M930,IF(P930="G",0,ERR))</f>
        <v>0</v>
      </c>
      <c r="S930" s="142" t="s">
        <v>549</v>
      </c>
      <c r="T930" s="9">
        <f>IF(S930="G",N930,IF(S930="PT",0,ERR))</f>
        <v>0</v>
      </c>
      <c r="U930" s="9">
        <f>IF(S930="PT",N930,IF(S930="G",0,ERR))</f>
        <v>0</v>
      </c>
      <c r="V930" s="140"/>
      <c r="W930" s="9">
        <f>HLOOKUP($W$9,'ROR-Model'!$Q$10:$U$1263,Y930)</f>
        <v>0</v>
      </c>
      <c r="X930" s="156"/>
      <c r="Y930" s="918">
        <f t="shared" si="56"/>
        <v>921</v>
      </c>
      <c r="AA930" s="9">
        <v>0</v>
      </c>
      <c r="AC930" s="9" t="str">
        <f t="shared" si="57"/>
        <v/>
      </c>
      <c r="AE930" s="44" t="str">
        <f t="shared" si="58"/>
        <v/>
      </c>
    </row>
    <row r="931" spans="1:31">
      <c r="A931" s="153"/>
      <c r="B931" s="49"/>
      <c r="C931" s="49" t="s">
        <v>581</v>
      </c>
      <c r="D931" s="49"/>
      <c r="E931" s="9">
        <f>+G931-Adjustments!G931</f>
        <v>0</v>
      </c>
      <c r="F931" s="9">
        <f>EXPENSES!F406</f>
        <v>843251.16999999993</v>
      </c>
      <c r="G931" s="9">
        <f>+Adjustments!U918</f>
        <v>0</v>
      </c>
      <c r="H931" s="9"/>
      <c r="I931" s="9">
        <f>SUM($F$931:$H$931)</f>
        <v>843251.16999999993</v>
      </c>
      <c r="J931" s="9">
        <f>+I931-'ROR-Model'!I931</f>
        <v>0</v>
      </c>
      <c r="K931" s="9"/>
      <c r="L931" s="9" t="s">
        <v>24</v>
      </c>
      <c r="M931" s="9">
        <f>VLOOKUP($L931,$L$2:$N$7,2,FALSE)*I931</f>
        <v>0</v>
      </c>
      <c r="N931" s="9">
        <f>VLOOKUP($L931,$L$2:$N$7,3,FALSE)*I931</f>
        <v>843251.16999999993</v>
      </c>
      <c r="O931" s="136"/>
      <c r="P931" s="216" t="s">
        <v>549</v>
      </c>
      <c r="Q931" s="9">
        <f>IF(P931="G",M931,IF(P931="PT",0,ERR))</f>
        <v>0</v>
      </c>
      <c r="R931" s="9">
        <f>IF(P931="PT",M931,IF(P931="G",0,ERR))</f>
        <v>0</v>
      </c>
      <c r="S931" s="142" t="s">
        <v>549</v>
      </c>
      <c r="T931" s="9">
        <f>IF(S931="G",N931,IF(S931="PT",0,ERR))</f>
        <v>843251.16999999993</v>
      </c>
      <c r="U931" s="9">
        <f>IF(S931="PT",N931,IF(S931="G",0,ERR))</f>
        <v>0</v>
      </c>
      <c r="V931" s="140"/>
      <c r="W931" s="9">
        <f>HLOOKUP($W$9,'ROR-Model'!$Q$10:$U$1263,Y931)</f>
        <v>0</v>
      </c>
      <c r="X931" s="156"/>
      <c r="Y931" s="918">
        <f t="shared" si="56"/>
        <v>922</v>
      </c>
      <c r="AA931" s="9">
        <v>797067.15</v>
      </c>
      <c r="AC931" s="9">
        <f t="shared" si="57"/>
        <v>-797067.15</v>
      </c>
      <c r="AE931" s="44">
        <f t="shared" si="58"/>
        <v>-1</v>
      </c>
    </row>
    <row r="932" spans="1:31">
      <c r="A932" s="153"/>
      <c r="B932" s="49"/>
      <c r="C932" s="49" t="s">
        <v>582</v>
      </c>
      <c r="D932" s="49"/>
      <c r="E932" s="9">
        <f>+G932-Adjustments!G932</f>
        <v>0</v>
      </c>
      <c r="F932" s="9">
        <f>EXPENSES!F407</f>
        <v>19756919.129999999</v>
      </c>
      <c r="G932" s="9">
        <f>+Adjustments!U919</f>
        <v>0</v>
      </c>
      <c r="H932" s="9"/>
      <c r="I932" s="9">
        <f>SUM($F$932:$H$932)</f>
        <v>19756919.129999999</v>
      </c>
      <c r="J932" s="9">
        <f>+I932-'ROR-Model'!I932</f>
        <v>0</v>
      </c>
      <c r="K932" s="9"/>
      <c r="L932" s="9" t="s">
        <v>13</v>
      </c>
      <c r="M932" s="9">
        <f>VLOOKUP($L932,$L$2:$N$7,2,FALSE)*I932</f>
        <v>19756919.129999999</v>
      </c>
      <c r="N932" s="9">
        <f>VLOOKUP($L932,$L$2:$N$7,3,FALSE)*I932</f>
        <v>0</v>
      </c>
      <c r="O932" s="136"/>
      <c r="P932" s="216" t="s">
        <v>549</v>
      </c>
      <c r="Q932" s="9">
        <f>IF(P932="G",M932,IF(P932="PT",0,ERR))</f>
        <v>19756919.129999999</v>
      </c>
      <c r="R932" s="9">
        <f>IF(P932="PT",M932,IF(P932="G",0,ERR))</f>
        <v>0</v>
      </c>
      <c r="S932" s="142" t="s">
        <v>549</v>
      </c>
      <c r="T932" s="9">
        <f>IF(S932="G",N932,IF(S932="PT",0,ERR))</f>
        <v>0</v>
      </c>
      <c r="U932" s="9">
        <f>IF(S932="PT",N932,IF(S932="G",0,ERR))</f>
        <v>0</v>
      </c>
      <c r="V932" s="140"/>
      <c r="W932" s="9">
        <f>HLOOKUP($W$9,'ROR-Model'!$Q$10:$U$1263,Y932)</f>
        <v>19756919.129999999</v>
      </c>
      <c r="X932" s="156"/>
      <c r="Y932" s="918">
        <f t="shared" si="56"/>
        <v>923</v>
      </c>
      <c r="AA932" s="9">
        <v>0</v>
      </c>
      <c r="AC932" s="9" t="str">
        <f t="shared" si="57"/>
        <v/>
      </c>
      <c r="AE932" s="44" t="str">
        <f t="shared" si="58"/>
        <v/>
      </c>
    </row>
    <row r="933" spans="1:31">
      <c r="A933" s="153"/>
      <c r="B933" s="49"/>
      <c r="C933" s="49" t="s">
        <v>584</v>
      </c>
      <c r="D933" s="49"/>
      <c r="E933" s="9">
        <f>+G933-Adjustments!G933</f>
        <v>0</v>
      </c>
      <c r="F933" s="9">
        <f>EXPENSES!F408</f>
        <v>1657671.9599999997</v>
      </c>
      <c r="G933" s="9">
        <f>+Adjustments!U920</f>
        <v>0</v>
      </c>
      <c r="H933" s="9"/>
      <c r="I933" s="9">
        <f>SUM($F$933:$H$933)</f>
        <v>1657671.9599999997</v>
      </c>
      <c r="J933" s="9">
        <f>+I933-'ROR-Model'!I933</f>
        <v>0</v>
      </c>
      <c r="K933" s="9"/>
      <c r="L933" s="9" t="s">
        <v>458</v>
      </c>
      <c r="M933" s="9">
        <f>VLOOKUP($L933,$L$2:$N$7,2,FALSE)*I933</f>
        <v>1603600.9433365895</v>
      </c>
      <c r="N933" s="9">
        <f>VLOOKUP($L933,$L$2:$N$7,3,FALSE)*I933</f>
        <v>54071.016663409995</v>
      </c>
      <c r="O933" s="136"/>
      <c r="P933" s="216" t="s">
        <v>549</v>
      </c>
      <c r="Q933" s="9">
        <f>IF(P933="G",M933,IF(P933="PT",0,ERR))</f>
        <v>1603600.9433365895</v>
      </c>
      <c r="R933" s="9">
        <f>IF(P933="PT",M933,IF(P933="G",0,ERR))</f>
        <v>0</v>
      </c>
      <c r="S933" s="142" t="s">
        <v>549</v>
      </c>
      <c r="T933" s="9">
        <f>IF(S933="G",N933,IF(S933="PT",0,ERR))</f>
        <v>54071.016663409995</v>
      </c>
      <c r="U933" s="9">
        <f>IF(S933="PT",N933,IF(S933="G",0,ERR))</f>
        <v>0</v>
      </c>
      <c r="V933" s="140"/>
      <c r="W933" s="9">
        <f>HLOOKUP($W$9,'ROR-Model'!$Q$10:$U$1263,Y933)</f>
        <v>1603600.9433365895</v>
      </c>
      <c r="X933" s="156"/>
      <c r="Y933" s="918">
        <f t="shared" si="56"/>
        <v>924</v>
      </c>
      <c r="AA933" s="9">
        <v>54010.912235876996</v>
      </c>
      <c r="AC933" s="9">
        <f t="shared" si="57"/>
        <v>1549590.0311007125</v>
      </c>
      <c r="AE933" s="44">
        <f t="shared" si="58"/>
        <v>28.690313993093238</v>
      </c>
    </row>
    <row r="934" spans="1:31">
      <c r="A934" s="153"/>
      <c r="B934" s="49"/>
      <c r="C934" s="49" t="s">
        <v>589</v>
      </c>
      <c r="D934" s="49"/>
      <c r="E934" s="157">
        <f>+G934-Adjustments!G934</f>
        <v>0</v>
      </c>
      <c r="F934" s="157">
        <f>SUM(F930:F933)</f>
        <v>22257842.259999998</v>
      </c>
      <c r="G934" s="157">
        <f>SUM(G930:G933)</f>
        <v>0</v>
      </c>
      <c r="H934" s="157">
        <f>SUM(H930:H933)</f>
        <v>0</v>
      </c>
      <c r="I934" s="157">
        <f>SUM(I930:I933)</f>
        <v>22257842.259999998</v>
      </c>
      <c r="J934" s="9">
        <f>+I934-'ROR-Model'!I934</f>
        <v>0</v>
      </c>
      <c r="K934" s="9"/>
      <c r="L934" s="157"/>
      <c r="M934" s="157">
        <f>SUM(M930:M933)</f>
        <v>21360520.07333659</v>
      </c>
      <c r="N934" s="157">
        <f>SUM(N930:N933)</f>
        <v>897322.18666340993</v>
      </c>
      <c r="O934" s="136"/>
      <c r="P934" s="226"/>
      <c r="Q934" s="157">
        <f>SUM(Q930:Q933)</f>
        <v>21360520.07333659</v>
      </c>
      <c r="R934" s="157">
        <f>SUM(R930:R933)</f>
        <v>0</v>
      </c>
      <c r="S934" s="226"/>
      <c r="T934" s="157">
        <f>SUM(T930:T933)</f>
        <v>897322.18666340993</v>
      </c>
      <c r="U934" s="157">
        <f>SUM(U930:U933)</f>
        <v>0</v>
      </c>
      <c r="V934" s="140"/>
      <c r="W934" s="157">
        <f>HLOOKUP($W$9,'ROR-Model'!$Q$10:$U$1263,Y934)</f>
        <v>21360520.07333659</v>
      </c>
      <c r="X934" s="156"/>
      <c r="Y934" s="918">
        <f t="shared" si="56"/>
        <v>925</v>
      </c>
      <c r="AA934" s="157">
        <v>851078.06223587703</v>
      </c>
      <c r="AC934" s="157">
        <f t="shared" si="57"/>
        <v>20509442.011100713</v>
      </c>
      <c r="AE934" s="44">
        <f t="shared" si="58"/>
        <v>24.098191365924908</v>
      </c>
    </row>
    <row r="935" spans="1:31">
      <c r="A935" s="153"/>
      <c r="B935" s="49"/>
      <c r="C935" s="49"/>
      <c r="D935" s="49"/>
      <c r="E935" s="9">
        <f>+G935-Adjustments!G935</f>
        <v>0</v>
      </c>
      <c r="F935" s="9"/>
      <c r="G935" s="9"/>
      <c r="H935" s="9"/>
      <c r="I935" s="9"/>
      <c r="J935" s="9">
        <f>+I935-'ROR-Model'!I935</f>
        <v>0</v>
      </c>
      <c r="K935" s="9"/>
      <c r="L935" s="9"/>
      <c r="M935" s="9"/>
      <c r="N935" s="9"/>
      <c r="O935" s="136"/>
      <c r="P935" s="142"/>
      <c r="Q935" s="9"/>
      <c r="R935" s="9"/>
      <c r="S935" s="142"/>
      <c r="T935" s="9"/>
      <c r="U935" s="9"/>
      <c r="V935" s="140"/>
      <c r="W935" s="9"/>
      <c r="X935" s="156"/>
      <c r="Y935" s="918">
        <f t="shared" si="56"/>
        <v>926</v>
      </c>
      <c r="AA935" s="9"/>
      <c r="AC935" s="9" t="str">
        <f t="shared" si="57"/>
        <v/>
      </c>
      <c r="AE935" s="44" t="str">
        <f t="shared" si="58"/>
        <v/>
      </c>
    </row>
    <row r="936" spans="1:31">
      <c r="A936" s="154">
        <v>4090</v>
      </c>
      <c r="B936" s="49" t="s">
        <v>591</v>
      </c>
      <c r="C936" s="49"/>
      <c r="D936" s="49"/>
      <c r="E936" s="9">
        <f ca="1">+G936-Adjustments!G936</f>
        <v>-10548729.772859093</v>
      </c>
      <c r="F936" s="9">
        <f>EXPENSES!F411</f>
        <v>41536613.329999991</v>
      </c>
      <c r="G936" s="9">
        <f ca="1">+Adjustments!U923</f>
        <v>-10548729.772859093</v>
      </c>
      <c r="H936" s="9">
        <f ca="1">Taxes!C39</f>
        <v>-691028.9912417978</v>
      </c>
      <c r="I936" s="9">
        <f ca="1">SUM($F$936:$H$936)</f>
        <v>30296854.5658991</v>
      </c>
      <c r="J936" s="9">
        <f ca="1">+I936-'ROR-Model'!I936</f>
        <v>0</v>
      </c>
      <c r="K936" s="9"/>
      <c r="L936" s="9"/>
      <c r="M936" s="9">
        <f ca="1">Taxes!D35</f>
        <v>35281639.890570097</v>
      </c>
      <c r="N936" s="9">
        <f ca="1">Taxes!E35</f>
        <v>-42905837.729454793</v>
      </c>
      <c r="O936" s="136"/>
      <c r="P936" s="216" t="s">
        <v>549</v>
      </c>
      <c r="Q936" s="31">
        <f ca="1">IF(P936="G",M936,IF(P936="PT",0,ERR))</f>
        <v>35281639.890570097</v>
      </c>
      <c r="R936" s="9">
        <f>((R512)-(R640+R905+R926+R934-R938))*Taxes!$L$23</f>
        <v>0</v>
      </c>
      <c r="S936" s="142" t="s">
        <v>549</v>
      </c>
      <c r="T936" s="31">
        <f ca="1">IF(S936="G",N936,IF(N936="PT",0,ERR))</f>
        <v>-42905837.729454793</v>
      </c>
      <c r="U936" s="9">
        <f>((U512)-(U640+U905+U926+U934-U938))*Taxes!$L$23</f>
        <v>58466.098614275681</v>
      </c>
      <c r="V936" s="140"/>
      <c r="W936" s="9">
        <f ca="1">HLOOKUP($W$9,'ROR-Model'!$Q$10:$U$1263,Y936)</f>
        <v>35281639.890570097</v>
      </c>
      <c r="X936" s="156"/>
      <c r="Y936" s="918">
        <f t="shared" si="56"/>
        <v>927</v>
      </c>
      <c r="AA936" s="9">
        <v>841585.38303794549</v>
      </c>
      <c r="AC936" s="9">
        <f t="shared" ca="1" si="57"/>
        <v>34440054.50753215</v>
      </c>
      <c r="AE936" s="44">
        <f t="shared" ca="1" si="58"/>
        <v>40.922828748772737</v>
      </c>
    </row>
    <row r="937" spans="1:31">
      <c r="A937" s="154"/>
      <c r="B937" s="49"/>
      <c r="C937" s="49"/>
      <c r="D937" s="49"/>
      <c r="E937" s="9">
        <f>+G937-Adjustments!G937</f>
        <v>0</v>
      </c>
      <c r="F937" s="9"/>
      <c r="G937" s="9"/>
      <c r="H937" s="9"/>
      <c r="I937" s="9"/>
      <c r="J937" s="9">
        <f>+I937-'ROR-Model'!I937</f>
        <v>0</v>
      </c>
      <c r="K937" s="9"/>
      <c r="L937" s="9"/>
      <c r="M937" s="31"/>
      <c r="N937" s="31"/>
      <c r="O937" s="136"/>
      <c r="P937" s="142"/>
      <c r="Q937" s="9"/>
      <c r="R937" s="9"/>
      <c r="S937" s="142"/>
      <c r="T937" s="9"/>
      <c r="U937" s="9"/>
      <c r="V937" s="140"/>
      <c r="W937" s="9"/>
      <c r="X937" s="156"/>
      <c r="Y937" s="918">
        <f t="shared" si="56"/>
        <v>928</v>
      </c>
      <c r="AA937" s="9"/>
      <c r="AC937" s="9" t="str">
        <f t="shared" si="57"/>
        <v/>
      </c>
      <c r="AE937" s="44" t="str">
        <f t="shared" si="58"/>
        <v/>
      </c>
    </row>
    <row r="938" spans="1:31">
      <c r="A938" s="154">
        <v>4091</v>
      </c>
      <c r="B938" s="49" t="s">
        <v>592</v>
      </c>
      <c r="C938" s="49"/>
      <c r="D938" s="49"/>
      <c r="E938" s="9">
        <f>+G938-Adjustments!G938</f>
        <v>0</v>
      </c>
      <c r="F938" s="9">
        <f>EXPENSES!F413</f>
        <v>651828.49000000069</v>
      </c>
      <c r="G938" s="9">
        <f>+Adjustments!U925</f>
        <v>0</v>
      </c>
      <c r="H938" s="9"/>
      <c r="I938" s="9">
        <f>SUM($F$938:$H$938)</f>
        <v>651828.49000000069</v>
      </c>
      <c r="J938" s="9">
        <f>+I938-'ROR-Model'!I938</f>
        <v>0</v>
      </c>
      <c r="K938" s="9"/>
      <c r="L938" s="9"/>
      <c r="M938" s="9"/>
      <c r="N938" s="31"/>
      <c r="O938" s="136"/>
      <c r="P938" s="216" t="s">
        <v>549</v>
      </c>
      <c r="Q938" s="9">
        <f>IF(P938="G",M938,IF(P938="PT",0,ERR))</f>
        <v>0</v>
      </c>
      <c r="R938" s="9">
        <f>IF(P938="PT",M938,IF(P938="G",0,ERR))</f>
        <v>0</v>
      </c>
      <c r="S938" s="142" t="s">
        <v>549</v>
      </c>
      <c r="T938" s="9">
        <f>IF(S938="G",N938,IF(S938="PT",0,ERR))</f>
        <v>0</v>
      </c>
      <c r="U938" s="9">
        <f>IF(S938="PT",N938,IF(S938="G",0,ERR))</f>
        <v>0</v>
      </c>
      <c r="V938" s="140"/>
      <c r="W938" s="9">
        <f>HLOOKUP($W$9,'ROR-Model'!$Q$10:$U$1263,Y938)</f>
        <v>0</v>
      </c>
      <c r="X938" s="156"/>
      <c r="Y938" s="918">
        <f t="shared" si="56"/>
        <v>929</v>
      </c>
      <c r="AA938" s="9">
        <v>0</v>
      </c>
      <c r="AC938" s="9" t="str">
        <f t="shared" si="57"/>
        <v/>
      </c>
      <c r="AE938" s="44" t="str">
        <f t="shared" si="58"/>
        <v/>
      </c>
    </row>
    <row r="939" spans="1:31">
      <c r="A939" s="154"/>
      <c r="B939" s="49"/>
      <c r="C939" s="49"/>
      <c r="D939" s="49"/>
      <c r="E939" s="9">
        <f>+G939-Adjustments!G939</f>
        <v>20972049.120000001</v>
      </c>
      <c r="F939" s="9"/>
      <c r="G939" s="9"/>
      <c r="H939" s="9"/>
      <c r="I939" s="9"/>
      <c r="J939" s="9">
        <f>+I939-'ROR-Model'!I939</f>
        <v>0</v>
      </c>
      <c r="K939" s="9"/>
      <c r="L939" s="9"/>
      <c r="M939" s="9"/>
      <c r="N939" s="9"/>
      <c r="O939" s="136"/>
      <c r="P939" s="142"/>
      <c r="Q939" s="9"/>
      <c r="R939" s="9"/>
      <c r="S939" s="142"/>
      <c r="T939" s="9"/>
      <c r="U939" s="9"/>
      <c r="V939" s="140"/>
      <c r="W939" s="9"/>
      <c r="X939" s="156"/>
      <c r="Y939" s="918">
        <f t="shared" si="56"/>
        <v>930</v>
      </c>
      <c r="AA939" s="9"/>
      <c r="AC939" s="9" t="str">
        <f t="shared" si="57"/>
        <v/>
      </c>
      <c r="AE939" s="44" t="str">
        <f t="shared" si="58"/>
        <v/>
      </c>
    </row>
    <row r="940" spans="1:31">
      <c r="A940" s="154">
        <v>4101</v>
      </c>
      <c r="B940" s="49" t="s">
        <v>593</v>
      </c>
      <c r="C940" s="49"/>
      <c r="D940" s="49"/>
      <c r="E940" s="9">
        <f>+G940-Adjustments!G940</f>
        <v>0</v>
      </c>
      <c r="F940" s="9">
        <f>EXPENSES!F415</f>
        <v>5456116.0800000001</v>
      </c>
      <c r="G940" s="9">
        <f>+Adjustments!U927</f>
        <v>0</v>
      </c>
      <c r="H940" s="9"/>
      <c r="I940" s="9">
        <f>SUM($F$940:$H$940)</f>
        <v>5456116.0800000001</v>
      </c>
      <c r="J940" s="9">
        <f>+I940-'ROR-Model'!I940</f>
        <v>0</v>
      </c>
      <c r="K940" s="9"/>
      <c r="L940" s="9"/>
      <c r="M940" s="9"/>
      <c r="N940" s="9"/>
      <c r="O940" s="136"/>
      <c r="P940" s="216" t="s">
        <v>549</v>
      </c>
      <c r="Q940" s="9">
        <f>IF(P940="G",M940,IF(P940="PT",0,ERR))</f>
        <v>0</v>
      </c>
      <c r="R940" s="9">
        <f>IF(P940="PT",M940,IF(P940="G",0,ERR))</f>
        <v>0</v>
      </c>
      <c r="S940" s="142" t="s">
        <v>549</v>
      </c>
      <c r="T940" s="9">
        <f>IF(S940="G",N940,IF(S940="PT",0,ERR))</f>
        <v>0</v>
      </c>
      <c r="U940" s="9">
        <f>IF(S940="PT",N940,IF(S940="G",0,ERR))</f>
        <v>0</v>
      </c>
      <c r="V940" s="140"/>
      <c r="W940" s="9">
        <f>HLOOKUP($W$9,'ROR-Model'!$Q$10:$U$1263,Y940)</f>
        <v>0</v>
      </c>
      <c r="X940" s="156"/>
      <c r="Y940" s="918">
        <f t="shared" si="56"/>
        <v>931</v>
      </c>
      <c r="AA940" s="9">
        <v>0</v>
      </c>
      <c r="AC940" s="9" t="str">
        <f t="shared" si="57"/>
        <v/>
      </c>
      <c r="AE940" s="44" t="str">
        <f t="shared" si="58"/>
        <v/>
      </c>
    </row>
    <row r="941" spans="1:31">
      <c r="A941" s="154"/>
      <c r="B941" s="49"/>
      <c r="C941" s="49"/>
      <c r="D941" s="49"/>
      <c r="E941" s="9">
        <f>+G941-Adjustments!G941</f>
        <v>0</v>
      </c>
      <c r="F941" s="9"/>
      <c r="G941" s="9"/>
      <c r="H941" s="9"/>
      <c r="I941" s="9"/>
      <c r="J941" s="9">
        <f>+I941-'ROR-Model'!I941</f>
        <v>0</v>
      </c>
      <c r="K941" s="9"/>
      <c r="L941" s="9"/>
      <c r="M941" s="9"/>
      <c r="N941" s="9"/>
      <c r="O941" s="136"/>
      <c r="P941" s="142"/>
      <c r="Q941" s="9"/>
      <c r="R941" s="9"/>
      <c r="S941" s="142"/>
      <c r="T941" s="9"/>
      <c r="U941" s="9"/>
      <c r="V941" s="140"/>
      <c r="W941" s="9"/>
      <c r="X941" s="156"/>
      <c r="Y941" s="918">
        <f t="shared" si="56"/>
        <v>932</v>
      </c>
      <c r="AA941" s="9"/>
      <c r="AC941" s="9" t="str">
        <f t="shared" si="57"/>
        <v/>
      </c>
      <c r="AE941" s="44" t="str">
        <f t="shared" si="58"/>
        <v/>
      </c>
    </row>
    <row r="942" spans="1:31">
      <c r="A942" s="154">
        <v>4111</v>
      </c>
      <c r="B942" s="49" t="s">
        <v>594</v>
      </c>
      <c r="C942" s="49"/>
      <c r="D942" s="49"/>
      <c r="E942" s="9">
        <f>+G942-Adjustments!G942</f>
        <v>0</v>
      </c>
      <c r="F942" s="9">
        <f>EXPENSES!F417</f>
        <v>0</v>
      </c>
      <c r="G942" s="9">
        <f>+Adjustments!U929</f>
        <v>0</v>
      </c>
      <c r="H942" s="9"/>
      <c r="I942" s="9">
        <f>SUM($F$942:$H$942)</f>
        <v>0</v>
      </c>
      <c r="J942" s="9">
        <f>+I942-'ROR-Model'!I942</f>
        <v>0</v>
      </c>
      <c r="K942" s="9"/>
      <c r="L942" s="9"/>
      <c r="M942" s="9"/>
      <c r="N942" s="9"/>
      <c r="O942" s="136"/>
      <c r="P942" s="216" t="s">
        <v>549</v>
      </c>
      <c r="Q942" s="9">
        <f>IF(P942="G",M942,IF(P942="PT",0,ERR))</f>
        <v>0</v>
      </c>
      <c r="R942" s="9">
        <f>IF(P942="PT",M942,IF(P942="G",0,ERR))</f>
        <v>0</v>
      </c>
      <c r="S942" s="142" t="s">
        <v>549</v>
      </c>
      <c r="T942" s="9">
        <f>IF(S942="G",N942,IF(S942="PT",0,ERR))</f>
        <v>0</v>
      </c>
      <c r="U942" s="9">
        <f>IF(S942="PT",N942,IF(S942="G",0,ERR))</f>
        <v>0</v>
      </c>
      <c r="V942" s="140"/>
      <c r="W942" s="9">
        <f>HLOOKUP($W$9,'ROR-Model'!$Q$10:$U$1263,Y942)</f>
        <v>0</v>
      </c>
      <c r="X942" s="156"/>
      <c r="Y942" s="918">
        <f t="shared" si="56"/>
        <v>933</v>
      </c>
      <c r="AA942" s="9">
        <v>0</v>
      </c>
      <c r="AC942" s="9" t="str">
        <f t="shared" si="57"/>
        <v/>
      </c>
      <c r="AE942" s="44" t="str">
        <f t="shared" si="58"/>
        <v/>
      </c>
    </row>
    <row r="943" spans="1:31">
      <c r="A943" s="154"/>
      <c r="B943" s="49"/>
      <c r="C943" s="49"/>
      <c r="D943" s="49"/>
      <c r="E943" s="9">
        <f>+G943-Adjustments!G943</f>
        <v>0</v>
      </c>
      <c r="F943" s="9"/>
      <c r="G943" s="9"/>
      <c r="H943" s="9"/>
      <c r="I943" s="9"/>
      <c r="J943" s="9">
        <f>+I943-'ROR-Model'!I943</f>
        <v>0</v>
      </c>
      <c r="K943" s="9"/>
      <c r="L943" s="9"/>
      <c r="M943" s="9"/>
      <c r="N943" s="9"/>
      <c r="O943" s="136"/>
      <c r="P943" s="142"/>
      <c r="Q943" s="9"/>
      <c r="R943" s="9"/>
      <c r="S943" s="142"/>
      <c r="T943" s="9"/>
      <c r="U943" s="9"/>
      <c r="V943" s="140"/>
      <c r="W943" s="9"/>
      <c r="X943" s="156"/>
      <c r="Y943" s="918">
        <f t="shared" si="56"/>
        <v>934</v>
      </c>
      <c r="AA943" s="9"/>
      <c r="AC943" s="9" t="str">
        <f t="shared" si="57"/>
        <v/>
      </c>
      <c r="AE943" s="44" t="str">
        <f t="shared" si="58"/>
        <v/>
      </c>
    </row>
    <row r="944" spans="1:31">
      <c r="A944" s="154">
        <v>4114</v>
      </c>
      <c r="B944" s="49" t="s">
        <v>595</v>
      </c>
      <c r="C944" s="49"/>
      <c r="D944" s="49"/>
      <c r="E944" s="9">
        <f>+G944-Adjustments!G944</f>
        <v>0</v>
      </c>
      <c r="F944" s="9">
        <f>EXPENSES!F419</f>
        <v>0</v>
      </c>
      <c r="G944" s="9">
        <f>+Adjustments!U931</f>
        <v>0</v>
      </c>
      <c r="H944" s="9"/>
      <c r="I944" s="9">
        <f>SUM($F$944:$H$944)</f>
        <v>0</v>
      </c>
      <c r="J944" s="9">
        <f>+I944-'ROR-Model'!I944</f>
        <v>0</v>
      </c>
      <c r="K944" s="9"/>
      <c r="L944" s="9"/>
      <c r="M944" s="9"/>
      <c r="N944" s="9"/>
      <c r="O944" s="136"/>
      <c r="P944" s="216" t="s">
        <v>549</v>
      </c>
      <c r="Q944" s="9">
        <f>IF(P944="G",M944,IF(P944="PT",0,ERR))</f>
        <v>0</v>
      </c>
      <c r="R944" s="9">
        <f>IF(P944="PT",M944,IF(P944="G",0,ERR))</f>
        <v>0</v>
      </c>
      <c r="S944" s="142" t="s">
        <v>549</v>
      </c>
      <c r="T944" s="9">
        <f>IF(S944="G",N944,IF(S944="PT",0,ERR))</f>
        <v>0</v>
      </c>
      <c r="U944" s="9">
        <f>IF(S944="PT",N944,IF(S944="G",0,ERR))</f>
        <v>0</v>
      </c>
      <c r="V944" s="140"/>
      <c r="W944" s="9">
        <f>HLOOKUP($W$9,'ROR-Model'!$Q$10:$U$1263,Y944)</f>
        <v>0</v>
      </c>
      <c r="X944" s="156"/>
      <c r="Y944" s="918">
        <f t="shared" si="56"/>
        <v>935</v>
      </c>
      <c r="AA944" s="9">
        <v>0</v>
      </c>
      <c r="AC944" s="9" t="str">
        <f t="shared" si="57"/>
        <v/>
      </c>
      <c r="AE944" s="44" t="str">
        <f t="shared" si="58"/>
        <v/>
      </c>
    </row>
    <row r="945" spans="1:31">
      <c r="A945" s="154"/>
      <c r="B945" s="49"/>
      <c r="C945" s="49"/>
      <c r="D945" s="49"/>
      <c r="E945" s="9">
        <f>+G945-Adjustments!G945</f>
        <v>0</v>
      </c>
      <c r="F945" s="9"/>
      <c r="G945" s="9"/>
      <c r="H945" s="9"/>
      <c r="I945" s="9"/>
      <c r="J945" s="9">
        <f>+I945-'ROR-Model'!I945</f>
        <v>0</v>
      </c>
      <c r="K945" s="9"/>
      <c r="L945" s="9"/>
      <c r="M945" s="9"/>
      <c r="N945" s="9"/>
      <c r="O945" s="136"/>
      <c r="P945" s="142"/>
      <c r="Q945" s="9"/>
      <c r="R945" s="9"/>
      <c r="S945" s="142"/>
      <c r="T945" s="9"/>
      <c r="U945" s="9"/>
      <c r="V945" s="140"/>
      <c r="W945" s="9"/>
      <c r="X945" s="156"/>
      <c r="Y945" s="918">
        <f t="shared" si="56"/>
        <v>936</v>
      </c>
      <c r="AA945" s="9"/>
      <c r="AC945" s="9" t="str">
        <f t="shared" si="57"/>
        <v/>
      </c>
      <c r="AE945" s="44" t="str">
        <f t="shared" si="58"/>
        <v/>
      </c>
    </row>
    <row r="946" spans="1:31">
      <c r="A946" s="153"/>
      <c r="B946" s="49"/>
      <c r="C946" s="49"/>
      <c r="D946" s="49"/>
      <c r="E946" s="9">
        <f>+G946-Adjustments!G946</f>
        <v>0</v>
      </c>
      <c r="F946" s="9"/>
      <c r="G946" s="9"/>
      <c r="H946" s="9"/>
      <c r="I946" s="9"/>
      <c r="J946" s="9">
        <f>+I946-'ROR-Model'!I946</f>
        <v>0</v>
      </c>
      <c r="K946" s="9"/>
      <c r="L946" s="9"/>
      <c r="M946" s="9"/>
      <c r="N946" s="9"/>
      <c r="O946" s="136"/>
      <c r="P946" s="216"/>
      <c r="Q946" s="9"/>
      <c r="R946" s="9"/>
      <c r="S946" s="142"/>
      <c r="T946" s="9"/>
      <c r="U946" s="9"/>
      <c r="V946" s="140"/>
      <c r="W946" s="9"/>
      <c r="X946" s="156"/>
      <c r="Y946" s="918">
        <f t="shared" si="56"/>
        <v>937</v>
      </c>
      <c r="AA946" s="9"/>
      <c r="AC946" s="9" t="str">
        <f t="shared" si="57"/>
        <v/>
      </c>
      <c r="AE946" s="44" t="str">
        <f t="shared" si="58"/>
        <v/>
      </c>
    </row>
    <row r="947" spans="1:31">
      <c r="A947" s="153"/>
      <c r="B947" s="49"/>
      <c r="C947" s="49"/>
      <c r="D947" s="49"/>
      <c r="E947" s="9">
        <f>+G947-Adjustments!G947</f>
        <v>0</v>
      </c>
      <c r="F947" s="9"/>
      <c r="G947" s="9"/>
      <c r="H947" s="9"/>
      <c r="I947" s="9"/>
      <c r="J947" s="9">
        <f>+I947-'ROR-Model'!I947</f>
        <v>0</v>
      </c>
      <c r="K947" s="9"/>
      <c r="L947" s="9"/>
      <c r="M947" s="9"/>
      <c r="N947" s="9"/>
      <c r="O947" s="136"/>
      <c r="P947" s="142"/>
      <c r="Q947" s="9"/>
      <c r="R947" s="9"/>
      <c r="S947" s="142"/>
      <c r="T947" s="9"/>
      <c r="U947" s="9"/>
      <c r="V947" s="140"/>
      <c r="W947" s="9"/>
      <c r="X947" s="156"/>
      <c r="Y947" s="918">
        <f t="shared" si="56"/>
        <v>938</v>
      </c>
      <c r="AA947" s="9"/>
      <c r="AC947" s="9" t="str">
        <f t="shared" si="57"/>
        <v/>
      </c>
      <c r="AE947" s="44" t="str">
        <f t="shared" si="58"/>
        <v/>
      </c>
    </row>
    <row r="948" spans="1:31">
      <c r="A948" s="153"/>
      <c r="B948" s="49"/>
      <c r="C948" s="49"/>
      <c r="D948" s="49"/>
      <c r="E948" s="9">
        <f>+G948-Adjustments!G948</f>
        <v>0</v>
      </c>
      <c r="F948" s="9"/>
      <c r="G948" s="9"/>
      <c r="H948" s="9"/>
      <c r="I948" s="9"/>
      <c r="J948" s="9">
        <f>+I948-'ROR-Model'!I948</f>
        <v>0</v>
      </c>
      <c r="K948" s="9"/>
      <c r="L948" s="9"/>
      <c r="M948" s="9"/>
      <c r="N948" s="9"/>
      <c r="O948" s="136"/>
      <c r="P948" s="216"/>
      <c r="Q948" s="9"/>
      <c r="R948" s="9"/>
      <c r="S948" s="142"/>
      <c r="T948" s="9"/>
      <c r="U948" s="9"/>
      <c r="V948" s="140"/>
      <c r="W948" s="9"/>
      <c r="X948" s="156"/>
      <c r="Y948" s="918">
        <f t="shared" si="56"/>
        <v>939</v>
      </c>
      <c r="AA948" s="9"/>
      <c r="AC948" s="9" t="str">
        <f t="shared" si="57"/>
        <v/>
      </c>
      <c r="AE948" s="44" t="str">
        <f t="shared" si="58"/>
        <v/>
      </c>
    </row>
    <row r="949" spans="1:31" ht="13.5" thickBot="1">
      <c r="A949" s="153"/>
      <c r="B949" s="49"/>
      <c r="C949" s="49"/>
      <c r="D949" s="49"/>
      <c r="E949" s="175">
        <f>+G949-Adjustments!G949</f>
        <v>0</v>
      </c>
      <c r="F949" s="175"/>
      <c r="G949" s="175"/>
      <c r="H949" s="175"/>
      <c r="I949" s="175"/>
      <c r="J949" s="9">
        <f>+I949-'ROR-Model'!I949</f>
        <v>0</v>
      </c>
      <c r="K949" s="9"/>
      <c r="L949" s="175"/>
      <c r="M949" s="175"/>
      <c r="N949" s="175"/>
      <c r="O949" s="136"/>
      <c r="P949" s="229"/>
      <c r="Q949" s="175"/>
      <c r="R949" s="175"/>
      <c r="S949" s="229"/>
      <c r="T949" s="175"/>
      <c r="U949" s="175"/>
      <c r="V949" s="140"/>
      <c r="W949" s="175"/>
      <c r="X949" s="156"/>
      <c r="Y949" s="918">
        <f t="shared" si="56"/>
        <v>940</v>
      </c>
      <c r="AA949" s="175"/>
      <c r="AC949" s="175" t="str">
        <f t="shared" si="57"/>
        <v/>
      </c>
      <c r="AE949" s="44" t="str">
        <f t="shared" si="58"/>
        <v/>
      </c>
    </row>
    <row r="950" spans="1:31">
      <c r="A950" s="153"/>
      <c r="B950" s="158" t="s">
        <v>646</v>
      </c>
      <c r="C950" s="49"/>
      <c r="D950" s="49"/>
      <c r="E950" s="9">
        <f ca="1">+G950-Adjustments!G950</f>
        <v>-10548729.772859093</v>
      </c>
      <c r="F950" s="9">
        <f>F934+F936+F938+F940+F942+F944+F946+F948</f>
        <v>69902400.159999996</v>
      </c>
      <c r="G950" s="9">
        <f ca="1">G934+G936+G938+G940+G942+G944+G946+G948</f>
        <v>-10548729.772859093</v>
      </c>
      <c r="H950" s="9">
        <f ca="1">H934+H936+H938+H940+H942+H944+H946+H948</f>
        <v>-691028.9912417978</v>
      </c>
      <c r="I950" s="9">
        <f ca="1">I934+I936+I938+I940+I942+I944+I946+I948</f>
        <v>58662641.395899095</v>
      </c>
      <c r="J950" s="9">
        <f ca="1">+I950-'ROR-Model'!I950</f>
        <v>0</v>
      </c>
      <c r="K950" s="9"/>
      <c r="L950" s="9"/>
      <c r="M950" s="9">
        <f ca="1">M934+M936+M938+M940+M942+M944+M946+M948</f>
        <v>56642159.96390669</v>
      </c>
      <c r="N950" s="9">
        <f ca="1">N934+N936+N938+N940+N942+N944+N946+N948</f>
        <v>-42008515.542791381</v>
      </c>
      <c r="O950" s="136"/>
      <c r="P950" s="142"/>
      <c r="Q950" s="9">
        <f ca="1">Q934+Q936+Q938+Q940+Q942+Q944+Q946+Q948</f>
        <v>56642159.96390669</v>
      </c>
      <c r="R950" s="9">
        <f>R934+R936+R938+R940+R942+R944+R946+R948</f>
        <v>0</v>
      </c>
      <c r="S950" s="142"/>
      <c r="T950" s="9">
        <f ca="1">T934+T936+T938+T940+T942+T944+T946+T948</f>
        <v>-42008515.542791381</v>
      </c>
      <c r="U950" s="9">
        <f>U934+U936+U938+U940+U942+U944+U946+U948</f>
        <v>58466.098614275681</v>
      </c>
      <c r="V950" s="140"/>
      <c r="W950" s="9">
        <f ca="1">HLOOKUP($W$9,'ROR-Model'!$Q$10:$U$1263,Y950)</f>
        <v>56642159.96390669</v>
      </c>
      <c r="X950" s="156"/>
      <c r="Y950" s="918">
        <f t="shared" si="56"/>
        <v>941</v>
      </c>
      <c r="AA950" s="9">
        <v>1692663.4452738226</v>
      </c>
      <c r="AC950" s="9">
        <f t="shared" ca="1" si="57"/>
        <v>54949496.518632866</v>
      </c>
      <c r="AE950" s="44">
        <f t="shared" ca="1" si="58"/>
        <v>32.463332667849791</v>
      </c>
    </row>
    <row r="951" spans="1:31" ht="13.5" thickBot="1">
      <c r="A951" s="153"/>
      <c r="B951" s="49"/>
      <c r="C951" s="49"/>
      <c r="D951" s="49"/>
      <c r="E951" s="26">
        <f>+G951-Adjustments!G951</f>
        <v>0</v>
      </c>
      <c r="F951" s="26"/>
      <c r="G951" s="26"/>
      <c r="H951" s="26"/>
      <c r="I951" s="26"/>
      <c r="J951" s="9">
        <f>+I951-'ROR-Model'!I951</f>
        <v>0</v>
      </c>
      <c r="K951" s="9"/>
      <c r="L951" s="26"/>
      <c r="M951" s="26"/>
      <c r="N951" s="26"/>
      <c r="O951" s="136"/>
      <c r="P951" s="227"/>
      <c r="Q951" s="26"/>
      <c r="R951" s="26"/>
      <c r="S951" s="227"/>
      <c r="T951" s="26"/>
      <c r="U951" s="26"/>
      <c r="V951" s="140"/>
      <c r="W951" s="26"/>
      <c r="X951" s="156"/>
      <c r="Y951" s="918">
        <f t="shared" si="56"/>
        <v>942</v>
      </c>
      <c r="AA951" s="26"/>
      <c r="AC951" s="26" t="str">
        <f t="shared" si="57"/>
        <v/>
      </c>
      <c r="AE951" s="44" t="str">
        <f t="shared" si="58"/>
        <v/>
      </c>
    </row>
    <row r="952" spans="1:31" ht="13.5" thickTop="1">
      <c r="A952" s="153"/>
      <c r="B952" s="49"/>
      <c r="C952" s="49"/>
      <c r="D952" s="49"/>
      <c r="E952" s="9">
        <f>+G952-Adjustments!G952</f>
        <v>0</v>
      </c>
      <c r="F952" s="9"/>
      <c r="G952" s="9"/>
      <c r="H952" s="9"/>
      <c r="I952" s="9"/>
      <c r="J952" s="9">
        <f>+I952-'ROR-Model'!I952</f>
        <v>0</v>
      </c>
      <c r="K952" s="9"/>
      <c r="L952" s="9"/>
      <c r="M952" s="9"/>
      <c r="N952" s="9"/>
      <c r="O952" s="136"/>
      <c r="P952" s="142"/>
      <c r="Q952" s="9"/>
      <c r="R952" s="9"/>
      <c r="S952" s="142"/>
      <c r="T952" s="9"/>
      <c r="U952" s="9"/>
      <c r="V952" s="140"/>
      <c r="W952" s="9"/>
      <c r="X952" s="156"/>
      <c r="Y952" s="918">
        <f t="shared" si="56"/>
        <v>943</v>
      </c>
      <c r="AA952" s="9"/>
      <c r="AC952" s="9" t="str">
        <f t="shared" si="57"/>
        <v/>
      </c>
      <c r="AE952" s="44" t="str">
        <f t="shared" si="58"/>
        <v/>
      </c>
    </row>
    <row r="953" spans="1:31">
      <c r="A953" s="130"/>
      <c r="B953" s="158" t="s">
        <v>643</v>
      </c>
      <c r="C953" s="49"/>
      <c r="D953" s="49"/>
      <c r="E953" s="9">
        <f ca="1">+G953-Adjustments!G953</f>
        <v>-10548729.772859093</v>
      </c>
      <c r="F953" s="9">
        <f>F926+F950</f>
        <v>136637333.93000001</v>
      </c>
      <c r="G953" s="9">
        <f ca="1">G926+G950</f>
        <v>-10548729.772859093</v>
      </c>
      <c r="H953" s="9">
        <f ca="1">H926+H950</f>
        <v>-691028.9912417978</v>
      </c>
      <c r="I953" s="9">
        <f ca="1">I926+I950</f>
        <v>125397575.1658991</v>
      </c>
      <c r="J953" s="9">
        <f ca="1">+I953-'ROR-Model'!I953</f>
        <v>0</v>
      </c>
      <c r="K953" s="9"/>
      <c r="L953" s="9"/>
      <c r="M953" s="9">
        <f ca="1">M926+M950</f>
        <v>121325382.03200166</v>
      </c>
      <c r="N953" s="9">
        <f ca="1">N926+N950</f>
        <v>-39956803.84088634</v>
      </c>
      <c r="O953" s="136"/>
      <c r="P953" s="142"/>
      <c r="Q953" s="9">
        <f ca="1">Q926+Q950</f>
        <v>121325382.03200166</v>
      </c>
      <c r="R953" s="9">
        <f>R926+R950</f>
        <v>0</v>
      </c>
      <c r="S953" s="142"/>
      <c r="T953" s="9">
        <f ca="1">T926+T950</f>
        <v>-39980267.036293507</v>
      </c>
      <c r="U953" s="9">
        <f>U926+U950</f>
        <v>81929.294021446505</v>
      </c>
      <c r="V953" s="140"/>
      <c r="W953" s="9">
        <f ca="1">HLOOKUP($W$9,'ROR-Model'!$Q$10:$U$1263,Y953)</f>
        <v>121325382.03200166</v>
      </c>
      <c r="X953" s="156"/>
      <c r="Y953" s="918">
        <f t="shared" si="56"/>
        <v>944</v>
      </c>
      <c r="AA953" s="9">
        <v>3532828.6800468056</v>
      </c>
      <c r="AC953" s="9">
        <f t="shared" ca="1" si="57"/>
        <v>117792553.35195485</v>
      </c>
      <c r="AE953" s="44">
        <f t="shared" ca="1" si="58"/>
        <v>33.342277257099894</v>
      </c>
    </row>
    <row r="954" spans="1:31" ht="13.5" thickBot="1">
      <c r="A954" s="153"/>
      <c r="B954" s="49"/>
      <c r="C954" s="49"/>
      <c r="D954" s="49"/>
      <c r="E954" s="26">
        <f>+G954-Adjustments!G954</f>
        <v>0</v>
      </c>
      <c r="F954" s="26"/>
      <c r="G954" s="26"/>
      <c r="H954" s="26"/>
      <c r="I954" s="26"/>
      <c r="J954" s="9">
        <f>+I954-'ROR-Model'!I954</f>
        <v>0</v>
      </c>
      <c r="K954" s="9"/>
      <c r="L954" s="26"/>
      <c r="M954" s="26"/>
      <c r="N954" s="26"/>
      <c r="O954" s="136"/>
      <c r="P954" s="227"/>
      <c r="Q954" s="26"/>
      <c r="R954" s="26"/>
      <c r="S954" s="227"/>
      <c r="T954" s="26"/>
      <c r="U954" s="26"/>
      <c r="V954" s="140"/>
      <c r="W954" s="26"/>
      <c r="X954" s="156"/>
      <c r="Y954" s="918">
        <f t="shared" si="56"/>
        <v>945</v>
      </c>
      <c r="AA954" s="26"/>
      <c r="AC954" s="26" t="str">
        <f t="shared" si="57"/>
        <v/>
      </c>
      <c r="AE954" s="44" t="str">
        <f t="shared" si="58"/>
        <v/>
      </c>
    </row>
    <row r="955" spans="1:31" ht="13.5" thickTop="1">
      <c r="A955" s="153"/>
      <c r="B955" s="49"/>
      <c r="C955" s="49"/>
      <c r="D955" s="49"/>
      <c r="E955" s="9">
        <f>+G955-Adjustments!G955</f>
        <v>0</v>
      </c>
      <c r="F955" s="9"/>
      <c r="G955" s="9"/>
      <c r="H955" s="9"/>
      <c r="I955" s="9"/>
      <c r="J955" s="9">
        <f>+I955-'ROR-Model'!I955</f>
        <v>0</v>
      </c>
      <c r="K955" s="9"/>
      <c r="L955" s="9"/>
      <c r="M955" s="9"/>
      <c r="N955" s="9"/>
      <c r="O955" s="136"/>
      <c r="P955" s="142"/>
      <c r="Q955" s="9"/>
      <c r="R955" s="9"/>
      <c r="S955" s="142"/>
      <c r="T955" s="9"/>
      <c r="U955" s="9"/>
      <c r="V955" s="140"/>
      <c r="W955" s="9"/>
      <c r="X955" s="156"/>
      <c r="Y955" s="918">
        <f t="shared" si="56"/>
        <v>946</v>
      </c>
      <c r="AA955" s="9"/>
      <c r="AC955" s="9" t="str">
        <f t="shared" si="57"/>
        <v/>
      </c>
      <c r="AE955" s="44" t="str">
        <f t="shared" si="58"/>
        <v/>
      </c>
    </row>
    <row r="956" spans="1:31">
      <c r="A956" s="130" t="s">
        <v>642</v>
      </c>
      <c r="B956" s="49"/>
      <c r="C956" s="49"/>
      <c r="D956" s="49"/>
      <c r="E956" s="9">
        <f ca="1">+G956-Adjustments!G956</f>
        <v>-3826160.1133574881</v>
      </c>
      <c r="F956" s="9">
        <f>F640+F905+F953</f>
        <v>830021115.96595287</v>
      </c>
      <c r="G956" s="9">
        <f ca="1">G640+G905+G953</f>
        <v>-3826160.1133574881</v>
      </c>
      <c r="H956" s="9">
        <f ca="1">H640+H905+H953</f>
        <v>-691028.9912417978</v>
      </c>
      <c r="I956" s="9">
        <f ca="1">I640+I905+I953</f>
        <v>825503926.8613534</v>
      </c>
      <c r="J956" s="9">
        <f ca="1">+I956-'ROR-Model'!I956</f>
        <v>0</v>
      </c>
      <c r="K956" s="9"/>
      <c r="L956" s="9"/>
      <c r="M956" s="176">
        <f ca="1">M640+M905+M953</f>
        <v>795932879.45313025</v>
      </c>
      <c r="N956" s="176">
        <f ca="1">N640+N905+N953</f>
        <v>-14457949.566560421</v>
      </c>
      <c r="O956" s="136"/>
      <c r="P956" s="142"/>
      <c r="Q956" s="9">
        <f ca="1">Q640+Q905+Q953</f>
        <v>259468445.56918824</v>
      </c>
      <c r="R956" s="9">
        <f>R640+R905+R953</f>
        <v>536464433.88394201</v>
      </c>
      <c r="S956" s="142"/>
      <c r="T956" s="9">
        <f ca="1">T640+T905+T953</f>
        <v>-33966663.443978488</v>
      </c>
      <c r="U956" s="9">
        <f>U640+U905+U953</f>
        <v>19567179.976032346</v>
      </c>
      <c r="V956" s="140"/>
      <c r="W956" s="9">
        <f ca="1">HLOOKUP($W$9,'ROR-Model'!$Q$10:$U$1263,Y956)</f>
        <v>259468445.56918824</v>
      </c>
      <c r="X956" s="156"/>
      <c r="Y956" s="918">
        <f t="shared" si="56"/>
        <v>947</v>
      </c>
      <c r="AA956" s="9">
        <v>10284632.746991467</v>
      </c>
      <c r="AC956" s="9">
        <f t="shared" ca="1" si="57"/>
        <v>249183812.82219678</v>
      </c>
      <c r="AE956" s="44">
        <f t="shared" ca="1" si="58"/>
        <v>24.228751667879418</v>
      </c>
    </row>
    <row r="957" spans="1:31">
      <c r="A957" s="153"/>
      <c r="B957" s="49"/>
      <c r="C957" s="49"/>
      <c r="D957" s="49"/>
      <c r="E957" s="9">
        <f>+G957-Adjustments!G957</f>
        <v>0</v>
      </c>
      <c r="F957" s="9"/>
      <c r="G957" s="9"/>
      <c r="H957" s="9"/>
      <c r="I957" s="9"/>
      <c r="J957" s="9">
        <f>+I957-'ROR-Model'!I957</f>
        <v>0</v>
      </c>
      <c r="K957" s="9"/>
      <c r="L957" s="9"/>
      <c r="M957" s="9"/>
      <c r="N957" s="9"/>
      <c r="O957" s="136"/>
      <c r="P957" s="142"/>
      <c r="Q957" s="9"/>
      <c r="R957" s="9"/>
      <c r="S957" s="142"/>
      <c r="T957" s="9"/>
      <c r="U957" s="9"/>
      <c r="V957" s="140"/>
      <c r="W957" s="9"/>
      <c r="X957" s="156"/>
      <c r="Y957" s="918">
        <f t="shared" si="56"/>
        <v>948</v>
      </c>
      <c r="AA957" s="9"/>
      <c r="AC957" s="9" t="str">
        <f t="shared" si="57"/>
        <v/>
      </c>
      <c r="AE957" s="44" t="str">
        <f t="shared" si="58"/>
        <v/>
      </c>
    </row>
    <row r="958" spans="1:31">
      <c r="A958" s="130"/>
      <c r="B958" s="58"/>
      <c r="C958" s="58"/>
      <c r="D958" s="58"/>
      <c r="E958" s="922">
        <f>+G958-Adjustments!G958</f>
        <v>0</v>
      </c>
      <c r="F958" s="922"/>
      <c r="G958" s="922"/>
      <c r="H958" s="922"/>
      <c r="I958" s="922"/>
      <c r="J958" s="9">
        <f>+I958-'ROR-Model'!I958</f>
        <v>0</v>
      </c>
      <c r="K958" s="922"/>
      <c r="L958" s="922"/>
      <c r="M958" s="922"/>
      <c r="N958" s="922"/>
      <c r="O958" s="139"/>
      <c r="P958" s="922"/>
      <c r="Q958" s="922"/>
      <c r="R958" s="922"/>
      <c r="S958" s="922"/>
      <c r="T958" s="922"/>
      <c r="U958" s="922"/>
      <c r="V958" s="140"/>
      <c r="W958" s="922"/>
      <c r="X958" s="156"/>
      <c r="Y958" s="918">
        <f t="shared" si="56"/>
        <v>949</v>
      </c>
      <c r="AA958" s="1207"/>
      <c r="AC958" s="1207" t="str">
        <f t="shared" si="57"/>
        <v/>
      </c>
      <c r="AE958" s="44" t="str">
        <f t="shared" si="58"/>
        <v/>
      </c>
    </row>
    <row r="959" spans="1:31">
      <c r="A959" s="1413" t="s">
        <v>283</v>
      </c>
      <c r="B959" s="1413"/>
      <c r="C959" s="1413"/>
      <c r="D959" s="1413"/>
      <c r="E959" s="9">
        <f>+G959-Adjustments!G959</f>
        <v>0</v>
      </c>
      <c r="F959" s="9"/>
      <c r="G959" s="9"/>
      <c r="H959" s="9"/>
      <c r="I959" s="9"/>
      <c r="J959" s="9">
        <f>+I959-'ROR-Model'!I959</f>
        <v>0</v>
      </c>
      <c r="K959" s="9"/>
      <c r="L959" s="9"/>
      <c r="M959" s="9"/>
      <c r="N959" s="9"/>
      <c r="O959" s="136"/>
      <c r="P959" s="142"/>
      <c r="Q959" s="9"/>
      <c r="R959" s="9"/>
      <c r="S959" s="142"/>
      <c r="T959" s="9"/>
      <c r="U959" s="9"/>
      <c r="V959" s="140"/>
      <c r="W959" s="9"/>
      <c r="X959" s="156"/>
      <c r="Y959" s="918">
        <f t="shared" si="56"/>
        <v>950</v>
      </c>
      <c r="AA959" s="9"/>
      <c r="AC959" s="9" t="str">
        <f t="shared" si="57"/>
        <v/>
      </c>
      <c r="AE959" s="44" t="str">
        <f t="shared" si="58"/>
        <v/>
      </c>
    </row>
    <row r="960" spans="1:31">
      <c r="A960" s="915"/>
      <c r="B960" s="915"/>
      <c r="C960" s="915"/>
      <c r="D960" s="915"/>
      <c r="E960" s="9">
        <f>+G960-Adjustments!G960</f>
        <v>0</v>
      </c>
      <c r="F960" s="9"/>
      <c r="G960" s="9"/>
      <c r="H960" s="9"/>
      <c r="I960" s="9"/>
      <c r="J960" s="9">
        <f>+I960-'ROR-Model'!I960</f>
        <v>0</v>
      </c>
      <c r="K960" s="9"/>
      <c r="L960" s="9"/>
      <c r="M960" s="9"/>
      <c r="N960" s="9"/>
      <c r="O960" s="136"/>
      <c r="P960" s="142"/>
      <c r="Q960" s="9"/>
      <c r="R960" s="9"/>
      <c r="S960" s="142"/>
      <c r="T960" s="9"/>
      <c r="U960" s="9"/>
      <c r="V960" s="140"/>
      <c r="W960" s="9"/>
      <c r="X960" s="156"/>
      <c r="Y960" s="918">
        <f t="shared" si="56"/>
        <v>951</v>
      </c>
      <c r="AA960" s="9"/>
      <c r="AC960" s="9" t="str">
        <f t="shared" si="57"/>
        <v/>
      </c>
      <c r="AE960" s="44" t="str">
        <f t="shared" si="58"/>
        <v/>
      </c>
    </row>
    <row r="961" spans="1:31">
      <c r="A961" s="130" t="s">
        <v>288</v>
      </c>
      <c r="B961" s="49"/>
      <c r="C961" s="49"/>
      <c r="D961" s="49"/>
      <c r="E961" s="9">
        <f>+G961-Adjustments!G961</f>
        <v>0</v>
      </c>
      <c r="F961" s="9"/>
      <c r="G961" s="9"/>
      <c r="H961" s="9"/>
      <c r="I961" s="9"/>
      <c r="J961" s="9">
        <f>+I961-'ROR-Model'!I961</f>
        <v>0</v>
      </c>
      <c r="K961" s="9"/>
      <c r="L961" s="9"/>
      <c r="M961" s="9"/>
      <c r="N961" s="9"/>
      <c r="O961" s="136"/>
      <c r="P961" s="142"/>
      <c r="Q961" s="9"/>
      <c r="R961" s="9"/>
      <c r="S961" s="142"/>
      <c r="T961" s="9"/>
      <c r="U961" s="9"/>
      <c r="V961" s="140"/>
      <c r="W961" s="9"/>
      <c r="X961" s="156"/>
      <c r="Y961" s="918">
        <f t="shared" si="56"/>
        <v>952</v>
      </c>
      <c r="AA961" s="9"/>
      <c r="AC961" s="9" t="str">
        <f t="shared" si="57"/>
        <v/>
      </c>
      <c r="AE961" s="44" t="str">
        <f t="shared" si="58"/>
        <v/>
      </c>
    </row>
    <row r="962" spans="1:31">
      <c r="A962" s="130"/>
      <c r="B962" s="49"/>
      <c r="C962" s="49"/>
      <c r="D962" s="49"/>
      <c r="E962" s="9">
        <f>+G962-Adjustments!G962</f>
        <v>0</v>
      </c>
      <c r="F962" s="9"/>
      <c r="G962" s="9"/>
      <c r="H962" s="9"/>
      <c r="I962" s="9"/>
      <c r="J962" s="9">
        <f>+I962-'ROR-Model'!I962</f>
        <v>0</v>
      </c>
      <c r="K962" s="9"/>
      <c r="L962" s="9"/>
      <c r="M962" s="9"/>
      <c r="N962" s="9"/>
      <c r="O962" s="136"/>
      <c r="P962" s="142"/>
      <c r="Q962" s="9"/>
      <c r="R962" s="9"/>
      <c r="S962" s="142"/>
      <c r="T962" s="9"/>
      <c r="U962" s="9"/>
      <c r="V962" s="140"/>
      <c r="W962" s="9"/>
      <c r="X962" s="156"/>
      <c r="Y962" s="918">
        <f t="shared" si="56"/>
        <v>953</v>
      </c>
      <c r="AA962" s="9"/>
      <c r="AC962" s="9" t="str">
        <f t="shared" si="57"/>
        <v/>
      </c>
      <c r="AE962" s="44" t="str">
        <f t="shared" si="58"/>
        <v/>
      </c>
    </row>
    <row r="963" spans="1:31">
      <c r="A963" s="172" t="s">
        <v>701</v>
      </c>
      <c r="B963" s="49"/>
      <c r="C963" s="49"/>
      <c r="E963" s="9">
        <f>+G963-Adjustments!G963</f>
        <v>0</v>
      </c>
      <c r="F963" s="9"/>
      <c r="G963" s="9"/>
      <c r="H963" s="9"/>
      <c r="I963" s="9"/>
      <c r="J963" s="9">
        <f>+I963-'ROR-Model'!I963</f>
        <v>0</v>
      </c>
      <c r="K963" s="9"/>
      <c r="L963" s="9"/>
      <c r="M963" s="9"/>
      <c r="N963" s="9"/>
      <c r="O963" s="136"/>
      <c r="P963" s="142"/>
      <c r="Q963" s="9"/>
      <c r="R963" s="9"/>
      <c r="S963" s="142"/>
      <c r="T963" s="9"/>
      <c r="U963" s="9"/>
      <c r="V963" s="140"/>
      <c r="W963" s="9"/>
      <c r="X963" s="156"/>
      <c r="Y963" s="918">
        <f t="shared" si="56"/>
        <v>954</v>
      </c>
      <c r="AA963" s="9"/>
      <c r="AC963" s="9" t="str">
        <f t="shared" si="57"/>
        <v/>
      </c>
      <c r="AE963" s="44" t="str">
        <f t="shared" si="58"/>
        <v/>
      </c>
    </row>
    <row r="964" spans="1:31">
      <c r="A964" s="49" t="s">
        <v>203</v>
      </c>
      <c r="C964" s="49"/>
      <c r="E964" s="9">
        <f>+G964-Adjustments!G964</f>
        <v>0</v>
      </c>
      <c r="F964" s="9"/>
      <c r="G964" s="9"/>
      <c r="H964" s="9"/>
      <c r="I964" s="9"/>
      <c r="J964" s="9">
        <f>+I964-'ROR-Model'!I964</f>
        <v>0</v>
      </c>
      <c r="K964" s="9"/>
      <c r="L964" s="9"/>
      <c r="M964" s="9"/>
      <c r="N964" s="9"/>
      <c r="O964" s="136"/>
      <c r="P964" s="142"/>
      <c r="Q964" s="9"/>
      <c r="R964" s="9"/>
      <c r="S964" s="142"/>
      <c r="T964" s="9"/>
      <c r="U964" s="9"/>
      <c r="V964" s="140"/>
      <c r="W964" s="9"/>
      <c r="X964" s="156"/>
      <c r="Y964" s="918">
        <f t="shared" si="56"/>
        <v>955</v>
      </c>
      <c r="AA964" s="9"/>
      <c r="AC964" s="9" t="str">
        <f t="shared" si="57"/>
        <v/>
      </c>
      <c r="AE964" s="44" t="str">
        <f t="shared" si="58"/>
        <v/>
      </c>
    </row>
    <row r="965" spans="1:31">
      <c r="B965" s="49" t="s">
        <v>204</v>
      </c>
      <c r="C965" s="49" t="s">
        <v>205</v>
      </c>
      <c r="E965" s="9">
        <f>+G965-Adjustments!G965</f>
        <v>0</v>
      </c>
      <c r="F965" s="9"/>
      <c r="G965" s="9"/>
      <c r="H965" s="9"/>
      <c r="I965" s="9"/>
      <c r="J965" s="9">
        <f>+I965-'ROR-Model'!I965</f>
        <v>0</v>
      </c>
      <c r="K965" s="9"/>
      <c r="L965" s="9"/>
      <c r="M965" s="9"/>
      <c r="N965" s="9"/>
      <c r="O965" s="136"/>
      <c r="P965" s="142"/>
      <c r="Q965" s="9"/>
      <c r="R965" s="9"/>
      <c r="S965" s="142"/>
      <c r="T965" s="9"/>
      <c r="U965" s="9"/>
      <c r="V965" s="140"/>
      <c r="W965" s="9"/>
      <c r="X965" s="156"/>
      <c r="Y965" s="918">
        <f t="shared" si="56"/>
        <v>956</v>
      </c>
      <c r="AA965" s="9"/>
      <c r="AC965" s="9" t="str">
        <f t="shared" si="57"/>
        <v/>
      </c>
      <c r="AE965" s="44" t="str">
        <f t="shared" si="58"/>
        <v/>
      </c>
    </row>
    <row r="966" spans="1:31">
      <c r="B966" s="49"/>
      <c r="C966" s="49" t="s">
        <v>581</v>
      </c>
      <c r="E966" s="9">
        <f>+G966-Adjustments!G966</f>
        <v>0</v>
      </c>
      <c r="F966" s="9">
        <f>'Rate Base'!$T$15</f>
        <v>10883.08</v>
      </c>
      <c r="G966" s="9">
        <f>+Adjustments!U950</f>
        <v>0</v>
      </c>
      <c r="H966" s="9"/>
      <c r="I966" s="9">
        <f>SUM(F966:H966)</f>
        <v>10883.08</v>
      </c>
      <c r="J966" s="9">
        <f>+I966-'ROR-Model'!I966</f>
        <v>0</v>
      </c>
      <c r="K966" s="9"/>
      <c r="L966" s="9" t="s">
        <v>24</v>
      </c>
      <c r="M966" s="9">
        <f>VLOOKUP($L966,$L$2:$N$7,2,FALSE)*I966</f>
        <v>0</v>
      </c>
      <c r="N966" s="9">
        <f>VLOOKUP($L966,$L$2:$N$7,3,FALSE)*I966</f>
        <v>10883.08</v>
      </c>
      <c r="O966" s="136"/>
      <c r="P966" s="216" t="s">
        <v>549</v>
      </c>
      <c r="Q966" s="9">
        <f>IF(P966="G",M966,IF(P966="PT",0,ERR))</f>
        <v>0</v>
      </c>
      <c r="R966" s="9">
        <f>IF(P966="PT",M966,IF(P966="G",0,ERR))</f>
        <v>0</v>
      </c>
      <c r="S966" s="142" t="s">
        <v>549</v>
      </c>
      <c r="T966" s="9">
        <f>IF(S966="G",N966,IF(S966="PT",0,ERR))</f>
        <v>10883.08</v>
      </c>
      <c r="U966" s="9">
        <f>IF(S966="PT",N966,IF(S966="G",0,ERR))</f>
        <v>0</v>
      </c>
      <c r="V966" s="140"/>
      <c r="W966" s="9">
        <f>HLOOKUP($W$9,'ROR-Model'!$Q$10:$U$1263,Y966)</f>
        <v>0</v>
      </c>
      <c r="X966" s="156"/>
      <c r="Y966" s="918">
        <f t="shared" si="56"/>
        <v>957</v>
      </c>
      <c r="AA966" s="9">
        <v>10883.08</v>
      </c>
      <c r="AC966" s="9">
        <f t="shared" si="57"/>
        <v>-10883.08</v>
      </c>
      <c r="AE966" s="44">
        <f t="shared" si="58"/>
        <v>-1</v>
      </c>
    </row>
    <row r="967" spans="1:31">
      <c r="B967" s="49"/>
      <c r="C967" s="49" t="s">
        <v>582</v>
      </c>
      <c r="E967" s="9">
        <f>+G967-Adjustments!G967</f>
        <v>0</v>
      </c>
      <c r="F967" s="9">
        <f>'Rate Base'!$T$16</f>
        <v>58742.880000000005</v>
      </c>
      <c r="G967" s="9">
        <f>+Adjustments!U951</f>
        <v>0</v>
      </c>
      <c r="H967" s="9"/>
      <c r="I967" s="9">
        <f>SUM(F967:H967)</f>
        <v>58742.880000000005</v>
      </c>
      <c r="J967" s="9">
        <f>+I967-'ROR-Model'!I967</f>
        <v>0</v>
      </c>
      <c r="K967" s="9"/>
      <c r="L967" s="9" t="s">
        <v>13</v>
      </c>
      <c r="M967" s="9">
        <f>VLOOKUP($L967,$L$2:$N$7,2,FALSE)*I967</f>
        <v>58742.880000000005</v>
      </c>
      <c r="N967" s="9">
        <f>VLOOKUP($L967,$L$2:$N$7,3,FALSE)*I967</f>
        <v>0</v>
      </c>
      <c r="O967" s="136"/>
      <c r="P967" s="216" t="s">
        <v>549</v>
      </c>
      <c r="Q967" s="9">
        <f>IF(P967="G",M967,IF(P967="PT",0,ERR))</f>
        <v>58742.880000000005</v>
      </c>
      <c r="R967" s="9">
        <f>IF(P967="PT",M967,IF(P967="G",0,ERR))</f>
        <v>0</v>
      </c>
      <c r="S967" s="142" t="s">
        <v>549</v>
      </c>
      <c r="T967" s="9">
        <f>IF(S967="G",N967,IF(S967="PT",0,ERR))</f>
        <v>0</v>
      </c>
      <c r="U967" s="9">
        <f>IF(S967="PT",N967,IF(S967="G",0,ERR))</f>
        <v>0</v>
      </c>
      <c r="V967" s="140"/>
      <c r="W967" s="9">
        <f>HLOOKUP($W$9,'ROR-Model'!$Q$10:$U$1263,Y967)</f>
        <v>58742.880000000005</v>
      </c>
      <c r="X967" s="156"/>
      <c r="Y967" s="918">
        <f t="shared" si="56"/>
        <v>958</v>
      </c>
      <c r="AA967" s="9">
        <v>0</v>
      </c>
      <c r="AC967" s="9" t="str">
        <f t="shared" si="57"/>
        <v/>
      </c>
      <c r="AE967" s="44" t="str">
        <f t="shared" si="58"/>
        <v/>
      </c>
    </row>
    <row r="968" spans="1:31">
      <c r="B968" s="58"/>
      <c r="C968" s="49"/>
      <c r="E968" s="9">
        <f>+G968-Adjustments!G968</f>
        <v>0</v>
      </c>
      <c r="F968" s="9"/>
      <c r="G968" s="9"/>
      <c r="H968" s="9"/>
      <c r="I968" s="9"/>
      <c r="J968" s="9">
        <f>+I968-'ROR-Model'!I968</f>
        <v>0</v>
      </c>
      <c r="K968" s="9"/>
      <c r="L968" s="9"/>
      <c r="M968" s="9"/>
      <c r="N968" s="9"/>
      <c r="O968" s="136"/>
      <c r="P968" s="142"/>
      <c r="Q968" s="9"/>
      <c r="R968" s="9"/>
      <c r="S968" s="142"/>
      <c r="T968" s="9"/>
      <c r="U968" s="9"/>
      <c r="V968" s="140"/>
      <c r="W968" s="9"/>
      <c r="X968" s="156"/>
      <c r="Y968" s="918">
        <f t="shared" si="56"/>
        <v>959</v>
      </c>
      <c r="AA968" s="9"/>
      <c r="AC968" s="9" t="str">
        <f t="shared" si="57"/>
        <v/>
      </c>
      <c r="AE968" s="44" t="str">
        <f t="shared" si="58"/>
        <v/>
      </c>
    </row>
    <row r="969" spans="1:31">
      <c r="B969" s="49"/>
      <c r="C969" s="49" t="s">
        <v>206</v>
      </c>
      <c r="E969" s="9">
        <f>+G969-Adjustments!G969</f>
        <v>0</v>
      </c>
      <c r="F969" s="9">
        <f>SUM(F966:F967)</f>
        <v>69625.960000000006</v>
      </c>
      <c r="G969" s="9">
        <f>SUM(G966:G967)</f>
        <v>0</v>
      </c>
      <c r="H969" s="9"/>
      <c r="I969" s="9">
        <f>SUM(I966:I967)</f>
        <v>69625.960000000006</v>
      </c>
      <c r="J969" s="9">
        <f>+I969-'ROR-Model'!I969</f>
        <v>0</v>
      </c>
      <c r="K969" s="9"/>
      <c r="L969" s="9"/>
      <c r="M969" s="9">
        <f>SUM(M966:M967)</f>
        <v>58742.880000000005</v>
      </c>
      <c r="N969" s="9">
        <f>SUM(N966:N967)</f>
        <v>10883.08</v>
      </c>
      <c r="O969" s="136"/>
      <c r="P969" s="142"/>
      <c r="Q969" s="9">
        <f>SUM(Q966:Q967)</f>
        <v>58742.880000000005</v>
      </c>
      <c r="R969" s="9">
        <f>SUM(R966:R967)</f>
        <v>0</v>
      </c>
      <c r="S969" s="142"/>
      <c r="T969" s="9">
        <f>SUM(T966:T967)</f>
        <v>10883.08</v>
      </c>
      <c r="U969" s="9">
        <f>SUM(U966:U967)</f>
        <v>0</v>
      </c>
      <c r="V969" s="140"/>
      <c r="W969" s="9">
        <f>SUM(W966:W967)</f>
        <v>58742.880000000005</v>
      </c>
      <c r="X969" s="156"/>
      <c r="Y969" s="918">
        <f t="shared" si="56"/>
        <v>960</v>
      </c>
      <c r="AA969" s="9">
        <v>10883.08</v>
      </c>
      <c r="AC969" s="9">
        <f t="shared" si="57"/>
        <v>47859.8</v>
      </c>
      <c r="AE969" s="44">
        <f t="shared" si="58"/>
        <v>4.3976337580905405</v>
      </c>
    </row>
    <row r="970" spans="1:31">
      <c r="A970" s="49"/>
      <c r="B970" s="49"/>
      <c r="C970" s="49"/>
      <c r="E970" s="9">
        <f>+G970-Adjustments!G970</f>
        <v>0</v>
      </c>
      <c r="F970" s="9"/>
      <c r="G970" s="9"/>
      <c r="H970" s="9"/>
      <c r="I970" s="9"/>
      <c r="J970" s="9">
        <f>+I970-'ROR-Model'!I970</f>
        <v>0</v>
      </c>
      <c r="K970" s="9"/>
      <c r="L970" s="9"/>
      <c r="M970" s="9"/>
      <c r="N970" s="9"/>
      <c r="O970" s="136"/>
      <c r="P970" s="142"/>
      <c r="Q970" s="9"/>
      <c r="R970" s="9"/>
      <c r="S970" s="142"/>
      <c r="T970" s="9"/>
      <c r="U970" s="9"/>
      <c r="V970" s="140"/>
      <c r="W970" s="9"/>
      <c r="X970" s="156"/>
      <c r="Y970" s="918">
        <f t="shared" si="56"/>
        <v>961</v>
      </c>
      <c r="AA970" s="9"/>
      <c r="AC970" s="9" t="str">
        <f t="shared" si="57"/>
        <v/>
      </c>
      <c r="AE970" s="44" t="str">
        <f t="shared" si="58"/>
        <v/>
      </c>
    </row>
    <row r="971" spans="1:31">
      <c r="A971" s="49" t="s">
        <v>207</v>
      </c>
      <c r="C971" s="49"/>
      <c r="E971" s="9">
        <f>+G971-Adjustments!G971</f>
        <v>0</v>
      </c>
      <c r="F971" s="9"/>
      <c r="G971" s="9"/>
      <c r="H971" s="9"/>
      <c r="I971" s="9"/>
      <c r="J971" s="9">
        <f>+I971-'ROR-Model'!I971</f>
        <v>0</v>
      </c>
      <c r="K971" s="9"/>
      <c r="L971" s="9"/>
      <c r="M971" s="9"/>
      <c r="N971" s="9"/>
      <c r="O971" s="136"/>
      <c r="P971" s="142"/>
      <c r="Q971" s="9"/>
      <c r="R971" s="9"/>
      <c r="S971" s="142"/>
      <c r="T971" s="9"/>
      <c r="U971" s="9"/>
      <c r="V971" s="140"/>
      <c r="W971" s="9"/>
      <c r="X971" s="156"/>
      <c r="Y971" s="918">
        <f t="shared" si="56"/>
        <v>962</v>
      </c>
      <c r="AA971" s="9"/>
      <c r="AC971" s="9" t="str">
        <f t="shared" si="57"/>
        <v/>
      </c>
      <c r="AE971" s="44" t="str">
        <f t="shared" si="58"/>
        <v/>
      </c>
    </row>
    <row r="972" spans="1:31">
      <c r="B972" s="169" t="s">
        <v>208</v>
      </c>
      <c r="C972" s="49" t="s">
        <v>209</v>
      </c>
      <c r="E972" s="9">
        <f>+G972-Adjustments!G972</f>
        <v>-394814.74346999993</v>
      </c>
      <c r="F972" s="9">
        <f>'Rate Base'!$T$21</f>
        <v>6266900.6900000004</v>
      </c>
      <c r="G972" s="9">
        <f>+Adjustments!U956</f>
        <v>-394814.74346999993</v>
      </c>
      <c r="H972" s="9"/>
      <c r="I972" s="9">
        <f t="shared" ref="I972:I978" si="60">SUM(F972:H972)</f>
        <v>5872085.9465300003</v>
      </c>
      <c r="J972" s="9">
        <f>+I972-'ROR-Model'!I972</f>
        <v>0</v>
      </c>
      <c r="K972" s="9"/>
      <c r="L972" s="9" t="s">
        <v>679</v>
      </c>
      <c r="M972" s="9">
        <f t="shared" ref="M972:M978" si="61">VLOOKUP($L972,$L$2:$N$7,2,FALSE)*I972</f>
        <v>5665386.0369297555</v>
      </c>
      <c r="N972" s="9">
        <f t="shared" ref="N972:N978" si="62">VLOOKUP($L972,$L$2:$N$7,3,FALSE)*I972</f>
        <v>206699.90960024405</v>
      </c>
      <c r="O972" s="136"/>
      <c r="P972" s="216" t="s">
        <v>549</v>
      </c>
      <c r="Q972" s="9">
        <f t="shared" ref="Q972:Q978" si="63">IF(P972="G",M972,IF(P972="PT",0,ERR))</f>
        <v>5665386.0369297555</v>
      </c>
      <c r="R972" s="9">
        <f t="shared" ref="R972:R978" si="64">IF(P972="PT",M972,IF(P972="G",0,ERR))</f>
        <v>0</v>
      </c>
      <c r="S972" s="142" t="s">
        <v>548</v>
      </c>
      <c r="T972" s="9">
        <f t="shared" ref="T972:T978" si="65">IF(S972="G",N972,IF(S972="PT",0,ERR))</f>
        <v>0</v>
      </c>
      <c r="U972" s="9">
        <f t="shared" ref="U972:U978" si="66">IF(S972="PT",N972,IF(S972="G",0,ERR))</f>
        <v>206699.90960024405</v>
      </c>
      <c r="V972" s="140"/>
      <c r="W972" s="9">
        <f>HLOOKUP($W$9,'ROR-Model'!$Q$10:$U$1263,Y972)</f>
        <v>5665386.0369297555</v>
      </c>
      <c r="X972" s="156"/>
      <c r="Y972" s="918">
        <f t="shared" si="56"/>
        <v>963</v>
      </c>
      <c r="AA972" s="9">
        <v>0</v>
      </c>
      <c r="AC972" s="9" t="str">
        <f t="shared" si="57"/>
        <v/>
      </c>
      <c r="AE972" s="44" t="str">
        <f t="shared" si="58"/>
        <v/>
      </c>
    </row>
    <row r="973" spans="1:31">
      <c r="B973" s="169" t="s">
        <v>210</v>
      </c>
      <c r="C973" s="49" t="s">
        <v>211</v>
      </c>
      <c r="E973" s="9">
        <f>+G973-Adjustments!G973</f>
        <v>-90566.783370000005</v>
      </c>
      <c r="F973" s="9">
        <f>'Rate Base'!$T$22</f>
        <v>1437567.99</v>
      </c>
      <c r="G973" s="9">
        <f>+Adjustments!U957</f>
        <v>-90566.783370000005</v>
      </c>
      <c r="H973" s="9"/>
      <c r="I973" s="9">
        <f t="shared" si="60"/>
        <v>1347001.2066299999</v>
      </c>
      <c r="J973" s="9">
        <f>+I973-'ROR-Model'!I973</f>
        <v>0</v>
      </c>
      <c r="K973" s="9"/>
      <c r="L973" s="9" t="s">
        <v>679</v>
      </c>
      <c r="M973" s="9">
        <f t="shared" si="61"/>
        <v>1299586.1942856435</v>
      </c>
      <c r="N973" s="9">
        <f t="shared" si="62"/>
        <v>47415.012344356219</v>
      </c>
      <c r="O973" s="136"/>
      <c r="P973" s="216" t="s">
        <v>549</v>
      </c>
      <c r="Q973" s="9">
        <f t="shared" si="63"/>
        <v>1299586.1942856435</v>
      </c>
      <c r="R973" s="9">
        <f t="shared" si="64"/>
        <v>0</v>
      </c>
      <c r="S973" s="142" t="s">
        <v>548</v>
      </c>
      <c r="T973" s="9">
        <f t="shared" si="65"/>
        <v>0</v>
      </c>
      <c r="U973" s="9">
        <f t="shared" si="66"/>
        <v>47415.012344356219</v>
      </c>
      <c r="V973" s="140"/>
      <c r="W973" s="9">
        <f>HLOOKUP($W$9,'ROR-Model'!$Q$10:$U$1263,Y973)</f>
        <v>1299586.1942856435</v>
      </c>
      <c r="X973" s="156"/>
      <c r="Y973" s="918">
        <f t="shared" si="56"/>
        <v>964</v>
      </c>
      <c r="AA973" s="9">
        <v>0</v>
      </c>
      <c r="AC973" s="9" t="str">
        <f t="shared" si="57"/>
        <v/>
      </c>
      <c r="AE973" s="44" t="str">
        <f t="shared" si="58"/>
        <v/>
      </c>
    </row>
    <row r="974" spans="1:31">
      <c r="B974" s="169" t="s">
        <v>212</v>
      </c>
      <c r="C974" s="49" t="s">
        <v>213</v>
      </c>
      <c r="E974" s="9">
        <f>+G974-Adjustments!G974</f>
        <v>-3287043.51003</v>
      </c>
      <c r="F974" s="9">
        <f>'Rate Base'!$T$23</f>
        <v>52175293.810000002</v>
      </c>
      <c r="G974" s="9">
        <f>+Adjustments!U958</f>
        <v>-3287043.51003</v>
      </c>
      <c r="H974" s="9"/>
      <c r="I974" s="9">
        <f t="shared" si="60"/>
        <v>48888250.299970001</v>
      </c>
      <c r="J974" s="9">
        <f>+I974-'ROR-Model'!I974</f>
        <v>0</v>
      </c>
      <c r="K974" s="9"/>
      <c r="L974" s="9" t="s">
        <v>679</v>
      </c>
      <c r="M974" s="9">
        <f t="shared" si="61"/>
        <v>47167363.206433944</v>
      </c>
      <c r="N974" s="9">
        <f t="shared" si="62"/>
        <v>1720887.093536051</v>
      </c>
      <c r="O974" s="136"/>
      <c r="P974" s="216" t="s">
        <v>549</v>
      </c>
      <c r="Q974" s="9">
        <f t="shared" si="63"/>
        <v>47167363.206433944</v>
      </c>
      <c r="R974" s="9">
        <f t="shared" si="64"/>
        <v>0</v>
      </c>
      <c r="S974" s="142" t="s">
        <v>548</v>
      </c>
      <c r="T974" s="9">
        <f t="shared" si="65"/>
        <v>0</v>
      </c>
      <c r="U974" s="9">
        <f t="shared" si="66"/>
        <v>1720887.093536051</v>
      </c>
      <c r="V974" s="140"/>
      <c r="W974" s="9">
        <f>HLOOKUP($W$9,'ROR-Model'!$Q$10:$U$1263,Y974)</f>
        <v>47167363.206433944</v>
      </c>
      <c r="X974" s="156"/>
      <c r="Y974" s="918">
        <f t="shared" ref="Y974:Y1035" si="67">Y973+1</f>
        <v>965</v>
      </c>
      <c r="AA974" s="9">
        <v>0</v>
      </c>
      <c r="AC974" s="9" t="str">
        <f t="shared" si="57"/>
        <v/>
      </c>
      <c r="AE974" s="44" t="str">
        <f t="shared" si="58"/>
        <v/>
      </c>
    </row>
    <row r="975" spans="1:31">
      <c r="B975" s="169" t="s">
        <v>214</v>
      </c>
      <c r="C975" s="49" t="s">
        <v>215</v>
      </c>
      <c r="E975" s="9">
        <f>+G975-Adjustments!G975</f>
        <v>-1084630.4311500003</v>
      </c>
      <c r="F975" s="9">
        <f>'Rate Base'!$T$24</f>
        <v>17216356.050000001</v>
      </c>
      <c r="G975" s="9">
        <f>+Adjustments!U959</f>
        <v>-1084630.4311500003</v>
      </c>
      <c r="H975" s="9"/>
      <c r="I975" s="9">
        <f t="shared" si="60"/>
        <v>16131725.61885</v>
      </c>
      <c r="J975" s="9">
        <f>+I975-'ROR-Model'!I975</f>
        <v>0</v>
      </c>
      <c r="K975" s="9"/>
      <c r="L975" s="9" t="s">
        <v>679</v>
      </c>
      <c r="M975" s="9">
        <f t="shared" si="61"/>
        <v>15563882.052275049</v>
      </c>
      <c r="N975" s="9">
        <f t="shared" si="62"/>
        <v>567843.56657494989</v>
      </c>
      <c r="O975" s="136"/>
      <c r="P975" s="216" t="s">
        <v>549</v>
      </c>
      <c r="Q975" s="9">
        <f t="shared" si="63"/>
        <v>15563882.052275049</v>
      </c>
      <c r="R975" s="9">
        <f t="shared" si="64"/>
        <v>0</v>
      </c>
      <c r="S975" s="142" t="s">
        <v>548</v>
      </c>
      <c r="T975" s="9">
        <f t="shared" si="65"/>
        <v>0</v>
      </c>
      <c r="U975" s="9">
        <f t="shared" si="66"/>
        <v>567843.56657494989</v>
      </c>
      <c r="V975" s="140"/>
      <c r="W975" s="9">
        <f>HLOOKUP($W$9,'ROR-Model'!$Q$10:$U$1263,Y975)</f>
        <v>15563882.052275049</v>
      </c>
      <c r="X975" s="156"/>
      <c r="Y975" s="918">
        <f t="shared" si="67"/>
        <v>966</v>
      </c>
      <c r="AA975" s="9">
        <v>0</v>
      </c>
      <c r="AC975" s="9" t="str">
        <f t="shared" si="57"/>
        <v/>
      </c>
      <c r="AE975" s="44" t="str">
        <f t="shared" si="58"/>
        <v/>
      </c>
    </row>
    <row r="976" spans="1:31">
      <c r="B976" s="169" t="s">
        <v>216</v>
      </c>
      <c r="C976" s="49" t="s">
        <v>217</v>
      </c>
      <c r="E976" s="9">
        <f>+G976-Adjustments!G976</f>
        <v>-169710.41556000002</v>
      </c>
      <c r="F976" s="9">
        <f>'Rate Base'!$T$25</f>
        <v>2693816.12</v>
      </c>
      <c r="G976" s="9">
        <f>+Adjustments!U960</f>
        <v>-169710.41556000002</v>
      </c>
      <c r="H976" s="9"/>
      <c r="I976" s="9">
        <f t="shared" si="60"/>
        <v>2524105.70444</v>
      </c>
      <c r="J976" s="9">
        <f>+I976-'ROR-Model'!I976</f>
        <v>0</v>
      </c>
      <c r="K976" s="9"/>
      <c r="L976" s="9" t="s">
        <v>679</v>
      </c>
      <c r="M976" s="9">
        <f t="shared" si="61"/>
        <v>2435256.115779344</v>
      </c>
      <c r="N976" s="9">
        <f t="shared" si="62"/>
        <v>88849.58866065582</v>
      </c>
      <c r="O976" s="136"/>
      <c r="P976" s="216" t="s">
        <v>549</v>
      </c>
      <c r="Q976" s="9">
        <f t="shared" si="63"/>
        <v>2435256.115779344</v>
      </c>
      <c r="R976" s="9">
        <f t="shared" si="64"/>
        <v>0</v>
      </c>
      <c r="S976" s="142" t="s">
        <v>548</v>
      </c>
      <c r="T976" s="9">
        <f t="shared" si="65"/>
        <v>0</v>
      </c>
      <c r="U976" s="9">
        <f t="shared" si="66"/>
        <v>88849.58866065582</v>
      </c>
      <c r="V976" s="140"/>
      <c r="W976" s="9">
        <f>HLOOKUP($W$9,'ROR-Model'!$Q$10:$U$1263,Y976)</f>
        <v>2435256.115779344</v>
      </c>
      <c r="X976" s="156"/>
      <c r="Y976" s="918">
        <f t="shared" si="67"/>
        <v>967</v>
      </c>
      <c r="AA976" s="9">
        <v>0</v>
      </c>
      <c r="AC976" s="9" t="str">
        <f t="shared" si="57"/>
        <v/>
      </c>
      <c r="AE976" s="44" t="str">
        <f t="shared" si="58"/>
        <v/>
      </c>
    </row>
    <row r="977" spans="1:31">
      <c r="B977" s="169" t="s">
        <v>218</v>
      </c>
      <c r="C977" s="49" t="s">
        <v>219</v>
      </c>
      <c r="E977" s="9">
        <f>+G977-Adjustments!G977</f>
        <v>-3591.9267300000001</v>
      </c>
      <c r="F977" s="9">
        <f>'Rate Base'!$T$26</f>
        <v>57014.71</v>
      </c>
      <c r="G977" s="9">
        <f>+Adjustments!U961</f>
        <v>-3591.9267300000001</v>
      </c>
      <c r="H977" s="9"/>
      <c r="I977" s="9">
        <f t="shared" si="60"/>
        <v>53422.78327</v>
      </c>
      <c r="J977" s="9">
        <f>+I977-'ROR-Model'!I977</f>
        <v>0</v>
      </c>
      <c r="K977" s="9"/>
      <c r="L977" s="9" t="s">
        <v>679</v>
      </c>
      <c r="M977" s="9">
        <f t="shared" si="61"/>
        <v>51542.27869751025</v>
      </c>
      <c r="N977" s="9">
        <f t="shared" si="62"/>
        <v>1880.5045724897436</v>
      </c>
      <c r="O977" s="136"/>
      <c r="P977" s="216" t="s">
        <v>549</v>
      </c>
      <c r="Q977" s="9">
        <f t="shared" si="63"/>
        <v>51542.27869751025</v>
      </c>
      <c r="R977" s="9">
        <f t="shared" si="64"/>
        <v>0</v>
      </c>
      <c r="S977" s="142" t="s">
        <v>548</v>
      </c>
      <c r="T977" s="9">
        <f t="shared" si="65"/>
        <v>0</v>
      </c>
      <c r="U977" s="9">
        <f t="shared" si="66"/>
        <v>1880.5045724897436</v>
      </c>
      <c r="V977" s="140"/>
      <c r="W977" s="9">
        <f>HLOOKUP($W$9,'ROR-Model'!$Q$10:$U$1263,Y977)</f>
        <v>51542.27869751025</v>
      </c>
      <c r="X977" s="156"/>
      <c r="Y977" s="918">
        <f t="shared" si="67"/>
        <v>968</v>
      </c>
      <c r="AA977" s="9">
        <v>0</v>
      </c>
      <c r="AC977" s="9" t="str">
        <f t="shared" ref="AC977:AC1035" si="68">IF(ABS(AA977)&gt;0,W977-AA977,"")</f>
        <v/>
      </c>
      <c r="AE977" s="44" t="str">
        <f t="shared" si="58"/>
        <v/>
      </c>
    </row>
    <row r="978" spans="1:31">
      <c r="B978" s="49" t="s">
        <v>220</v>
      </c>
      <c r="C978" s="49" t="s">
        <v>221</v>
      </c>
      <c r="E978" s="9">
        <f>+G978-Adjustments!G978</f>
        <v>-7634.7576899999976</v>
      </c>
      <c r="F978" s="9">
        <f>'Rate Base'!$T$27</f>
        <v>121186.63</v>
      </c>
      <c r="G978" s="9">
        <f>+Adjustments!U962</f>
        <v>-7634.7576899999976</v>
      </c>
      <c r="H978" s="9"/>
      <c r="I978" s="9">
        <f t="shared" si="60"/>
        <v>113551.87231000001</v>
      </c>
      <c r="J978" s="9">
        <f>+I978-'ROR-Model'!I978</f>
        <v>0</v>
      </c>
      <c r="K978" s="9"/>
      <c r="L978" s="9" t="s">
        <v>679</v>
      </c>
      <c r="M978" s="9">
        <f t="shared" si="61"/>
        <v>109554.79836470372</v>
      </c>
      <c r="N978" s="9">
        <f t="shared" si="62"/>
        <v>3997.0739452962707</v>
      </c>
      <c r="O978" s="136"/>
      <c r="P978" s="216" t="s">
        <v>549</v>
      </c>
      <c r="Q978" s="9">
        <f t="shared" si="63"/>
        <v>109554.79836470372</v>
      </c>
      <c r="R978" s="9">
        <f t="shared" si="64"/>
        <v>0</v>
      </c>
      <c r="S978" s="142" t="s">
        <v>548</v>
      </c>
      <c r="T978" s="9">
        <f t="shared" si="65"/>
        <v>0</v>
      </c>
      <c r="U978" s="9">
        <f t="shared" si="66"/>
        <v>3997.0739452962707</v>
      </c>
      <c r="V978" s="140"/>
      <c r="W978" s="9">
        <f>HLOOKUP($W$9,'ROR-Model'!$Q$10:$U$1263,Y978)</f>
        <v>109554.79836470372</v>
      </c>
      <c r="X978" s="156"/>
      <c r="Y978" s="918">
        <f t="shared" si="67"/>
        <v>969</v>
      </c>
      <c r="AA978" s="9">
        <v>0</v>
      </c>
      <c r="AC978" s="9" t="str">
        <f t="shared" si="68"/>
        <v/>
      </c>
      <c r="AE978" s="44" t="str">
        <f t="shared" ref="AE978:AE1036" si="69">IF(ABS(AA978)&gt;0,AC978/AA978,"")</f>
        <v/>
      </c>
    </row>
    <row r="979" spans="1:31">
      <c r="A979" s="58"/>
      <c r="B979" s="49"/>
      <c r="C979" s="49"/>
      <c r="E979" s="9">
        <f>+G979-Adjustments!G979</f>
        <v>0</v>
      </c>
      <c r="F979" s="9"/>
      <c r="G979" s="9"/>
      <c r="H979" s="9"/>
      <c r="I979" s="9"/>
      <c r="J979" s="9">
        <f>+I979-'ROR-Model'!I979</f>
        <v>0</v>
      </c>
      <c r="K979" s="9"/>
      <c r="L979" s="9"/>
      <c r="M979" s="9"/>
      <c r="N979" s="9"/>
      <c r="O979" s="136"/>
      <c r="P979" s="142"/>
      <c r="Q979" s="9"/>
      <c r="R979" s="9"/>
      <c r="S979" s="142"/>
      <c r="T979" s="9"/>
      <c r="U979" s="9"/>
      <c r="V979" s="140"/>
      <c r="W979" s="9"/>
      <c r="X979" s="156"/>
      <c r="Y979" s="918">
        <f t="shared" si="67"/>
        <v>970</v>
      </c>
      <c r="AA979" s="9"/>
      <c r="AC979" s="9" t="str">
        <f t="shared" si="68"/>
        <v/>
      </c>
      <c r="AE979" s="44" t="str">
        <f t="shared" si="69"/>
        <v/>
      </c>
    </row>
    <row r="980" spans="1:31">
      <c r="A980" s="49"/>
      <c r="B980" s="49" t="s">
        <v>222</v>
      </c>
      <c r="C980" s="49"/>
      <c r="E980" s="9">
        <f>+G980-Adjustments!G980</f>
        <v>-5037992.5680000009</v>
      </c>
      <c r="F980" s="9">
        <f>SUM(F972:F978)</f>
        <v>79968136</v>
      </c>
      <c r="G980" s="9">
        <f>SUM(G972:G978)</f>
        <v>-5037992.5680000009</v>
      </c>
      <c r="H980" s="9"/>
      <c r="I980" s="9">
        <f>SUM(I972:I978)</f>
        <v>74930143.431999996</v>
      </c>
      <c r="J980" s="9">
        <f>+I980-'ROR-Model'!I980</f>
        <v>0</v>
      </c>
      <c r="K980" s="9"/>
      <c r="L980" s="9"/>
      <c r="M980" s="9">
        <f>SUM(M972:M978)</f>
        <v>72292570.682765931</v>
      </c>
      <c r="N980" s="9">
        <f>SUM(N972:N978)</f>
        <v>2637572.7492340435</v>
      </c>
      <c r="O980" s="136"/>
      <c r="P980" s="142"/>
      <c r="Q980" s="9">
        <f>SUM(Q972:Q978)</f>
        <v>72292570.682765931</v>
      </c>
      <c r="R980" s="9">
        <f>SUM(R972:R978)</f>
        <v>0</v>
      </c>
      <c r="S980" s="142"/>
      <c r="T980" s="9">
        <f>SUM(T972:T978)</f>
        <v>0</v>
      </c>
      <c r="U980" s="9">
        <f>SUM(U972:U978)</f>
        <v>2637572.7492340435</v>
      </c>
      <c r="V980" s="140"/>
      <c r="W980" s="9">
        <f>SUM(W972:W978)</f>
        <v>72292570.682765931</v>
      </c>
      <c r="X980" s="156"/>
      <c r="Y980" s="918">
        <f t="shared" si="67"/>
        <v>971</v>
      </c>
      <c r="AA980" s="9">
        <v>0</v>
      </c>
      <c r="AC980" s="9" t="str">
        <f t="shared" si="68"/>
        <v/>
      </c>
      <c r="AE980" s="44" t="str">
        <f t="shared" si="69"/>
        <v/>
      </c>
    </row>
    <row r="981" spans="1:31">
      <c r="A981" s="49"/>
      <c r="B981" s="49"/>
      <c r="C981" s="49"/>
      <c r="E981" s="9">
        <f>+G981-Adjustments!G981</f>
        <v>0</v>
      </c>
      <c r="F981" s="9"/>
      <c r="G981" s="9"/>
      <c r="H981" s="9"/>
      <c r="I981" s="9"/>
      <c r="J981" s="9">
        <f>+I981-'ROR-Model'!I981</f>
        <v>0</v>
      </c>
      <c r="K981" s="9"/>
      <c r="L981" s="9"/>
      <c r="M981" s="9"/>
      <c r="N981" s="9"/>
      <c r="O981" s="136"/>
      <c r="P981" s="142"/>
      <c r="Q981" s="9"/>
      <c r="R981" s="9"/>
      <c r="S981" s="142"/>
      <c r="T981" s="9"/>
      <c r="U981" s="9"/>
      <c r="V981" s="140"/>
      <c r="W981" s="9"/>
      <c r="X981" s="156"/>
      <c r="Y981" s="918">
        <f t="shared" si="67"/>
        <v>972</v>
      </c>
      <c r="AA981" s="9"/>
      <c r="AC981" s="9" t="str">
        <f t="shared" si="68"/>
        <v/>
      </c>
      <c r="AE981" s="44" t="str">
        <f t="shared" si="69"/>
        <v/>
      </c>
    </row>
    <row r="982" spans="1:31">
      <c r="A982" s="49" t="s">
        <v>223</v>
      </c>
      <c r="C982" s="49"/>
      <c r="E982" s="9">
        <f>+G982-Adjustments!G982</f>
        <v>0</v>
      </c>
      <c r="F982" s="9"/>
      <c r="G982" s="9"/>
      <c r="H982" s="9"/>
      <c r="I982" s="9"/>
      <c r="J982" s="9">
        <f>+I982-'ROR-Model'!I982</f>
        <v>0</v>
      </c>
      <c r="K982" s="9"/>
      <c r="L982" s="9"/>
      <c r="M982" s="9"/>
      <c r="N982" s="9"/>
      <c r="O982" s="136"/>
      <c r="P982" s="142"/>
      <c r="Q982" s="9"/>
      <c r="R982" s="9"/>
      <c r="S982" s="142"/>
      <c r="T982" s="9"/>
      <c r="U982" s="9"/>
      <c r="V982" s="140"/>
      <c r="W982" s="9"/>
      <c r="X982" s="156"/>
      <c r="Y982" s="918">
        <f t="shared" si="67"/>
        <v>973</v>
      </c>
      <c r="AA982" s="9"/>
      <c r="AC982" s="9" t="str">
        <f t="shared" si="68"/>
        <v/>
      </c>
      <c r="AE982" s="44" t="str">
        <f t="shared" si="69"/>
        <v/>
      </c>
    </row>
    <row r="983" spans="1:31">
      <c r="B983" s="49" t="s">
        <v>224</v>
      </c>
      <c r="C983" s="49" t="s">
        <v>209</v>
      </c>
      <c r="D983" s="49"/>
      <c r="E983" s="9">
        <f>+G983-Adjustments!G983</f>
        <v>0</v>
      </c>
      <c r="F983" s="9"/>
      <c r="G983" s="9"/>
      <c r="H983" s="9"/>
      <c r="I983" s="9"/>
      <c r="J983" s="9">
        <f>+I983-'ROR-Model'!I983</f>
        <v>0</v>
      </c>
      <c r="K983" s="9"/>
      <c r="L983" s="9"/>
      <c r="M983" s="9"/>
      <c r="N983" s="9"/>
      <c r="O983" s="136"/>
      <c r="P983" s="142"/>
      <c r="Q983" s="9"/>
      <c r="R983" s="9"/>
      <c r="S983" s="142"/>
      <c r="T983" s="9"/>
      <c r="U983" s="9"/>
      <c r="V983" s="140"/>
      <c r="W983" s="9"/>
      <c r="X983" s="156"/>
      <c r="Y983" s="918">
        <f t="shared" si="67"/>
        <v>974</v>
      </c>
      <c r="AA983" s="9"/>
      <c r="AC983" s="9" t="str">
        <f t="shared" si="68"/>
        <v/>
      </c>
      <c r="AE983" s="44" t="str">
        <f t="shared" si="69"/>
        <v/>
      </c>
    </row>
    <row r="984" spans="1:31">
      <c r="B984" s="49"/>
      <c r="C984" s="49"/>
      <c r="D984" s="49" t="s">
        <v>24</v>
      </c>
      <c r="E984" s="9">
        <f>+G984-Adjustments!G984</f>
        <v>-9533.9325000001118</v>
      </c>
      <c r="F984" s="9">
        <f>'Rate Base'!$T$33</f>
        <v>434011.18</v>
      </c>
      <c r="G984" s="9">
        <f>+Adjustments!U968</f>
        <v>-9533.9325000001118</v>
      </c>
      <c r="H984" s="9"/>
      <c r="I984" s="9">
        <f>SUM(F984:H984)</f>
        <v>424477.24749999988</v>
      </c>
      <c r="J984" s="9">
        <f>+I984-'ROR-Model'!I984</f>
        <v>0</v>
      </c>
      <c r="K984" s="9"/>
      <c r="L984" s="9" t="s">
        <v>24</v>
      </c>
      <c r="M984" s="9">
        <f>VLOOKUP($L984,$L$2:$N$7,2,FALSE)*I984</f>
        <v>0</v>
      </c>
      <c r="N984" s="9">
        <f>VLOOKUP($L984,$L$2:$N$7,3,FALSE)*I984</f>
        <v>424477.24749999988</v>
      </c>
      <c r="O984" s="136"/>
      <c r="P984" s="216" t="s">
        <v>549</v>
      </c>
      <c r="Q984" s="9">
        <f>IF(P984="G",M984,IF(P984="PT",0,ERR))</f>
        <v>0</v>
      </c>
      <c r="R984" s="9">
        <f>IF(P984="PT",M984,IF(P984="G",0,ERR))</f>
        <v>0</v>
      </c>
      <c r="S984" s="142" t="s">
        <v>549</v>
      </c>
      <c r="T984" s="9">
        <f>IF(S984="G",N984,IF(S984="PT",0,ERR))</f>
        <v>424477.24749999988</v>
      </c>
      <c r="U984" s="9">
        <f>IF(S984="PT",N984,IF(S984="G",0,ERR))</f>
        <v>0</v>
      </c>
      <c r="V984" s="140"/>
      <c r="W984" s="9">
        <f>HLOOKUP($W$9,'ROR-Model'!$Q$10:$U$1263,Y984)</f>
        <v>0</v>
      </c>
      <c r="X984" s="156"/>
      <c r="Y984" s="918">
        <f t="shared" si="67"/>
        <v>975</v>
      </c>
      <c r="AA984" s="9">
        <v>400188.28</v>
      </c>
      <c r="AC984" s="9">
        <f t="shared" si="68"/>
        <v>-400188.28</v>
      </c>
      <c r="AE984" s="44">
        <f t="shared" si="69"/>
        <v>-1</v>
      </c>
    </row>
    <row r="985" spans="1:31">
      <c r="B985" s="49"/>
      <c r="C985" s="49"/>
      <c r="D985" s="49" t="s">
        <v>13</v>
      </c>
      <c r="E985" s="9">
        <f>+G985-Adjustments!G985</f>
        <v>-388087.05000000447</v>
      </c>
      <c r="F985" s="9">
        <f>'Rate Base'!$T$34</f>
        <v>20037679.300000001</v>
      </c>
      <c r="G985" s="9">
        <f>+Adjustments!U969</f>
        <v>-388087.05000000447</v>
      </c>
      <c r="H985" s="9"/>
      <c r="I985" s="9">
        <f>SUM(F985:H985)</f>
        <v>19649592.249999996</v>
      </c>
      <c r="J985" s="9">
        <f>+I985-'ROR-Model'!I985</f>
        <v>0</v>
      </c>
      <c r="K985" s="9"/>
      <c r="L985" s="9" t="s">
        <v>13</v>
      </c>
      <c r="M985" s="9">
        <f>VLOOKUP($L985,$L$2:$N$7,2,FALSE)*I985</f>
        <v>19649592.249999996</v>
      </c>
      <c r="N985" s="9">
        <f>VLOOKUP($L985,$L$2:$N$7,3,FALSE)*I985</f>
        <v>0</v>
      </c>
      <c r="O985" s="136"/>
      <c r="P985" s="216" t="s">
        <v>549</v>
      </c>
      <c r="Q985" s="9">
        <f>IF(P985="G",M985,IF(P985="PT",0,ERR))</f>
        <v>19649592.249999996</v>
      </c>
      <c r="R985" s="9">
        <f>IF(P985="PT",M985,IF(P985="G",0,ERR))</f>
        <v>0</v>
      </c>
      <c r="S985" s="142" t="s">
        <v>549</v>
      </c>
      <c r="T985" s="9">
        <f>IF(S985="G",N985,IF(S985="PT",0,ERR))</f>
        <v>0</v>
      </c>
      <c r="U985" s="9">
        <f>IF(S985="PT",N985,IF(S985="G",0,ERR))</f>
        <v>0</v>
      </c>
      <c r="V985" s="140"/>
      <c r="W985" s="9">
        <f>HLOOKUP($W$9,'ROR-Model'!$Q$10:$U$1263,Y985)</f>
        <v>19649592.249999996</v>
      </c>
      <c r="X985" s="156"/>
      <c r="Y985" s="918">
        <f t="shared" si="67"/>
        <v>976</v>
      </c>
      <c r="AA985" s="9">
        <v>0</v>
      </c>
      <c r="AC985" s="9" t="str">
        <f t="shared" si="68"/>
        <v/>
      </c>
      <c r="AE985" s="44" t="str">
        <f t="shared" si="69"/>
        <v/>
      </c>
    </row>
    <row r="986" spans="1:31">
      <c r="B986" s="49"/>
      <c r="C986" s="49"/>
      <c r="D986" s="49" t="s">
        <v>160</v>
      </c>
      <c r="E986" s="157">
        <f>+G986-Adjustments!G986</f>
        <v>-397620.98250000458</v>
      </c>
      <c r="F986" s="157">
        <f>SUM(F984:F985)</f>
        <v>20471690.48</v>
      </c>
      <c r="G986" s="157">
        <f>SUM(G984:G985)</f>
        <v>-397620.98250000458</v>
      </c>
      <c r="H986" s="157"/>
      <c r="I986" s="157">
        <f>SUM(I984:I985)</f>
        <v>20074069.497499995</v>
      </c>
      <c r="J986" s="9">
        <f>+I986-'ROR-Model'!I986</f>
        <v>0</v>
      </c>
      <c r="K986" s="9"/>
      <c r="L986" s="157"/>
      <c r="M986" s="157">
        <f>SUM(M984:M985)</f>
        <v>19649592.249999996</v>
      </c>
      <c r="N986" s="157">
        <f>SUM(N984:N985)</f>
        <v>424477.24749999988</v>
      </c>
      <c r="O986" s="136"/>
      <c r="P986" s="226"/>
      <c r="Q986" s="157">
        <f>SUM(Q984:Q985)</f>
        <v>19649592.249999996</v>
      </c>
      <c r="R986" s="157">
        <f>SUM(R984:R985)</f>
        <v>0</v>
      </c>
      <c r="S986" s="226"/>
      <c r="T986" s="157">
        <f>SUM(T984:T985)</f>
        <v>424477.24749999988</v>
      </c>
      <c r="U986" s="157">
        <f>SUM(U984:U985)</f>
        <v>0</v>
      </c>
      <c r="V986" s="140"/>
      <c r="W986" s="157">
        <f>SUM(W984:W985)</f>
        <v>19649592.249999996</v>
      </c>
      <c r="X986" s="156"/>
      <c r="Y986" s="918">
        <f t="shared" si="67"/>
        <v>977</v>
      </c>
      <c r="AA986" s="157">
        <v>400188.28</v>
      </c>
      <c r="AC986" s="157">
        <f t="shared" si="68"/>
        <v>19249403.969999995</v>
      </c>
      <c r="AE986" s="44">
        <f t="shared" si="69"/>
        <v>48.100868846034153</v>
      </c>
    </row>
    <row r="987" spans="1:31">
      <c r="A987" s="49"/>
      <c r="B987" s="49"/>
      <c r="C987" s="49"/>
      <c r="E987" s="9">
        <f>+G987-Adjustments!G987</f>
        <v>0</v>
      </c>
      <c r="F987" s="9"/>
      <c r="G987" s="9"/>
      <c r="H987" s="9"/>
      <c r="I987" s="9"/>
      <c r="J987" s="9">
        <f>+I987-'ROR-Model'!I987</f>
        <v>0</v>
      </c>
      <c r="K987" s="9"/>
      <c r="L987" s="9"/>
      <c r="M987" s="9"/>
      <c r="N987" s="9"/>
      <c r="O987" s="136"/>
      <c r="P987" s="142"/>
      <c r="Q987" s="9"/>
      <c r="R987" s="9"/>
      <c r="S987" s="142"/>
      <c r="T987" s="9"/>
      <c r="U987" s="9"/>
      <c r="V987" s="140"/>
      <c r="W987" s="9"/>
      <c r="X987" s="156"/>
      <c r="Y987" s="918">
        <f t="shared" si="67"/>
        <v>978</v>
      </c>
      <c r="AA987" s="9"/>
      <c r="AC987" s="9" t="str">
        <f t="shared" si="68"/>
        <v/>
      </c>
      <c r="AE987" s="44" t="str">
        <f t="shared" si="69"/>
        <v/>
      </c>
    </row>
    <row r="988" spans="1:31">
      <c r="B988" s="49" t="s">
        <v>225</v>
      </c>
      <c r="C988" s="49" t="s">
        <v>226</v>
      </c>
      <c r="D988" s="49"/>
      <c r="E988" s="9">
        <f>+G988-Adjustments!G988</f>
        <v>0</v>
      </c>
      <c r="F988" s="9"/>
      <c r="G988" s="9"/>
      <c r="H988" s="9"/>
      <c r="I988" s="9"/>
      <c r="J988" s="9">
        <f>+I988-'ROR-Model'!I988</f>
        <v>0</v>
      </c>
      <c r="K988" s="9"/>
      <c r="L988" s="9"/>
      <c r="M988" s="9"/>
      <c r="N988" s="9"/>
      <c r="O988" s="136"/>
      <c r="P988" s="142"/>
      <c r="Q988" s="9"/>
      <c r="R988" s="9"/>
      <c r="S988" s="142"/>
      <c r="T988" s="9"/>
      <c r="U988" s="9"/>
      <c r="V988" s="140"/>
      <c r="W988" s="9"/>
      <c r="X988" s="156"/>
      <c r="Y988" s="918">
        <f t="shared" si="67"/>
        <v>979</v>
      </c>
      <c r="AA988" s="9"/>
      <c r="AC988" s="9" t="str">
        <f t="shared" si="68"/>
        <v/>
      </c>
      <c r="AE988" s="44" t="str">
        <f t="shared" si="69"/>
        <v/>
      </c>
    </row>
    <row r="989" spans="1:31">
      <c r="B989" s="49"/>
      <c r="C989" s="49"/>
      <c r="D989" s="49" t="s">
        <v>24</v>
      </c>
      <c r="E989" s="9">
        <f>+G989-Adjustments!G989</f>
        <v>-639.66249999974389</v>
      </c>
      <c r="F989" s="9">
        <f>'Rate Base'!$T$38</f>
        <v>1004474.53</v>
      </c>
      <c r="G989" s="9">
        <f>+Adjustments!U973</f>
        <v>-639.66249999974389</v>
      </c>
      <c r="H989" s="9"/>
      <c r="I989" s="9">
        <f>SUM(F989:H989)</f>
        <v>1003834.8675000003</v>
      </c>
      <c r="J989" s="9">
        <f>+I989-'ROR-Model'!I989</f>
        <v>0</v>
      </c>
      <c r="K989" s="9"/>
      <c r="L989" s="9" t="s">
        <v>24</v>
      </c>
      <c r="M989" s="9">
        <f>VLOOKUP($L989,$L$2:$N$7,2,FALSE)*I989</f>
        <v>0</v>
      </c>
      <c r="N989" s="9">
        <f>VLOOKUP($L989,$L$2:$N$7,3,FALSE)*I989</f>
        <v>1003834.8675000003</v>
      </c>
      <c r="O989" s="136"/>
      <c r="P989" s="216" t="s">
        <v>549</v>
      </c>
      <c r="Q989" s="9">
        <f>IF(P989="G",M989,IF(P989="PT",0,ERR))</f>
        <v>0</v>
      </c>
      <c r="R989" s="9">
        <f>IF(P989="PT",M989,IF(P989="G",0,ERR))</f>
        <v>0</v>
      </c>
      <c r="S989" s="142" t="s">
        <v>549</v>
      </c>
      <c r="T989" s="9">
        <f>IF(S989="G",N989,IF(S989="PT",0,ERR))</f>
        <v>1003834.8675000003</v>
      </c>
      <c r="U989" s="9">
        <f>IF(S989="PT",N989,IF(S989="G",0,ERR))</f>
        <v>0</v>
      </c>
      <c r="V989" s="140"/>
      <c r="W989" s="9">
        <f>HLOOKUP($W$9,'ROR-Model'!$Q$10:$U$1263,Y989)</f>
        <v>0</v>
      </c>
      <c r="X989" s="156"/>
      <c r="Y989" s="918">
        <f t="shared" si="67"/>
        <v>980</v>
      </c>
      <c r="AA989" s="9">
        <v>982959.23</v>
      </c>
      <c r="AC989" s="9">
        <f t="shared" si="68"/>
        <v>-982959.23</v>
      </c>
      <c r="AE989" s="44">
        <f t="shared" si="69"/>
        <v>-1</v>
      </c>
    </row>
    <row r="990" spans="1:31">
      <c r="B990" s="49"/>
      <c r="C990" s="49"/>
      <c r="D990" s="49" t="s">
        <v>13</v>
      </c>
      <c r="E990" s="9">
        <f>+G990-Adjustments!G990</f>
        <v>7358.6824999991804</v>
      </c>
      <c r="F990" s="9">
        <f>'Rate Base'!$T$39</f>
        <v>15501057.690000001</v>
      </c>
      <c r="G990" s="9">
        <f>+Adjustments!U974</f>
        <v>7358.6824999991804</v>
      </c>
      <c r="H990" s="9"/>
      <c r="I990" s="9">
        <f>SUM(F990:H990)</f>
        <v>15508416.372500001</v>
      </c>
      <c r="J990" s="9">
        <f>+I990-'ROR-Model'!I990</f>
        <v>0</v>
      </c>
      <c r="K990" s="9"/>
      <c r="L990" s="9" t="s">
        <v>13</v>
      </c>
      <c r="M990" s="9">
        <f>VLOOKUP($L990,$L$2:$N$7,2,FALSE)*I990</f>
        <v>15508416.372500001</v>
      </c>
      <c r="N990" s="9">
        <f>VLOOKUP($L990,$L$2:$N$7,3,FALSE)*I990</f>
        <v>0</v>
      </c>
      <c r="O990" s="136"/>
      <c r="P990" s="216" t="s">
        <v>549</v>
      </c>
      <c r="Q990" s="9">
        <f>IF(P990="G",M990,IF(P990="PT",0,ERR))</f>
        <v>15508416.372500001</v>
      </c>
      <c r="R990" s="9">
        <f>IF(P990="PT",M990,IF(P990="G",0,ERR))</f>
        <v>0</v>
      </c>
      <c r="S990" s="142" t="s">
        <v>549</v>
      </c>
      <c r="T990" s="9">
        <f>IF(S990="G",N990,IF(S990="PT",0,ERR))</f>
        <v>0</v>
      </c>
      <c r="U990" s="9">
        <f>IF(S990="PT",N990,IF(S990="G",0,ERR))</f>
        <v>0</v>
      </c>
      <c r="V990" s="140"/>
      <c r="W990" s="9">
        <f>HLOOKUP($W$9,'ROR-Model'!$Q$10:$U$1263,Y990)</f>
        <v>15508416.372500001</v>
      </c>
      <c r="X990" s="156"/>
      <c r="Y990" s="918">
        <f t="shared" si="67"/>
        <v>981</v>
      </c>
      <c r="AA990" s="9">
        <v>0</v>
      </c>
      <c r="AC990" s="9" t="str">
        <f t="shared" si="68"/>
        <v/>
      </c>
      <c r="AE990" s="44" t="str">
        <f t="shared" si="69"/>
        <v/>
      </c>
    </row>
    <row r="991" spans="1:31">
      <c r="B991" s="49"/>
      <c r="C991" s="49"/>
      <c r="D991" s="49" t="s">
        <v>160</v>
      </c>
      <c r="E991" s="157">
        <f>+G991-Adjustments!G991</f>
        <v>6719.0199999994365</v>
      </c>
      <c r="F991" s="157">
        <f>SUM(F989:F990)</f>
        <v>16505532.220000001</v>
      </c>
      <c r="G991" s="157">
        <f>SUM(G989:G990)</f>
        <v>6719.0199999994365</v>
      </c>
      <c r="H991" s="157"/>
      <c r="I991" s="157">
        <f>SUM(I989:I990)</f>
        <v>16512251.24</v>
      </c>
      <c r="J991" s="9">
        <f>+I991-'ROR-Model'!I991</f>
        <v>0</v>
      </c>
      <c r="K991" s="9"/>
      <c r="L991" s="157"/>
      <c r="M991" s="157">
        <f>SUM(M989:M990)</f>
        <v>15508416.372500001</v>
      </c>
      <c r="N991" s="157">
        <f>SUM(N989:N990)</f>
        <v>1003834.8675000003</v>
      </c>
      <c r="O991" s="136"/>
      <c r="P991" s="226"/>
      <c r="Q991" s="157">
        <f>SUM(Q989:Q990)</f>
        <v>15508416.372500001</v>
      </c>
      <c r="R991" s="157">
        <f>SUM(R989:R990)</f>
        <v>0</v>
      </c>
      <c r="S991" s="226"/>
      <c r="T991" s="157">
        <f>SUM(T989:T990)</f>
        <v>1003834.8675000003</v>
      </c>
      <c r="U991" s="157">
        <f>SUM(U989:U990)</f>
        <v>0</v>
      </c>
      <c r="V991" s="140"/>
      <c r="W991" s="157">
        <f>SUM(W989:W990)</f>
        <v>15508416.372500001</v>
      </c>
      <c r="X991" s="156"/>
      <c r="Y991" s="918">
        <f t="shared" si="67"/>
        <v>982</v>
      </c>
      <c r="AA991" s="157">
        <v>982959.23</v>
      </c>
      <c r="AC991" s="157">
        <f t="shared" si="68"/>
        <v>14525457.1425</v>
      </c>
      <c r="AE991" s="44">
        <f t="shared" si="69"/>
        <v>14.777273257304884</v>
      </c>
    </row>
    <row r="992" spans="1:31">
      <c r="B992" s="49"/>
      <c r="C992" s="49"/>
      <c r="D992" s="49"/>
      <c r="E992" s="9">
        <f>+G992-Adjustments!G992</f>
        <v>0</v>
      </c>
      <c r="F992" s="9"/>
      <c r="G992" s="9"/>
      <c r="H992" s="9"/>
      <c r="I992" s="9"/>
      <c r="J992" s="9">
        <f>+I992-'ROR-Model'!I992</f>
        <v>0</v>
      </c>
      <c r="K992" s="9"/>
      <c r="L992" s="9"/>
      <c r="M992" s="9"/>
      <c r="N992" s="9"/>
      <c r="O992" s="136"/>
      <c r="P992" s="142"/>
      <c r="Q992" s="9"/>
      <c r="R992" s="9"/>
      <c r="S992" s="142"/>
      <c r="T992" s="9"/>
      <c r="U992" s="9"/>
      <c r="V992" s="140"/>
      <c r="W992" s="9"/>
      <c r="X992" s="156"/>
      <c r="Y992" s="918">
        <f t="shared" si="67"/>
        <v>983</v>
      </c>
      <c r="AA992" s="9"/>
      <c r="AC992" s="9" t="str">
        <f t="shared" si="68"/>
        <v/>
      </c>
      <c r="AE992" s="44" t="str">
        <f t="shared" si="69"/>
        <v/>
      </c>
    </row>
    <row r="993" spans="1:31">
      <c r="B993" s="49" t="s">
        <v>230</v>
      </c>
      <c r="C993" s="49" t="s">
        <v>231</v>
      </c>
      <c r="D993" s="49"/>
      <c r="E993" s="9">
        <f>+G993-Adjustments!G993</f>
        <v>0</v>
      </c>
      <c r="F993" s="9"/>
      <c r="G993" s="9"/>
      <c r="H993" s="9"/>
      <c r="I993" s="9"/>
      <c r="J993" s="9">
        <f>+I993-'ROR-Model'!I993</f>
        <v>0</v>
      </c>
      <c r="K993" s="9"/>
      <c r="L993" s="9"/>
      <c r="M993" s="9"/>
      <c r="N993" s="9"/>
      <c r="O993" s="136"/>
      <c r="P993" s="142"/>
      <c r="Q993" s="9"/>
      <c r="R993" s="9"/>
      <c r="S993" s="142"/>
      <c r="T993" s="9"/>
      <c r="U993" s="9"/>
      <c r="V993" s="140"/>
      <c r="W993" s="9"/>
      <c r="X993" s="156"/>
      <c r="Y993" s="918">
        <f t="shared" si="67"/>
        <v>984</v>
      </c>
      <c r="AA993" s="9"/>
      <c r="AC993" s="9" t="str">
        <f t="shared" si="68"/>
        <v/>
      </c>
      <c r="AE993" s="44" t="str">
        <f t="shared" si="69"/>
        <v/>
      </c>
    </row>
    <row r="994" spans="1:31">
      <c r="B994" s="49"/>
      <c r="C994" s="49"/>
      <c r="D994" s="49" t="s">
        <v>55</v>
      </c>
      <c r="E994" s="9">
        <f>+G994-Adjustments!G994</f>
        <v>0</v>
      </c>
      <c r="F994" s="9"/>
      <c r="G994" s="9"/>
      <c r="H994" s="9"/>
      <c r="I994" s="9"/>
      <c r="J994" s="9">
        <f>+I994-'ROR-Model'!I994</f>
        <v>0</v>
      </c>
      <c r="K994" s="9"/>
      <c r="L994" s="9"/>
      <c r="M994" s="9"/>
      <c r="N994" s="9"/>
      <c r="O994" s="136"/>
      <c r="P994" s="142"/>
      <c r="Q994" s="9"/>
      <c r="R994" s="9"/>
      <c r="S994" s="142"/>
      <c r="T994" s="9"/>
      <c r="U994" s="9"/>
      <c r="V994" s="140"/>
      <c r="W994" s="9"/>
      <c r="X994" s="156"/>
      <c r="Y994" s="918">
        <f t="shared" si="67"/>
        <v>985</v>
      </c>
      <c r="AA994" s="9"/>
      <c r="AC994" s="9" t="str">
        <f t="shared" si="68"/>
        <v/>
      </c>
      <c r="AE994" s="44" t="str">
        <f t="shared" si="69"/>
        <v/>
      </c>
    </row>
    <row r="995" spans="1:31">
      <c r="B995" s="49"/>
      <c r="C995" s="49"/>
      <c r="D995" s="49" t="s">
        <v>521</v>
      </c>
      <c r="E995" s="9">
        <f>+G995-Adjustments!G995</f>
        <v>0</v>
      </c>
      <c r="F995" s="9"/>
      <c r="G995" s="9"/>
      <c r="H995" s="9"/>
      <c r="I995" s="9"/>
      <c r="J995" s="9">
        <f>+I995-'ROR-Model'!I995</f>
        <v>0</v>
      </c>
      <c r="K995" s="9"/>
      <c r="L995" s="9"/>
      <c r="M995" s="9"/>
      <c r="N995" s="9"/>
      <c r="O995" s="136"/>
      <c r="P995" s="142"/>
      <c r="Q995" s="9"/>
      <c r="R995" s="9"/>
      <c r="S995" s="142"/>
      <c r="T995" s="9"/>
      <c r="U995" s="9"/>
      <c r="V995" s="140"/>
      <c r="W995" s="9"/>
      <c r="X995" s="156"/>
      <c r="Y995" s="918">
        <f t="shared" si="67"/>
        <v>986</v>
      </c>
      <c r="AA995" s="9"/>
      <c r="AC995" s="9" t="str">
        <f t="shared" si="68"/>
        <v/>
      </c>
      <c r="AE995" s="44" t="str">
        <f t="shared" si="69"/>
        <v/>
      </c>
    </row>
    <row r="996" spans="1:31">
      <c r="B996" s="49"/>
      <c r="C996" s="49"/>
      <c r="D996" s="49" t="s">
        <v>522</v>
      </c>
      <c r="E996" s="9">
        <f>+G996-Adjustments!G996</f>
        <v>0</v>
      </c>
      <c r="F996" s="9"/>
      <c r="G996" s="9"/>
      <c r="H996" s="9"/>
      <c r="I996" s="9"/>
      <c r="J996" s="9">
        <f>+I996-'ROR-Model'!I996</f>
        <v>0</v>
      </c>
      <c r="K996" s="9"/>
      <c r="L996" s="9"/>
      <c r="M996" s="9"/>
      <c r="N996" s="9"/>
      <c r="O996" s="136"/>
      <c r="P996" s="142"/>
      <c r="Q996" s="9"/>
      <c r="R996" s="9"/>
      <c r="S996" s="142"/>
      <c r="T996" s="9"/>
      <c r="U996" s="9"/>
      <c r="V996" s="140"/>
      <c r="W996" s="9"/>
      <c r="X996" s="156"/>
      <c r="Y996" s="918">
        <f t="shared" si="67"/>
        <v>987</v>
      </c>
      <c r="AA996" s="9"/>
      <c r="AC996" s="9" t="str">
        <f t="shared" si="68"/>
        <v/>
      </c>
      <c r="AE996" s="44" t="str">
        <f t="shared" si="69"/>
        <v/>
      </c>
    </row>
    <row r="997" spans="1:31">
      <c r="B997" s="49"/>
      <c r="C997" s="49"/>
      <c r="D997" s="49" t="s">
        <v>523</v>
      </c>
      <c r="E997" s="157">
        <f>+G997-Adjustments!G997</f>
        <v>-2022327.8795833364</v>
      </c>
      <c r="F997" s="157">
        <f>'Rate Base'!$T$46</f>
        <v>41533025.009999998</v>
      </c>
      <c r="G997" s="157">
        <f>+Adjustments!U981</f>
        <v>-2022327.8795833364</v>
      </c>
      <c r="H997" s="157"/>
      <c r="I997" s="157">
        <f>SUM(F997:H997)</f>
        <v>39510697.130416662</v>
      </c>
      <c r="J997" s="9">
        <f>+I997-'ROR-Model'!I997</f>
        <v>0</v>
      </c>
      <c r="K997" s="9"/>
      <c r="L997" s="157" t="s">
        <v>24</v>
      </c>
      <c r="M997" s="157">
        <f>VLOOKUP($L997,$L$2:$N$7,2,FALSE)*I997</f>
        <v>0</v>
      </c>
      <c r="N997" s="157">
        <f>VLOOKUP($L997,$L$2:$N$7,3,FALSE)*I997</f>
        <v>39510697.130416662</v>
      </c>
      <c r="O997" s="136"/>
      <c r="P997" s="226" t="s">
        <v>549</v>
      </c>
      <c r="Q997" s="157">
        <f>IF(P997="G",M997,IF(P997="PT",0,ERR))</f>
        <v>0</v>
      </c>
      <c r="R997" s="157">
        <f>IF(P997="PT",M997,IF(P997="G",0,ERR))</f>
        <v>0</v>
      </c>
      <c r="S997" s="226" t="s">
        <v>549</v>
      </c>
      <c r="T997" s="157">
        <f>IF(S997="G",N997,IF(S997="PT",0,ERR))</f>
        <v>39510697.130416662</v>
      </c>
      <c r="U997" s="157">
        <f>IF(S997="PT",N997,IF(S997="G",0,ERR))</f>
        <v>0</v>
      </c>
      <c r="V997" s="140"/>
      <c r="W997" s="157">
        <f>HLOOKUP($W$9,'ROR-Model'!$Q$10:$U$1263,Y997)</f>
        <v>0</v>
      </c>
      <c r="X997" s="156"/>
      <c r="Y997" s="918">
        <f t="shared" si="67"/>
        <v>988</v>
      </c>
      <c r="AA997" s="157">
        <v>37088094.039999999</v>
      </c>
      <c r="AC997" s="157">
        <f t="shared" si="68"/>
        <v>-37088094.039999999</v>
      </c>
      <c r="AE997" s="44">
        <f t="shared" si="69"/>
        <v>-1</v>
      </c>
    </row>
    <row r="998" spans="1:31">
      <c r="B998" s="49"/>
      <c r="C998" s="49"/>
      <c r="D998" s="49" t="s">
        <v>524</v>
      </c>
      <c r="E998" s="9">
        <f>+G998-Adjustments!G998</f>
        <v>0</v>
      </c>
      <c r="F998" s="9"/>
      <c r="G998" s="9"/>
      <c r="H998" s="9"/>
      <c r="I998" s="9"/>
      <c r="J998" s="9">
        <f>+I998-'ROR-Model'!I998</f>
        <v>0</v>
      </c>
      <c r="K998" s="9"/>
      <c r="L998" s="9"/>
      <c r="M998" s="9"/>
      <c r="N998" s="9"/>
      <c r="O998" s="136"/>
      <c r="P998" s="142"/>
      <c r="Q998" s="9"/>
      <c r="R998" s="9"/>
      <c r="S998" s="142"/>
      <c r="T998" s="9"/>
      <c r="U998" s="9"/>
      <c r="V998" s="140"/>
      <c r="W998" s="9"/>
      <c r="X998" s="156"/>
      <c r="Y998" s="918">
        <f t="shared" si="67"/>
        <v>989</v>
      </c>
      <c r="AA998" s="9"/>
      <c r="AC998" s="9" t="str">
        <f t="shared" si="68"/>
        <v/>
      </c>
      <c r="AE998" s="44" t="str">
        <f t="shared" si="69"/>
        <v/>
      </c>
    </row>
    <row r="999" spans="1:31">
      <c r="B999" s="49"/>
      <c r="C999" s="49"/>
      <c r="D999" s="49" t="s">
        <v>525</v>
      </c>
      <c r="E999" s="9">
        <f>+G999-Adjustments!G999</f>
        <v>0</v>
      </c>
      <c r="F999" s="9"/>
      <c r="G999" s="9"/>
      <c r="H999" s="9"/>
      <c r="I999" s="9"/>
      <c r="J999" s="9">
        <f>+I999-'ROR-Model'!I999</f>
        <v>0</v>
      </c>
      <c r="K999" s="9"/>
      <c r="L999" s="9"/>
      <c r="M999" s="9"/>
      <c r="N999" s="9"/>
      <c r="O999" s="136"/>
      <c r="P999" s="142"/>
      <c r="Q999" s="9"/>
      <c r="R999" s="9"/>
      <c r="S999" s="142"/>
      <c r="T999" s="9"/>
      <c r="U999" s="9"/>
      <c r="V999" s="140"/>
      <c r="W999" s="9"/>
      <c r="X999" s="156"/>
      <c r="Y999" s="918">
        <f t="shared" si="67"/>
        <v>990</v>
      </c>
      <c r="AA999" s="9"/>
      <c r="AC999" s="9" t="str">
        <f t="shared" si="68"/>
        <v/>
      </c>
      <c r="AE999" s="44" t="str">
        <f t="shared" si="69"/>
        <v/>
      </c>
    </row>
    <row r="1000" spans="1:31">
      <c r="B1000" s="49"/>
      <c r="C1000" s="49"/>
      <c r="D1000" s="49" t="s">
        <v>526</v>
      </c>
      <c r="E1000" s="9">
        <f>+G1000-Adjustments!G1000</f>
        <v>0</v>
      </c>
      <c r="F1000" s="9"/>
      <c r="G1000" s="9"/>
      <c r="H1000" s="9"/>
      <c r="I1000" s="9"/>
      <c r="J1000" s="9">
        <f>+I1000-'ROR-Model'!I1000</f>
        <v>0</v>
      </c>
      <c r="K1000" s="9"/>
      <c r="L1000" s="9"/>
      <c r="M1000" s="9"/>
      <c r="N1000" s="9"/>
      <c r="O1000" s="136"/>
      <c r="P1000" s="142"/>
      <c r="Q1000" s="9"/>
      <c r="R1000" s="9"/>
      <c r="S1000" s="142"/>
      <c r="T1000" s="9"/>
      <c r="U1000" s="9"/>
      <c r="V1000" s="140"/>
      <c r="W1000" s="9"/>
      <c r="X1000" s="156"/>
      <c r="Y1000" s="918">
        <f t="shared" si="67"/>
        <v>991</v>
      </c>
      <c r="AA1000" s="9"/>
      <c r="AC1000" s="9" t="str">
        <f t="shared" si="68"/>
        <v/>
      </c>
      <c r="AE1000" s="44" t="str">
        <f t="shared" si="69"/>
        <v/>
      </c>
    </row>
    <row r="1001" spans="1:31">
      <c r="B1001" s="49"/>
      <c r="C1001" s="49"/>
      <c r="D1001" s="49" t="s">
        <v>527</v>
      </c>
      <c r="E1001" s="157">
        <f>+G1001-Adjustments!G1001</f>
        <v>-62364174.89625001</v>
      </c>
      <c r="F1001" s="157">
        <f>'Rate Base'!$T$50</f>
        <v>1555365511.3599999</v>
      </c>
      <c r="G1001" s="157">
        <f>+Adjustments!U985</f>
        <v>-62364174.89625001</v>
      </c>
      <c r="H1001" s="157"/>
      <c r="I1001" s="157">
        <f>SUM(F1001:H1001)</f>
        <v>1493001336.4637499</v>
      </c>
      <c r="J1001" s="9">
        <f>+I1001-'ROR-Model'!I1001</f>
        <v>0</v>
      </c>
      <c r="K1001" s="9"/>
      <c r="L1001" s="157" t="s">
        <v>13</v>
      </c>
      <c r="M1001" s="157">
        <f>VLOOKUP($L1001,$L$2:$N$7,2,FALSE)*I1001</f>
        <v>1493001336.4637499</v>
      </c>
      <c r="N1001" s="157">
        <f>VLOOKUP($L1001,$L$2:$N$7,3,FALSE)*I1001</f>
        <v>0</v>
      </c>
      <c r="O1001" s="136"/>
      <c r="P1001" s="226" t="s">
        <v>549</v>
      </c>
      <c r="Q1001" s="157">
        <f>IF(P1001="G",M1001,IF(P1001="PT",0,ERR))</f>
        <v>1493001336.4637499</v>
      </c>
      <c r="R1001" s="157">
        <f>IF(P1001="PT",M1001,IF(P1001="G",0,ERR))</f>
        <v>0</v>
      </c>
      <c r="S1001" s="226" t="s">
        <v>549</v>
      </c>
      <c r="T1001" s="157">
        <f>IF(S1001="G",N1001,IF(S1001="PT",0,ERR))</f>
        <v>0</v>
      </c>
      <c r="U1001" s="157">
        <f>IF(S1001="PT",N1001,IF(S1001="G",0,ERR))</f>
        <v>0</v>
      </c>
      <c r="V1001" s="140"/>
      <c r="W1001" s="157">
        <f>HLOOKUP($W$9,'ROR-Model'!$Q$10:$U$1263,Y1001)</f>
        <v>1493001336.4637499</v>
      </c>
      <c r="X1001" s="156"/>
      <c r="Y1001" s="918">
        <f t="shared" si="67"/>
        <v>992</v>
      </c>
      <c r="AA1001" s="157">
        <v>0</v>
      </c>
      <c r="AC1001" s="157" t="str">
        <f t="shared" si="68"/>
        <v/>
      </c>
      <c r="AE1001" s="44" t="str">
        <f t="shared" si="69"/>
        <v/>
      </c>
    </row>
    <row r="1002" spans="1:31">
      <c r="B1002" s="49"/>
      <c r="C1002" s="49"/>
      <c r="D1002" s="49" t="s">
        <v>699</v>
      </c>
      <c r="E1002" s="9">
        <f>+G1002-Adjustments!G1002</f>
        <v>-64386502.775833346</v>
      </c>
      <c r="F1002" s="9">
        <f>F1001+F997</f>
        <v>1596898536.3699999</v>
      </c>
      <c r="G1002" s="9">
        <f>G1001+G997</f>
        <v>-64386502.775833346</v>
      </c>
      <c r="H1002" s="9">
        <f>H1001+H997</f>
        <v>0</v>
      </c>
      <c r="I1002" s="9">
        <f>I1001+I997</f>
        <v>1532512033.5941665</v>
      </c>
      <c r="J1002" s="9">
        <f>+I1002-'ROR-Model'!I1002</f>
        <v>0</v>
      </c>
      <c r="K1002" s="9"/>
      <c r="L1002" s="9"/>
      <c r="M1002" s="9">
        <f>M1001+M997</f>
        <v>1493001336.4637499</v>
      </c>
      <c r="N1002" s="9">
        <f>N1001+N997</f>
        <v>39510697.130416662</v>
      </c>
      <c r="O1002" s="136"/>
      <c r="P1002" s="142" t="s">
        <v>549</v>
      </c>
      <c r="Q1002" s="9">
        <f>Q1001+Q997</f>
        <v>1493001336.4637499</v>
      </c>
      <c r="R1002" s="9">
        <f>R1001+R997</f>
        <v>0</v>
      </c>
      <c r="S1002" s="142" t="s">
        <v>549</v>
      </c>
      <c r="T1002" s="9">
        <f>T1001+T997</f>
        <v>39510697.130416662</v>
      </c>
      <c r="U1002" s="9">
        <f>U1001+U997</f>
        <v>0</v>
      </c>
      <c r="V1002" s="140"/>
      <c r="W1002" s="9">
        <f>W1001+W997</f>
        <v>1493001336.4637499</v>
      </c>
      <c r="X1002" s="156"/>
      <c r="Y1002" s="918">
        <f t="shared" si="67"/>
        <v>993</v>
      </c>
      <c r="AA1002" s="9">
        <v>37088094.039999999</v>
      </c>
      <c r="AC1002" s="9">
        <f t="shared" si="68"/>
        <v>1455913242.4237499</v>
      </c>
      <c r="AE1002" s="44">
        <f t="shared" si="69"/>
        <v>39.255542246348064</v>
      </c>
    </row>
    <row r="1003" spans="1:31">
      <c r="A1003" s="49"/>
      <c r="B1003" s="49"/>
      <c r="C1003" s="49"/>
      <c r="E1003" s="9">
        <f>+G1003-Adjustments!G1003</f>
        <v>0</v>
      </c>
      <c r="F1003" s="9"/>
      <c r="G1003" s="9"/>
      <c r="H1003" s="9"/>
      <c r="I1003" s="9"/>
      <c r="J1003" s="9">
        <f>+I1003-'ROR-Model'!I1003</f>
        <v>0</v>
      </c>
      <c r="K1003" s="9"/>
      <c r="L1003" s="9"/>
      <c r="M1003" s="9"/>
      <c r="N1003" s="9"/>
      <c r="O1003" s="136"/>
      <c r="P1003" s="142"/>
      <c r="Q1003" s="9"/>
      <c r="R1003" s="9"/>
      <c r="S1003" s="142"/>
      <c r="T1003" s="9"/>
      <c r="U1003" s="9"/>
      <c r="V1003" s="140"/>
      <c r="W1003" s="9"/>
      <c r="X1003" s="156"/>
      <c r="Y1003" s="918">
        <f t="shared" si="67"/>
        <v>994</v>
      </c>
      <c r="AA1003" s="9"/>
      <c r="AC1003" s="9" t="str">
        <f t="shared" si="68"/>
        <v/>
      </c>
      <c r="AE1003" s="44" t="str">
        <f t="shared" si="69"/>
        <v/>
      </c>
    </row>
    <row r="1004" spans="1:31">
      <c r="B1004" s="49" t="s">
        <v>232</v>
      </c>
      <c r="C1004" s="49" t="s">
        <v>234</v>
      </c>
      <c r="D1004" s="49"/>
      <c r="E1004" s="9">
        <f>+G1004-Adjustments!G1004</f>
        <v>0</v>
      </c>
      <c r="F1004" s="9"/>
      <c r="G1004" s="9"/>
      <c r="H1004" s="9"/>
      <c r="I1004" s="9"/>
      <c r="J1004" s="9">
        <f>+I1004-'ROR-Model'!I1004</f>
        <v>0</v>
      </c>
      <c r="K1004" s="9"/>
      <c r="L1004" s="9"/>
      <c r="M1004" s="9"/>
      <c r="N1004" s="9"/>
      <c r="O1004" s="136"/>
      <c r="P1004" s="142"/>
      <c r="Q1004" s="9"/>
      <c r="R1004" s="9"/>
      <c r="S1004" s="142"/>
      <c r="T1004" s="9"/>
      <c r="U1004" s="9"/>
      <c r="V1004" s="140"/>
      <c r="W1004" s="9"/>
      <c r="X1004" s="156"/>
      <c r="Y1004" s="918">
        <f t="shared" si="67"/>
        <v>995</v>
      </c>
      <c r="AA1004" s="9"/>
      <c r="AC1004" s="9" t="str">
        <f t="shared" si="68"/>
        <v/>
      </c>
      <c r="AE1004" s="44" t="str">
        <f t="shared" si="69"/>
        <v/>
      </c>
    </row>
    <row r="1005" spans="1:31">
      <c r="B1005" s="49"/>
      <c r="C1005" s="49"/>
      <c r="D1005" s="49" t="s">
        <v>24</v>
      </c>
      <c r="E1005" s="9">
        <f>+G1005-Adjustments!G1005</f>
        <v>0</v>
      </c>
      <c r="F1005" s="9">
        <f>'Rate Base'!$T$54</f>
        <v>0</v>
      </c>
      <c r="G1005" s="9">
        <f>+Adjustments!U989</f>
        <v>0</v>
      </c>
      <c r="H1005" s="9"/>
      <c r="I1005" s="9">
        <f>SUM(F1005:H1005)</f>
        <v>0</v>
      </c>
      <c r="J1005" s="9">
        <f>+I1005-'ROR-Model'!I1005</f>
        <v>0</v>
      </c>
      <c r="K1005" s="9"/>
      <c r="L1005" s="9" t="s">
        <v>24</v>
      </c>
      <c r="M1005" s="9">
        <f>VLOOKUP($L1005,$L$2:$N$7,2,FALSE)*I1005</f>
        <v>0</v>
      </c>
      <c r="N1005" s="9">
        <f>VLOOKUP($L1005,$L$2:$N$7,3,FALSE)*I1005</f>
        <v>0</v>
      </c>
      <c r="O1005" s="136"/>
      <c r="P1005" s="216" t="s">
        <v>549</v>
      </c>
      <c r="Q1005" s="9">
        <f>IF(P1005="G",M1005,IF(P1005="PT",0,ERR))</f>
        <v>0</v>
      </c>
      <c r="R1005" s="9">
        <f>IF(P1005="PT",M1005,IF(P1005="G",0,ERR))</f>
        <v>0</v>
      </c>
      <c r="S1005" s="142" t="s">
        <v>549</v>
      </c>
      <c r="T1005" s="9">
        <f>IF(S1005="G",N1005,IF(S1005="PT",0,ERR))</f>
        <v>0</v>
      </c>
      <c r="U1005" s="9">
        <f>IF(S1005="PT",N1005,IF(S1005="G",0,ERR))</f>
        <v>0</v>
      </c>
      <c r="V1005" s="140"/>
      <c r="W1005" s="9">
        <f>HLOOKUP($W$9,'ROR-Model'!$Q$10:$U$1263,Y1005)</f>
        <v>0</v>
      </c>
      <c r="X1005" s="156"/>
      <c r="Y1005" s="918">
        <f t="shared" si="67"/>
        <v>996</v>
      </c>
      <c r="AA1005" s="9">
        <v>0</v>
      </c>
      <c r="AC1005" s="9" t="str">
        <f t="shared" si="68"/>
        <v/>
      </c>
      <c r="AE1005" s="44" t="str">
        <f t="shared" si="69"/>
        <v/>
      </c>
    </row>
    <row r="1006" spans="1:31">
      <c r="B1006" s="49"/>
      <c r="C1006" s="49"/>
      <c r="D1006" s="49" t="s">
        <v>13</v>
      </c>
      <c r="E1006" s="9">
        <f>+G1006-Adjustments!G1006</f>
        <v>835931.56458333135</v>
      </c>
      <c r="F1006" s="9">
        <f>'Rate Base'!$T$55</f>
        <v>14286566.039999999</v>
      </c>
      <c r="G1006" s="9">
        <f>+Adjustments!U990</f>
        <v>835931.56458333135</v>
      </c>
      <c r="H1006" s="9"/>
      <c r="I1006" s="9">
        <f>SUM(F1006:H1006)</f>
        <v>15122497.60458333</v>
      </c>
      <c r="J1006" s="9">
        <f>+I1006-'ROR-Model'!I1006</f>
        <v>0</v>
      </c>
      <c r="K1006" s="9"/>
      <c r="L1006" s="9" t="s">
        <v>13</v>
      </c>
      <c r="M1006" s="9">
        <f>VLOOKUP($L1006,$L$2:$N$7,2,FALSE)*I1006</f>
        <v>15122497.60458333</v>
      </c>
      <c r="N1006" s="9">
        <f>VLOOKUP($L1006,$L$2:$N$7,3,FALSE)*I1006</f>
        <v>0</v>
      </c>
      <c r="O1006" s="136"/>
      <c r="P1006" s="216" t="s">
        <v>549</v>
      </c>
      <c r="Q1006" s="9">
        <f>IF(P1006="G",M1006,IF(P1006="PT",0,ERR))</f>
        <v>15122497.60458333</v>
      </c>
      <c r="R1006" s="9">
        <f>IF(P1006="PT",M1006,IF(P1006="G",0,ERR))</f>
        <v>0</v>
      </c>
      <c r="S1006" s="142" t="s">
        <v>549</v>
      </c>
      <c r="T1006" s="9">
        <f>IF(S1006="G",N1006,IF(S1006="PT",0,ERR))</f>
        <v>0</v>
      </c>
      <c r="U1006" s="9">
        <f>IF(S1006="PT",N1006,IF(S1006="G",0,ERR))</f>
        <v>0</v>
      </c>
      <c r="V1006" s="140"/>
      <c r="W1006" s="9">
        <f>HLOOKUP($W$9,'ROR-Model'!$Q$10:$U$1263,Y1006)</f>
        <v>15122497.60458333</v>
      </c>
      <c r="X1006" s="156"/>
      <c r="Y1006" s="918">
        <f t="shared" si="67"/>
        <v>997</v>
      </c>
      <c r="AA1006" s="9">
        <v>0</v>
      </c>
      <c r="AC1006" s="9" t="str">
        <f t="shared" si="68"/>
        <v/>
      </c>
      <c r="AE1006" s="44" t="str">
        <f t="shared" si="69"/>
        <v/>
      </c>
    </row>
    <row r="1007" spans="1:31">
      <c r="B1007" s="49"/>
      <c r="C1007" s="49"/>
      <c r="D1007" s="49" t="s">
        <v>160</v>
      </c>
      <c r="E1007" s="157">
        <f>+G1007-Adjustments!G1007</f>
        <v>835931.56458333135</v>
      </c>
      <c r="F1007" s="157">
        <f>SUM(F1005:F1006)</f>
        <v>14286566.039999999</v>
      </c>
      <c r="G1007" s="157">
        <f>SUM(G1005:G1006)</f>
        <v>835931.56458333135</v>
      </c>
      <c r="H1007" s="157"/>
      <c r="I1007" s="157">
        <f>SUM(I1005:I1006)</f>
        <v>15122497.60458333</v>
      </c>
      <c r="J1007" s="9">
        <f>+I1007-'ROR-Model'!I1007</f>
        <v>0</v>
      </c>
      <c r="K1007" s="9"/>
      <c r="L1007" s="157"/>
      <c r="M1007" s="157">
        <f>SUM(M1005:M1006)</f>
        <v>15122497.60458333</v>
      </c>
      <c r="N1007" s="157">
        <f>SUM(N1005:N1006)</f>
        <v>0</v>
      </c>
      <c r="O1007" s="136"/>
      <c r="P1007" s="226"/>
      <c r="Q1007" s="157">
        <f>SUM(Q1005:Q1006)</f>
        <v>15122497.60458333</v>
      </c>
      <c r="R1007" s="157">
        <f>SUM(R1005:R1006)</f>
        <v>0</v>
      </c>
      <c r="S1007" s="226"/>
      <c r="T1007" s="157">
        <f>SUM(T1005:T1006)</f>
        <v>0</v>
      </c>
      <c r="U1007" s="157">
        <f>SUM(U1005:U1006)</f>
        <v>0</v>
      </c>
      <c r="V1007" s="140"/>
      <c r="W1007" s="157">
        <f>SUM(W1005:W1006)</f>
        <v>15122497.60458333</v>
      </c>
      <c r="X1007" s="156"/>
      <c r="Y1007" s="918">
        <f t="shared" si="67"/>
        <v>998</v>
      </c>
      <c r="AA1007" s="157">
        <v>0</v>
      </c>
      <c r="AC1007" s="157" t="str">
        <f t="shared" si="68"/>
        <v/>
      </c>
      <c r="AE1007" s="44" t="str">
        <f t="shared" si="69"/>
        <v/>
      </c>
    </row>
    <row r="1008" spans="1:31">
      <c r="A1008" s="49"/>
      <c r="B1008" s="49"/>
      <c r="C1008" s="49"/>
      <c r="E1008" s="9">
        <f>+G1008-Adjustments!G1008</f>
        <v>0</v>
      </c>
      <c r="F1008" s="9"/>
      <c r="G1008" s="9"/>
      <c r="H1008" s="9"/>
      <c r="I1008" s="9"/>
      <c r="J1008" s="9">
        <f>+I1008-'ROR-Model'!I1008</f>
        <v>0</v>
      </c>
      <c r="K1008" s="9"/>
      <c r="L1008" s="9"/>
      <c r="M1008" s="9"/>
      <c r="N1008" s="9"/>
      <c r="O1008" s="136"/>
      <c r="P1008" s="142"/>
      <c r="Q1008" s="9"/>
      <c r="R1008" s="9"/>
      <c r="S1008" s="142"/>
      <c r="T1008" s="9"/>
      <c r="U1008" s="9"/>
      <c r="V1008" s="140"/>
      <c r="W1008" s="9"/>
      <c r="X1008" s="156"/>
      <c r="Y1008" s="918">
        <f t="shared" si="67"/>
        <v>999</v>
      </c>
      <c r="AA1008" s="9"/>
      <c r="AC1008" s="9" t="str">
        <f t="shared" si="68"/>
        <v/>
      </c>
      <c r="AE1008" s="44" t="str">
        <f t="shared" si="69"/>
        <v/>
      </c>
    </row>
    <row r="1009" spans="2:31">
      <c r="B1009" s="49" t="s">
        <v>235</v>
      </c>
      <c r="C1009" s="49" t="s">
        <v>236</v>
      </c>
      <c r="D1009" s="49"/>
      <c r="E1009" s="9">
        <f>+G1009-Adjustments!G1009</f>
        <v>0</v>
      </c>
      <c r="F1009" s="9"/>
      <c r="G1009" s="9"/>
      <c r="H1009" s="9"/>
      <c r="I1009" s="9"/>
      <c r="J1009" s="9">
        <f>+I1009-'ROR-Model'!I1009</f>
        <v>0</v>
      </c>
      <c r="K1009" s="9"/>
      <c r="L1009" s="9"/>
      <c r="M1009" s="9"/>
      <c r="N1009" s="9"/>
      <c r="O1009" s="136"/>
      <c r="P1009" s="142"/>
      <c r="Q1009" s="9"/>
      <c r="R1009" s="9"/>
      <c r="S1009" s="142"/>
      <c r="T1009" s="9"/>
      <c r="U1009" s="9"/>
      <c r="V1009" s="140"/>
      <c r="W1009" s="9"/>
      <c r="X1009" s="156"/>
      <c r="Y1009" s="918">
        <f t="shared" si="67"/>
        <v>1000</v>
      </c>
      <c r="AA1009" s="9"/>
      <c r="AC1009" s="9" t="str">
        <f t="shared" si="68"/>
        <v/>
      </c>
      <c r="AE1009" s="44" t="str">
        <f t="shared" si="69"/>
        <v/>
      </c>
    </row>
    <row r="1010" spans="2:31">
      <c r="B1010" s="49"/>
      <c r="C1010" s="49"/>
      <c r="D1010" s="49" t="s">
        <v>24</v>
      </c>
      <c r="E1010" s="9">
        <f>+G1010-Adjustments!G1010</f>
        <v>-24429.354583333246</v>
      </c>
      <c r="F1010" s="9">
        <f>'Rate Base'!$T$59</f>
        <v>7646803.6600000001</v>
      </c>
      <c r="G1010" s="9">
        <f>+Adjustments!U994</f>
        <v>-24429.354583333246</v>
      </c>
      <c r="H1010" s="9"/>
      <c r="I1010" s="9">
        <f>SUM(F1010:H1010)</f>
        <v>7622374.3054166669</v>
      </c>
      <c r="J1010" s="9">
        <f>+I1010-'ROR-Model'!I1010</f>
        <v>0</v>
      </c>
      <c r="K1010" s="9"/>
      <c r="L1010" s="9" t="s">
        <v>24</v>
      </c>
      <c r="M1010" s="9">
        <f>VLOOKUP($L1010,$L$2:$N$7,2,FALSE)*I1010</f>
        <v>0</v>
      </c>
      <c r="N1010" s="9">
        <f>VLOOKUP($L1010,$L$2:$N$7,3,FALSE)*I1010</f>
        <v>7622374.3054166669</v>
      </c>
      <c r="O1010" s="136"/>
      <c r="P1010" s="216" t="s">
        <v>549</v>
      </c>
      <c r="Q1010" s="9">
        <f>IF(P1010="G",M1010,IF(P1010="PT",0,ERR))</f>
        <v>0</v>
      </c>
      <c r="R1010" s="9">
        <f>IF(P1010="PT",M1010,IF(P1010="G",0,ERR))</f>
        <v>0</v>
      </c>
      <c r="S1010" s="142" t="s">
        <v>549</v>
      </c>
      <c r="T1010" s="9">
        <f>IF(S1010="G",N1010,IF(S1010="PT",0,ERR))</f>
        <v>7622374.3054166669</v>
      </c>
      <c r="U1010" s="9">
        <f>IF(S1010="PT",N1010,IF(S1010="G",0,ERR))</f>
        <v>0</v>
      </c>
      <c r="V1010" s="140"/>
      <c r="W1010" s="9">
        <f>HLOOKUP($W$9,'ROR-Model'!$Q$10:$U$1263,Y1010)</f>
        <v>0</v>
      </c>
      <c r="X1010" s="156"/>
      <c r="Y1010" s="918">
        <f t="shared" si="67"/>
        <v>1001</v>
      </c>
      <c r="AA1010" s="9">
        <v>6862112.5300000003</v>
      </c>
      <c r="AC1010" s="9">
        <f t="shared" si="68"/>
        <v>-6862112.5300000003</v>
      </c>
      <c r="AE1010" s="44">
        <f t="shared" si="69"/>
        <v>-1</v>
      </c>
    </row>
    <row r="1011" spans="2:31">
      <c r="B1011" s="49"/>
      <c r="C1011" s="49"/>
      <c r="D1011" s="49" t="s">
        <v>13</v>
      </c>
      <c r="E1011" s="9">
        <f>+G1011-Adjustments!G1011</f>
        <v>-4225624.0495833308</v>
      </c>
      <c r="F1011" s="9">
        <f>'Rate Base'!$T$60</f>
        <v>101237991.53</v>
      </c>
      <c r="G1011" s="9">
        <f>+Adjustments!U995</f>
        <v>-4225624.0495833308</v>
      </c>
      <c r="H1011" s="9"/>
      <c r="I1011" s="9">
        <f>SUM(F1011:H1011)</f>
        <v>97012367.48041667</v>
      </c>
      <c r="J1011" s="9">
        <f>+I1011-'ROR-Model'!I1011</f>
        <v>0</v>
      </c>
      <c r="K1011" s="9"/>
      <c r="L1011" s="9" t="s">
        <v>13</v>
      </c>
      <c r="M1011" s="9">
        <f>VLOOKUP($L1011,$L$2:$N$7,2,FALSE)*I1011</f>
        <v>97012367.48041667</v>
      </c>
      <c r="N1011" s="9">
        <f>VLOOKUP($L1011,$L$2:$N$7,3,FALSE)*I1011</f>
        <v>0</v>
      </c>
      <c r="O1011" s="136"/>
      <c r="P1011" s="216" t="s">
        <v>549</v>
      </c>
      <c r="Q1011" s="9">
        <f>IF(P1011="G",M1011,IF(P1011="PT",0,ERR))</f>
        <v>97012367.48041667</v>
      </c>
      <c r="R1011" s="9">
        <f>IF(P1011="PT",M1011,IF(P1011="G",0,ERR))</f>
        <v>0</v>
      </c>
      <c r="S1011" s="142" t="s">
        <v>549</v>
      </c>
      <c r="T1011" s="9">
        <f>IF(S1011="G",N1011,IF(S1011="PT",0,ERR))</f>
        <v>0</v>
      </c>
      <c r="U1011" s="9">
        <f>IF(S1011="PT",N1011,IF(S1011="G",0,ERR))</f>
        <v>0</v>
      </c>
      <c r="V1011" s="140"/>
      <c r="W1011" s="9">
        <f>HLOOKUP($W$9,'ROR-Model'!$Q$10:$U$1263,Y1011)</f>
        <v>97012367.48041667</v>
      </c>
      <c r="X1011" s="156"/>
      <c r="Y1011" s="918">
        <f t="shared" si="67"/>
        <v>1002</v>
      </c>
      <c r="AA1011" s="9">
        <v>0</v>
      </c>
      <c r="AC1011" s="9" t="str">
        <f t="shared" si="68"/>
        <v/>
      </c>
      <c r="AE1011" s="44" t="str">
        <f t="shared" si="69"/>
        <v/>
      </c>
    </row>
    <row r="1012" spans="2:31">
      <c r="B1012" s="49"/>
      <c r="C1012" s="49"/>
      <c r="D1012" s="49" t="s">
        <v>160</v>
      </c>
      <c r="E1012" s="157">
        <f>+G1012-Adjustments!G1012</f>
        <v>-4250053.404166664</v>
      </c>
      <c r="F1012" s="157">
        <f>SUM(F1010:F1011)</f>
        <v>108884795.19</v>
      </c>
      <c r="G1012" s="157">
        <f>SUM(G1010:G1011)</f>
        <v>-4250053.404166664</v>
      </c>
      <c r="H1012" s="157"/>
      <c r="I1012" s="157">
        <f>SUM(I1010:I1011)</f>
        <v>104634741.78583334</v>
      </c>
      <c r="J1012" s="9">
        <f>+I1012-'ROR-Model'!I1012</f>
        <v>0</v>
      </c>
      <c r="K1012" s="9"/>
      <c r="L1012" s="157"/>
      <c r="M1012" s="157">
        <f>SUM(M1010:M1011)</f>
        <v>97012367.48041667</v>
      </c>
      <c r="N1012" s="157">
        <f>SUM(N1010:N1011)</f>
        <v>7622374.3054166669</v>
      </c>
      <c r="O1012" s="136"/>
      <c r="P1012" s="226"/>
      <c r="Q1012" s="157">
        <f>SUM(Q1010:Q1011)</f>
        <v>97012367.48041667</v>
      </c>
      <c r="R1012" s="157">
        <f>SUM(R1010:R1011)</f>
        <v>0</v>
      </c>
      <c r="S1012" s="226"/>
      <c r="T1012" s="157">
        <f>SUM(T1010:T1011)</f>
        <v>7622374.3054166669</v>
      </c>
      <c r="U1012" s="157">
        <f>SUM(U1010:U1011)</f>
        <v>0</v>
      </c>
      <c r="V1012" s="140"/>
      <c r="W1012" s="157">
        <f>SUM(W1010:W1011)</f>
        <v>97012367.48041667</v>
      </c>
      <c r="X1012" s="156"/>
      <c r="Y1012" s="918">
        <f t="shared" si="67"/>
        <v>1003</v>
      </c>
      <c r="AA1012" s="157">
        <v>6862112.5300000003</v>
      </c>
      <c r="AC1012" s="157">
        <f t="shared" si="68"/>
        <v>90150254.950416669</v>
      </c>
      <c r="AE1012" s="44">
        <f t="shared" si="69"/>
        <v>13.137390935560287</v>
      </c>
    </row>
    <row r="1013" spans="2:31">
      <c r="B1013" s="49"/>
      <c r="C1013" s="49"/>
      <c r="D1013" s="49"/>
      <c r="E1013" s="9">
        <f>+G1013-Adjustments!G1013</f>
        <v>0</v>
      </c>
      <c r="F1013" s="9"/>
      <c r="G1013" s="9"/>
      <c r="H1013" s="9"/>
      <c r="I1013" s="9"/>
      <c r="J1013" s="9">
        <f>+I1013-'ROR-Model'!I1013</f>
        <v>0</v>
      </c>
      <c r="K1013" s="9"/>
      <c r="L1013" s="9"/>
      <c r="M1013" s="9"/>
      <c r="N1013" s="9"/>
      <c r="O1013" s="136"/>
      <c r="P1013" s="142"/>
      <c r="Q1013" s="9"/>
      <c r="R1013" s="9"/>
      <c r="S1013" s="142"/>
      <c r="T1013" s="9"/>
      <c r="U1013" s="9"/>
      <c r="V1013" s="140"/>
      <c r="W1013" s="9"/>
      <c r="X1013" s="156"/>
      <c r="Y1013" s="918">
        <f t="shared" si="67"/>
        <v>1004</v>
      </c>
      <c r="AA1013" s="9"/>
      <c r="AC1013" s="9" t="str">
        <f t="shared" si="68"/>
        <v/>
      </c>
      <c r="AE1013" s="44" t="str">
        <f t="shared" si="69"/>
        <v/>
      </c>
    </row>
    <row r="1014" spans="2:31">
      <c r="B1014" s="49" t="s">
        <v>237</v>
      </c>
      <c r="C1014" s="49" t="s">
        <v>768</v>
      </c>
      <c r="D1014" s="49"/>
      <c r="E1014" s="9">
        <f>+G1014-Adjustments!G1014</f>
        <v>0</v>
      </c>
      <c r="F1014" s="9"/>
      <c r="G1014" s="9"/>
      <c r="H1014" s="9"/>
      <c r="I1014" s="9"/>
      <c r="J1014" s="9">
        <f>+I1014-'ROR-Model'!I1014</f>
        <v>0</v>
      </c>
      <c r="K1014" s="9"/>
      <c r="L1014" s="9"/>
      <c r="M1014" s="9"/>
      <c r="N1014" s="9"/>
      <c r="O1014" s="136"/>
      <c r="P1014" s="142"/>
      <c r="Q1014" s="9"/>
      <c r="R1014" s="9"/>
      <c r="S1014" s="142"/>
      <c r="T1014" s="9"/>
      <c r="U1014" s="9"/>
      <c r="V1014" s="140"/>
      <c r="W1014" s="9"/>
      <c r="X1014" s="156"/>
      <c r="Y1014" s="918">
        <f t="shared" si="67"/>
        <v>1005</v>
      </c>
      <c r="AA1014" s="9"/>
      <c r="AC1014" s="9" t="str">
        <f t="shared" si="68"/>
        <v/>
      </c>
      <c r="AE1014" s="44" t="str">
        <f t="shared" si="69"/>
        <v/>
      </c>
    </row>
    <row r="1015" spans="2:31">
      <c r="B1015" s="49"/>
      <c r="C1015" s="49"/>
      <c r="D1015" s="49" t="s">
        <v>24</v>
      </c>
      <c r="E1015" s="9">
        <f>+G1015-Adjustments!G1015</f>
        <v>-998236.85583333299</v>
      </c>
      <c r="F1015" s="9">
        <f>'Rate Base'!$T$64</f>
        <v>20117572.069999997</v>
      </c>
      <c r="G1015" s="9">
        <f>+Adjustments!U999</f>
        <v>-998236.85583333299</v>
      </c>
      <c r="H1015" s="9"/>
      <c r="I1015" s="9">
        <f>SUM(F1015:H1015)</f>
        <v>19119335.214166664</v>
      </c>
      <c r="J1015" s="9">
        <f>+I1015-'ROR-Model'!I1015</f>
        <v>0</v>
      </c>
      <c r="K1015" s="9"/>
      <c r="L1015" s="9" t="s">
        <v>24</v>
      </c>
      <c r="M1015" s="9">
        <f>VLOOKUP($L1015,$L$2:$N$7,2,FALSE)*I1015</f>
        <v>0</v>
      </c>
      <c r="N1015" s="9">
        <f>VLOOKUP($L1015,$L$2:$N$7,3,FALSE)*I1015</f>
        <v>19119335.214166664</v>
      </c>
      <c r="O1015" s="136"/>
      <c r="P1015" s="216" t="s">
        <v>549</v>
      </c>
      <c r="Q1015" s="9">
        <f>IF(P1015="G",M1015,IF(P1015="PT",0,ERR))</f>
        <v>0</v>
      </c>
      <c r="R1015" s="9">
        <f>IF(P1015="PT",M1015,IF(P1015="G",0,ERR))</f>
        <v>0</v>
      </c>
      <c r="S1015" s="142" t="s">
        <v>549</v>
      </c>
      <c r="T1015" s="9">
        <f>IF(S1015="G",N1015,IF(S1015="PT",0,ERR))</f>
        <v>19119335.214166664</v>
      </c>
      <c r="U1015" s="9">
        <f>IF(S1015="PT",N1015,IF(S1015="G",0,ERR))</f>
        <v>0</v>
      </c>
      <c r="V1015" s="140"/>
      <c r="W1015" s="9">
        <f>HLOOKUP($W$9,'ROR-Model'!$Q$10:$U$1263,Y1015)</f>
        <v>0</v>
      </c>
      <c r="X1015" s="156"/>
      <c r="Y1015" s="918">
        <f t="shared" si="67"/>
        <v>1006</v>
      </c>
      <c r="AA1015" s="9">
        <v>18000938.789999999</v>
      </c>
      <c r="AC1015" s="9">
        <f t="shared" si="68"/>
        <v>-18000938.789999999</v>
      </c>
      <c r="AE1015" s="44">
        <f t="shared" si="69"/>
        <v>-1</v>
      </c>
    </row>
    <row r="1016" spans="2:31">
      <c r="B1016" s="49"/>
      <c r="C1016" s="49"/>
      <c r="D1016" s="49" t="s">
        <v>13</v>
      </c>
      <c r="E1016" s="9">
        <f>+G1016-Adjustments!G1016</f>
        <v>-9641930.061250031</v>
      </c>
      <c r="F1016" s="9">
        <f>'Rate Base'!$T$65</f>
        <v>393312976.35000002</v>
      </c>
      <c r="G1016" s="9">
        <f>+Adjustments!U1000</f>
        <v>-9641930.061250031</v>
      </c>
      <c r="H1016" s="9"/>
      <c r="I1016" s="9">
        <f>SUM(F1016:H1016)</f>
        <v>383671046.28874999</v>
      </c>
      <c r="J1016" s="9">
        <f>+I1016-'ROR-Model'!I1016</f>
        <v>0</v>
      </c>
      <c r="K1016" s="9"/>
      <c r="L1016" s="9" t="s">
        <v>13</v>
      </c>
      <c r="M1016" s="9">
        <f>VLOOKUP($L1016,$L$2:$N$7,2,FALSE)*I1016</f>
        <v>383671046.28874999</v>
      </c>
      <c r="N1016" s="9">
        <f>VLOOKUP($L1016,$L$2:$N$7,3,FALSE)*I1016</f>
        <v>0</v>
      </c>
      <c r="O1016" s="136"/>
      <c r="P1016" s="216" t="s">
        <v>549</v>
      </c>
      <c r="Q1016" s="9">
        <f>IF(P1016="G",M1016,IF(P1016="PT",0,ERR))</f>
        <v>383671046.28874999</v>
      </c>
      <c r="R1016" s="9">
        <f>IF(P1016="PT",M1016,IF(P1016="G",0,ERR))</f>
        <v>0</v>
      </c>
      <c r="S1016" s="142" t="s">
        <v>549</v>
      </c>
      <c r="T1016" s="9">
        <f>IF(S1016="G",N1016,IF(S1016="PT",0,ERR))</f>
        <v>0</v>
      </c>
      <c r="U1016" s="9">
        <f>IF(S1016="PT",N1016,IF(S1016="G",0,ERR))</f>
        <v>0</v>
      </c>
      <c r="V1016" s="140"/>
      <c r="W1016" s="9">
        <f>HLOOKUP($W$9,'ROR-Model'!$Q$10:$U$1263,Y1016)</f>
        <v>383671046.28874999</v>
      </c>
      <c r="X1016" s="156"/>
      <c r="Y1016" s="918">
        <f t="shared" si="67"/>
        <v>1007</v>
      </c>
      <c r="AA1016" s="9">
        <v>0</v>
      </c>
      <c r="AC1016" s="9" t="str">
        <f t="shared" si="68"/>
        <v/>
      </c>
      <c r="AE1016" s="44" t="str">
        <f t="shared" si="69"/>
        <v/>
      </c>
    </row>
    <row r="1017" spans="2:31">
      <c r="B1017" s="49"/>
      <c r="C1017" s="49"/>
      <c r="D1017" s="49" t="s">
        <v>160</v>
      </c>
      <c r="E1017" s="157">
        <f>+G1017-Adjustments!G1017</f>
        <v>-10640166.917083364</v>
      </c>
      <c r="F1017" s="157">
        <f>SUM(F1015:F1016)</f>
        <v>413430548.42000002</v>
      </c>
      <c r="G1017" s="157">
        <f>SUM(G1015:G1016)</f>
        <v>-10640166.917083364</v>
      </c>
      <c r="H1017" s="157"/>
      <c r="I1017" s="157">
        <f>SUM(I1015:I1016)</f>
        <v>402790381.50291663</v>
      </c>
      <c r="J1017" s="9">
        <f>+I1017-'ROR-Model'!I1017</f>
        <v>0</v>
      </c>
      <c r="K1017" s="9"/>
      <c r="L1017" s="157"/>
      <c r="M1017" s="157">
        <f>SUM(M1015:M1016)</f>
        <v>383671046.28874999</v>
      </c>
      <c r="N1017" s="157">
        <f>SUM(N1015:N1016)</f>
        <v>19119335.214166664</v>
      </c>
      <c r="O1017" s="136"/>
      <c r="P1017" s="226"/>
      <c r="Q1017" s="157">
        <f>SUM(Q1015:Q1016)</f>
        <v>383671046.28874999</v>
      </c>
      <c r="R1017" s="157">
        <f>SUM(R1015:R1016)</f>
        <v>0</v>
      </c>
      <c r="S1017" s="226"/>
      <c r="T1017" s="157">
        <f>SUM(T1015:T1016)</f>
        <v>19119335.214166664</v>
      </c>
      <c r="U1017" s="157">
        <f>SUM(U1015:U1016)</f>
        <v>0</v>
      </c>
      <c r="V1017" s="140"/>
      <c r="W1017" s="157">
        <f>SUM(W1015:W1016)</f>
        <v>383671046.28874999</v>
      </c>
      <c r="X1017" s="156"/>
      <c r="Y1017" s="918">
        <f t="shared" si="67"/>
        <v>1008</v>
      </c>
      <c r="AA1017" s="157">
        <v>18000938.789999999</v>
      </c>
      <c r="AC1017" s="157">
        <f t="shared" si="68"/>
        <v>365670107.49874997</v>
      </c>
      <c r="AE1017" s="44">
        <f t="shared" si="69"/>
        <v>20.313946498273161</v>
      </c>
    </row>
    <row r="1018" spans="2:31">
      <c r="B1018" s="49"/>
      <c r="C1018" s="49"/>
      <c r="D1018" s="49"/>
      <c r="E1018" s="9" t="e">
        <f>+G1018-Adjustments!#REF!</f>
        <v>#REF!</v>
      </c>
      <c r="F1018" s="9"/>
      <c r="G1018" s="9"/>
      <c r="H1018" s="9"/>
      <c r="I1018" s="9"/>
      <c r="J1018" s="9">
        <f>+I1018-'ROR-Model'!I1018</f>
        <v>0</v>
      </c>
      <c r="K1018" s="9"/>
      <c r="L1018" s="9"/>
      <c r="M1018" s="9"/>
      <c r="N1018" s="9"/>
      <c r="O1018" s="136"/>
      <c r="P1018" s="142"/>
      <c r="Q1018" s="9"/>
      <c r="R1018" s="9"/>
      <c r="S1018" s="142"/>
      <c r="T1018" s="9"/>
      <c r="U1018" s="9"/>
      <c r="V1018" s="140"/>
      <c r="W1018" s="9"/>
      <c r="X1018" s="156"/>
      <c r="Y1018" s="918">
        <f t="shared" si="67"/>
        <v>1009</v>
      </c>
      <c r="AA1018" s="9"/>
      <c r="AC1018" s="9" t="str">
        <f t="shared" si="68"/>
        <v/>
      </c>
      <c r="AE1018" s="44" t="str">
        <f t="shared" si="69"/>
        <v/>
      </c>
    </row>
    <row r="1019" spans="2:31">
      <c r="B1019" s="49" t="s">
        <v>238</v>
      </c>
      <c r="C1019" s="49" t="s">
        <v>239</v>
      </c>
      <c r="D1019" s="49"/>
      <c r="E1019" s="9" t="e">
        <f>+G1019-Adjustments!#REF!</f>
        <v>#REF!</v>
      </c>
      <c r="F1019" s="9"/>
      <c r="G1019" s="9"/>
      <c r="H1019" s="9"/>
      <c r="I1019" s="9"/>
      <c r="J1019" s="9">
        <f>+I1019-'ROR-Model'!I1019</f>
        <v>0</v>
      </c>
      <c r="K1019" s="9"/>
      <c r="L1019" s="9"/>
      <c r="M1019" s="9"/>
      <c r="N1019" s="9"/>
      <c r="O1019" s="136"/>
      <c r="P1019" s="142"/>
      <c r="Q1019" s="9"/>
      <c r="R1019" s="9"/>
      <c r="S1019" s="142"/>
      <c r="T1019" s="9"/>
      <c r="U1019" s="9"/>
      <c r="V1019" s="140"/>
      <c r="W1019" s="9"/>
      <c r="X1019" s="156"/>
      <c r="Y1019" s="918">
        <f t="shared" si="67"/>
        <v>1010</v>
      </c>
      <c r="AA1019" s="9"/>
      <c r="AC1019" s="9" t="str">
        <f t="shared" si="68"/>
        <v/>
      </c>
      <c r="AE1019" s="44" t="str">
        <f t="shared" si="69"/>
        <v/>
      </c>
    </row>
    <row r="1020" spans="2:31">
      <c r="B1020" s="49"/>
      <c r="C1020" s="49"/>
      <c r="D1020" s="49" t="s">
        <v>24</v>
      </c>
      <c r="E1020" s="9" t="e">
        <f>+G1020-Adjustments!#REF!</f>
        <v>#REF!</v>
      </c>
      <c r="F1020" s="9">
        <f>'Rate Base'!$T$69</f>
        <v>10480480.653999999</v>
      </c>
      <c r="G1020" s="9">
        <f>+Adjustments!U1004</f>
        <v>-453842.29816666618</v>
      </c>
      <c r="H1020" s="9"/>
      <c r="I1020" s="9">
        <f>SUM(F1020:H1020)</f>
        <v>10026638.355833333</v>
      </c>
      <c r="J1020" s="9">
        <f>+I1020-'ROR-Model'!I1020</f>
        <v>0</v>
      </c>
      <c r="K1020" s="9"/>
      <c r="L1020" s="9" t="s">
        <v>24</v>
      </c>
      <c r="M1020" s="9">
        <f>VLOOKUP($L1020,$L$2:$N$7,2,FALSE)*I1020</f>
        <v>0</v>
      </c>
      <c r="N1020" s="9">
        <f>VLOOKUP($L1020,$L$2:$N$7,3,FALSE)*I1020</f>
        <v>10026638.355833333</v>
      </c>
      <c r="O1020" s="136"/>
      <c r="P1020" s="216" t="s">
        <v>549</v>
      </c>
      <c r="Q1020" s="9">
        <f>IF(P1020="G",M1020,IF(P1020="PT",0,ERR))</f>
        <v>0</v>
      </c>
      <c r="R1020" s="9">
        <f>IF(P1020="PT",M1020,IF(P1020="G",0,ERR))</f>
        <v>0</v>
      </c>
      <c r="S1020" s="142" t="s">
        <v>549</v>
      </c>
      <c r="T1020" s="9">
        <f>IF(S1020="G",N1020,IF(S1020="PT",0,ERR))</f>
        <v>10026638.355833333</v>
      </c>
      <c r="U1020" s="9">
        <f>IF(S1020="PT",N1020,IF(S1020="G",0,ERR))</f>
        <v>0</v>
      </c>
      <c r="V1020" s="140"/>
      <c r="W1020" s="9">
        <f>HLOOKUP($W$9,'ROR-Model'!$Q$10:$U$1263,Y1020)</f>
        <v>0</v>
      </c>
      <c r="X1020" s="156"/>
      <c r="Y1020" s="918">
        <f t="shared" si="67"/>
        <v>1011</v>
      </c>
      <c r="AA1020" s="9">
        <v>9055333.2039999999</v>
      </c>
      <c r="AC1020" s="9">
        <f t="shared" si="68"/>
        <v>-9055333.2039999999</v>
      </c>
      <c r="AE1020" s="44">
        <f t="shared" si="69"/>
        <v>-1</v>
      </c>
    </row>
    <row r="1021" spans="2:31">
      <c r="B1021" s="49"/>
      <c r="C1021" s="49"/>
      <c r="D1021" s="49" t="s">
        <v>13</v>
      </c>
      <c r="E1021" s="9" t="e">
        <f>+G1021-Adjustments!#REF!</f>
        <v>#REF!</v>
      </c>
      <c r="F1021" s="9">
        <f>'Rate Base'!$T$70</f>
        <v>331969358.31600004</v>
      </c>
      <c r="G1021" s="9">
        <f>+Adjustments!U1005</f>
        <v>-15975243.738916695</v>
      </c>
      <c r="H1021" s="9"/>
      <c r="I1021" s="9">
        <f>SUM(F1021:H1021)</f>
        <v>315994114.57708335</v>
      </c>
      <c r="J1021" s="9">
        <f>+I1021-'ROR-Model'!I1021</f>
        <v>0</v>
      </c>
      <c r="K1021" s="9"/>
      <c r="L1021" s="9" t="s">
        <v>13</v>
      </c>
      <c r="M1021" s="9">
        <f>VLOOKUP($L1021,$L$2:$N$7,2,FALSE)*I1021</f>
        <v>315994114.57708335</v>
      </c>
      <c r="N1021" s="9">
        <f>VLOOKUP($L1021,$L$2:$N$7,3,FALSE)*I1021</f>
        <v>0</v>
      </c>
      <c r="O1021" s="136"/>
      <c r="P1021" s="216" t="s">
        <v>549</v>
      </c>
      <c r="Q1021" s="9">
        <f>IF(P1021="G",M1021,IF(P1021="PT",0,ERR))</f>
        <v>315994114.57708335</v>
      </c>
      <c r="R1021" s="9">
        <f>IF(P1021="PT",M1021,IF(P1021="G",0,ERR))</f>
        <v>0</v>
      </c>
      <c r="S1021" s="142" t="s">
        <v>549</v>
      </c>
      <c r="T1021" s="9">
        <f>IF(S1021="G",N1021,IF(S1021="PT",0,ERR))</f>
        <v>0</v>
      </c>
      <c r="U1021" s="9">
        <f>IF(S1021="PT",N1021,IF(S1021="G",0,ERR))</f>
        <v>0</v>
      </c>
      <c r="V1021" s="140"/>
      <c r="W1021" s="9">
        <f>HLOOKUP($W$9,'ROR-Model'!$Q$10:$U$1263,Y1021)</f>
        <v>315994114.57708335</v>
      </c>
      <c r="X1021" s="156"/>
      <c r="Y1021" s="918">
        <f t="shared" si="67"/>
        <v>1012</v>
      </c>
      <c r="AA1021" s="9">
        <v>0</v>
      </c>
      <c r="AC1021" s="9" t="str">
        <f t="shared" si="68"/>
        <v/>
      </c>
      <c r="AE1021" s="44" t="str">
        <f t="shared" si="69"/>
        <v/>
      </c>
    </row>
    <row r="1022" spans="2:31">
      <c r="B1022" s="49"/>
      <c r="C1022" s="49"/>
      <c r="D1022" s="49" t="s">
        <v>160</v>
      </c>
      <c r="E1022" s="157" t="e">
        <f>+G1022-Adjustments!#REF!</f>
        <v>#REF!</v>
      </c>
      <c r="F1022" s="157">
        <f>SUM(F1020:F1021)</f>
        <v>342449838.97000003</v>
      </c>
      <c r="G1022" s="157">
        <f>SUM(G1020:G1021)</f>
        <v>-16429086.037083361</v>
      </c>
      <c r="H1022" s="157"/>
      <c r="I1022" s="157">
        <f>SUM(I1020:I1021)</f>
        <v>326020752.9329167</v>
      </c>
      <c r="J1022" s="9">
        <f>+I1022-'ROR-Model'!I1022</f>
        <v>0</v>
      </c>
      <c r="K1022" s="9"/>
      <c r="L1022" s="157"/>
      <c r="M1022" s="157">
        <f>SUM(M1020:M1021)</f>
        <v>315994114.57708335</v>
      </c>
      <c r="N1022" s="157">
        <f>SUM(N1020:N1021)</f>
        <v>10026638.355833333</v>
      </c>
      <c r="O1022" s="136"/>
      <c r="P1022" s="226"/>
      <c r="Q1022" s="157">
        <f>SUM(Q1020:Q1021)</f>
        <v>315994114.57708335</v>
      </c>
      <c r="R1022" s="157">
        <f>SUM(R1020:R1021)</f>
        <v>0</v>
      </c>
      <c r="S1022" s="226"/>
      <c r="T1022" s="157">
        <f>SUM(T1020:T1021)</f>
        <v>10026638.355833333</v>
      </c>
      <c r="U1022" s="157">
        <f>SUM(U1020:U1021)</f>
        <v>0</v>
      </c>
      <c r="V1022" s="140"/>
      <c r="W1022" s="157">
        <f>SUM(W1020:W1021)</f>
        <v>315994114.57708335</v>
      </c>
      <c r="X1022" s="156"/>
      <c r="Y1022" s="918">
        <f t="shared" si="67"/>
        <v>1013</v>
      </c>
      <c r="AA1022" s="157">
        <v>9055333.2039999999</v>
      </c>
      <c r="AC1022" s="157">
        <f t="shared" si="68"/>
        <v>306938781.37308335</v>
      </c>
      <c r="AE1022" s="44">
        <f t="shared" si="69"/>
        <v>33.89591243726953</v>
      </c>
    </row>
    <row r="1023" spans="2:31">
      <c r="B1023" s="49"/>
      <c r="C1023" s="49"/>
      <c r="D1023" s="49"/>
      <c r="E1023" s="9" t="e">
        <f>+G1023-Adjustments!#REF!</f>
        <v>#REF!</v>
      </c>
      <c r="F1023" s="9"/>
      <c r="G1023" s="9"/>
      <c r="H1023" s="9"/>
      <c r="I1023" s="9"/>
      <c r="J1023" s="9">
        <f>+I1023-'ROR-Model'!I1023</f>
        <v>0</v>
      </c>
      <c r="K1023" s="9"/>
      <c r="L1023" s="9"/>
      <c r="M1023" s="9"/>
      <c r="N1023" s="9"/>
      <c r="O1023" s="136"/>
      <c r="P1023" s="142"/>
      <c r="Q1023" s="9"/>
      <c r="R1023" s="9"/>
      <c r="S1023" s="142"/>
      <c r="T1023" s="9"/>
      <c r="U1023" s="9"/>
      <c r="V1023" s="140"/>
      <c r="W1023" s="9"/>
      <c r="X1023" s="156"/>
      <c r="Y1023" s="918">
        <f t="shared" si="67"/>
        <v>1014</v>
      </c>
      <c r="AA1023" s="9"/>
      <c r="AC1023" s="9" t="str">
        <f t="shared" si="68"/>
        <v/>
      </c>
      <c r="AE1023" s="44" t="str">
        <f t="shared" si="69"/>
        <v/>
      </c>
    </row>
    <row r="1024" spans="2:31">
      <c r="B1024" s="49" t="s">
        <v>240</v>
      </c>
      <c r="C1024" s="49" t="s">
        <v>241</v>
      </c>
      <c r="D1024" s="49"/>
      <c r="E1024" s="9" t="e">
        <f>+G1024-Adjustments!#REF!</f>
        <v>#REF!</v>
      </c>
      <c r="F1024" s="9"/>
      <c r="G1024" s="9"/>
      <c r="H1024" s="9"/>
      <c r="I1024" s="9"/>
      <c r="J1024" s="9">
        <f>+I1024-'ROR-Model'!I1024</f>
        <v>0</v>
      </c>
      <c r="K1024" s="9"/>
      <c r="L1024" s="9"/>
      <c r="M1024" s="9"/>
      <c r="N1024" s="9"/>
      <c r="O1024" s="136"/>
      <c r="P1024" s="142"/>
      <c r="Q1024" s="9"/>
      <c r="R1024" s="9"/>
      <c r="S1024" s="142"/>
      <c r="T1024" s="9"/>
      <c r="U1024" s="9"/>
      <c r="V1024" s="140"/>
      <c r="W1024" s="9"/>
      <c r="X1024" s="156"/>
      <c r="Y1024" s="918">
        <f t="shared" si="67"/>
        <v>1015</v>
      </c>
      <c r="AA1024" s="9"/>
      <c r="AC1024" s="9" t="str">
        <f t="shared" si="68"/>
        <v/>
      </c>
      <c r="AE1024" s="44" t="str">
        <f t="shared" si="69"/>
        <v/>
      </c>
    </row>
    <row r="1025" spans="1:31">
      <c r="B1025" s="49"/>
      <c r="C1025" s="49"/>
      <c r="D1025" s="49" t="s">
        <v>24</v>
      </c>
      <c r="E1025" s="9" t="e">
        <f>+G1025-Adjustments!#REF!</f>
        <v>#REF!</v>
      </c>
      <c r="F1025" s="9">
        <f>'Rate Base'!$T$74</f>
        <v>759017.98</v>
      </c>
      <c r="G1025" s="9">
        <f>+Adjustments!U1009</f>
        <v>7582.7566666667117</v>
      </c>
      <c r="H1025" s="9"/>
      <c r="I1025" s="9">
        <f>SUM(F1025:H1025)</f>
        <v>766600.73666666669</v>
      </c>
      <c r="J1025" s="9">
        <f>+I1025-'ROR-Model'!I1025</f>
        <v>0</v>
      </c>
      <c r="K1025" s="9"/>
      <c r="L1025" s="9" t="s">
        <v>24</v>
      </c>
      <c r="M1025" s="9">
        <f>VLOOKUP($L1025,$L$2:$N$7,2,FALSE)*I1025</f>
        <v>0</v>
      </c>
      <c r="N1025" s="9">
        <f>VLOOKUP($L1025,$L$2:$N$7,3,FALSE)*I1025</f>
        <v>766600.73666666669</v>
      </c>
      <c r="O1025" s="136"/>
      <c r="P1025" s="216" t="s">
        <v>549</v>
      </c>
      <c r="Q1025" s="9">
        <f>IF(P1025="G",M1025,IF(P1025="PT",0,ERR))</f>
        <v>0</v>
      </c>
      <c r="R1025" s="9">
        <f>IF(P1025="PT",M1025,IF(P1025="G",0,ERR))</f>
        <v>0</v>
      </c>
      <c r="S1025" s="142" t="s">
        <v>549</v>
      </c>
      <c r="T1025" s="9">
        <f>IF(S1025="G",N1025,IF(S1025="PT",0,ERR))</f>
        <v>766600.73666666669</v>
      </c>
      <c r="U1025" s="9">
        <f>IF(S1025="PT",N1025,IF(S1025="G",0,ERR))</f>
        <v>0</v>
      </c>
      <c r="V1025" s="140"/>
      <c r="W1025" s="9">
        <f>HLOOKUP($W$9,'ROR-Model'!$Q$10:$U$1263,Y1025)</f>
        <v>0</v>
      </c>
      <c r="X1025" s="156"/>
      <c r="Y1025" s="918">
        <f t="shared" si="67"/>
        <v>1016</v>
      </c>
      <c r="AA1025" s="9">
        <v>854214</v>
      </c>
      <c r="AC1025" s="9">
        <f t="shared" si="68"/>
        <v>-854214</v>
      </c>
      <c r="AE1025" s="44">
        <f t="shared" si="69"/>
        <v>-1</v>
      </c>
    </row>
    <row r="1026" spans="1:31">
      <c r="B1026" s="49"/>
      <c r="C1026" s="49"/>
      <c r="D1026" s="49" t="s">
        <v>13</v>
      </c>
      <c r="E1026" s="9">
        <f>+G1026-Adjustments!G1018</f>
        <v>25194.64499999769</v>
      </c>
      <c r="F1026" s="9">
        <f>'Rate Base'!$T$75</f>
        <v>13889337.84</v>
      </c>
      <c r="G1026" s="9">
        <f>+Adjustments!U1010</f>
        <v>25194.64499999769</v>
      </c>
      <c r="H1026" s="9"/>
      <c r="I1026" s="9">
        <f>SUM(F1026:H1026)</f>
        <v>13914532.484999998</v>
      </c>
      <c r="J1026" s="9">
        <f>+I1026-'ROR-Model'!I1026</f>
        <v>0</v>
      </c>
      <c r="K1026" s="9"/>
      <c r="L1026" s="9" t="s">
        <v>13</v>
      </c>
      <c r="M1026" s="9">
        <f>VLOOKUP($L1026,$L$2:$N$7,2,FALSE)*I1026</f>
        <v>13914532.484999998</v>
      </c>
      <c r="N1026" s="9">
        <f>VLOOKUP($L1026,$L$2:$N$7,3,FALSE)*I1026</f>
        <v>0</v>
      </c>
      <c r="O1026" s="136"/>
      <c r="P1026" s="216" t="s">
        <v>549</v>
      </c>
      <c r="Q1026" s="9">
        <f>IF(P1026="G",M1026,IF(P1026="PT",0,ERR))</f>
        <v>13914532.484999998</v>
      </c>
      <c r="R1026" s="9">
        <f>IF(P1026="PT",M1026,IF(P1026="G",0,ERR))</f>
        <v>0</v>
      </c>
      <c r="S1026" s="142" t="s">
        <v>549</v>
      </c>
      <c r="T1026" s="9">
        <f>IF(S1026="G",N1026,IF(S1026="PT",0,ERR))</f>
        <v>0</v>
      </c>
      <c r="U1026" s="9">
        <f>IF(S1026="PT",N1026,IF(S1026="G",0,ERR))</f>
        <v>0</v>
      </c>
      <c r="V1026" s="140"/>
      <c r="W1026" s="9">
        <f>HLOOKUP($W$9,'ROR-Model'!$Q$10:$U$1263,Y1026)</f>
        <v>13914532.484999998</v>
      </c>
      <c r="X1026" s="156"/>
      <c r="Y1026" s="918">
        <f t="shared" si="67"/>
        <v>1017</v>
      </c>
      <c r="AA1026" s="9">
        <v>0</v>
      </c>
      <c r="AC1026" s="9" t="str">
        <f t="shared" si="68"/>
        <v/>
      </c>
      <c r="AE1026" s="44" t="str">
        <f t="shared" si="69"/>
        <v/>
      </c>
    </row>
    <row r="1027" spans="1:31">
      <c r="B1027" s="49"/>
      <c r="C1027" s="49"/>
      <c r="D1027" s="49" t="s">
        <v>160</v>
      </c>
      <c r="E1027" s="157">
        <f>+G1027-Adjustments!G1019</f>
        <v>32777.401666664402</v>
      </c>
      <c r="F1027" s="157">
        <f>SUM(F1025:F1026)</f>
        <v>14648355.82</v>
      </c>
      <c r="G1027" s="157">
        <f>SUM(G1025:G1026)</f>
        <v>32777.401666664402</v>
      </c>
      <c r="H1027" s="157"/>
      <c r="I1027" s="157">
        <f>SUM(I1025:I1026)</f>
        <v>14681133.221666664</v>
      </c>
      <c r="J1027" s="9">
        <f>+I1027-'ROR-Model'!I1027</f>
        <v>0</v>
      </c>
      <c r="K1027" s="9"/>
      <c r="L1027" s="157"/>
      <c r="M1027" s="157">
        <f>SUM(M1025:M1026)</f>
        <v>13914532.484999998</v>
      </c>
      <c r="N1027" s="157">
        <f>SUM(N1025:N1026)</f>
        <v>766600.73666666669</v>
      </c>
      <c r="O1027" s="136"/>
      <c r="P1027" s="226"/>
      <c r="Q1027" s="157">
        <f>SUM(Q1025:Q1026)</f>
        <v>13914532.484999998</v>
      </c>
      <c r="R1027" s="157">
        <f>SUM(R1025:R1026)</f>
        <v>0</v>
      </c>
      <c r="S1027" s="226"/>
      <c r="T1027" s="157">
        <f>SUM(T1025:T1026)</f>
        <v>766600.73666666669</v>
      </c>
      <c r="U1027" s="157">
        <f>SUM(U1025:U1026)</f>
        <v>0</v>
      </c>
      <c r="V1027" s="140"/>
      <c r="W1027" s="157">
        <f>SUM(W1025:W1026)</f>
        <v>13914532.484999998</v>
      </c>
      <c r="X1027" s="156"/>
      <c r="Y1027" s="918">
        <f t="shared" si="67"/>
        <v>1018</v>
      </c>
      <c r="AA1027" s="157">
        <v>854214</v>
      </c>
      <c r="AC1027" s="157">
        <f t="shared" si="68"/>
        <v>13060318.484999998</v>
      </c>
      <c r="AE1027" s="44">
        <f t="shared" si="69"/>
        <v>15.289281708096564</v>
      </c>
    </row>
    <row r="1028" spans="1:31">
      <c r="B1028" s="49"/>
      <c r="C1028" s="49"/>
      <c r="D1028" s="49"/>
      <c r="E1028" s="9">
        <f>+G1028-Adjustments!G1020</f>
        <v>0</v>
      </c>
      <c r="F1028" s="9"/>
      <c r="G1028" s="9"/>
      <c r="H1028" s="9"/>
      <c r="I1028" s="9"/>
      <c r="J1028" s="9">
        <f>+I1028-'ROR-Model'!I1028</f>
        <v>0</v>
      </c>
      <c r="K1028" s="9"/>
      <c r="L1028" s="9"/>
      <c r="M1028" s="9"/>
      <c r="N1028" s="9"/>
      <c r="O1028" s="136"/>
      <c r="P1028" s="142"/>
      <c r="Q1028" s="9"/>
      <c r="R1028" s="9"/>
      <c r="S1028" s="142"/>
      <c r="T1028" s="9"/>
      <c r="U1028" s="9"/>
      <c r="V1028" s="140"/>
      <c r="W1028" s="9"/>
      <c r="X1028" s="156"/>
      <c r="Y1028" s="918">
        <f t="shared" si="67"/>
        <v>1019</v>
      </c>
      <c r="AA1028" s="9"/>
      <c r="AC1028" s="9" t="str">
        <f t="shared" si="68"/>
        <v/>
      </c>
      <c r="AE1028" s="44" t="str">
        <f t="shared" si="69"/>
        <v/>
      </c>
    </row>
    <row r="1029" spans="1:31">
      <c r="B1029" s="49" t="s">
        <v>242</v>
      </c>
      <c r="C1029" s="49" t="s">
        <v>221</v>
      </c>
      <c r="D1029" s="49"/>
      <c r="E1029" s="9">
        <f>+G1029-Adjustments!G1021</f>
        <v>0</v>
      </c>
      <c r="F1029" s="9"/>
      <c r="G1029" s="9"/>
      <c r="H1029" s="9"/>
      <c r="I1029" s="9"/>
      <c r="J1029" s="9">
        <f>+I1029-'ROR-Model'!I1029</f>
        <v>0</v>
      </c>
      <c r="K1029" s="9"/>
      <c r="L1029" s="9"/>
      <c r="M1029" s="9"/>
      <c r="N1029" s="9"/>
      <c r="O1029" s="136"/>
      <c r="P1029" s="142"/>
      <c r="Q1029" s="9"/>
      <c r="R1029" s="9"/>
      <c r="S1029" s="142"/>
      <c r="T1029" s="9"/>
      <c r="U1029" s="9"/>
      <c r="V1029" s="140"/>
      <c r="W1029" s="9"/>
      <c r="X1029" s="156"/>
      <c r="Y1029" s="918">
        <f t="shared" si="67"/>
        <v>1020</v>
      </c>
      <c r="AA1029" s="9"/>
      <c r="AC1029" s="9" t="str">
        <f t="shared" si="68"/>
        <v/>
      </c>
      <c r="AE1029" s="44" t="str">
        <f t="shared" si="69"/>
        <v/>
      </c>
    </row>
    <row r="1030" spans="1:31">
      <c r="B1030" s="49"/>
      <c r="C1030" s="49"/>
      <c r="D1030" s="49" t="s">
        <v>24</v>
      </c>
      <c r="E1030" s="9">
        <f>+G1030-Adjustments!G1022</f>
        <v>0</v>
      </c>
      <c r="F1030" s="9">
        <f>'Rate Base'!$T$79</f>
        <v>68977.440000000002</v>
      </c>
      <c r="G1030" s="9">
        <f>+Adjustments!U1014</f>
        <v>0</v>
      </c>
      <c r="H1030" s="9"/>
      <c r="I1030" s="9">
        <f>SUM(F1030:H1030)</f>
        <v>68977.440000000002</v>
      </c>
      <c r="J1030" s="9">
        <f>+I1030-'ROR-Model'!I1030</f>
        <v>0</v>
      </c>
      <c r="K1030" s="9"/>
      <c r="L1030" s="9" t="s">
        <v>24</v>
      </c>
      <c r="M1030" s="9">
        <f>VLOOKUP($L1030,$L$2:$N$7,2,FALSE)*I1030</f>
        <v>0</v>
      </c>
      <c r="N1030" s="9">
        <f>VLOOKUP($L1030,$L$2:$N$7,3,FALSE)*I1030</f>
        <v>68977.440000000002</v>
      </c>
      <c r="O1030" s="136"/>
      <c r="P1030" s="216" t="s">
        <v>549</v>
      </c>
      <c r="Q1030" s="9">
        <f>IF(P1030="G",M1030,IF(P1030="PT",0,ERR))</f>
        <v>0</v>
      </c>
      <c r="R1030" s="9">
        <f>IF(P1030="PT",M1030,IF(P1030="G",0,ERR))</f>
        <v>0</v>
      </c>
      <c r="S1030" s="142" t="s">
        <v>549</v>
      </c>
      <c r="T1030" s="9">
        <f>IF(S1030="G",N1030,IF(S1030="PT",0,ERR))</f>
        <v>68977.440000000002</v>
      </c>
      <c r="U1030" s="9">
        <f>IF(S1030="PT",N1030,IF(S1030="G",0,ERR))</f>
        <v>0</v>
      </c>
      <c r="V1030" s="140"/>
      <c r="W1030" s="9">
        <f>HLOOKUP($W$9,'ROR-Model'!$Q$10:$U$1263,Y1030)</f>
        <v>0</v>
      </c>
      <c r="X1030" s="156"/>
      <c r="Y1030" s="918">
        <f t="shared" si="67"/>
        <v>1021</v>
      </c>
      <c r="AA1030" s="9">
        <v>68977.440000000002</v>
      </c>
      <c r="AC1030" s="9">
        <f t="shared" si="68"/>
        <v>-68977.440000000002</v>
      </c>
      <c r="AE1030" s="44">
        <f t="shared" si="69"/>
        <v>-1</v>
      </c>
    </row>
    <row r="1031" spans="1:31">
      <c r="B1031" s="49"/>
      <c r="C1031" s="49"/>
      <c r="D1031" s="49" t="s">
        <v>13</v>
      </c>
      <c r="E1031" s="9">
        <f>+G1031-Adjustments!G1023</f>
        <v>-712.18624999979511</v>
      </c>
      <c r="F1031" s="9">
        <f>'Rate Base'!$T$80</f>
        <v>2237018.35</v>
      </c>
      <c r="G1031" s="9">
        <f>+Adjustments!U1015</f>
        <v>-712.18624999979511</v>
      </c>
      <c r="H1031" s="9"/>
      <c r="I1031" s="9">
        <f>SUM(F1031:H1031)</f>
        <v>2236306.1637500003</v>
      </c>
      <c r="J1031" s="9">
        <f>+I1031-'ROR-Model'!I1031</f>
        <v>0</v>
      </c>
      <c r="K1031" s="9"/>
      <c r="L1031" s="9" t="s">
        <v>13</v>
      </c>
      <c r="M1031" s="9">
        <f>VLOOKUP($L1031,$L$2:$N$7,2,FALSE)*I1031</f>
        <v>2236306.1637500003</v>
      </c>
      <c r="N1031" s="9">
        <f>VLOOKUP($L1031,$L$2:$N$7,3,FALSE)*I1031</f>
        <v>0</v>
      </c>
      <c r="O1031" s="136"/>
      <c r="P1031" s="216" t="s">
        <v>549</v>
      </c>
      <c r="Q1031" s="9">
        <f>IF(P1031="G",M1031,IF(P1031="PT",0,ERR))</f>
        <v>2236306.1637500003</v>
      </c>
      <c r="R1031" s="9">
        <f>IF(P1031="PT",M1031,IF(P1031="G",0,ERR))</f>
        <v>0</v>
      </c>
      <c r="S1031" s="142" t="s">
        <v>549</v>
      </c>
      <c r="T1031" s="9">
        <f>IF(S1031="G",N1031,IF(S1031="PT",0,ERR))</f>
        <v>0</v>
      </c>
      <c r="U1031" s="9">
        <f>IF(S1031="PT",N1031,IF(S1031="G",0,ERR))</f>
        <v>0</v>
      </c>
      <c r="V1031" s="140"/>
      <c r="W1031" s="9">
        <f>HLOOKUP($W$9,'ROR-Model'!$Q$10:$U$1263,Y1031)</f>
        <v>2236306.1637500003</v>
      </c>
      <c r="X1031" s="156"/>
      <c r="Y1031" s="918">
        <f t="shared" si="67"/>
        <v>1022</v>
      </c>
      <c r="AA1031" s="9">
        <v>0</v>
      </c>
      <c r="AC1031" s="9" t="str">
        <f t="shared" si="68"/>
        <v/>
      </c>
      <c r="AE1031" s="44" t="str">
        <f t="shared" si="69"/>
        <v/>
      </c>
    </row>
    <row r="1032" spans="1:31">
      <c r="B1032" s="49"/>
      <c r="C1032" s="49"/>
      <c r="D1032" s="49" t="s">
        <v>160</v>
      </c>
      <c r="E1032" s="157">
        <f>+G1032-Adjustments!G1024</f>
        <v>-712.18624999979511</v>
      </c>
      <c r="F1032" s="157">
        <f>SUM(F1030:F1031)</f>
        <v>2305995.79</v>
      </c>
      <c r="G1032" s="157">
        <f>SUM(G1030:G1031)</f>
        <v>-712.18624999979511</v>
      </c>
      <c r="H1032" s="157"/>
      <c r="I1032" s="157">
        <f>SUM(I1030:I1031)</f>
        <v>2305283.6037500002</v>
      </c>
      <c r="J1032" s="9">
        <f>+I1032-'ROR-Model'!I1032</f>
        <v>0</v>
      </c>
      <c r="K1032" s="9"/>
      <c r="L1032" s="157"/>
      <c r="M1032" s="157">
        <f>SUM(M1030:M1031)</f>
        <v>2236306.1637500003</v>
      </c>
      <c r="N1032" s="157">
        <f>SUM(N1030:N1031)</f>
        <v>68977.440000000002</v>
      </c>
      <c r="O1032" s="136"/>
      <c r="P1032" s="226"/>
      <c r="Q1032" s="157">
        <f>SUM(Q1030:Q1031)</f>
        <v>2236306.1637500003</v>
      </c>
      <c r="R1032" s="157">
        <f>SUM(R1030:R1031)</f>
        <v>0</v>
      </c>
      <c r="S1032" s="226"/>
      <c r="T1032" s="157">
        <f>SUM(T1030:T1031)</f>
        <v>68977.440000000002</v>
      </c>
      <c r="U1032" s="157">
        <f>SUM(U1030:U1031)</f>
        <v>0</v>
      </c>
      <c r="V1032" s="140"/>
      <c r="W1032" s="157">
        <f>SUM(W1030:W1031)</f>
        <v>2236306.1637500003</v>
      </c>
      <c r="X1032" s="156"/>
      <c r="Y1032" s="918">
        <f t="shared" si="67"/>
        <v>1023</v>
      </c>
      <c r="AA1032" s="157">
        <v>68977.440000000002</v>
      </c>
      <c r="AC1032" s="157">
        <f t="shared" si="68"/>
        <v>2167328.7237500004</v>
      </c>
      <c r="AE1032" s="44">
        <f t="shared" si="69"/>
        <v>31.420834460513472</v>
      </c>
    </row>
    <row r="1033" spans="1:31">
      <c r="A1033" s="58"/>
      <c r="B1033" s="49"/>
      <c r="C1033" s="49"/>
      <c r="E1033" s="9">
        <f>+G1033-Adjustments!G1025</f>
        <v>0</v>
      </c>
      <c r="F1033" s="9"/>
      <c r="G1033" s="9"/>
      <c r="H1033" s="9"/>
      <c r="I1033" s="9"/>
      <c r="J1033" s="9">
        <f>+I1033-'ROR-Model'!I1033</f>
        <v>0</v>
      </c>
      <c r="K1033" s="9"/>
      <c r="L1033" s="9"/>
      <c r="M1033" s="9"/>
      <c r="N1033" s="9"/>
      <c r="O1033" s="136"/>
      <c r="P1033" s="142"/>
      <c r="Q1033" s="9"/>
      <c r="R1033" s="9"/>
      <c r="S1033" s="142"/>
      <c r="T1033" s="9"/>
      <c r="U1033" s="9"/>
      <c r="V1033" s="140"/>
      <c r="W1033" s="9"/>
      <c r="X1033" s="156"/>
      <c r="Y1033" s="1245">
        <f t="shared" si="67"/>
        <v>1024</v>
      </c>
      <c r="AA1033" s="9"/>
      <c r="AC1033" s="9" t="str">
        <f t="shared" si="68"/>
        <v/>
      </c>
      <c r="AE1033" s="44" t="str">
        <f t="shared" si="69"/>
        <v/>
      </c>
    </row>
    <row r="1034" spans="1:31">
      <c r="A1034" s="49"/>
      <c r="B1034" s="49" t="s">
        <v>243</v>
      </c>
      <c r="C1034" s="49"/>
      <c r="E1034" s="9">
        <f>+G1034-Adjustments!G1031</f>
        <v>-95228714.316666752</v>
      </c>
      <c r="F1034" s="9">
        <f>F1032+F1027+F1022+F1017+F1012+F1007+F1002+F991+F986</f>
        <v>2529881859.2999997</v>
      </c>
      <c r="G1034" s="9">
        <f>G1032+G1027+G1022+G1017+G1012+G1007+G1002+G991+G986</f>
        <v>-95228714.316666752</v>
      </c>
      <c r="H1034" s="9">
        <f>H1032+H1027+H1022+H1017+H1012+H1007+H1002+H991+H986</f>
        <v>0</v>
      </c>
      <c r="I1034" s="9">
        <f>I1032+I1027+I1022+I1017+I1012+I1007+I1002+I991+I986</f>
        <v>2434653144.9833331</v>
      </c>
      <c r="J1034" s="9">
        <f>+I1034-'ROR-Model'!I1034</f>
        <v>0</v>
      </c>
      <c r="K1034" s="9"/>
      <c r="L1034" s="9"/>
      <c r="M1034" s="9">
        <f>M1032+M1027+M1022+M1017+M1012+M1007+M1002+M991+M986</f>
        <v>2356110209.6858335</v>
      </c>
      <c r="N1034" s="9">
        <f>N1032+N1027+N1022+N1017+N1012+N1007+N1002+N991+N986</f>
        <v>78542935.297499999</v>
      </c>
      <c r="O1034" s="136"/>
      <c r="P1034" s="142"/>
      <c r="Q1034" s="9">
        <f>Q1032+Q1027+Q1022+Q1017+Q1012+Q1007+Q1002+Q991+Q986</f>
        <v>2356110209.6858335</v>
      </c>
      <c r="R1034" s="9">
        <f>R1032+R1027+R1022+R1017+R1012+R1007+R1002+R991+R986</f>
        <v>0</v>
      </c>
      <c r="S1034" s="142"/>
      <c r="T1034" s="9">
        <f>T1032+T1027+T1022+T1017+T1012+T1007+T1002+T991+T986</f>
        <v>78542935.297499999</v>
      </c>
      <c r="U1034" s="9">
        <f>U1032+U1027+U1022+U1017+U1012+U1007+U1002+U991+U986</f>
        <v>0</v>
      </c>
      <c r="V1034" s="140"/>
      <c r="W1034" s="9">
        <f>W1032+W1027+W1022+W1017+W1012+W1007+W1002+W991+W986</f>
        <v>2356110209.6858335</v>
      </c>
      <c r="X1034" s="156"/>
      <c r="Y1034" s="1245">
        <f t="shared" si="67"/>
        <v>1025</v>
      </c>
      <c r="AA1034" s="9"/>
      <c r="AC1034" s="9" t="str">
        <f t="shared" si="68"/>
        <v/>
      </c>
      <c r="AE1034" s="44" t="str">
        <f t="shared" si="69"/>
        <v/>
      </c>
    </row>
    <row r="1035" spans="1:31">
      <c r="A1035" s="49"/>
      <c r="B1035" s="49"/>
      <c r="C1035" s="49"/>
      <c r="E1035" s="9">
        <f>+G1035-Adjustments!G1032</f>
        <v>0</v>
      </c>
      <c r="F1035" s="9"/>
      <c r="G1035" s="9"/>
      <c r="H1035" s="9"/>
      <c r="I1035" s="9"/>
      <c r="J1035" s="9">
        <f>+I1035-'ROR-Model'!I1035</f>
        <v>0</v>
      </c>
      <c r="K1035" s="9"/>
      <c r="L1035" s="9"/>
      <c r="M1035" s="9"/>
      <c r="N1035" s="9"/>
      <c r="O1035" s="136"/>
      <c r="P1035" s="142"/>
      <c r="Q1035" s="9"/>
      <c r="R1035" s="9"/>
      <c r="S1035" s="142"/>
      <c r="T1035" s="9"/>
      <c r="U1035" s="9"/>
      <c r="V1035" s="140"/>
      <c r="W1035" s="9"/>
      <c r="X1035" s="156"/>
      <c r="Y1035" s="1245">
        <f t="shared" si="67"/>
        <v>1026</v>
      </c>
      <c r="AA1035" s="9">
        <v>7220</v>
      </c>
      <c r="AC1035" s="9">
        <f t="shared" si="68"/>
        <v>-7220</v>
      </c>
      <c r="AE1035" s="44">
        <f t="shared" si="69"/>
        <v>-1</v>
      </c>
    </row>
    <row r="1036" spans="1:31">
      <c r="A1036" s="49" t="s">
        <v>700</v>
      </c>
      <c r="C1036" s="49"/>
      <c r="E1036" s="9">
        <f>+G1036-Adjustments!G1033</f>
        <v>0</v>
      </c>
      <c r="F1036" s="9"/>
      <c r="G1036" s="9"/>
      <c r="H1036" s="9"/>
      <c r="I1036" s="9"/>
      <c r="J1036" s="9">
        <f>+I1036-'ROR-Model'!I1036</f>
        <v>0</v>
      </c>
      <c r="K1036" s="9"/>
      <c r="L1036" s="9"/>
      <c r="M1036" s="9"/>
      <c r="N1036" s="9"/>
      <c r="O1036" s="136"/>
      <c r="P1036" s="142"/>
      <c r="Q1036" s="9"/>
      <c r="R1036" s="9"/>
      <c r="S1036" s="142"/>
      <c r="T1036" s="9"/>
      <c r="U1036" s="9"/>
      <c r="V1036" s="52"/>
      <c r="W1036" s="9"/>
      <c r="X1036" s="156"/>
      <c r="Y1036" s="918">
        <f t="shared" ref="Y1036:Y1094" si="70">Y1035+1</f>
        <v>1027</v>
      </c>
      <c r="AA1036" s="9">
        <v>0</v>
      </c>
      <c r="AC1036" s="9" t="str">
        <f t="shared" ref="AC1036:AC1093" si="71">IF(ABS(AA1036)&gt;0,W1036-AA1036,"")</f>
        <v/>
      </c>
      <c r="AE1036" s="44" t="str">
        <f t="shared" si="69"/>
        <v/>
      </c>
    </row>
    <row r="1037" spans="1:31">
      <c r="B1037" s="49" t="s">
        <v>244</v>
      </c>
      <c r="C1037" s="49" t="s">
        <v>209</v>
      </c>
      <c r="D1037" s="49"/>
      <c r="E1037" s="9">
        <f>+G1037-Adjustments!G1034</f>
        <v>0</v>
      </c>
      <c r="F1037" s="9"/>
      <c r="G1037" s="9"/>
      <c r="H1037" s="9"/>
      <c r="I1037" s="9"/>
      <c r="J1037" s="9">
        <f>+I1037-'ROR-Model'!I1037</f>
        <v>0</v>
      </c>
      <c r="K1037" s="9"/>
      <c r="L1037" s="9"/>
      <c r="M1037" s="9"/>
      <c r="N1037" s="9"/>
      <c r="O1037" s="136"/>
      <c r="P1037" s="216"/>
      <c r="Q1037" s="9"/>
      <c r="R1037" s="9"/>
      <c r="S1037" s="142"/>
      <c r="T1037" s="9"/>
      <c r="U1037" s="9"/>
      <c r="V1037" s="52"/>
      <c r="W1037" s="9"/>
      <c r="X1037" s="156"/>
      <c r="Y1037" s="918">
        <f t="shared" si="70"/>
        <v>1028</v>
      </c>
      <c r="AA1037" s="9">
        <v>7220</v>
      </c>
      <c r="AC1037" s="9">
        <f t="shared" si="71"/>
        <v>-7220</v>
      </c>
      <c r="AE1037" s="44">
        <f t="shared" ref="AE1037:AE1094" si="72">IF(ABS(AA1037)&gt;0,AC1037/AA1037,"")</f>
        <v>-1</v>
      </c>
    </row>
    <row r="1038" spans="1:31">
      <c r="B1038" s="49"/>
      <c r="C1038" s="49"/>
      <c r="D1038" s="49" t="s">
        <v>24</v>
      </c>
      <c r="E1038" s="9">
        <f>+G1038-Adjustments!G1035</f>
        <v>0</v>
      </c>
      <c r="F1038" s="9">
        <f>'Rate Base'!$T$87</f>
        <v>11584.02</v>
      </c>
      <c r="G1038" s="9">
        <f>+Adjustments!U1019</f>
        <v>0</v>
      </c>
      <c r="H1038" s="9"/>
      <c r="I1038" s="9">
        <f>SUM(F1038:H1038)</f>
        <v>11584.02</v>
      </c>
      <c r="J1038" s="9">
        <f>+I1038-'ROR-Model'!I1038</f>
        <v>0</v>
      </c>
      <c r="K1038" s="9"/>
      <c r="L1038" s="9" t="s">
        <v>24</v>
      </c>
      <c r="M1038" s="9">
        <f>VLOOKUP($L1038,$L$2:$N$7,2,FALSE)*I1038</f>
        <v>0</v>
      </c>
      <c r="N1038" s="9">
        <f>VLOOKUP($L1038,$L$2:$N$7,3,FALSE)*I1038</f>
        <v>11584.02</v>
      </c>
      <c r="O1038" s="136"/>
      <c r="P1038" s="216" t="s">
        <v>549</v>
      </c>
      <c r="Q1038" s="9">
        <f>IF(P1038="G",M1038,IF(P1038="PT",0,ERR))</f>
        <v>0</v>
      </c>
      <c r="R1038" s="9"/>
      <c r="S1038" s="142" t="s">
        <v>549</v>
      </c>
      <c r="T1038" s="9">
        <f>IF(S1038="G",N1038,IF(S1038="PT",0,ERR))</f>
        <v>11584.02</v>
      </c>
      <c r="U1038" s="9">
        <f>IF(S1038="PT",N1038,IF(S1038="G",0,ERR))</f>
        <v>0</v>
      </c>
      <c r="V1038" s="52"/>
      <c r="W1038" s="9">
        <f>HLOOKUP($W$9,'ROR-Model'!$Q$10:$U$1263,Y1038)</f>
        <v>0</v>
      </c>
      <c r="X1038" s="156"/>
      <c r="Y1038" s="918">
        <f t="shared" si="70"/>
        <v>1029</v>
      </c>
      <c r="AA1038" s="9"/>
      <c r="AC1038" s="9" t="str">
        <f t="shared" si="71"/>
        <v/>
      </c>
      <c r="AE1038" s="44" t="str">
        <f t="shared" si="72"/>
        <v/>
      </c>
    </row>
    <row r="1039" spans="1:31">
      <c r="B1039" s="49"/>
      <c r="C1039" s="49"/>
      <c r="D1039" s="49" t="s">
        <v>13</v>
      </c>
      <c r="E1039" s="9">
        <f>+G1039-Adjustments!G1036</f>
        <v>0</v>
      </c>
      <c r="F1039" s="9">
        <f>'Rate Base'!$T$88</f>
        <v>3775953.85</v>
      </c>
      <c r="G1039" s="9">
        <f>+Adjustments!U1020</f>
        <v>0</v>
      </c>
      <c r="H1039" s="9"/>
      <c r="I1039" s="9">
        <f>SUM(F1039:H1039)</f>
        <v>3775953.85</v>
      </c>
      <c r="J1039" s="9">
        <f>+I1039-'ROR-Model'!I1039</f>
        <v>0</v>
      </c>
      <c r="K1039" s="9"/>
      <c r="L1039" s="9" t="s">
        <v>13</v>
      </c>
      <c r="M1039" s="9">
        <f>VLOOKUP($L1039,$L$2:$N$7,2,FALSE)*I1039</f>
        <v>3775953.85</v>
      </c>
      <c r="N1039" s="9">
        <f>VLOOKUP($L1039,$L$2:$N$7,3,FALSE)*I1039</f>
        <v>0</v>
      </c>
      <c r="O1039" s="136"/>
      <c r="P1039" s="216" t="s">
        <v>549</v>
      </c>
      <c r="Q1039" s="9">
        <f>IF(P1039="G",M1039,IF(P1039="PT",0,ERR))</f>
        <v>3775953.85</v>
      </c>
      <c r="R1039" s="9"/>
      <c r="S1039" s="142" t="s">
        <v>549</v>
      </c>
      <c r="T1039" s="9">
        <f>IF(S1039="G",N1039,IF(S1039="PT",0,ERR))</f>
        <v>0</v>
      </c>
      <c r="U1039" s="9">
        <f>IF(S1039="PT",N1039,IF(S1039="G",0,ERR))</f>
        <v>0</v>
      </c>
      <c r="V1039" s="52"/>
      <c r="W1039" s="9">
        <f>HLOOKUP($W$9,'ROR-Model'!$Q$10:$U$1263,Y1039)</f>
        <v>3775953.85</v>
      </c>
      <c r="X1039" s="156"/>
      <c r="Y1039" s="918">
        <f t="shared" si="70"/>
        <v>1030</v>
      </c>
      <c r="AA1039" s="9">
        <v>73320037.514000013</v>
      </c>
      <c r="AC1039" s="9">
        <f t="shared" si="71"/>
        <v>-69544083.664000019</v>
      </c>
      <c r="AE1039" s="44">
        <f t="shared" si="72"/>
        <v>-0.94850038300540973</v>
      </c>
    </row>
    <row r="1040" spans="1:31">
      <c r="B1040" s="49"/>
      <c r="C1040" s="49"/>
      <c r="D1040" s="49" t="s">
        <v>160</v>
      </c>
      <c r="E1040" s="9">
        <f>+G1040-Adjustments!G1037</f>
        <v>0</v>
      </c>
      <c r="F1040" s="9">
        <f>'Rate Base'!$T$89</f>
        <v>3787537.87</v>
      </c>
      <c r="G1040" s="9">
        <f>+Adjustments!U1021</f>
        <v>0</v>
      </c>
      <c r="H1040" s="9"/>
      <c r="I1040" s="9">
        <f>SUM(F1040:H1040)</f>
        <v>3787537.87</v>
      </c>
      <c r="J1040" s="9">
        <f>+I1040-'ROR-Model'!I1040</f>
        <v>0</v>
      </c>
      <c r="K1040" s="9"/>
      <c r="L1040" s="9" t="s">
        <v>160</v>
      </c>
      <c r="M1040" s="9">
        <f>SUM(M1038:M1039)</f>
        <v>3775953.85</v>
      </c>
      <c r="N1040" s="9">
        <f>SUM(N1038:N1039)</f>
        <v>11584.02</v>
      </c>
      <c r="O1040" s="136"/>
      <c r="P1040" s="216" t="s">
        <v>549</v>
      </c>
      <c r="Q1040" s="9">
        <f>IF(P1040="G",M1040,IF(P1040="PT",0,ERR))</f>
        <v>3775953.85</v>
      </c>
      <c r="R1040" s="9"/>
      <c r="S1040" s="142" t="s">
        <v>549</v>
      </c>
      <c r="T1040" s="9">
        <f>IF(S1040="G",N1040,IF(S1040="PT",0,ERR))</f>
        <v>11584.02</v>
      </c>
      <c r="U1040" s="9">
        <f>IF(S1040="PT",N1040,IF(S1040="G",0,ERR))</f>
        <v>0</v>
      </c>
      <c r="V1040" s="52"/>
      <c r="W1040" s="9">
        <f>HLOOKUP($W$9,'ROR-Model'!$Q$10:$U$1263,Y1040)</f>
        <v>3775953.85</v>
      </c>
      <c r="X1040" s="156"/>
      <c r="Y1040" s="918">
        <f t="shared" si="70"/>
        <v>1031</v>
      </c>
      <c r="AA1040" s="9"/>
      <c r="AC1040" s="9" t="str">
        <f t="shared" si="71"/>
        <v/>
      </c>
      <c r="AE1040" s="44" t="str">
        <f t="shared" si="72"/>
        <v/>
      </c>
    </row>
    <row r="1041" spans="2:31">
      <c r="B1041" s="49"/>
      <c r="C1041" s="49"/>
      <c r="D1041" s="49"/>
      <c r="E1041" s="9">
        <f>+G1041-Adjustments!G1038</f>
        <v>0</v>
      </c>
      <c r="F1041" s="9"/>
      <c r="G1041" s="9"/>
      <c r="H1041" s="9"/>
      <c r="I1041" s="9"/>
      <c r="J1041" s="9">
        <f>+I1041-'ROR-Model'!I1041</f>
        <v>0</v>
      </c>
      <c r="K1041" s="9"/>
      <c r="L1041" s="9"/>
      <c r="M1041" s="9"/>
      <c r="N1041" s="9"/>
      <c r="O1041" s="136"/>
      <c r="P1041" s="216"/>
      <c r="Q1041" s="9"/>
      <c r="R1041" s="9"/>
      <c r="S1041" s="142"/>
      <c r="T1041" s="9"/>
      <c r="U1041" s="9"/>
      <c r="V1041" s="52"/>
      <c r="W1041" s="9"/>
      <c r="X1041" s="156"/>
      <c r="Y1041" s="918">
        <f t="shared" si="70"/>
        <v>1032</v>
      </c>
      <c r="AA1041" s="9"/>
      <c r="AC1041" s="9" t="str">
        <f t="shared" si="71"/>
        <v/>
      </c>
      <c r="AE1041" s="44" t="str">
        <f t="shared" si="72"/>
        <v/>
      </c>
    </row>
    <row r="1042" spans="2:31">
      <c r="B1042" s="49" t="s">
        <v>245</v>
      </c>
      <c r="C1042" s="49" t="s">
        <v>226</v>
      </c>
      <c r="D1042" s="49"/>
      <c r="E1042" s="9">
        <f>+G1042-Adjustments!G1039</f>
        <v>0</v>
      </c>
      <c r="F1042" s="9"/>
      <c r="G1042" s="9"/>
      <c r="H1042" s="9"/>
      <c r="I1042" s="9"/>
      <c r="J1042" s="9">
        <f>+I1042-'ROR-Model'!I1042</f>
        <v>0</v>
      </c>
      <c r="K1042" s="9"/>
      <c r="L1042" s="9"/>
      <c r="M1042" s="9"/>
      <c r="N1042" s="9"/>
      <c r="O1042" s="136"/>
      <c r="P1042" s="216"/>
      <c r="Q1042" s="9"/>
      <c r="R1042" s="9"/>
      <c r="S1042" s="142"/>
      <c r="T1042" s="9"/>
      <c r="U1042" s="9"/>
      <c r="V1042" s="52"/>
      <c r="W1042" s="9"/>
      <c r="X1042" s="156"/>
      <c r="Y1042" s="918">
        <f t="shared" si="70"/>
        <v>1033</v>
      </c>
      <c r="AA1042" s="9"/>
      <c r="AC1042" s="9" t="str">
        <f t="shared" si="71"/>
        <v/>
      </c>
      <c r="AE1042" s="44" t="str">
        <f t="shared" si="72"/>
        <v/>
      </c>
    </row>
    <row r="1043" spans="2:31">
      <c r="B1043" s="49"/>
      <c r="C1043" s="49"/>
      <c r="D1043" s="49" t="s">
        <v>24</v>
      </c>
      <c r="E1043" s="9">
        <f>+G1043-Adjustments!G1040</f>
        <v>-8201.1175000004005</v>
      </c>
      <c r="F1043" s="9">
        <f>'Rate Base'!$T$92</f>
        <v>1617860.54</v>
      </c>
      <c r="G1043" s="9">
        <f>+Adjustments!U1024</f>
        <v>-8201.1175000004005</v>
      </c>
      <c r="H1043" s="9"/>
      <c r="I1043" s="9">
        <f t="shared" ref="I1043:I1092" si="73">SUM(F1043:H1043)</f>
        <v>1609659.4224999996</v>
      </c>
      <c r="J1043" s="9">
        <f>+I1043-'ROR-Model'!I1043</f>
        <v>0</v>
      </c>
      <c r="K1043" s="9"/>
      <c r="L1043" s="9" t="s">
        <v>24</v>
      </c>
      <c r="M1043" s="9">
        <f>VLOOKUP($L1043,$L$2:$N$7,2,FALSE)*I1043</f>
        <v>0</v>
      </c>
      <c r="N1043" s="9">
        <f>VLOOKUP($L1043,$L$2:$N$7,3,FALSE)*I1043</f>
        <v>1609659.4224999996</v>
      </c>
      <c r="O1043" s="136"/>
      <c r="P1043" s="216" t="s">
        <v>549</v>
      </c>
      <c r="Q1043" s="9">
        <f>IF(P1043="G",M1043,IF(P1043="PT",0,ERR))</f>
        <v>0</v>
      </c>
      <c r="R1043" s="9">
        <f>IF(P1043="PT",M1043,IF(P1043="G",0,ERR))</f>
        <v>0</v>
      </c>
      <c r="S1043" s="142" t="s">
        <v>549</v>
      </c>
      <c r="T1043" s="9">
        <f>IF(S1043="G",N1043,IF(S1043="PT",0,ERR))</f>
        <v>1609659.4224999996</v>
      </c>
      <c r="U1043" s="9">
        <f>IF(S1043="PT",N1043,IF(S1043="G",0,ERR))</f>
        <v>0</v>
      </c>
      <c r="V1043" s="52"/>
      <c r="W1043" s="9">
        <f>HLOOKUP($W$9,'ROR-Model'!$Q$10:$U$1263,Y1043)</f>
        <v>0</v>
      </c>
      <c r="X1043" s="156"/>
      <c r="Y1043" s="918">
        <f t="shared" si="70"/>
        <v>1034</v>
      </c>
      <c r="AA1043" s="9">
        <v>11584.02</v>
      </c>
      <c r="AC1043" s="9">
        <f t="shared" si="71"/>
        <v>-11584.02</v>
      </c>
      <c r="AE1043" s="44">
        <f t="shared" si="72"/>
        <v>-1</v>
      </c>
    </row>
    <row r="1044" spans="2:31">
      <c r="B1044" s="49"/>
      <c r="C1044" s="49"/>
      <c r="D1044" s="49" t="s">
        <v>13</v>
      </c>
      <c r="E1044" s="9">
        <f>+G1044-Adjustments!G1041</f>
        <v>-849385.79999998957</v>
      </c>
      <c r="F1044" s="9">
        <f>'Rate Base'!$T$93</f>
        <v>44053641.369999982</v>
      </c>
      <c r="G1044" s="9">
        <f>+Adjustments!U1025</f>
        <v>-849385.79999998957</v>
      </c>
      <c r="H1044" s="9"/>
      <c r="I1044" s="9">
        <f t="shared" si="73"/>
        <v>43204255.569999993</v>
      </c>
      <c r="J1044" s="9">
        <f>+I1044-'ROR-Model'!I1044</f>
        <v>0</v>
      </c>
      <c r="K1044" s="9"/>
      <c r="L1044" s="9" t="s">
        <v>13</v>
      </c>
      <c r="M1044" s="9">
        <f>VLOOKUP($L1044,$L$2:$N$7,2,FALSE)*I1044</f>
        <v>43204255.569999993</v>
      </c>
      <c r="N1044" s="9">
        <f>VLOOKUP($L1044,$L$2:$N$7,3,FALSE)*I1044</f>
        <v>0</v>
      </c>
      <c r="O1044" s="136"/>
      <c r="P1044" s="216" t="s">
        <v>549</v>
      </c>
      <c r="Q1044" s="9">
        <f>IF(P1044="G",M1044,IF(P1044="PT",0,ERR))</f>
        <v>43204255.569999993</v>
      </c>
      <c r="R1044" s="9">
        <f>IF(P1044="PT",M1044,IF(P1044="G",0,ERR))</f>
        <v>0</v>
      </c>
      <c r="S1044" s="142" t="s">
        <v>549</v>
      </c>
      <c r="T1044" s="9">
        <f>IF(S1044="G",N1044,IF(S1044="PT",0,ERR))</f>
        <v>0</v>
      </c>
      <c r="U1044" s="9">
        <f>IF(S1044="PT",N1044,IF(S1044="G",0,ERR))</f>
        <v>0</v>
      </c>
      <c r="V1044" s="52"/>
      <c r="W1044" s="9">
        <f>HLOOKUP($W$9,'ROR-Model'!$Q$10:$U$1263,Y1044)</f>
        <v>43204255.569999993</v>
      </c>
      <c r="X1044" s="156"/>
      <c r="Y1044" s="918">
        <f t="shared" si="70"/>
        <v>1035</v>
      </c>
      <c r="AA1044" s="9">
        <v>0</v>
      </c>
      <c r="AC1044" s="9" t="str">
        <f t="shared" si="71"/>
        <v/>
      </c>
      <c r="AE1044" s="44" t="str">
        <f t="shared" si="72"/>
        <v/>
      </c>
    </row>
    <row r="1045" spans="2:31">
      <c r="B1045" s="49"/>
      <c r="C1045" s="49"/>
      <c r="D1045" s="309" t="s">
        <v>584</v>
      </c>
      <c r="E1045" s="9">
        <f>+G1045-Adjustments!G1042</f>
        <v>-56440.678750008345</v>
      </c>
      <c r="F1045" s="9">
        <f>'Rate Base'!$T$94</f>
        <v>51076999.940000005</v>
      </c>
      <c r="G1045" s="9">
        <f>+Adjustments!U1026</f>
        <v>-56440.678750008345</v>
      </c>
      <c r="H1045" s="9"/>
      <c r="I1045" s="9">
        <f t="shared" si="73"/>
        <v>51020559.261249997</v>
      </c>
      <c r="J1045" s="9">
        <f>+I1045-'ROR-Model'!I1045</f>
        <v>0</v>
      </c>
      <c r="K1045" s="9"/>
      <c r="L1045" s="357" t="s">
        <v>458</v>
      </c>
      <c r="M1045" s="9">
        <f>VLOOKUP($L1045,$L$2:$N$7,2,FALSE)*I1045</f>
        <v>49356337.644090258</v>
      </c>
      <c r="N1045" s="9">
        <f>VLOOKUP($L1045,$L$2:$N$7,3,FALSE)*I1045</f>
        <v>1664221.6171597342</v>
      </c>
      <c r="O1045" s="136"/>
      <c r="P1045" s="216" t="s">
        <v>549</v>
      </c>
      <c r="Q1045" s="9">
        <f>IF(P1045="G",M1045,IF(P1045="PT",0,ERR))</f>
        <v>49356337.644090258</v>
      </c>
      <c r="R1045" s="9">
        <f>IF(P1045="PT",M1045,IF(P1045="G",0,ERR))</f>
        <v>0</v>
      </c>
      <c r="S1045" s="142" t="s">
        <v>549</v>
      </c>
      <c r="T1045" s="9">
        <f>IF(S1045="G",N1045,IF(S1045="PT",0,ERR))</f>
        <v>1664221.6171597342</v>
      </c>
      <c r="U1045" s="9">
        <f>IF(S1045="PT",N1045,IF(S1045="G",0,ERR))</f>
        <v>0</v>
      </c>
      <c r="V1045" s="52"/>
      <c r="W1045" s="9">
        <f>HLOOKUP($W$9,'ROR-Model'!$Q$10:$U$1263,Y1045)</f>
        <v>49356337.644090258</v>
      </c>
      <c r="X1045" s="156"/>
      <c r="Y1045" s="918">
        <f t="shared" si="70"/>
        <v>1036</v>
      </c>
      <c r="AA1045" s="9">
        <v>11584.02</v>
      </c>
      <c r="AC1045" s="9">
        <f t="shared" si="71"/>
        <v>49344753.624090254</v>
      </c>
      <c r="AE1045" s="44">
        <f t="shared" si="72"/>
        <v>4259.7262111158525</v>
      </c>
    </row>
    <row r="1046" spans="2:31">
      <c r="B1046" s="49"/>
      <c r="C1046" s="49"/>
      <c r="D1046" s="49" t="s">
        <v>160</v>
      </c>
      <c r="E1046" s="9">
        <f>+G1046-Adjustments!G1043</f>
        <v>-914027.59624999762</v>
      </c>
      <c r="F1046" s="9">
        <f>'Rate Base'!$T$95</f>
        <v>96748501.849999994</v>
      </c>
      <c r="G1046" s="9">
        <f>+Adjustments!U1027</f>
        <v>-914027.59624999762</v>
      </c>
      <c r="H1046" s="9"/>
      <c r="I1046" s="9">
        <f t="shared" si="73"/>
        <v>95834474.253749996</v>
      </c>
      <c r="J1046" s="9">
        <f>+I1046-'ROR-Model'!I1046</f>
        <v>0</v>
      </c>
      <c r="K1046" s="9"/>
      <c r="L1046" s="9" t="s">
        <v>160</v>
      </c>
      <c r="M1046" s="9">
        <f>SUM(M1043:M1045)</f>
        <v>92560593.214090258</v>
      </c>
      <c r="N1046" s="9">
        <f>SUM(N1043:N1045)</f>
        <v>3273881.0396597339</v>
      </c>
      <c r="O1046" s="136"/>
      <c r="P1046" s="216" t="s">
        <v>549</v>
      </c>
      <c r="Q1046" s="9">
        <f>IF(P1046="G",M1046,IF(P1046="PT",0,ERR))</f>
        <v>92560593.214090258</v>
      </c>
      <c r="R1046" s="9">
        <f>IF(P1046="PT",M1046,IF(P1046="G",0,ERR))</f>
        <v>0</v>
      </c>
      <c r="S1046" s="142" t="s">
        <v>549</v>
      </c>
      <c r="T1046" s="9">
        <f>IF(S1046="G",N1046,IF(S1046="PT",0,ERR))</f>
        <v>3273881.0396597339</v>
      </c>
      <c r="U1046" s="9">
        <f>IF(S1046="PT",N1046,IF(S1046="G",0,ERR))</f>
        <v>0</v>
      </c>
      <c r="V1046" s="52"/>
      <c r="W1046" s="9">
        <f>HLOOKUP($W$9,'ROR-Model'!$Q$10:$U$1263,Y1046)</f>
        <v>92560593.214090258</v>
      </c>
      <c r="X1046" s="156"/>
      <c r="Y1046" s="918">
        <f t="shared" si="70"/>
        <v>1037</v>
      </c>
      <c r="AA1046" s="9"/>
      <c r="AC1046" s="9" t="str">
        <f t="shared" si="71"/>
        <v/>
      </c>
      <c r="AE1046" s="44" t="str">
        <f t="shared" si="72"/>
        <v/>
      </c>
    </row>
    <row r="1047" spans="2:31">
      <c r="B1047" s="49"/>
      <c r="C1047" s="49"/>
      <c r="D1047" s="49"/>
      <c r="E1047" s="9">
        <f>+G1047-Adjustments!G1044</f>
        <v>0</v>
      </c>
      <c r="F1047" s="9"/>
      <c r="G1047" s="9"/>
      <c r="H1047" s="9"/>
      <c r="I1047" s="9"/>
      <c r="J1047" s="9">
        <f>+I1047-'ROR-Model'!I1047</f>
        <v>0</v>
      </c>
      <c r="K1047" s="9"/>
      <c r="L1047" s="9"/>
      <c r="M1047" s="9"/>
      <c r="N1047" s="9"/>
      <c r="O1047" s="136"/>
      <c r="P1047" s="216"/>
      <c r="Q1047" s="9"/>
      <c r="R1047" s="9"/>
      <c r="S1047" s="142"/>
      <c r="T1047" s="9"/>
      <c r="U1047" s="9"/>
      <c r="V1047" s="52"/>
      <c r="W1047" s="9"/>
      <c r="X1047" s="156"/>
      <c r="Y1047" s="918">
        <f t="shared" si="70"/>
        <v>1038</v>
      </c>
      <c r="AA1047" s="9"/>
      <c r="AC1047" s="9" t="str">
        <f t="shared" si="71"/>
        <v/>
      </c>
      <c r="AE1047" s="44" t="str">
        <f t="shared" si="72"/>
        <v/>
      </c>
    </row>
    <row r="1048" spans="2:31">
      <c r="B1048" s="49" t="s">
        <v>246</v>
      </c>
      <c r="C1048" s="49" t="s">
        <v>247</v>
      </c>
      <c r="D1048" s="49"/>
      <c r="E1048" s="9">
        <f>+G1048-Adjustments!G1045</f>
        <v>0</v>
      </c>
      <c r="F1048" s="9"/>
      <c r="G1048" s="9"/>
      <c r="H1048" s="9"/>
      <c r="I1048" s="9"/>
      <c r="J1048" s="9">
        <f>+I1048-'ROR-Model'!I1048</f>
        <v>0</v>
      </c>
      <c r="K1048" s="9"/>
      <c r="L1048" s="9"/>
      <c r="M1048" s="9"/>
      <c r="N1048" s="9"/>
      <c r="O1048" s="136"/>
      <c r="P1048" s="216"/>
      <c r="Q1048" s="9"/>
      <c r="R1048" s="9"/>
      <c r="S1048" s="142"/>
      <c r="T1048" s="9"/>
      <c r="U1048" s="9"/>
      <c r="V1048" s="52"/>
      <c r="W1048" s="9"/>
      <c r="X1048" s="156"/>
      <c r="Y1048" s="918">
        <f t="shared" si="70"/>
        <v>1039</v>
      </c>
      <c r="AA1048" s="9">
        <v>279456.36</v>
      </c>
      <c r="AC1048" s="9">
        <f t="shared" si="71"/>
        <v>-279456.36</v>
      </c>
      <c r="AE1048" s="44">
        <f t="shared" si="72"/>
        <v>-1</v>
      </c>
    </row>
    <row r="1049" spans="2:31">
      <c r="B1049" s="49"/>
      <c r="C1049" s="49"/>
      <c r="D1049" s="49" t="s">
        <v>24</v>
      </c>
      <c r="E1049" s="9">
        <f>+G1049-Adjustments!G1046</f>
        <v>24835.577499999956</v>
      </c>
      <c r="F1049" s="9">
        <f>'Rate Base'!$T$98</f>
        <v>147841.16000000003</v>
      </c>
      <c r="G1049" s="9">
        <f>+Adjustments!U1030</f>
        <v>24835.577499999956</v>
      </c>
      <c r="H1049" s="9"/>
      <c r="I1049" s="9">
        <f t="shared" si="73"/>
        <v>172676.73749999999</v>
      </c>
      <c r="J1049" s="9">
        <f>+I1049-'ROR-Model'!I1049</f>
        <v>0</v>
      </c>
      <c r="K1049" s="9"/>
      <c r="L1049" s="9" t="s">
        <v>24</v>
      </c>
      <c r="M1049" s="9">
        <f>VLOOKUP($L1049,$L$2:$N$7,2,FALSE)*I1049</f>
        <v>0</v>
      </c>
      <c r="N1049" s="9">
        <f>VLOOKUP($L1049,$L$2:$N$7,3,FALSE)*I1049</f>
        <v>172676.73749999999</v>
      </c>
      <c r="O1049" s="136"/>
      <c r="P1049" s="216" t="s">
        <v>549</v>
      </c>
      <c r="Q1049" s="9">
        <f>IF(P1049="G",M1049,IF(P1049="PT",0,ERR))</f>
        <v>0</v>
      </c>
      <c r="R1049" s="9">
        <f>IF(P1049="PT",M1049,IF(P1049="G",0,ERR))</f>
        <v>0</v>
      </c>
      <c r="S1049" s="142" t="s">
        <v>549</v>
      </c>
      <c r="T1049" s="9">
        <f>IF(S1049="G",N1049,IF(S1049="PT",0,ERR))</f>
        <v>172676.73749999999</v>
      </c>
      <c r="U1049" s="9">
        <f>IF(S1049="PT",N1049,IF(S1049="G",0,ERR))</f>
        <v>0</v>
      </c>
      <c r="V1049" s="52"/>
      <c r="W1049" s="9">
        <f>HLOOKUP($W$9,'ROR-Model'!$Q$10:$U$1263,Y1049)</f>
        <v>0</v>
      </c>
      <c r="X1049" s="156"/>
      <c r="Y1049" s="918">
        <f t="shared" si="70"/>
        <v>1040</v>
      </c>
      <c r="AA1049" s="9">
        <v>0</v>
      </c>
      <c r="AC1049" s="9" t="str">
        <f t="shared" si="71"/>
        <v/>
      </c>
      <c r="AE1049" s="44" t="str">
        <f t="shared" si="72"/>
        <v/>
      </c>
    </row>
    <row r="1050" spans="2:31">
      <c r="B1050" s="49"/>
      <c r="C1050" s="49"/>
      <c r="D1050" s="49" t="s">
        <v>13</v>
      </c>
      <c r="E1050" s="9">
        <f>+G1050-Adjustments!G1047</f>
        <v>986249.76416666619</v>
      </c>
      <c r="F1050" s="9">
        <f>'Rate Base'!$T$99</f>
        <v>12701483.740000002</v>
      </c>
      <c r="G1050" s="9">
        <f>+Adjustments!U1031</f>
        <v>986249.76416666619</v>
      </c>
      <c r="H1050" s="9"/>
      <c r="I1050" s="9">
        <f t="shared" si="73"/>
        <v>13687733.504166668</v>
      </c>
      <c r="J1050" s="9">
        <f>+I1050-'ROR-Model'!I1050</f>
        <v>0</v>
      </c>
      <c r="K1050" s="9"/>
      <c r="L1050" s="9" t="s">
        <v>13</v>
      </c>
      <c r="M1050" s="9">
        <f>VLOOKUP($L1050,$L$2:$N$7,2,FALSE)*I1050</f>
        <v>13687733.504166668</v>
      </c>
      <c r="N1050" s="9">
        <f>VLOOKUP($L1050,$L$2:$N$7,3,FALSE)*I1050</f>
        <v>0</v>
      </c>
      <c r="O1050" s="136"/>
      <c r="P1050" s="216" t="s">
        <v>549</v>
      </c>
      <c r="Q1050" s="9">
        <f>IF(P1050="G",M1050,IF(P1050="PT",0,ERR))</f>
        <v>13687733.504166668</v>
      </c>
      <c r="R1050" s="9">
        <f>IF(P1050="PT",M1050,IF(P1050="G",0,ERR))</f>
        <v>0</v>
      </c>
      <c r="S1050" s="142" t="s">
        <v>549</v>
      </c>
      <c r="T1050" s="9">
        <f>IF(S1050="G",N1050,IF(S1050="PT",0,ERR))</f>
        <v>0</v>
      </c>
      <c r="U1050" s="9">
        <f>IF(S1050="PT",N1050,IF(S1050="G",0,ERR))</f>
        <v>0</v>
      </c>
      <c r="V1050" s="52"/>
      <c r="W1050" s="9">
        <f>HLOOKUP($W$9,'ROR-Model'!$Q$10:$U$1263,Y1050)</f>
        <v>13687733.504166668</v>
      </c>
      <c r="X1050" s="156"/>
      <c r="Y1050" s="918">
        <f t="shared" si="70"/>
        <v>1041</v>
      </c>
      <c r="AA1050" s="9">
        <v>1593376.7183189739</v>
      </c>
      <c r="AC1050" s="9">
        <f t="shared" si="71"/>
        <v>12094356.785847694</v>
      </c>
      <c r="AE1050" s="44">
        <f t="shared" si="72"/>
        <v>7.5903938138416782</v>
      </c>
    </row>
    <row r="1051" spans="2:31">
      <c r="B1051" s="49"/>
      <c r="C1051" s="49"/>
      <c r="D1051" s="49" t="s">
        <v>584</v>
      </c>
      <c r="E1051" s="9">
        <f>+G1051-Adjustments!G1048</f>
        <v>2213814.0904166624</v>
      </c>
      <c r="F1051" s="9">
        <f>'Rate Base'!$T$100</f>
        <v>39749385.780000001</v>
      </c>
      <c r="G1051" s="9">
        <f>+Adjustments!U1032</f>
        <v>2213814.0904166624</v>
      </c>
      <c r="H1051" s="9"/>
      <c r="I1051" s="9">
        <f t="shared" si="73"/>
        <v>41963199.870416664</v>
      </c>
      <c r="J1051" s="9">
        <f>+I1051-'ROR-Model'!I1051</f>
        <v>0</v>
      </c>
      <c r="K1051" s="9"/>
      <c r="L1051" s="9" t="s">
        <v>458</v>
      </c>
      <c r="M1051" s="9">
        <f>VLOOKUP($L1051,$L$2:$N$7,2,FALSE)*I1051</f>
        <v>40594417.062843978</v>
      </c>
      <c r="N1051" s="9">
        <f>VLOOKUP($L1051,$L$2:$N$7,3,FALSE)*I1051</f>
        <v>1368782.807572678</v>
      </c>
      <c r="O1051" s="136"/>
      <c r="P1051" s="216" t="s">
        <v>549</v>
      </c>
      <c r="Q1051" s="9">
        <f>IF(P1051="G",M1051,IF(P1051="PT",0,ERR))</f>
        <v>40594417.062843978</v>
      </c>
      <c r="R1051" s="9">
        <f>IF(P1051="PT",M1051,IF(P1051="G",0,ERR))</f>
        <v>0</v>
      </c>
      <c r="S1051" s="142" t="s">
        <v>549</v>
      </c>
      <c r="T1051" s="9">
        <f>IF(S1051="G",N1051,IF(S1051="PT",0,ERR))</f>
        <v>1368782.807572678</v>
      </c>
      <c r="U1051" s="9">
        <f>IF(S1051="PT",N1051,IF(S1051="G",0,ERR))</f>
        <v>0</v>
      </c>
      <c r="V1051" s="52"/>
      <c r="W1051" s="9">
        <f>HLOOKUP($W$9,'ROR-Model'!$Q$10:$U$1263,Y1051)</f>
        <v>40594417.062843978</v>
      </c>
      <c r="X1051" s="156"/>
      <c r="Y1051" s="918">
        <f t="shared" si="70"/>
        <v>1042</v>
      </c>
      <c r="AA1051" s="9">
        <v>1872833.078318974</v>
      </c>
      <c r="AC1051" s="9">
        <f t="shared" si="71"/>
        <v>38721583.984525003</v>
      </c>
      <c r="AE1051" s="44">
        <f t="shared" si="72"/>
        <v>20.675405850520804</v>
      </c>
    </row>
    <row r="1052" spans="2:31">
      <c r="B1052" s="49"/>
      <c r="C1052" s="49"/>
      <c r="D1052" s="49" t="s">
        <v>160</v>
      </c>
      <c r="E1052" s="9">
        <f>+G1052-Adjustments!G1049</f>
        <v>3224899.4320833236</v>
      </c>
      <c r="F1052" s="9">
        <f>'Rate Base'!$T$101</f>
        <v>52598710.680000007</v>
      </c>
      <c r="G1052" s="9">
        <f>+Adjustments!U1033</f>
        <v>3224899.4320833236</v>
      </c>
      <c r="H1052" s="9"/>
      <c r="I1052" s="9">
        <f t="shared" si="73"/>
        <v>55823610.112083331</v>
      </c>
      <c r="J1052" s="9">
        <f>+I1052-'ROR-Model'!I1052</f>
        <v>0</v>
      </c>
      <c r="K1052" s="9"/>
      <c r="L1052" s="9" t="s">
        <v>160</v>
      </c>
      <c r="M1052" s="9">
        <f>SUM(M1049:M1051)</f>
        <v>54282150.567010649</v>
      </c>
      <c r="N1052" s="9">
        <f>SUM(N1049:N1051)</f>
        <v>1541459.545072678</v>
      </c>
      <c r="O1052" s="136"/>
      <c r="P1052" s="216" t="s">
        <v>549</v>
      </c>
      <c r="Q1052" s="9">
        <f>IF(P1052="G",M1052,IF(P1052="PT",0,ERR))</f>
        <v>54282150.567010649</v>
      </c>
      <c r="R1052" s="9">
        <f>IF(P1052="PT",M1052,IF(P1052="G",0,ERR))</f>
        <v>0</v>
      </c>
      <c r="S1052" s="142" t="s">
        <v>549</v>
      </c>
      <c r="T1052" s="9">
        <f>IF(S1052="G",N1052,IF(S1052="PT",0,ERR))</f>
        <v>1541459.545072678</v>
      </c>
      <c r="U1052" s="9">
        <f>IF(S1052="PT",N1052,IF(S1052="G",0,ERR))</f>
        <v>0</v>
      </c>
      <c r="V1052" s="52"/>
      <c r="W1052" s="9">
        <f>HLOOKUP($W$9,'ROR-Model'!$Q$10:$U$1263,Y1052)</f>
        <v>54282150.567010649</v>
      </c>
      <c r="X1052" s="156"/>
      <c r="Y1052" s="918">
        <f t="shared" si="70"/>
        <v>1043</v>
      </c>
      <c r="AA1052" s="9"/>
      <c r="AC1052" s="9" t="str">
        <f t="shared" si="71"/>
        <v/>
      </c>
      <c r="AE1052" s="44" t="str">
        <f t="shared" si="72"/>
        <v/>
      </c>
    </row>
    <row r="1053" spans="2:31">
      <c r="B1053" s="49"/>
      <c r="C1053" s="49"/>
      <c r="D1053" s="49"/>
      <c r="E1053" s="9">
        <f>+G1053-Adjustments!G1050</f>
        <v>0</v>
      </c>
      <c r="F1053" s="9"/>
      <c r="G1053" s="9"/>
      <c r="H1053" s="9"/>
      <c r="I1053" s="9"/>
      <c r="J1053" s="9">
        <f>+I1053-'ROR-Model'!I1053</f>
        <v>0</v>
      </c>
      <c r="K1053" s="9"/>
      <c r="L1053" s="9"/>
      <c r="M1053" s="9"/>
      <c r="N1053" s="9"/>
      <c r="O1053" s="136"/>
      <c r="P1053" s="216"/>
      <c r="Q1053" s="9"/>
      <c r="R1053" s="9"/>
      <c r="S1053" s="142"/>
      <c r="T1053" s="9"/>
      <c r="U1053" s="9"/>
      <c r="V1053" s="52"/>
      <c r="W1053" s="9"/>
      <c r="X1053" s="156"/>
      <c r="Y1053" s="918">
        <f t="shared" si="70"/>
        <v>1044</v>
      </c>
      <c r="AA1053" s="9"/>
      <c r="AC1053" s="9" t="str">
        <f t="shared" si="71"/>
        <v/>
      </c>
      <c r="AE1053" s="44" t="str">
        <f t="shared" si="72"/>
        <v/>
      </c>
    </row>
    <row r="1054" spans="2:31">
      <c r="B1054" s="49" t="s">
        <v>248</v>
      </c>
      <c r="C1054" s="49" t="s">
        <v>249</v>
      </c>
      <c r="D1054" s="49"/>
      <c r="E1054" s="9">
        <f>+G1054-Adjustments!G1051</f>
        <v>0</v>
      </c>
      <c r="F1054" s="9">
        <f>'Rate Base'!$T$107</f>
        <v>52931918.189999998</v>
      </c>
      <c r="G1054" s="9">
        <f>+Adjustments!U1035</f>
        <v>0</v>
      </c>
      <c r="H1054" s="9"/>
      <c r="I1054" s="9">
        <f t="shared" si="73"/>
        <v>52931918.189999998</v>
      </c>
      <c r="J1054" s="9">
        <f>+I1054-'ROR-Model'!I1054</f>
        <v>0</v>
      </c>
      <c r="K1054" s="9"/>
      <c r="L1054" s="9"/>
      <c r="M1054" s="9"/>
      <c r="N1054" s="9"/>
      <c r="O1054" s="136"/>
      <c r="P1054" s="216"/>
      <c r="Q1054" s="9"/>
      <c r="R1054" s="9"/>
      <c r="S1054" s="142"/>
      <c r="T1054" s="9"/>
      <c r="U1054" s="9"/>
      <c r="V1054" s="52"/>
      <c r="W1054" s="9"/>
      <c r="X1054" s="156"/>
      <c r="Y1054" s="918">
        <f t="shared" si="70"/>
        <v>1045</v>
      </c>
      <c r="AA1054" s="9">
        <v>195516.49999999994</v>
      </c>
      <c r="AC1054" s="9">
        <f t="shared" si="71"/>
        <v>-195516.49999999994</v>
      </c>
      <c r="AE1054" s="44">
        <f t="shared" si="72"/>
        <v>-1</v>
      </c>
    </row>
    <row r="1055" spans="2:31">
      <c r="B1055" s="49"/>
      <c r="C1055" s="49"/>
      <c r="D1055" s="49" t="s">
        <v>24</v>
      </c>
      <c r="E1055" s="9">
        <f>+G1055-Adjustments!G1052</f>
        <v>-68781.554166667163</v>
      </c>
      <c r="F1055" s="9">
        <f>'Rate Base'!$T$104</f>
        <v>2941469.68</v>
      </c>
      <c r="G1055" s="9">
        <f>+Adjustments!U1036</f>
        <v>-68781.554166667163</v>
      </c>
      <c r="H1055" s="9"/>
      <c r="I1055" s="9">
        <f t="shared" si="73"/>
        <v>2872688.125833333</v>
      </c>
      <c r="J1055" s="9">
        <f>+I1055-'ROR-Model'!I1055</f>
        <v>0</v>
      </c>
      <c r="K1055" s="9"/>
      <c r="L1055" s="9" t="s">
        <v>24</v>
      </c>
      <c r="M1055" s="9">
        <f>VLOOKUP($L1055,$L$2:$N$7,2,FALSE)*I1055</f>
        <v>0</v>
      </c>
      <c r="N1055" s="9">
        <f>VLOOKUP($L1055,$L$2:$N$7,3,FALSE)*I1055</f>
        <v>2872688.125833333</v>
      </c>
      <c r="O1055" s="136"/>
      <c r="P1055" s="216" t="s">
        <v>549</v>
      </c>
      <c r="Q1055" s="9">
        <f>IF(P1055="G",M1055,IF(P1055="PT",0,ERR))</f>
        <v>0</v>
      </c>
      <c r="R1055" s="9">
        <f>IF(P1055="PT",M1055,IF(P1055="G",0,ERR))</f>
        <v>0</v>
      </c>
      <c r="S1055" s="142" t="s">
        <v>549</v>
      </c>
      <c r="T1055" s="9">
        <f>IF(S1055="G",N1055,IF(S1055="PT",0,ERR))</f>
        <v>2872688.125833333</v>
      </c>
      <c r="U1055" s="9">
        <f>IF(S1055="PT",N1055,IF(S1055="G",0,ERR))</f>
        <v>0</v>
      </c>
      <c r="V1055" s="52"/>
      <c r="W1055" s="9">
        <f>HLOOKUP($W$9,'ROR-Model'!$Q$10:$U$1263,Y1055)</f>
        <v>0</v>
      </c>
      <c r="X1055" s="156"/>
      <c r="Y1055" s="918">
        <f t="shared" si="70"/>
        <v>1046</v>
      </c>
      <c r="AA1055" s="9">
        <v>0</v>
      </c>
      <c r="AC1055" s="9" t="str">
        <f t="shared" si="71"/>
        <v/>
      </c>
      <c r="AE1055" s="44" t="str">
        <f t="shared" si="72"/>
        <v/>
      </c>
    </row>
    <row r="1056" spans="2:31">
      <c r="B1056" s="49"/>
      <c r="C1056" s="49"/>
      <c r="D1056" s="49" t="s">
        <v>13</v>
      </c>
      <c r="E1056" s="9">
        <f>+G1056-Adjustments!G1053</f>
        <v>-198334.15458333492</v>
      </c>
      <c r="F1056" s="9">
        <f>'Rate Base'!$T$105</f>
        <v>49990448.509999998</v>
      </c>
      <c r="G1056" s="9">
        <f>+Adjustments!U1037</f>
        <v>-198334.15458333492</v>
      </c>
      <c r="H1056" s="9"/>
      <c r="I1056" s="9">
        <f t="shared" si="73"/>
        <v>49792114.355416663</v>
      </c>
      <c r="J1056" s="9">
        <f>+I1056-'ROR-Model'!I1056</f>
        <v>0</v>
      </c>
      <c r="K1056" s="9"/>
      <c r="L1056" s="9" t="s">
        <v>13</v>
      </c>
      <c r="M1056" s="9">
        <f>VLOOKUP($L1056,$L$2:$N$7,2,FALSE)*I1056</f>
        <v>49792114.355416663</v>
      </c>
      <c r="N1056" s="9">
        <f>VLOOKUP($L1056,$L$2:$N$7,3,FALSE)*I1056</f>
        <v>0</v>
      </c>
      <c r="O1056" s="136"/>
      <c r="P1056" s="216" t="s">
        <v>549</v>
      </c>
      <c r="Q1056" s="9">
        <f>IF(P1056="G",M1056,IF(P1056="PT",0,ERR))</f>
        <v>49792114.355416663</v>
      </c>
      <c r="R1056" s="9">
        <f>IF(P1056="PT",M1056,IF(P1056="G",0,ERR))</f>
        <v>0</v>
      </c>
      <c r="S1056" s="142" t="s">
        <v>549</v>
      </c>
      <c r="T1056" s="9">
        <f>IF(S1056="G",N1056,IF(S1056="PT",0,ERR))</f>
        <v>0</v>
      </c>
      <c r="U1056" s="9">
        <f>IF(S1056="PT",N1056,IF(S1056="G",0,ERR))</f>
        <v>0</v>
      </c>
      <c r="V1056" s="52"/>
      <c r="W1056" s="9">
        <f>HLOOKUP($W$9,'ROR-Model'!$Q$10:$U$1263,Y1056)</f>
        <v>49792114.355416663</v>
      </c>
      <c r="X1056" s="156"/>
      <c r="Y1056" s="918">
        <f t="shared" si="70"/>
        <v>1047</v>
      </c>
      <c r="AA1056" s="9">
        <v>1852986.0562490041</v>
      </c>
      <c r="AC1056" s="9">
        <f t="shared" si="71"/>
        <v>47939128.299167655</v>
      </c>
      <c r="AE1056" s="44">
        <f t="shared" si="72"/>
        <v>25.871283886620677</v>
      </c>
    </row>
    <row r="1057" spans="2:31">
      <c r="B1057" s="49"/>
      <c r="C1057" s="49"/>
      <c r="D1057" s="49" t="s">
        <v>584</v>
      </c>
      <c r="E1057" s="9">
        <f>+G1057-Adjustments!G1054</f>
        <v>0</v>
      </c>
      <c r="F1057" s="9">
        <f>'Rate Base'!$T$106</f>
        <v>0</v>
      </c>
      <c r="G1057" s="9">
        <f>+Adjustments!U1038</f>
        <v>0</v>
      </c>
      <c r="H1057" s="9"/>
      <c r="I1057" s="9">
        <f t="shared" si="73"/>
        <v>0</v>
      </c>
      <c r="J1057" s="9">
        <f>+I1057-'ROR-Model'!I1057</f>
        <v>0</v>
      </c>
      <c r="K1057" s="9"/>
      <c r="L1057" s="9" t="s">
        <v>458</v>
      </c>
      <c r="M1057" s="9">
        <f>VLOOKUP($L1057,$L$2:$N$7,2,FALSE)*I1057</f>
        <v>0</v>
      </c>
      <c r="N1057" s="9">
        <f>VLOOKUP($L1057,$L$2:$N$7,3,FALSE)*I1057</f>
        <v>0</v>
      </c>
      <c r="O1057" s="136"/>
      <c r="P1057" s="216" t="s">
        <v>549</v>
      </c>
      <c r="Q1057" s="9">
        <f>IF(P1057="G",M1057,IF(P1057="PT",0,ERR))</f>
        <v>0</v>
      </c>
      <c r="R1057" s="9">
        <f>IF(P1057="PT",M1057,IF(P1057="G",0,ERR))</f>
        <v>0</v>
      </c>
      <c r="S1057" s="142" t="s">
        <v>549</v>
      </c>
      <c r="T1057" s="9">
        <f>IF(S1057="G",N1057,IF(S1057="PT",0,ERR))</f>
        <v>0</v>
      </c>
      <c r="U1057" s="9">
        <f>IF(S1057="PT",N1057,IF(S1057="G",0,ERR))</f>
        <v>0</v>
      </c>
      <c r="V1057" s="52"/>
      <c r="W1057" s="9">
        <f>HLOOKUP($W$9,'ROR-Model'!$Q$10:$U$1263,Y1057)</f>
        <v>0</v>
      </c>
      <c r="X1057" s="156"/>
      <c r="Y1057" s="918">
        <f t="shared" si="70"/>
        <v>1048</v>
      </c>
      <c r="AA1057" s="9">
        <v>2048502.5562490041</v>
      </c>
      <c r="AC1057" s="9">
        <f t="shared" si="71"/>
        <v>-2048502.5562490041</v>
      </c>
      <c r="AE1057" s="44">
        <f t="shared" si="72"/>
        <v>-1</v>
      </c>
    </row>
    <row r="1058" spans="2:31">
      <c r="B1058" s="49"/>
      <c r="C1058" s="49"/>
      <c r="D1058" s="49" t="s">
        <v>160</v>
      </c>
      <c r="E1058" s="9">
        <f>+G1058-Adjustments!G1055</f>
        <v>-267115.70875000209</v>
      </c>
      <c r="F1058" s="9">
        <f>'Rate Base'!$T$107</f>
        <v>52931918.189999998</v>
      </c>
      <c r="G1058" s="9">
        <f>+Adjustments!U1039</f>
        <v>-267115.70875000209</v>
      </c>
      <c r="H1058" s="9"/>
      <c r="I1058" s="9">
        <f t="shared" si="73"/>
        <v>52664802.481249996</v>
      </c>
      <c r="J1058" s="9">
        <f>+I1058-'ROR-Model'!I1058</f>
        <v>0</v>
      </c>
      <c r="K1058" s="9"/>
      <c r="L1058" s="9" t="s">
        <v>160</v>
      </c>
      <c r="M1058" s="9">
        <f>SUM(M1055:M1057)</f>
        <v>49792114.355416663</v>
      </c>
      <c r="N1058" s="9">
        <f>SUM(N1055:N1057)</f>
        <v>2872688.125833333</v>
      </c>
      <c r="O1058" s="136"/>
      <c r="P1058" s="216" t="s">
        <v>549</v>
      </c>
      <c r="Q1058" s="9">
        <f>IF(P1058="G",M1058,IF(P1058="PT",0,ERR))</f>
        <v>49792114.355416663</v>
      </c>
      <c r="R1058" s="9">
        <f>IF(P1058="PT",M1058,IF(P1058="G",0,ERR))</f>
        <v>0</v>
      </c>
      <c r="S1058" s="142" t="s">
        <v>549</v>
      </c>
      <c r="T1058" s="9">
        <f>IF(S1058="G",N1058,IF(S1058="PT",0,ERR))</f>
        <v>2872688.125833333</v>
      </c>
      <c r="U1058" s="9">
        <f>IF(S1058="PT",N1058,IF(S1058="G",0,ERR))</f>
        <v>0</v>
      </c>
      <c r="V1058" s="52"/>
      <c r="W1058" s="9">
        <f>HLOOKUP($W$9,'ROR-Model'!$Q$10:$U$1263,Y1058)</f>
        <v>49792114.355416663</v>
      </c>
      <c r="X1058" s="156"/>
      <c r="Y1058" s="918">
        <f t="shared" si="70"/>
        <v>1049</v>
      </c>
      <c r="AA1058" s="9"/>
      <c r="AC1058" s="9" t="str">
        <f t="shared" si="71"/>
        <v/>
      </c>
      <c r="AE1058" s="44" t="str">
        <f t="shared" si="72"/>
        <v/>
      </c>
    </row>
    <row r="1059" spans="2:31">
      <c r="B1059" s="49"/>
      <c r="C1059" s="49"/>
      <c r="D1059" s="49"/>
      <c r="E1059" s="9">
        <f>+G1059-Adjustments!G1056</f>
        <v>0</v>
      </c>
      <c r="F1059" s="9"/>
      <c r="G1059" s="9"/>
      <c r="H1059" s="9"/>
      <c r="I1059" s="9"/>
      <c r="J1059" s="9">
        <f>+I1059-'ROR-Model'!I1059</f>
        <v>0</v>
      </c>
      <c r="K1059" s="9"/>
      <c r="L1059" s="9"/>
      <c r="M1059" s="9"/>
      <c r="N1059" s="9"/>
      <c r="O1059" s="136"/>
      <c r="P1059" s="216"/>
      <c r="Q1059" s="9"/>
      <c r="R1059" s="9"/>
      <c r="S1059" s="142"/>
      <c r="T1059" s="9"/>
      <c r="U1059" s="9"/>
      <c r="V1059" s="52"/>
      <c r="W1059" s="9"/>
      <c r="X1059" s="156"/>
      <c r="Y1059" s="918">
        <f t="shared" si="70"/>
        <v>1050</v>
      </c>
      <c r="AA1059" s="9"/>
      <c r="AC1059" s="9" t="str">
        <f t="shared" si="71"/>
        <v/>
      </c>
      <c r="AE1059" s="44" t="str">
        <f t="shared" si="72"/>
        <v/>
      </c>
    </row>
    <row r="1060" spans="2:31">
      <c r="B1060" s="49" t="s">
        <v>250</v>
      </c>
      <c r="C1060" s="49" t="s">
        <v>251</v>
      </c>
      <c r="D1060" s="49"/>
      <c r="E1060" s="9">
        <f>+G1060-Adjustments!G1057</f>
        <v>0</v>
      </c>
      <c r="F1060" s="9"/>
      <c r="G1060" s="9"/>
      <c r="H1060" s="9"/>
      <c r="I1060" s="9"/>
      <c r="J1060" s="9">
        <f>+I1060-'ROR-Model'!I1060</f>
        <v>0</v>
      </c>
      <c r="K1060" s="9"/>
      <c r="L1060" s="9"/>
      <c r="M1060" s="9"/>
      <c r="N1060" s="9"/>
      <c r="O1060" s="136"/>
      <c r="P1060" s="216"/>
      <c r="Q1060" s="9"/>
      <c r="R1060" s="9"/>
      <c r="S1060" s="142"/>
      <c r="T1060" s="9"/>
      <c r="U1060" s="9"/>
      <c r="V1060" s="52"/>
      <c r="W1060" s="9"/>
      <c r="X1060" s="156"/>
      <c r="Y1060" s="918">
        <f t="shared" si="70"/>
        <v>1051</v>
      </c>
      <c r="AA1060" s="9">
        <v>2377237.63</v>
      </c>
      <c r="AC1060" s="9">
        <f t="shared" si="71"/>
        <v>-2377237.63</v>
      </c>
      <c r="AE1060" s="44">
        <f t="shared" si="72"/>
        <v>-1</v>
      </c>
    </row>
    <row r="1061" spans="2:31">
      <c r="B1061" s="49"/>
      <c r="C1061" s="49"/>
      <c r="D1061" s="49" t="s">
        <v>24</v>
      </c>
      <c r="E1061" s="9">
        <f>+G1061-Adjustments!G1058</f>
        <v>0</v>
      </c>
      <c r="F1061" s="9">
        <f>'Rate Base'!$T$110</f>
        <v>12371.89</v>
      </c>
      <c r="G1061" s="9">
        <f>+Adjustments!U1042</f>
        <v>0</v>
      </c>
      <c r="H1061" s="9"/>
      <c r="I1061" s="9">
        <f t="shared" si="73"/>
        <v>12371.89</v>
      </c>
      <c r="J1061" s="9">
        <f>+I1061-'ROR-Model'!I1061</f>
        <v>0</v>
      </c>
      <c r="K1061" s="9"/>
      <c r="L1061" s="9" t="s">
        <v>24</v>
      </c>
      <c r="M1061" s="9">
        <f>VLOOKUP($L1061,$L$2:$N$7,2,FALSE)*I1061</f>
        <v>0</v>
      </c>
      <c r="N1061" s="9">
        <f>VLOOKUP($L1061,$L$2:$N$7,3,FALSE)*I1061</f>
        <v>12371.89</v>
      </c>
      <c r="O1061" s="136"/>
      <c r="P1061" s="216" t="s">
        <v>549</v>
      </c>
      <c r="Q1061" s="9">
        <f>IF(P1061="G",M1061,IF(P1061="PT",0,ERR))</f>
        <v>0</v>
      </c>
      <c r="R1061" s="9">
        <f>IF(P1061="PT",M1061,IF(P1061="G",0,ERR))</f>
        <v>0</v>
      </c>
      <c r="S1061" s="142" t="s">
        <v>549</v>
      </c>
      <c r="T1061" s="9">
        <f>IF(S1061="G",N1061,IF(S1061="PT",0,ERR))</f>
        <v>12371.89</v>
      </c>
      <c r="U1061" s="9">
        <f>IF(S1061="PT",N1061,IF(S1061="G",0,ERR))</f>
        <v>0</v>
      </c>
      <c r="V1061" s="52"/>
      <c r="W1061" s="9">
        <f>HLOOKUP($W$9,'ROR-Model'!$Q$10:$U$1263,Y1061)</f>
        <v>0</v>
      </c>
      <c r="X1061" s="156"/>
      <c r="Y1061" s="918">
        <f t="shared" si="70"/>
        <v>1052</v>
      </c>
      <c r="AA1061" s="9">
        <v>0</v>
      </c>
      <c r="AC1061" s="9" t="str">
        <f t="shared" si="71"/>
        <v/>
      </c>
      <c r="AE1061" s="44" t="str">
        <f t="shared" si="72"/>
        <v/>
      </c>
    </row>
    <row r="1062" spans="2:31">
      <c r="B1062" s="49"/>
      <c r="C1062" s="49"/>
      <c r="D1062" s="49" t="s">
        <v>13</v>
      </c>
      <c r="E1062" s="9">
        <f>+G1062-Adjustments!G1059</f>
        <v>0</v>
      </c>
      <c r="F1062" s="9">
        <f>'Rate Base'!$T$111</f>
        <v>45026.020000000004</v>
      </c>
      <c r="G1062" s="9">
        <f>+Adjustments!U1043</f>
        <v>0</v>
      </c>
      <c r="H1062" s="9"/>
      <c r="I1062" s="9">
        <f t="shared" si="73"/>
        <v>45026.020000000004</v>
      </c>
      <c r="J1062" s="9">
        <f>+I1062-'ROR-Model'!I1062</f>
        <v>0</v>
      </c>
      <c r="K1062" s="9"/>
      <c r="L1062" s="9" t="s">
        <v>13</v>
      </c>
      <c r="M1062" s="9">
        <f>VLOOKUP($L1062,$L$2:$N$7,2,FALSE)*I1062</f>
        <v>45026.020000000004</v>
      </c>
      <c r="N1062" s="9">
        <f>VLOOKUP($L1062,$L$2:$N$7,3,FALSE)*I1062</f>
        <v>0</v>
      </c>
      <c r="O1062" s="136"/>
      <c r="P1062" s="216" t="s">
        <v>549</v>
      </c>
      <c r="Q1062" s="9">
        <f>IF(P1062="G",M1062,IF(P1062="PT",0,ERR))</f>
        <v>45026.020000000004</v>
      </c>
      <c r="R1062" s="9">
        <f>IF(P1062="PT",M1062,IF(P1062="G",0,ERR))</f>
        <v>0</v>
      </c>
      <c r="S1062" s="142" t="s">
        <v>549</v>
      </c>
      <c r="T1062" s="9">
        <f>IF(S1062="G",N1062,IF(S1062="PT",0,ERR))</f>
        <v>0</v>
      </c>
      <c r="U1062" s="9">
        <f>IF(S1062="PT",N1062,IF(S1062="G",0,ERR))</f>
        <v>0</v>
      </c>
      <c r="V1062" s="52"/>
      <c r="W1062" s="9">
        <f>HLOOKUP($W$9,'ROR-Model'!$Q$10:$U$1263,Y1062)</f>
        <v>45026.020000000004</v>
      </c>
      <c r="X1062" s="156"/>
      <c r="Y1062" s="918">
        <f t="shared" si="70"/>
        <v>1053</v>
      </c>
      <c r="AA1062" s="9">
        <v>0</v>
      </c>
      <c r="AC1062" s="9" t="str">
        <f t="shared" si="71"/>
        <v/>
      </c>
      <c r="AE1062" s="44" t="str">
        <f t="shared" si="72"/>
        <v/>
      </c>
    </row>
    <row r="1063" spans="2:31">
      <c r="B1063" s="49"/>
      <c r="C1063" s="49"/>
      <c r="D1063" s="49" t="s">
        <v>160</v>
      </c>
      <c r="E1063" s="9">
        <f>+G1063-Adjustments!G1060</f>
        <v>0</v>
      </c>
      <c r="F1063" s="9">
        <f>'Rate Base'!$T$112</f>
        <v>57397.91</v>
      </c>
      <c r="G1063" s="9">
        <f>+Adjustments!U1044</f>
        <v>0</v>
      </c>
      <c r="H1063" s="9"/>
      <c r="I1063" s="9">
        <f t="shared" si="73"/>
        <v>57397.91</v>
      </c>
      <c r="J1063" s="9">
        <f>+I1063-'ROR-Model'!I1063</f>
        <v>0</v>
      </c>
      <c r="K1063" s="9"/>
      <c r="L1063" s="9" t="s">
        <v>160</v>
      </c>
      <c r="M1063" s="9">
        <f>SUM(M1061:M1062)</f>
        <v>45026.020000000004</v>
      </c>
      <c r="N1063" s="9">
        <f>SUM(N1061:N1062)</f>
        <v>12371.89</v>
      </c>
      <c r="O1063" s="136"/>
      <c r="P1063" s="216" t="s">
        <v>549</v>
      </c>
      <c r="Q1063" s="9">
        <f>IF(P1063="G",M1063,IF(P1063="PT",0,ERR))</f>
        <v>45026.020000000004</v>
      </c>
      <c r="R1063" s="9">
        <f>IF(P1063="PT",M1063,IF(P1063="G",0,ERR))</f>
        <v>0</v>
      </c>
      <c r="S1063" s="142" t="s">
        <v>549</v>
      </c>
      <c r="T1063" s="9">
        <f>IF(S1063="G",N1063,IF(S1063="PT",0,ERR))</f>
        <v>12371.89</v>
      </c>
      <c r="U1063" s="9">
        <f>IF(S1063="PT",N1063,IF(S1063="G",0,ERR))</f>
        <v>0</v>
      </c>
      <c r="V1063" s="52"/>
      <c r="W1063" s="9">
        <f>HLOOKUP($W$9,'ROR-Model'!$Q$10:$U$1263,Y1063)</f>
        <v>45026.020000000004</v>
      </c>
      <c r="X1063" s="156"/>
      <c r="Y1063" s="918">
        <f t="shared" si="70"/>
        <v>1054</v>
      </c>
      <c r="AA1063" s="9">
        <v>2377237.63</v>
      </c>
      <c r="AC1063" s="9">
        <f t="shared" si="71"/>
        <v>-2332211.61</v>
      </c>
      <c r="AE1063" s="44">
        <f t="shared" si="72"/>
        <v>-0.98105952075140257</v>
      </c>
    </row>
    <row r="1064" spans="2:31">
      <c r="B1064" s="49"/>
      <c r="C1064" s="49"/>
      <c r="D1064" s="49"/>
      <c r="E1064" s="9">
        <f>+G1064-Adjustments!G1061</f>
        <v>0</v>
      </c>
      <c r="F1064" s="9"/>
      <c r="G1064" s="9"/>
      <c r="H1064" s="9"/>
      <c r="I1064" s="9"/>
      <c r="J1064" s="9">
        <f>+I1064-'ROR-Model'!I1064</f>
        <v>0</v>
      </c>
      <c r="K1064" s="9"/>
      <c r="L1064" s="9"/>
      <c r="M1064" s="9"/>
      <c r="N1064" s="9"/>
      <c r="O1064" s="136"/>
      <c r="P1064" s="216"/>
      <c r="Q1064" s="9"/>
      <c r="R1064" s="9"/>
      <c r="S1064" s="142"/>
      <c r="T1064" s="9"/>
      <c r="U1064" s="9"/>
      <c r="V1064" s="52"/>
      <c r="W1064" s="9"/>
      <c r="X1064" s="156"/>
      <c r="Y1064" s="918">
        <f t="shared" si="70"/>
        <v>1055</v>
      </c>
      <c r="AA1064" s="9"/>
      <c r="AC1064" s="9" t="str">
        <f t="shared" si="71"/>
        <v/>
      </c>
      <c r="AE1064" s="44" t="str">
        <f t="shared" si="72"/>
        <v/>
      </c>
    </row>
    <row r="1065" spans="2:31">
      <c r="B1065" s="49" t="s">
        <v>252</v>
      </c>
      <c r="C1065" s="49" t="s">
        <v>253</v>
      </c>
      <c r="D1065" s="49"/>
      <c r="E1065" s="9">
        <f>+G1065-Adjustments!G1062</f>
        <v>0</v>
      </c>
      <c r="F1065" s="9"/>
      <c r="G1065" s="9"/>
      <c r="H1065" s="9"/>
      <c r="I1065" s="9"/>
      <c r="J1065" s="9">
        <f>+I1065-'ROR-Model'!I1065</f>
        <v>0</v>
      </c>
      <c r="K1065" s="9"/>
      <c r="L1065" s="9"/>
      <c r="M1065" s="9"/>
      <c r="N1065" s="9"/>
      <c r="O1065" s="136"/>
      <c r="P1065" s="216"/>
      <c r="Q1065" s="9"/>
      <c r="R1065" s="9"/>
      <c r="S1065" s="142"/>
      <c r="T1065" s="9"/>
      <c r="U1065" s="9"/>
      <c r="V1065" s="52"/>
      <c r="W1065" s="9"/>
      <c r="X1065" s="156"/>
      <c r="Y1065" s="918">
        <f t="shared" si="70"/>
        <v>1056</v>
      </c>
      <c r="AA1065" s="9"/>
      <c r="AC1065" s="9" t="str">
        <f t="shared" si="71"/>
        <v/>
      </c>
      <c r="AE1065" s="44" t="str">
        <f t="shared" si="72"/>
        <v/>
      </c>
    </row>
    <row r="1066" spans="2:31">
      <c r="B1066" s="49"/>
      <c r="C1066" s="49"/>
      <c r="D1066" s="49" t="s">
        <v>24</v>
      </c>
      <c r="E1066" s="9">
        <f>+G1066-Adjustments!G1063</f>
        <v>81956.826249999925</v>
      </c>
      <c r="F1066" s="9">
        <f>'Rate Base'!$T$115</f>
        <v>2395252.1300000004</v>
      </c>
      <c r="G1066" s="9">
        <f>+Adjustments!U1047</f>
        <v>81956.826249999925</v>
      </c>
      <c r="H1066" s="9"/>
      <c r="I1066" s="9">
        <f t="shared" si="73"/>
        <v>2477208.9562500003</v>
      </c>
      <c r="J1066" s="9">
        <f>+I1066-'ROR-Model'!I1066</f>
        <v>0</v>
      </c>
      <c r="K1066" s="9"/>
      <c r="L1066" s="9" t="s">
        <v>24</v>
      </c>
      <c r="M1066" s="9">
        <f>VLOOKUP($L1066,$L$2:$N$7,2,FALSE)*I1066</f>
        <v>0</v>
      </c>
      <c r="N1066" s="9">
        <f>VLOOKUP($L1066,$L$2:$N$7,3,FALSE)*I1066</f>
        <v>2477208.9562500003</v>
      </c>
      <c r="O1066" s="136"/>
      <c r="P1066" s="216" t="s">
        <v>549</v>
      </c>
      <c r="Q1066" s="9">
        <f>IF(P1066="G",M1066,IF(P1066="PT",0,ERR))</f>
        <v>0</v>
      </c>
      <c r="R1066" s="9">
        <f>IF(P1066="PT",M1066,IF(P1066="G",0,ERR))</f>
        <v>0</v>
      </c>
      <c r="S1066" s="142" t="s">
        <v>549</v>
      </c>
      <c r="T1066" s="9">
        <f>IF(S1066="G",N1066,IF(S1066="PT",0,ERR))</f>
        <v>2477208.9562500003</v>
      </c>
      <c r="U1066" s="9">
        <f>IF(S1066="PT",N1066,IF(S1066="G",0,ERR))</f>
        <v>0</v>
      </c>
      <c r="V1066" s="52"/>
      <c r="W1066" s="9">
        <f>HLOOKUP($W$9,'ROR-Model'!$Q$10:$U$1263,Y1066)</f>
        <v>0</v>
      </c>
      <c r="X1066" s="156"/>
      <c r="Y1066" s="918">
        <f t="shared" si="70"/>
        <v>1057</v>
      </c>
      <c r="AA1066" s="9">
        <v>12371.89</v>
      </c>
      <c r="AC1066" s="9">
        <f t="shared" si="71"/>
        <v>-12371.89</v>
      </c>
      <c r="AE1066" s="44">
        <f t="shared" si="72"/>
        <v>-1</v>
      </c>
    </row>
    <row r="1067" spans="2:31">
      <c r="B1067" s="49"/>
      <c r="C1067" s="49"/>
      <c r="D1067" s="49" t="s">
        <v>13</v>
      </c>
      <c r="E1067" s="9">
        <f>+G1067-Adjustments!G1064</f>
        <v>38140.487916663289</v>
      </c>
      <c r="F1067" s="9">
        <f>'Rate Base'!$T$116</f>
        <v>29287123.41</v>
      </c>
      <c r="G1067" s="9">
        <f>+Adjustments!U1048</f>
        <v>38140.487916663289</v>
      </c>
      <c r="H1067" s="9"/>
      <c r="I1067" s="9">
        <f t="shared" si="73"/>
        <v>29325263.897916663</v>
      </c>
      <c r="J1067" s="9">
        <f>+I1067-'ROR-Model'!I1067</f>
        <v>0</v>
      </c>
      <c r="K1067" s="9"/>
      <c r="L1067" s="9" t="s">
        <v>13</v>
      </c>
      <c r="M1067" s="9">
        <f>VLOOKUP($L1067,$L$2:$N$7,2,FALSE)*I1067</f>
        <v>29325263.897916663</v>
      </c>
      <c r="N1067" s="9">
        <f>VLOOKUP($L1067,$L$2:$N$7,3,FALSE)*I1067</f>
        <v>0</v>
      </c>
      <c r="O1067" s="136"/>
      <c r="P1067" s="216" t="s">
        <v>549</v>
      </c>
      <c r="Q1067" s="9">
        <f>IF(P1067="G",M1067,IF(P1067="PT",0,ERR))</f>
        <v>29325263.897916663</v>
      </c>
      <c r="R1067" s="9">
        <f>IF(P1067="PT",M1067,IF(P1067="G",0,ERR))</f>
        <v>0</v>
      </c>
      <c r="S1067" s="142" t="s">
        <v>549</v>
      </c>
      <c r="T1067" s="9">
        <f>IF(S1067="G",N1067,IF(S1067="PT",0,ERR))</f>
        <v>0</v>
      </c>
      <c r="U1067" s="9">
        <f>IF(S1067="PT",N1067,IF(S1067="G",0,ERR))</f>
        <v>0</v>
      </c>
      <c r="V1067" s="52"/>
      <c r="W1067" s="9">
        <f>HLOOKUP($W$9,'ROR-Model'!$Q$10:$U$1263,Y1067)</f>
        <v>29325263.897916663</v>
      </c>
      <c r="X1067" s="156"/>
      <c r="Y1067" s="918">
        <f t="shared" si="70"/>
        <v>1058</v>
      </c>
      <c r="AA1067" s="9">
        <v>0</v>
      </c>
      <c r="AC1067" s="9" t="str">
        <f t="shared" si="71"/>
        <v/>
      </c>
      <c r="AE1067" s="44" t="str">
        <f t="shared" si="72"/>
        <v/>
      </c>
    </row>
    <row r="1068" spans="2:31">
      <c r="B1068" s="49"/>
      <c r="C1068" s="49"/>
      <c r="D1068" s="49" t="s">
        <v>584</v>
      </c>
      <c r="E1068" s="9">
        <f>+G1068-Adjustments!G1065</f>
        <v>0</v>
      </c>
      <c r="F1068" s="9">
        <f>'Rate Base'!$T$117</f>
        <v>0</v>
      </c>
      <c r="G1068" s="9">
        <f>+Adjustments!U1049</f>
        <v>0</v>
      </c>
      <c r="H1068" s="9"/>
      <c r="I1068" s="9">
        <f t="shared" si="73"/>
        <v>0</v>
      </c>
      <c r="J1068" s="9">
        <f>+I1068-'ROR-Model'!I1068</f>
        <v>0</v>
      </c>
      <c r="K1068" s="9"/>
      <c r="L1068" s="9" t="s">
        <v>458</v>
      </c>
      <c r="M1068" s="9">
        <f>VLOOKUP($L1068,$L$2:$N$7,2,FALSE)*I1068</f>
        <v>0</v>
      </c>
      <c r="N1068" s="9">
        <f>VLOOKUP($L1068,$L$2:$N$7,3,FALSE)*I1068</f>
        <v>0</v>
      </c>
      <c r="O1068" s="136"/>
      <c r="P1068" s="216" t="s">
        <v>549</v>
      </c>
      <c r="Q1068" s="9">
        <f>IF(P1068="G",M1068,IF(P1068="PT",0,ERR))</f>
        <v>0</v>
      </c>
      <c r="R1068" s="9">
        <f>IF(P1068="PT",M1068,IF(P1068="G",0,ERR))</f>
        <v>0</v>
      </c>
      <c r="S1068" s="142" t="s">
        <v>549</v>
      </c>
      <c r="T1068" s="9">
        <f>IF(S1068="G",N1068,IF(S1068="PT",0,ERR))</f>
        <v>0</v>
      </c>
      <c r="U1068" s="9">
        <f>IF(S1068="PT",N1068,IF(S1068="G",0,ERR))</f>
        <v>0</v>
      </c>
      <c r="V1068" s="52"/>
      <c r="W1068" s="9">
        <f>HLOOKUP($W$9,'ROR-Model'!$Q$10:$U$1263,Y1068)</f>
        <v>0</v>
      </c>
      <c r="X1068" s="156"/>
      <c r="Y1068" s="918">
        <f t="shared" si="70"/>
        <v>1059</v>
      </c>
      <c r="AA1068" s="9">
        <v>12371.89</v>
      </c>
      <c r="AC1068" s="9">
        <f t="shared" si="71"/>
        <v>-12371.89</v>
      </c>
      <c r="AE1068" s="44">
        <f t="shared" si="72"/>
        <v>-1</v>
      </c>
    </row>
    <row r="1069" spans="2:31">
      <c r="B1069" s="49"/>
      <c r="C1069" s="49"/>
      <c r="D1069" s="49" t="s">
        <v>160</v>
      </c>
      <c r="E1069" s="9">
        <f>+G1069-Adjustments!G1066</f>
        <v>120097.31416666508</v>
      </c>
      <c r="F1069" s="9">
        <f>'Rate Base'!$T$118</f>
        <v>31682375.539999999</v>
      </c>
      <c r="G1069" s="9">
        <f>+Adjustments!U1050</f>
        <v>120097.31416666508</v>
      </c>
      <c r="H1069" s="9"/>
      <c r="I1069" s="9">
        <f t="shared" si="73"/>
        <v>31802472.854166664</v>
      </c>
      <c r="J1069" s="9">
        <f>+I1069-'ROR-Model'!I1069</f>
        <v>0</v>
      </c>
      <c r="K1069" s="9"/>
      <c r="L1069" s="9"/>
      <c r="M1069" s="9">
        <f>SUM(M1066:M1068)</f>
        <v>29325263.897916663</v>
      </c>
      <c r="N1069" s="9">
        <f>SUM(N1066:N1068)</f>
        <v>2477208.9562500003</v>
      </c>
      <c r="O1069" s="136"/>
      <c r="P1069" s="216" t="s">
        <v>549</v>
      </c>
      <c r="Q1069" s="9">
        <f>IF(P1069="G",M1069,IF(P1069="PT",0,ERR))</f>
        <v>29325263.897916663</v>
      </c>
      <c r="R1069" s="9">
        <f>IF(P1069="PT",M1069,IF(P1069="G",0,ERR))</f>
        <v>0</v>
      </c>
      <c r="S1069" s="142" t="s">
        <v>549</v>
      </c>
      <c r="T1069" s="9">
        <f>IF(S1069="G",N1069,IF(S1069="PT",0,ERR))</f>
        <v>2477208.9562500003</v>
      </c>
      <c r="U1069" s="9">
        <f>IF(S1069="PT",N1069,IF(S1069="G",0,ERR))</f>
        <v>0</v>
      </c>
      <c r="V1069" s="52"/>
      <c r="W1069" s="9">
        <f>HLOOKUP($W$9,'ROR-Model'!$Q$10:$U$1263,Y1069)</f>
        <v>29325263.897916663</v>
      </c>
      <c r="X1069" s="156"/>
      <c r="Y1069" s="918">
        <f t="shared" si="70"/>
        <v>1060</v>
      </c>
      <c r="AA1069" s="9"/>
      <c r="AC1069" s="9" t="str">
        <f t="shared" si="71"/>
        <v/>
      </c>
      <c r="AE1069" s="44" t="str">
        <f t="shared" si="72"/>
        <v/>
      </c>
    </row>
    <row r="1070" spans="2:31">
      <c r="B1070" s="49"/>
      <c r="C1070" s="49"/>
      <c r="D1070" s="49"/>
      <c r="E1070" s="9">
        <f>+G1070-Adjustments!G1067</f>
        <v>0</v>
      </c>
      <c r="F1070" s="9"/>
      <c r="G1070" s="9"/>
      <c r="H1070" s="9"/>
      <c r="I1070" s="9"/>
      <c r="J1070" s="9">
        <f>+I1070-'ROR-Model'!I1070</f>
        <v>0</v>
      </c>
      <c r="K1070" s="9"/>
      <c r="L1070" s="9"/>
      <c r="M1070" s="9"/>
      <c r="N1070" s="9"/>
      <c r="O1070" s="136"/>
      <c r="P1070" s="216"/>
      <c r="Q1070" s="9"/>
      <c r="R1070" s="9"/>
      <c r="S1070" s="142"/>
      <c r="T1070" s="9"/>
      <c r="U1070" s="9"/>
      <c r="V1070" s="52"/>
      <c r="W1070" s="9"/>
      <c r="X1070" s="156"/>
      <c r="Y1070" s="918">
        <f t="shared" si="70"/>
        <v>1061</v>
      </c>
      <c r="AA1070" s="9"/>
      <c r="AC1070" s="9" t="str">
        <f t="shared" si="71"/>
        <v/>
      </c>
      <c r="AE1070" s="44" t="str">
        <f t="shared" si="72"/>
        <v/>
      </c>
    </row>
    <row r="1071" spans="2:31">
      <c r="B1071" s="49" t="s">
        <v>254</v>
      </c>
      <c r="C1071" s="49" t="s">
        <v>255</v>
      </c>
      <c r="D1071" s="49"/>
      <c r="E1071" s="9">
        <f>+G1071-Adjustments!G1068</f>
        <v>0</v>
      </c>
      <c r="F1071" s="9"/>
      <c r="G1071" s="9"/>
      <c r="H1071" s="9"/>
      <c r="I1071" s="9"/>
      <c r="J1071" s="9">
        <f>+I1071-'ROR-Model'!I1071</f>
        <v>0</v>
      </c>
      <c r="K1071" s="9"/>
      <c r="L1071" s="9"/>
      <c r="M1071" s="9"/>
      <c r="N1071" s="9"/>
      <c r="O1071" s="136"/>
      <c r="P1071" s="216"/>
      <c r="Q1071" s="9"/>
      <c r="R1071" s="9"/>
      <c r="S1071" s="142"/>
      <c r="T1071" s="9"/>
      <c r="U1071" s="9"/>
      <c r="V1071" s="52"/>
      <c r="W1071" s="9"/>
      <c r="X1071" s="156"/>
      <c r="Y1071" s="918">
        <f t="shared" si="70"/>
        <v>1062</v>
      </c>
      <c r="AA1071" s="9">
        <v>2211929.2799999998</v>
      </c>
      <c r="AC1071" s="9">
        <f t="shared" si="71"/>
        <v>-2211929.2799999998</v>
      </c>
      <c r="AE1071" s="44">
        <f t="shared" si="72"/>
        <v>-1</v>
      </c>
    </row>
    <row r="1072" spans="2:31">
      <c r="B1072" s="49"/>
      <c r="C1072" s="49"/>
      <c r="D1072" s="49" t="s">
        <v>24</v>
      </c>
      <c r="E1072" s="9">
        <f>+G1072-Adjustments!G1069</f>
        <v>0</v>
      </c>
      <c r="F1072" s="9">
        <f>'Rate Base'!$T$121</f>
        <v>0</v>
      </c>
      <c r="G1072" s="9">
        <f>+Adjustments!U1053</f>
        <v>0</v>
      </c>
      <c r="H1072" s="9"/>
      <c r="I1072" s="9">
        <f t="shared" si="73"/>
        <v>0</v>
      </c>
      <c r="J1072" s="9">
        <f>+I1072-'ROR-Model'!I1072</f>
        <v>0</v>
      </c>
      <c r="K1072" s="9"/>
      <c r="L1072" s="9" t="s">
        <v>24</v>
      </c>
      <c r="M1072" s="9">
        <f>VLOOKUP($L1072,$L$2:$N$7,2,FALSE)*I1072</f>
        <v>0</v>
      </c>
      <c r="N1072" s="9">
        <f>VLOOKUP($L1072,$L$2:$N$7,3,FALSE)*I1072</f>
        <v>0</v>
      </c>
      <c r="O1072" s="136"/>
      <c r="P1072" s="216" t="s">
        <v>549</v>
      </c>
      <c r="Q1072" s="9">
        <f>IF(P1072="G",M1072,IF(P1072="PT",0,ERR))</f>
        <v>0</v>
      </c>
      <c r="R1072" s="9">
        <f>IF(P1072="PT",M1072,IF(P1072="G",0,ERR))</f>
        <v>0</v>
      </c>
      <c r="S1072" s="142" t="s">
        <v>549</v>
      </c>
      <c r="T1072" s="9">
        <f>IF(S1072="G",N1072,IF(S1072="PT",0,ERR))</f>
        <v>0</v>
      </c>
      <c r="U1072" s="9">
        <f>IF(S1072="PT",N1072,IF(S1072="G",0,ERR))</f>
        <v>0</v>
      </c>
      <c r="V1072" s="52"/>
      <c r="W1072" s="9">
        <f>HLOOKUP($W$9,'ROR-Model'!$Q$10:$U$1263,Y1072)</f>
        <v>0</v>
      </c>
      <c r="X1072" s="156"/>
      <c r="Y1072" s="918">
        <f t="shared" si="70"/>
        <v>1063</v>
      </c>
      <c r="AA1072" s="9">
        <v>0</v>
      </c>
      <c r="AC1072" s="9" t="str">
        <f t="shared" si="71"/>
        <v/>
      </c>
      <c r="AE1072" s="44" t="str">
        <f t="shared" si="72"/>
        <v/>
      </c>
    </row>
    <row r="1073" spans="2:31">
      <c r="B1073" s="49"/>
      <c r="C1073" s="49"/>
      <c r="D1073" s="49" t="s">
        <v>13</v>
      </c>
      <c r="E1073" s="9">
        <f>+G1073-Adjustments!G1070</f>
        <v>0</v>
      </c>
      <c r="F1073" s="9">
        <f>'Rate Base'!$T$122</f>
        <v>61117.83</v>
      </c>
      <c r="G1073" s="9">
        <f>+Adjustments!U1054</f>
        <v>0</v>
      </c>
      <c r="H1073" s="9"/>
      <c r="I1073" s="9">
        <f t="shared" si="73"/>
        <v>61117.83</v>
      </c>
      <c r="J1073" s="9">
        <f>+I1073-'ROR-Model'!I1073</f>
        <v>0</v>
      </c>
      <c r="K1073" s="9"/>
      <c r="L1073" s="9" t="s">
        <v>13</v>
      </c>
      <c r="M1073" s="9">
        <f>VLOOKUP($L1073,$L$2:$N$7,2,FALSE)*I1073</f>
        <v>61117.83</v>
      </c>
      <c r="N1073" s="9">
        <f>VLOOKUP($L1073,$L$2:$N$7,3,FALSE)*I1073</f>
        <v>0</v>
      </c>
      <c r="O1073" s="136"/>
      <c r="P1073" s="216" t="s">
        <v>549</v>
      </c>
      <c r="Q1073" s="9">
        <f>IF(P1073="G",M1073,IF(P1073="PT",0,ERR))</f>
        <v>61117.83</v>
      </c>
      <c r="R1073" s="9">
        <f>IF(P1073="PT",M1073,IF(P1073="G",0,ERR))</f>
        <v>0</v>
      </c>
      <c r="S1073" s="142" t="s">
        <v>549</v>
      </c>
      <c r="T1073" s="9">
        <f>IF(S1073="G",N1073,IF(S1073="PT",0,ERR))</f>
        <v>0</v>
      </c>
      <c r="U1073" s="9">
        <f>IF(S1073="PT",N1073,IF(S1073="G",0,ERR))</f>
        <v>0</v>
      </c>
      <c r="V1073" s="52"/>
      <c r="W1073" s="9">
        <f>HLOOKUP($W$9,'ROR-Model'!$Q$10:$U$1263,Y1073)</f>
        <v>61117.83</v>
      </c>
      <c r="X1073" s="156"/>
      <c r="Y1073" s="918">
        <f t="shared" si="70"/>
        <v>1064</v>
      </c>
      <c r="AA1073" s="9">
        <v>0</v>
      </c>
      <c r="AC1073" s="9" t="str">
        <f t="shared" si="71"/>
        <v/>
      </c>
      <c r="AE1073" s="44" t="str">
        <f t="shared" si="72"/>
        <v/>
      </c>
    </row>
    <row r="1074" spans="2:31">
      <c r="B1074" s="49"/>
      <c r="C1074" s="49"/>
      <c r="D1074" s="49" t="s">
        <v>584</v>
      </c>
      <c r="E1074" s="9">
        <f>+G1074-Adjustments!G1071</f>
        <v>0</v>
      </c>
      <c r="F1074" s="9">
        <f>'Rate Base'!$T$123</f>
        <v>0</v>
      </c>
      <c r="G1074" s="9">
        <f>+Adjustments!U1055</f>
        <v>0</v>
      </c>
      <c r="H1074" s="9"/>
      <c r="I1074" s="9">
        <f t="shared" si="73"/>
        <v>0</v>
      </c>
      <c r="J1074" s="9">
        <f>+I1074-'ROR-Model'!I1074</f>
        <v>0</v>
      </c>
      <c r="K1074" s="9"/>
      <c r="L1074" s="9" t="s">
        <v>458</v>
      </c>
      <c r="M1074" s="9">
        <f>VLOOKUP($L1074,$L$2:$N$7,2,FALSE)*I1074</f>
        <v>0</v>
      </c>
      <c r="N1074" s="9">
        <f>VLOOKUP($L1074,$L$2:$N$7,3,FALSE)*I1074</f>
        <v>0</v>
      </c>
      <c r="O1074" s="136"/>
      <c r="P1074" s="216" t="s">
        <v>549</v>
      </c>
      <c r="Q1074" s="9">
        <f>IF(P1074="G",M1074,IF(P1074="PT",0,ERR))</f>
        <v>0</v>
      </c>
      <c r="R1074" s="9">
        <f>IF(P1074="PT",M1074,IF(P1074="G",0,ERR))</f>
        <v>0</v>
      </c>
      <c r="S1074" s="142" t="s">
        <v>549</v>
      </c>
      <c r="T1074" s="9">
        <f>IF(S1074="G",N1074,IF(S1074="PT",0,ERR))</f>
        <v>0</v>
      </c>
      <c r="U1074" s="9">
        <f>IF(S1074="PT",N1074,IF(S1074="G",0,ERR))</f>
        <v>0</v>
      </c>
      <c r="V1074" s="52"/>
      <c r="W1074" s="9">
        <f>HLOOKUP($W$9,'ROR-Model'!$Q$10:$U$1263,Y1074)</f>
        <v>0</v>
      </c>
      <c r="X1074" s="156"/>
      <c r="Y1074" s="918">
        <f t="shared" si="70"/>
        <v>1065</v>
      </c>
      <c r="AA1074" s="9">
        <v>2211929.2799999998</v>
      </c>
      <c r="AC1074" s="9">
        <f t="shared" si="71"/>
        <v>-2211929.2799999998</v>
      </c>
      <c r="AE1074" s="44">
        <f t="shared" si="72"/>
        <v>-1</v>
      </c>
    </row>
    <row r="1075" spans="2:31">
      <c r="B1075" s="49"/>
      <c r="C1075" s="49"/>
      <c r="D1075" s="49" t="s">
        <v>160</v>
      </c>
      <c r="E1075" s="9">
        <f>+G1075-Adjustments!G1072</f>
        <v>0</v>
      </c>
      <c r="F1075" s="9">
        <f>'Rate Base'!$T$124</f>
        <v>61117.83</v>
      </c>
      <c r="G1075" s="9">
        <f>+Adjustments!U1056</f>
        <v>0</v>
      </c>
      <c r="H1075" s="9"/>
      <c r="I1075" s="9">
        <f t="shared" si="73"/>
        <v>61117.83</v>
      </c>
      <c r="J1075" s="9">
        <f>+I1075-'ROR-Model'!I1075</f>
        <v>0</v>
      </c>
      <c r="K1075" s="9"/>
      <c r="L1075" s="9" t="s">
        <v>160</v>
      </c>
      <c r="M1075" s="9">
        <f>SUM(M1072:M1074)</f>
        <v>61117.83</v>
      </c>
      <c r="N1075" s="9">
        <f>SUM(N1072:N1074)</f>
        <v>0</v>
      </c>
      <c r="O1075" s="136"/>
      <c r="P1075" s="216" t="s">
        <v>549</v>
      </c>
      <c r="Q1075" s="9">
        <f>IF(P1075="G",M1075,IF(P1075="PT",0,ERR))</f>
        <v>61117.83</v>
      </c>
      <c r="R1075" s="9">
        <f>IF(P1075="PT",M1075,IF(P1075="G",0,ERR))</f>
        <v>0</v>
      </c>
      <c r="S1075" s="142" t="s">
        <v>549</v>
      </c>
      <c r="T1075" s="9">
        <f>IF(S1075="G",N1075,IF(S1075="PT",0,ERR))</f>
        <v>0</v>
      </c>
      <c r="U1075" s="9">
        <f>IF(S1075="PT",N1075,IF(S1075="G",0,ERR))</f>
        <v>0</v>
      </c>
      <c r="V1075" s="52"/>
      <c r="W1075" s="9">
        <f>HLOOKUP($W$9,'ROR-Model'!$Q$10:$U$1263,Y1075)</f>
        <v>61117.83</v>
      </c>
      <c r="X1075" s="156"/>
      <c r="Y1075" s="918">
        <f t="shared" si="70"/>
        <v>1066</v>
      </c>
      <c r="AA1075" s="9"/>
      <c r="AC1075" s="9" t="str">
        <f t="shared" si="71"/>
        <v/>
      </c>
      <c r="AE1075" s="44" t="str">
        <f t="shared" si="72"/>
        <v/>
      </c>
    </row>
    <row r="1076" spans="2:31">
      <c r="B1076" s="49"/>
      <c r="C1076" s="49"/>
      <c r="D1076" s="49"/>
      <c r="E1076" s="9">
        <f>+G1076-Adjustments!G1073</f>
        <v>0</v>
      </c>
      <c r="F1076" s="9"/>
      <c r="G1076" s="9"/>
      <c r="H1076" s="9"/>
      <c r="I1076" s="9"/>
      <c r="J1076" s="9">
        <f>+I1076-'ROR-Model'!I1076</f>
        <v>0</v>
      </c>
      <c r="K1076" s="9"/>
      <c r="L1076" s="9"/>
      <c r="M1076" s="9"/>
      <c r="N1076" s="9"/>
      <c r="O1076" s="136"/>
      <c r="P1076" s="216"/>
      <c r="Q1076" s="9"/>
      <c r="R1076" s="9"/>
      <c r="S1076" s="142"/>
      <c r="T1076" s="9"/>
      <c r="U1076" s="9"/>
      <c r="V1076" s="52"/>
      <c r="W1076" s="9"/>
      <c r="X1076" s="156"/>
      <c r="Y1076" s="918">
        <f t="shared" si="70"/>
        <v>1067</v>
      </c>
      <c r="AA1076" s="9"/>
      <c r="AC1076" s="9" t="str">
        <f t="shared" si="71"/>
        <v/>
      </c>
      <c r="AE1076" s="44" t="str">
        <f t="shared" si="72"/>
        <v/>
      </c>
    </row>
    <row r="1077" spans="2:31">
      <c r="B1077" s="49" t="s">
        <v>256</v>
      </c>
      <c r="C1077" s="49" t="s">
        <v>257</v>
      </c>
      <c r="D1077" s="49"/>
      <c r="E1077" s="9">
        <f>+G1077-Adjustments!G1074</f>
        <v>0</v>
      </c>
      <c r="F1077" s="9"/>
      <c r="G1077" s="9"/>
      <c r="H1077" s="9"/>
      <c r="I1077" s="9"/>
      <c r="J1077" s="9">
        <f>+I1077-'ROR-Model'!I1077</f>
        <v>0</v>
      </c>
      <c r="K1077" s="9"/>
      <c r="L1077" s="9"/>
      <c r="M1077" s="9"/>
      <c r="N1077" s="9"/>
      <c r="O1077" s="136"/>
      <c r="P1077" s="216"/>
      <c r="Q1077" s="9"/>
      <c r="R1077" s="9"/>
      <c r="S1077" s="142"/>
      <c r="T1077" s="9"/>
      <c r="U1077" s="9"/>
      <c r="V1077" s="52"/>
      <c r="W1077" s="9"/>
      <c r="X1077" s="156"/>
      <c r="Y1077" s="918">
        <f t="shared" si="70"/>
        <v>1068</v>
      </c>
      <c r="AA1077" s="9">
        <v>0</v>
      </c>
      <c r="AC1077" s="9" t="str">
        <f t="shared" si="71"/>
        <v/>
      </c>
      <c r="AE1077" s="44" t="str">
        <f t="shared" si="72"/>
        <v/>
      </c>
    </row>
    <row r="1078" spans="2:31">
      <c r="B1078" s="49"/>
      <c r="C1078" s="49"/>
      <c r="D1078" s="49" t="s">
        <v>24</v>
      </c>
      <c r="E1078" s="9" t="e">
        <f>+G1078-Adjustments!#REF!</f>
        <v>#REF!</v>
      </c>
      <c r="F1078" s="9">
        <f>'Rate Base'!$T$127</f>
        <v>1042453.89</v>
      </c>
      <c r="G1078" s="9">
        <f>+Adjustments!U1059</f>
        <v>-55847.131666666828</v>
      </c>
      <c r="H1078" s="9"/>
      <c r="I1078" s="9">
        <f t="shared" si="73"/>
        <v>986606.75833333319</v>
      </c>
      <c r="J1078" s="9">
        <f>+I1078-'ROR-Model'!I1078</f>
        <v>0</v>
      </c>
      <c r="K1078" s="9"/>
      <c r="L1078" s="9" t="s">
        <v>24</v>
      </c>
      <c r="M1078" s="9">
        <f>VLOOKUP($L1078,$L$2:$N$7,2,FALSE)*I1078</f>
        <v>0</v>
      </c>
      <c r="N1078" s="9">
        <f>VLOOKUP($L1078,$L$2:$N$7,3,FALSE)*I1078</f>
        <v>986606.75833333319</v>
      </c>
      <c r="O1078" s="136"/>
      <c r="P1078" s="216" t="s">
        <v>549</v>
      </c>
      <c r="Q1078" s="9">
        <f>IF(P1078="G",M1078,IF(P1078="PT",0,ERR))</f>
        <v>0</v>
      </c>
      <c r="R1078" s="9">
        <f>IF(P1078="PT",M1078,IF(P1078="G",0,ERR))</f>
        <v>0</v>
      </c>
      <c r="S1078" s="142" t="s">
        <v>549</v>
      </c>
      <c r="T1078" s="9">
        <f>IF(S1078="G",N1078,IF(S1078="PT",0,ERR))</f>
        <v>986606.75833333319</v>
      </c>
      <c r="U1078" s="9">
        <f>IF(S1078="PT",N1078,IF(S1078="G",0,ERR))</f>
        <v>0</v>
      </c>
      <c r="V1078" s="140"/>
      <c r="W1078" s="9">
        <f>HLOOKUP($W$9,'ROR-Model'!$Q$10:$U$1263,Y1078)</f>
        <v>0</v>
      </c>
      <c r="X1078" s="156"/>
      <c r="Y1078" s="918">
        <f t="shared" si="70"/>
        <v>1069</v>
      </c>
      <c r="AA1078" s="9">
        <v>0</v>
      </c>
      <c r="AC1078" s="9" t="str">
        <f t="shared" si="71"/>
        <v/>
      </c>
      <c r="AE1078" s="44" t="str">
        <f t="shared" si="72"/>
        <v/>
      </c>
    </row>
    <row r="1079" spans="2:31">
      <c r="B1079" s="49"/>
      <c r="C1079" s="49"/>
      <c r="D1079" s="49" t="s">
        <v>13</v>
      </c>
      <c r="E1079" s="9" t="e">
        <f>+G1079-Adjustments!#REF!</f>
        <v>#REF!</v>
      </c>
      <c r="F1079" s="9">
        <f>'Rate Base'!$T$128</f>
        <v>11060442.789999999</v>
      </c>
      <c r="G1079" s="9">
        <f>+Adjustments!U1060</f>
        <v>83917.990833330899</v>
      </c>
      <c r="H1079" s="9"/>
      <c r="I1079" s="9">
        <f t="shared" si="73"/>
        <v>11144360.78083333</v>
      </c>
      <c r="J1079" s="9">
        <f>+I1079-'ROR-Model'!I1079</f>
        <v>0</v>
      </c>
      <c r="K1079" s="9"/>
      <c r="L1079" s="9" t="s">
        <v>13</v>
      </c>
      <c r="M1079" s="9">
        <f>VLOOKUP($L1079,$L$2:$N$7,2,FALSE)*I1079</f>
        <v>11144360.78083333</v>
      </c>
      <c r="N1079" s="9">
        <f>VLOOKUP($L1079,$L$2:$N$7,3,FALSE)*I1079</f>
        <v>0</v>
      </c>
      <c r="O1079" s="136"/>
      <c r="P1079" s="216" t="s">
        <v>549</v>
      </c>
      <c r="Q1079" s="9">
        <f>IF(P1079="G",M1079,IF(P1079="PT",0,ERR))</f>
        <v>11144360.78083333</v>
      </c>
      <c r="R1079" s="9">
        <f>IF(P1079="PT",M1079,IF(P1079="G",0,ERR))</f>
        <v>0</v>
      </c>
      <c r="S1079" s="142" t="s">
        <v>549</v>
      </c>
      <c r="T1079" s="9">
        <f>IF(S1079="G",N1079,IF(S1079="PT",0,ERR))</f>
        <v>0</v>
      </c>
      <c r="U1079" s="9">
        <f>IF(S1079="PT",N1079,IF(S1079="G",0,ERR))</f>
        <v>0</v>
      </c>
      <c r="V1079" s="140"/>
      <c r="W1079" s="9">
        <f>HLOOKUP($W$9,'ROR-Model'!$Q$10:$U$1263,Y1079)</f>
        <v>11144360.78083333</v>
      </c>
      <c r="X1079" s="156"/>
      <c r="Y1079" s="918">
        <f t="shared" si="70"/>
        <v>1070</v>
      </c>
      <c r="AA1079" s="9">
        <v>0</v>
      </c>
      <c r="AC1079" s="9" t="str">
        <f t="shared" si="71"/>
        <v/>
      </c>
      <c r="AE1079" s="44" t="str">
        <f t="shared" si="72"/>
        <v/>
      </c>
    </row>
    <row r="1080" spans="2:31">
      <c r="B1080" s="49"/>
      <c r="C1080" s="49"/>
      <c r="D1080" s="49" t="s">
        <v>584</v>
      </c>
      <c r="E1080" s="9" t="e">
        <f>+G1080-Adjustments!#REF!</f>
        <v>#REF!</v>
      </c>
      <c r="F1080" s="9">
        <f>'Rate Base'!$T$129</f>
        <v>0</v>
      </c>
      <c r="G1080" s="9">
        <f>+Adjustments!U1061</f>
        <v>0</v>
      </c>
      <c r="H1080" s="9"/>
      <c r="I1080" s="9">
        <f t="shared" si="73"/>
        <v>0</v>
      </c>
      <c r="J1080" s="9">
        <f>+I1080-'ROR-Model'!I1080</f>
        <v>0</v>
      </c>
      <c r="K1080" s="9"/>
      <c r="L1080" s="9" t="s">
        <v>458</v>
      </c>
      <c r="M1080" s="9">
        <f>VLOOKUP($L1080,$L$2:$N$7,2,FALSE)*I1080</f>
        <v>0</v>
      </c>
      <c r="N1080" s="9">
        <f>VLOOKUP($L1080,$L$2:$N$7,3,FALSE)*I1080</f>
        <v>0</v>
      </c>
      <c r="O1080" s="136"/>
      <c r="P1080" s="216" t="s">
        <v>549</v>
      </c>
      <c r="Q1080" s="9">
        <f>IF(P1080="G",M1080,IF(P1080="PT",0,ERR))</f>
        <v>0</v>
      </c>
      <c r="R1080" s="9">
        <f>IF(P1080="PT",M1080,IF(P1080="G",0,ERR))</f>
        <v>0</v>
      </c>
      <c r="S1080" s="142" t="s">
        <v>549</v>
      </c>
      <c r="T1080" s="9">
        <f>IF(S1080="G",N1080,IF(S1080="PT",0,ERR))</f>
        <v>0</v>
      </c>
      <c r="U1080" s="9">
        <f>IF(S1080="PT",N1080,IF(S1080="G",0,ERR))</f>
        <v>0</v>
      </c>
      <c r="V1080" s="140"/>
      <c r="W1080" s="9">
        <f>HLOOKUP($W$9,'ROR-Model'!$Q$10:$U$1263,Y1080)</f>
        <v>0</v>
      </c>
      <c r="X1080" s="156"/>
      <c r="Y1080" s="918">
        <f t="shared" si="70"/>
        <v>1071</v>
      </c>
      <c r="AA1080" s="9">
        <v>0</v>
      </c>
      <c r="AC1080" s="9" t="str">
        <f t="shared" si="71"/>
        <v/>
      </c>
      <c r="AE1080" s="44" t="str">
        <f t="shared" si="72"/>
        <v/>
      </c>
    </row>
    <row r="1081" spans="2:31">
      <c r="B1081" s="49"/>
      <c r="C1081" s="49"/>
      <c r="D1081" s="49" t="s">
        <v>160</v>
      </c>
      <c r="E1081" s="9" t="e">
        <f>+G1081-Adjustments!#REF!</f>
        <v>#REF!</v>
      </c>
      <c r="F1081" s="9">
        <f>'Rate Base'!$T$130</f>
        <v>12102896.68</v>
      </c>
      <c r="G1081" s="9">
        <f>+Adjustments!U1062</f>
        <v>28070.85916666314</v>
      </c>
      <c r="H1081" s="9"/>
      <c r="I1081" s="9">
        <f t="shared" si="73"/>
        <v>12130967.539166663</v>
      </c>
      <c r="J1081" s="9">
        <f>+I1081-'ROR-Model'!I1081</f>
        <v>0</v>
      </c>
      <c r="K1081" s="9"/>
      <c r="L1081" s="9"/>
      <c r="M1081" s="9">
        <f>SUM(M1078:M1080)</f>
        <v>11144360.78083333</v>
      </c>
      <c r="N1081" s="9">
        <f>SUM(N1078:N1080)</f>
        <v>986606.75833333319</v>
      </c>
      <c r="O1081" s="136"/>
      <c r="P1081" s="216" t="s">
        <v>549</v>
      </c>
      <c r="Q1081" s="9">
        <f>IF(P1081="G",M1081,IF(P1081="PT",0,ERR))</f>
        <v>11144360.78083333</v>
      </c>
      <c r="R1081" s="9">
        <f>IF(P1081="PT",M1081,IF(P1081="G",0,ERR))</f>
        <v>0</v>
      </c>
      <c r="S1081" s="142" t="s">
        <v>549</v>
      </c>
      <c r="T1081" s="9">
        <f>IF(S1081="G",N1081,IF(S1081="PT",0,ERR))</f>
        <v>986606.75833333319</v>
      </c>
      <c r="U1081" s="9">
        <f>IF(S1081="PT",N1081,IF(S1081="G",0,ERR))</f>
        <v>0</v>
      </c>
      <c r="V1081" s="140"/>
      <c r="W1081" s="9">
        <f>HLOOKUP($W$9,'ROR-Model'!$Q$10:$U$1263,Y1081)</f>
        <v>11144360.78083333</v>
      </c>
      <c r="X1081" s="156"/>
      <c r="Y1081" s="918">
        <f t="shared" si="70"/>
        <v>1072</v>
      </c>
      <c r="AA1081" s="9"/>
      <c r="AC1081" s="9" t="str">
        <f t="shared" si="71"/>
        <v/>
      </c>
      <c r="AE1081" s="44" t="str">
        <f t="shared" si="72"/>
        <v/>
      </c>
    </row>
    <row r="1082" spans="2:31">
      <c r="B1082" s="49"/>
      <c r="C1082" s="49"/>
      <c r="D1082" s="49"/>
      <c r="E1082" s="9" t="e">
        <f>+G1082-Adjustments!#REF!</f>
        <v>#REF!</v>
      </c>
      <c r="F1082" s="9"/>
      <c r="G1082" s="9"/>
      <c r="H1082" s="9"/>
      <c r="I1082" s="9"/>
      <c r="J1082" s="9">
        <f>+I1082-'ROR-Model'!I1082</f>
        <v>0</v>
      </c>
      <c r="K1082" s="9"/>
      <c r="L1082" s="9"/>
      <c r="M1082" s="9"/>
      <c r="N1082" s="9"/>
      <c r="O1082" s="136"/>
      <c r="P1082" s="216"/>
      <c r="Q1082" s="9"/>
      <c r="R1082" s="9"/>
      <c r="S1082" s="142"/>
      <c r="T1082" s="9"/>
      <c r="U1082" s="9"/>
      <c r="V1082" s="140"/>
      <c r="W1082" s="9"/>
      <c r="X1082" s="156"/>
      <c r="Y1082" s="918">
        <f t="shared" si="70"/>
        <v>1073</v>
      </c>
      <c r="AA1082" s="9"/>
      <c r="AC1082" s="9" t="str">
        <f t="shared" si="71"/>
        <v/>
      </c>
      <c r="AE1082" s="44" t="str">
        <f t="shared" si="72"/>
        <v/>
      </c>
    </row>
    <row r="1083" spans="2:31">
      <c r="B1083" s="49" t="s">
        <v>258</v>
      </c>
      <c r="C1083" s="49" t="s">
        <v>259</v>
      </c>
      <c r="D1083" s="49"/>
      <c r="E1083" s="9">
        <f>+G1083-Adjustments!G1075</f>
        <v>0</v>
      </c>
      <c r="F1083" s="9"/>
      <c r="G1083" s="9"/>
      <c r="H1083" s="9"/>
      <c r="I1083" s="9"/>
      <c r="J1083" s="9">
        <f>+I1083-'ROR-Model'!I1083</f>
        <v>0</v>
      </c>
      <c r="K1083" s="9"/>
      <c r="L1083" s="9"/>
      <c r="M1083" s="9"/>
      <c r="N1083" s="9"/>
      <c r="O1083" s="136"/>
      <c r="P1083" s="216"/>
      <c r="Q1083" s="9"/>
      <c r="R1083" s="9"/>
      <c r="S1083" s="142"/>
      <c r="T1083" s="9"/>
      <c r="U1083" s="9"/>
      <c r="V1083" s="140"/>
      <c r="W1083" s="9"/>
      <c r="X1083" s="156"/>
      <c r="Y1083" s="918">
        <f t="shared" si="70"/>
        <v>1074</v>
      </c>
      <c r="AA1083" s="9">
        <v>695559.30999999994</v>
      </c>
      <c r="AC1083" s="9">
        <f t="shared" si="71"/>
        <v>-695559.30999999994</v>
      </c>
      <c r="AE1083" s="44">
        <f t="shared" si="72"/>
        <v>-1</v>
      </c>
    </row>
    <row r="1084" spans="2:31">
      <c r="B1084" s="49"/>
      <c r="C1084" s="49"/>
      <c r="D1084" s="49" t="s">
        <v>24</v>
      </c>
      <c r="E1084" s="9">
        <f>+G1084-Adjustments!G1076</f>
        <v>-15813.638750000144</v>
      </c>
      <c r="F1084" s="9">
        <f>'Rate Base'!$T$133</f>
        <v>100471.2800000003</v>
      </c>
      <c r="G1084" s="9">
        <f>+Adjustments!U1065</f>
        <v>-15813.638750000144</v>
      </c>
      <c r="H1084" s="9"/>
      <c r="I1084" s="9">
        <f t="shared" si="73"/>
        <v>84657.641250000161</v>
      </c>
      <c r="J1084" s="9">
        <f>+I1084-'ROR-Model'!I1084</f>
        <v>0</v>
      </c>
      <c r="K1084" s="9"/>
      <c r="L1084" s="9" t="s">
        <v>24</v>
      </c>
      <c r="M1084" s="9">
        <f>VLOOKUP($L1084,$L$2:$N$7,2,FALSE)*I1084</f>
        <v>0</v>
      </c>
      <c r="N1084" s="9">
        <f>VLOOKUP($L1084,$L$2:$N$7,3,FALSE)*I1084</f>
        <v>84657.641250000161</v>
      </c>
      <c r="O1084" s="136"/>
      <c r="P1084" s="216" t="s">
        <v>549</v>
      </c>
      <c r="Q1084" s="9">
        <f>IF(P1084="G",M1084,IF(P1084="PT",0,ERR))</f>
        <v>0</v>
      </c>
      <c r="R1084" s="9">
        <f>IF(P1084="PT",M1084,IF(P1084="G",0,ERR))</f>
        <v>0</v>
      </c>
      <c r="S1084" s="142" t="s">
        <v>549</v>
      </c>
      <c r="T1084" s="9">
        <f>IF(S1084="G",N1084,IF(S1084="PT",0,ERR))</f>
        <v>84657.641250000161</v>
      </c>
      <c r="U1084" s="9">
        <f>IF(S1084="PT",N1084,IF(S1084="G",0,ERR))</f>
        <v>0</v>
      </c>
      <c r="V1084" s="140"/>
      <c r="W1084" s="9">
        <f>HLOOKUP($W$9,'ROR-Model'!$Q$10:$U$1263,Y1084)</f>
        <v>0</v>
      </c>
      <c r="X1084" s="156"/>
      <c r="Y1084" s="918">
        <f t="shared" si="70"/>
        <v>1075</v>
      </c>
      <c r="AA1084" s="9">
        <v>0</v>
      </c>
      <c r="AC1084" s="9" t="str">
        <f t="shared" si="71"/>
        <v/>
      </c>
      <c r="AE1084" s="44" t="str">
        <f t="shared" si="72"/>
        <v/>
      </c>
    </row>
    <row r="1085" spans="2:31">
      <c r="B1085" s="49"/>
      <c r="C1085" s="49"/>
      <c r="D1085" s="49" t="s">
        <v>13</v>
      </c>
      <c r="E1085" s="9">
        <f>+G1085-Adjustments!G1077</f>
        <v>-40374.574583332986</v>
      </c>
      <c r="F1085" s="9">
        <f>'Rate Base'!$T$134</f>
        <v>15148750.27</v>
      </c>
      <c r="G1085" s="9">
        <f>+Adjustments!U1066</f>
        <v>-40374.574583332986</v>
      </c>
      <c r="H1085" s="9"/>
      <c r="I1085" s="9">
        <f t="shared" si="73"/>
        <v>15108375.695416667</v>
      </c>
      <c r="J1085" s="9">
        <f>+I1085-'ROR-Model'!I1085</f>
        <v>0</v>
      </c>
      <c r="K1085" s="9"/>
      <c r="L1085" s="9" t="s">
        <v>13</v>
      </c>
      <c r="M1085" s="9">
        <f>VLOOKUP($L1085,$L$2:$N$7,2,FALSE)*I1085</f>
        <v>15108375.695416667</v>
      </c>
      <c r="N1085" s="9">
        <f>VLOOKUP($L1085,$L$2:$N$7,3,FALSE)*I1085</f>
        <v>0</v>
      </c>
      <c r="O1085" s="136"/>
      <c r="P1085" s="216" t="s">
        <v>549</v>
      </c>
      <c r="Q1085" s="9">
        <f>IF(P1085="G",M1085,IF(P1085="PT",0,ERR))</f>
        <v>15108375.695416667</v>
      </c>
      <c r="R1085" s="9">
        <f>IF(P1085="PT",M1085,IF(P1085="G",0,ERR))</f>
        <v>0</v>
      </c>
      <c r="S1085" s="142" t="s">
        <v>549</v>
      </c>
      <c r="T1085" s="9">
        <f>IF(S1085="G",N1085,IF(S1085="PT",0,ERR))</f>
        <v>0</v>
      </c>
      <c r="U1085" s="9">
        <f>IF(S1085="PT",N1085,IF(S1085="G",0,ERR))</f>
        <v>0</v>
      </c>
      <c r="V1085" s="140"/>
      <c r="W1085" s="9">
        <f>HLOOKUP($W$9,'ROR-Model'!$Q$10:$U$1263,Y1085)</f>
        <v>15108375.695416667</v>
      </c>
      <c r="X1085" s="156"/>
      <c r="Y1085" s="918">
        <f t="shared" si="70"/>
        <v>1076</v>
      </c>
      <c r="AA1085" s="9">
        <v>0</v>
      </c>
      <c r="AC1085" s="9" t="str">
        <f t="shared" si="71"/>
        <v/>
      </c>
      <c r="AE1085" s="44" t="str">
        <f t="shared" si="72"/>
        <v/>
      </c>
    </row>
    <row r="1086" spans="2:31">
      <c r="B1086" s="49"/>
      <c r="C1086" s="49"/>
      <c r="D1086" s="49" t="s">
        <v>160</v>
      </c>
      <c r="E1086" s="9">
        <f>+G1086-Adjustments!G1078</f>
        <v>-56188.213333334774</v>
      </c>
      <c r="F1086" s="9">
        <f>'Rate Base'!$T$135</f>
        <v>15249221.550000001</v>
      </c>
      <c r="G1086" s="9">
        <f>+Adjustments!U1067</f>
        <v>-56188.213333334774</v>
      </c>
      <c r="H1086" s="9"/>
      <c r="I1086" s="9">
        <f t="shared" si="73"/>
        <v>15193033.336666666</v>
      </c>
      <c r="J1086" s="9">
        <f>+I1086-'ROR-Model'!I1086</f>
        <v>0</v>
      </c>
      <c r="K1086" s="9"/>
      <c r="L1086" s="9" t="s">
        <v>160</v>
      </c>
      <c r="M1086" s="9">
        <f>SUM(M1084:M1085)</f>
        <v>15108375.695416667</v>
      </c>
      <c r="N1086" s="9">
        <f>SUM(N1084:N1085)</f>
        <v>84657.641250000161</v>
      </c>
      <c r="O1086" s="136"/>
      <c r="P1086" s="216" t="s">
        <v>549</v>
      </c>
      <c r="Q1086" s="9">
        <f>IF(P1086="G",M1086,IF(P1086="PT",0,ERR))</f>
        <v>15108375.695416667</v>
      </c>
      <c r="R1086" s="9">
        <f>IF(P1086="PT",M1086,IF(P1086="G",0,ERR))</f>
        <v>0</v>
      </c>
      <c r="S1086" s="142" t="s">
        <v>549</v>
      </c>
      <c r="T1086" s="9">
        <f>IF(S1086="G",N1086,IF(S1086="PT",0,ERR))</f>
        <v>84657.641250000161</v>
      </c>
      <c r="U1086" s="9">
        <f>IF(S1086="PT",N1086,IF(S1086="G",0,ERR))</f>
        <v>0</v>
      </c>
      <c r="V1086" s="140"/>
      <c r="W1086" s="9">
        <f>HLOOKUP($W$9,'ROR-Model'!$Q$10:$U$1263,Y1086)</f>
        <v>15108375.695416667</v>
      </c>
      <c r="X1086" s="156"/>
      <c r="Y1086" s="918">
        <f t="shared" si="70"/>
        <v>1077</v>
      </c>
      <c r="AA1086" s="9">
        <v>695559.30999999994</v>
      </c>
      <c r="AC1086" s="9">
        <f t="shared" si="71"/>
        <v>14412816.385416666</v>
      </c>
      <c r="AE1086" s="44">
        <f t="shared" si="72"/>
        <v>20.721189664497004</v>
      </c>
    </row>
    <row r="1087" spans="2:31">
      <c r="B1087" s="49"/>
      <c r="C1087" s="49"/>
      <c r="D1087" s="49"/>
      <c r="E1087" s="9">
        <f>+G1087-Adjustments!G1079</f>
        <v>0</v>
      </c>
      <c r="F1087" s="9"/>
      <c r="G1087" s="9"/>
      <c r="H1087" s="9"/>
      <c r="I1087" s="9"/>
      <c r="J1087" s="9">
        <f>+I1087-'ROR-Model'!I1087</f>
        <v>0</v>
      </c>
      <c r="K1087" s="9"/>
      <c r="L1087" s="9"/>
      <c r="M1087" s="9"/>
      <c r="N1087" s="9"/>
      <c r="O1087" s="136"/>
      <c r="P1087" s="216"/>
      <c r="Q1087" s="9"/>
      <c r="R1087" s="9"/>
      <c r="S1087" s="142"/>
      <c r="T1087" s="9"/>
      <c r="U1087" s="9"/>
      <c r="V1087" s="140"/>
      <c r="W1087" s="9"/>
      <c r="X1087" s="156"/>
      <c r="Y1087" s="918">
        <f t="shared" si="70"/>
        <v>1078</v>
      </c>
      <c r="AA1087" s="9"/>
      <c r="AC1087" s="9" t="str">
        <f t="shared" si="71"/>
        <v/>
      </c>
      <c r="AE1087" s="44" t="str">
        <f t="shared" si="72"/>
        <v/>
      </c>
    </row>
    <row r="1088" spans="2:31">
      <c r="B1088" s="49" t="s">
        <v>260</v>
      </c>
      <c r="C1088" s="49" t="s">
        <v>261</v>
      </c>
      <c r="D1088" s="49"/>
      <c r="E1088" s="9">
        <f>+G1088-Adjustments!G1080</f>
        <v>0</v>
      </c>
      <c r="F1088" s="9"/>
      <c r="G1088" s="9"/>
      <c r="H1088" s="9"/>
      <c r="I1088" s="9"/>
      <c r="J1088" s="9">
        <f>+I1088-'ROR-Model'!I1088</f>
        <v>0</v>
      </c>
      <c r="K1088" s="9"/>
      <c r="L1088" s="9"/>
      <c r="M1088" s="9"/>
      <c r="N1088" s="9"/>
      <c r="O1088" s="136"/>
      <c r="P1088" s="216"/>
      <c r="Q1088" s="9"/>
      <c r="R1088" s="9"/>
      <c r="S1088" s="142"/>
      <c r="T1088" s="9"/>
      <c r="U1088" s="9"/>
      <c r="V1088" s="140"/>
      <c r="W1088" s="9"/>
      <c r="X1088" s="156"/>
      <c r="Y1088" s="918">
        <f t="shared" si="70"/>
        <v>1079</v>
      </c>
      <c r="AA1088" s="9"/>
      <c r="AC1088" s="9" t="str">
        <f t="shared" si="71"/>
        <v/>
      </c>
      <c r="AE1088" s="44" t="str">
        <f t="shared" si="72"/>
        <v/>
      </c>
    </row>
    <row r="1089" spans="1:31">
      <c r="B1089" s="49"/>
      <c r="C1089" s="49"/>
      <c r="D1089" s="49" t="s">
        <v>24</v>
      </c>
      <c r="E1089" s="9">
        <f>+G1089-Adjustments!G1081</f>
        <v>0</v>
      </c>
      <c r="F1089" s="9">
        <f>'Rate Base'!$T$138</f>
        <v>3863.92</v>
      </c>
      <c r="G1089" s="9">
        <f>+Adjustments!U1070</f>
        <v>0</v>
      </c>
      <c r="H1089" s="9"/>
      <c r="I1089" s="9">
        <f t="shared" si="73"/>
        <v>3863.92</v>
      </c>
      <c r="J1089" s="9">
        <f>+I1089-'ROR-Model'!I1089</f>
        <v>0</v>
      </c>
      <c r="K1089" s="9"/>
      <c r="L1089" s="9" t="s">
        <v>24</v>
      </c>
      <c r="M1089" s="9">
        <f>VLOOKUP($L1089,$L$2:$N$7,2,FALSE)*I1089</f>
        <v>0</v>
      </c>
      <c r="N1089" s="9">
        <f>VLOOKUP($L1089,$L$2:$N$7,3,FALSE)*I1089</f>
        <v>3863.92</v>
      </c>
      <c r="O1089" s="136"/>
      <c r="P1089" s="216" t="s">
        <v>549</v>
      </c>
      <c r="Q1089" s="9">
        <f>IF(P1089="G",M1089,IF(P1089="PT",0,ERR))</f>
        <v>0</v>
      </c>
      <c r="R1089" s="9">
        <f>IF(P1089="PT",M1089,IF(P1089="G",0,ERR))</f>
        <v>0</v>
      </c>
      <c r="S1089" s="142" t="s">
        <v>549</v>
      </c>
      <c r="T1089" s="9">
        <f>IF(S1089="G",N1089,IF(S1089="PT",0,ERR))</f>
        <v>3863.92</v>
      </c>
      <c r="U1089" s="9">
        <f>IF(S1089="PT",N1089,IF(S1089="G",0,ERR))</f>
        <v>0</v>
      </c>
      <c r="V1089" s="140"/>
      <c r="W1089" s="9">
        <f>HLOOKUP($W$9,'ROR-Model'!$Q$10:$U$1263,Y1089)</f>
        <v>0</v>
      </c>
      <c r="X1089" s="156"/>
      <c r="Y1089" s="918">
        <f t="shared" si="70"/>
        <v>1080</v>
      </c>
      <c r="AA1089" s="9">
        <v>49809.310000000056</v>
      </c>
      <c r="AC1089" s="9">
        <f t="shared" si="71"/>
        <v>-49809.310000000056</v>
      </c>
      <c r="AE1089" s="44">
        <f t="shared" si="72"/>
        <v>-1</v>
      </c>
    </row>
    <row r="1090" spans="1:31">
      <c r="B1090" s="49"/>
      <c r="C1090" s="49"/>
      <c r="D1090" s="49" t="s">
        <v>13</v>
      </c>
      <c r="E1090" s="9">
        <f>+G1090-Adjustments!G1082</f>
        <v>3143.0395833333023</v>
      </c>
      <c r="F1090" s="9">
        <f>'Rate Base'!$T$139</f>
        <v>322484.51</v>
      </c>
      <c r="G1090" s="9">
        <f>+Adjustments!U1071</f>
        <v>3143.0395833333023</v>
      </c>
      <c r="H1090" s="9"/>
      <c r="I1090" s="9">
        <f t="shared" si="73"/>
        <v>325627.54958333331</v>
      </c>
      <c r="J1090" s="9">
        <f>+I1090-'ROR-Model'!I1090</f>
        <v>0</v>
      </c>
      <c r="K1090" s="9"/>
      <c r="L1090" s="9" t="s">
        <v>13</v>
      </c>
      <c r="M1090" s="9">
        <f>VLOOKUP($L1090,$L$2:$N$7,2,FALSE)*I1090</f>
        <v>325627.54958333331</v>
      </c>
      <c r="N1090" s="9">
        <f>VLOOKUP($L1090,$L$2:$N$7,3,FALSE)*I1090</f>
        <v>0</v>
      </c>
      <c r="O1090" s="136"/>
      <c r="P1090" s="216" t="s">
        <v>549</v>
      </c>
      <c r="Q1090" s="9">
        <f>IF(P1090="G",M1090,IF(P1090="PT",0,ERR))</f>
        <v>325627.54958333331</v>
      </c>
      <c r="R1090" s="9">
        <f>IF(P1090="PT",M1090,IF(P1090="G",0,ERR))</f>
        <v>0</v>
      </c>
      <c r="S1090" s="142" t="s">
        <v>549</v>
      </c>
      <c r="T1090" s="9">
        <f>IF(S1090="G",N1090,IF(S1090="PT",0,ERR))</f>
        <v>0</v>
      </c>
      <c r="U1090" s="9">
        <f>IF(S1090="PT",N1090,IF(S1090="G",0,ERR))</f>
        <v>0</v>
      </c>
      <c r="V1090" s="140"/>
      <c r="W1090" s="9">
        <f>HLOOKUP($W$9,'ROR-Model'!$Q$10:$U$1263,Y1090)</f>
        <v>325627.54958333331</v>
      </c>
      <c r="X1090" s="156"/>
      <c r="Y1090" s="918">
        <f t="shared" si="70"/>
        <v>1081</v>
      </c>
      <c r="AA1090" s="9">
        <v>0</v>
      </c>
      <c r="AC1090" s="9" t="str">
        <f t="shared" si="71"/>
        <v/>
      </c>
      <c r="AE1090" s="44" t="str">
        <f t="shared" si="72"/>
        <v/>
      </c>
    </row>
    <row r="1091" spans="1:31">
      <c r="B1091" s="49"/>
      <c r="C1091" s="49"/>
      <c r="D1091" s="49" t="s">
        <v>584</v>
      </c>
      <c r="E1091" s="9">
        <f>+G1091-Adjustments!G1083</f>
        <v>0</v>
      </c>
      <c r="F1091" s="9">
        <f>'Rate Base'!$T$140</f>
        <v>0</v>
      </c>
      <c r="G1091" s="9">
        <f>+Adjustments!U1072</f>
        <v>0</v>
      </c>
      <c r="H1091" s="9"/>
      <c r="I1091" s="9">
        <f t="shared" si="73"/>
        <v>0</v>
      </c>
      <c r="J1091" s="9">
        <f>+I1091-'ROR-Model'!I1091</f>
        <v>0</v>
      </c>
      <c r="K1091" s="9"/>
      <c r="L1091" s="9" t="s">
        <v>458</v>
      </c>
      <c r="M1091" s="9">
        <f>VLOOKUP($L1091,$L$2:$N$7,2,FALSE)*I1091</f>
        <v>0</v>
      </c>
      <c r="N1091" s="9">
        <f>VLOOKUP($L1091,$L$2:$N$7,3,FALSE)*I1091</f>
        <v>0</v>
      </c>
      <c r="O1091" s="136"/>
      <c r="P1091" s="216" t="s">
        <v>549</v>
      </c>
      <c r="Q1091" s="9">
        <f>IF(P1091="G",M1091,IF(P1091="PT",0,ERR))</f>
        <v>0</v>
      </c>
      <c r="R1091" s="9">
        <f>IF(P1091="PT",M1091,IF(P1091="G",0,ERR))</f>
        <v>0</v>
      </c>
      <c r="S1091" s="142" t="s">
        <v>549</v>
      </c>
      <c r="T1091" s="9">
        <f>IF(S1091="G",N1091,IF(S1091="PT",0,ERR))</f>
        <v>0</v>
      </c>
      <c r="U1091" s="9">
        <f>IF(S1091="PT",N1091,IF(S1091="G",0,ERR))</f>
        <v>0</v>
      </c>
      <c r="V1091" s="140"/>
      <c r="W1091" s="9">
        <f>HLOOKUP($W$9,'ROR-Model'!$Q$10:$U$1263,Y1091)</f>
        <v>0</v>
      </c>
      <c r="X1091" s="156"/>
      <c r="Y1091" s="918">
        <f t="shared" si="70"/>
        <v>1082</v>
      </c>
      <c r="AA1091" s="9">
        <v>49809.310000000056</v>
      </c>
      <c r="AC1091" s="9">
        <f t="shared" si="71"/>
        <v>-49809.310000000056</v>
      </c>
      <c r="AE1091" s="44">
        <f t="shared" si="72"/>
        <v>-1</v>
      </c>
    </row>
    <row r="1092" spans="1:31">
      <c r="B1092" s="49"/>
      <c r="C1092" s="49"/>
      <c r="D1092" s="49" t="s">
        <v>160</v>
      </c>
      <c r="E1092" s="9">
        <f>+G1092-Adjustments!G1084</f>
        <v>3143.0395833333023</v>
      </c>
      <c r="F1092" s="9">
        <f>'Rate Base'!$T$141</f>
        <v>326348.43</v>
      </c>
      <c r="G1092" s="9">
        <f>+Adjustments!U1073</f>
        <v>3143.0395833333023</v>
      </c>
      <c r="H1092" s="9"/>
      <c r="I1092" s="9">
        <f t="shared" si="73"/>
        <v>329491.4695833333</v>
      </c>
      <c r="J1092" s="9">
        <f>+I1092-'ROR-Model'!I1092</f>
        <v>0</v>
      </c>
      <c r="K1092" s="9"/>
      <c r="L1092" s="9" t="s">
        <v>160</v>
      </c>
      <c r="M1092" s="9">
        <f>SUM(M1089:M1091)</f>
        <v>325627.54958333331</v>
      </c>
      <c r="N1092" s="9">
        <f>SUM(N1089:N1091)</f>
        <v>3863.92</v>
      </c>
      <c r="O1092" s="136"/>
      <c r="P1092" s="216" t="s">
        <v>549</v>
      </c>
      <c r="Q1092" s="9">
        <f>IF(P1092="G",M1092,IF(P1092="PT",0,ERR))</f>
        <v>325627.54958333331</v>
      </c>
      <c r="R1092" s="9">
        <f>IF(P1092="PT",M1092,IF(P1092="G",0,ERR))</f>
        <v>0</v>
      </c>
      <c r="S1092" s="142" t="s">
        <v>549</v>
      </c>
      <c r="T1092" s="9">
        <f>IF(S1092="G",N1092,IF(S1092="PT",0,ERR))</f>
        <v>3863.92</v>
      </c>
      <c r="U1092" s="9">
        <f>IF(S1092="PT",N1092,IF(S1092="G",0,ERR))</f>
        <v>0</v>
      </c>
      <c r="V1092" s="140"/>
      <c r="W1092" s="9">
        <f>HLOOKUP($W$9,'ROR-Model'!$Q$10:$U$1263,Y1092)</f>
        <v>325627.54958333331</v>
      </c>
      <c r="X1092" s="156"/>
      <c r="Y1092" s="918">
        <f t="shared" si="70"/>
        <v>1083</v>
      </c>
      <c r="AA1092" s="9"/>
      <c r="AC1092" s="9" t="str">
        <f t="shared" si="71"/>
        <v/>
      </c>
      <c r="AE1092" s="44" t="str">
        <f t="shared" si="72"/>
        <v/>
      </c>
    </row>
    <row r="1093" spans="1:31">
      <c r="B1093" s="49"/>
      <c r="C1093" s="49"/>
      <c r="D1093" s="49"/>
      <c r="E1093" s="9">
        <f>+G1093-Adjustments!G1085</f>
        <v>0</v>
      </c>
      <c r="F1093" s="9"/>
      <c r="G1093" s="9"/>
      <c r="H1093" s="9"/>
      <c r="I1093" s="9"/>
      <c r="J1093" s="9">
        <f>+I1093-'ROR-Model'!I1093</f>
        <v>0</v>
      </c>
      <c r="K1093" s="9"/>
      <c r="L1093" s="9"/>
      <c r="M1093" s="9"/>
      <c r="N1093" s="9"/>
      <c r="O1093" s="136"/>
      <c r="P1093" s="216"/>
      <c r="Q1093" s="9"/>
      <c r="R1093" s="9"/>
      <c r="S1093" s="142"/>
      <c r="T1093" s="9"/>
      <c r="U1093" s="9"/>
      <c r="V1093" s="140"/>
      <c r="W1093" s="9"/>
      <c r="X1093" s="156"/>
      <c r="Y1093" s="918">
        <f t="shared" si="70"/>
        <v>1084</v>
      </c>
      <c r="AA1093" s="9"/>
      <c r="AC1093" s="9" t="str">
        <f t="shared" si="71"/>
        <v/>
      </c>
      <c r="AE1093" s="44" t="str">
        <f t="shared" si="72"/>
        <v/>
      </c>
    </row>
    <row r="1094" spans="1:31">
      <c r="A1094" s="49"/>
      <c r="B1094" s="49" t="s">
        <v>262</v>
      </c>
      <c r="C1094" s="49"/>
      <c r="E1094" s="9">
        <f>+G1094-Adjustments!G1092</f>
        <v>2138879.1266666506</v>
      </c>
      <c r="F1094" s="9">
        <f>F1092+F1086+F1081+F1075+F1069+F1063+F1058+F1052+F1046+F1040</f>
        <v>265546026.53</v>
      </c>
      <c r="G1094" s="9">
        <f>G1092+G1086+G1081+G1075+G1069+G1063+G1058+G1052+G1046+G1040</f>
        <v>2138879.1266666506</v>
      </c>
      <c r="H1094" s="9">
        <f>SUM(H1037:H1093)</f>
        <v>0</v>
      </c>
      <c r="I1094" s="9">
        <f>I1092+I1086+I1081+I1075+I1069+I1063+I1058+I1052+I1046+I1040</f>
        <v>267684905.65666667</v>
      </c>
      <c r="J1094" s="9">
        <f>+I1094-'ROR-Model'!I1094</f>
        <v>0</v>
      </c>
      <c r="K1094" s="9"/>
      <c r="L1094" s="9"/>
      <c r="M1094" s="9">
        <f>M1092+M1086+M1081+M1075+M1069+M1063+M1058+M1052+M1046+M1040</f>
        <v>256420583.76026756</v>
      </c>
      <c r="N1094" s="9">
        <f>N1092+N1086+N1081+N1075+N1069+N1063+N1058+N1052+N1046+N1040</f>
        <v>11264321.896399077</v>
      </c>
      <c r="O1094" s="136"/>
      <c r="P1094" s="142"/>
      <c r="Q1094" s="9">
        <f>Q1092+Q1086+Q1081+Q1075+Q1069+Q1063+Q1058+Q1052+Q1046+Q1040</f>
        <v>256420583.76026756</v>
      </c>
      <c r="R1094" s="9">
        <f>R1092+R1086+R1081+R1075+R1069+R1063+R1058+R1052+R1046+R1040</f>
        <v>0</v>
      </c>
      <c r="S1094" s="142"/>
      <c r="T1094" s="9">
        <f>T1092+T1086+T1081+T1075+T1069+T1063+T1058+T1052+T1046+T1040</f>
        <v>11264321.896399077</v>
      </c>
      <c r="U1094" s="9">
        <f>U1092+U1086+U1081+U1075+U1069+U1063+U1058+U1052+U1046+U1040</f>
        <v>0</v>
      </c>
      <c r="V1094" s="140"/>
      <c r="W1094" s="9">
        <f>W1092+W1086+W1081+W1075+W1069+W1063+W1058+W1052+W1046+W1040</f>
        <v>256420583.76026756</v>
      </c>
      <c r="X1094" s="156"/>
      <c r="Y1094" s="1245">
        <f t="shared" si="70"/>
        <v>1085</v>
      </c>
      <c r="AA1094" s="9">
        <v>3863.92</v>
      </c>
      <c r="AC1094" s="9">
        <f t="shared" ref="AC1094:AC1157" si="74">IF(ABS(AA1094)&gt;0,W1094-AA1094,"")</f>
        <v>256416719.84026757</v>
      </c>
      <c r="AE1094" s="44">
        <f t="shared" si="72"/>
        <v>66361.808691760583</v>
      </c>
    </row>
    <row r="1095" spans="1:31" ht="13.5" thickBot="1">
      <c r="A1095" s="130"/>
      <c r="B1095" s="58"/>
      <c r="C1095" s="58"/>
      <c r="D1095" s="58"/>
      <c r="E1095" s="26">
        <f>+G1095-Adjustments!G1093</f>
        <v>0</v>
      </c>
      <c r="F1095" s="26"/>
      <c r="G1095" s="26"/>
      <c r="H1095" s="26"/>
      <c r="I1095" s="26"/>
      <c r="J1095" s="9">
        <f>+I1095-'ROR-Model'!I1095</f>
        <v>0</v>
      </c>
      <c r="K1095" s="26"/>
      <c r="L1095" s="26"/>
      <c r="M1095" s="26"/>
      <c r="N1095" s="26"/>
      <c r="O1095" s="136"/>
      <c r="P1095" s="26"/>
      <c r="Q1095" s="26"/>
      <c r="R1095" s="26"/>
      <c r="S1095" s="227"/>
      <c r="T1095" s="26"/>
      <c r="U1095" s="26"/>
      <c r="V1095" s="140"/>
      <c r="W1095" s="26"/>
      <c r="X1095" s="156"/>
      <c r="Y1095" s="918">
        <f t="shared" ref="Y1095:Y1161" si="75">Y1094+1</f>
        <v>1086</v>
      </c>
      <c r="AA1095" s="26">
        <v>0</v>
      </c>
      <c r="AC1095" s="26" t="str">
        <f t="shared" si="74"/>
        <v/>
      </c>
      <c r="AE1095" s="44" t="str">
        <f t="shared" ref="AE1095:AE1158" si="76">IF(ABS(AA1095)&gt;0,AC1095/AA1095,"")</f>
        <v/>
      </c>
    </row>
    <row r="1096" spans="1:31" ht="13.5" thickTop="1">
      <c r="A1096" s="130"/>
      <c r="B1096" s="58"/>
      <c r="C1096" s="58"/>
      <c r="D1096" s="58"/>
      <c r="E1096" s="9">
        <f>+G1096-Adjustments!G1094</f>
        <v>0</v>
      </c>
      <c r="F1096" s="9"/>
      <c r="G1096" s="9"/>
      <c r="H1096" s="9"/>
      <c r="I1096" s="9"/>
      <c r="J1096" s="9">
        <f>+I1096-'ROR-Model'!I1096</f>
        <v>0</v>
      </c>
      <c r="K1096" s="9"/>
      <c r="L1096" s="9"/>
      <c r="M1096" s="9"/>
      <c r="N1096" s="9"/>
      <c r="O1096" s="136"/>
      <c r="P1096" s="9"/>
      <c r="Q1096" s="9"/>
      <c r="R1096" s="9"/>
      <c r="S1096" s="142"/>
      <c r="T1096" s="9"/>
      <c r="U1096" s="9"/>
      <c r="V1096" s="140"/>
      <c r="W1096" s="9"/>
      <c r="X1096" s="156"/>
      <c r="Y1096" s="918">
        <f t="shared" si="75"/>
        <v>1087</v>
      </c>
      <c r="AA1096" s="9">
        <v>0</v>
      </c>
      <c r="AC1096" s="9" t="str">
        <f t="shared" si="74"/>
        <v/>
      </c>
      <c r="AE1096" s="44" t="str">
        <f t="shared" si="76"/>
        <v/>
      </c>
    </row>
    <row r="1097" spans="1:31">
      <c r="A1097" s="195" t="s">
        <v>191</v>
      </c>
      <c r="B1097" s="576" t="s">
        <v>648</v>
      </c>
      <c r="C1097" s="52"/>
      <c r="D1097" s="52"/>
      <c r="E1097" s="9">
        <f>+G1097-Adjustments!G1095</f>
        <v>0</v>
      </c>
      <c r="F1097" s="9"/>
      <c r="G1097" s="9"/>
      <c r="H1097" s="9"/>
      <c r="I1097" s="9"/>
      <c r="J1097" s="9">
        <f>+I1097-'ROR-Model'!I1097</f>
        <v>0</v>
      </c>
      <c r="K1097" s="9"/>
      <c r="L1097" s="9"/>
      <c r="M1097" s="9"/>
      <c r="N1097" s="9"/>
      <c r="O1097" s="136"/>
      <c r="P1097" s="142"/>
      <c r="Q1097" s="9"/>
      <c r="R1097" s="9"/>
      <c r="S1097" s="142"/>
      <c r="T1097" s="9"/>
      <c r="U1097" s="9"/>
      <c r="V1097" s="140"/>
      <c r="W1097" s="9"/>
      <c r="X1097" s="156"/>
      <c r="Y1097" s="918">
        <f t="shared" si="75"/>
        <v>1088</v>
      </c>
      <c r="AA1097" s="9">
        <v>3863.92</v>
      </c>
      <c r="AC1097" s="9">
        <f t="shared" si="74"/>
        <v>-3863.92</v>
      </c>
      <c r="AE1097" s="44">
        <f t="shared" si="76"/>
        <v>-1</v>
      </c>
    </row>
    <row r="1098" spans="1:31">
      <c r="A1098" s="195"/>
      <c r="B1098" s="52"/>
      <c r="C1098" s="52" t="s">
        <v>427</v>
      </c>
      <c r="D1098" s="52"/>
      <c r="E1098" s="9">
        <f>+G1098-Adjustments!G1096</f>
        <v>-5037992.5680000009</v>
      </c>
      <c r="F1098" s="9">
        <f>F980</f>
        <v>79968136</v>
      </c>
      <c r="G1098" s="9">
        <f>G980</f>
        <v>-5037992.5680000009</v>
      </c>
      <c r="H1098" s="9">
        <f>H980</f>
        <v>0</v>
      </c>
      <c r="I1098" s="9">
        <f>I980</f>
        <v>74930143.431999996</v>
      </c>
      <c r="J1098" s="9">
        <f>+I1098-'ROR-Model'!I1098</f>
        <v>0</v>
      </c>
      <c r="K1098" s="9"/>
      <c r="L1098" s="9" t="s">
        <v>679</v>
      </c>
      <c r="M1098" s="9">
        <f>M980</f>
        <v>72292570.682765931</v>
      </c>
      <c r="N1098" s="9">
        <f>N980</f>
        <v>2637572.7492340435</v>
      </c>
      <c r="O1098" s="136"/>
      <c r="P1098" s="216" t="s">
        <v>549</v>
      </c>
      <c r="Q1098" s="9">
        <f>Q980</f>
        <v>72292570.682765931</v>
      </c>
      <c r="R1098" s="9">
        <f>R980</f>
        <v>0</v>
      </c>
      <c r="S1098" s="142" t="s">
        <v>548</v>
      </c>
      <c r="T1098" s="9">
        <f>T980</f>
        <v>0</v>
      </c>
      <c r="U1098" s="9">
        <f>U980</f>
        <v>2637572.7492340435</v>
      </c>
      <c r="V1098" s="140"/>
      <c r="W1098" s="9">
        <f>HLOOKUP($W$9,'ROR-Model'!$Q$10:$U$1263,Y1098)</f>
        <v>72292570.682765931</v>
      </c>
      <c r="X1098" s="156"/>
      <c r="Y1098" s="918">
        <f t="shared" si="75"/>
        <v>1089</v>
      </c>
      <c r="AA1098" s="9"/>
      <c r="AC1098" s="9" t="str">
        <f t="shared" si="74"/>
        <v/>
      </c>
      <c r="AE1098" s="44" t="str">
        <f t="shared" si="76"/>
        <v/>
      </c>
    </row>
    <row r="1099" spans="1:31">
      <c r="A1099" s="195"/>
      <c r="B1099" s="52"/>
      <c r="C1099" s="52" t="s">
        <v>581</v>
      </c>
      <c r="D1099" s="52"/>
      <c r="E1099" s="9">
        <f>+G1099-Adjustments!G1097</f>
        <v>-3501427.2265000017</v>
      </c>
      <c r="F1099" s="9">
        <f>F1030+F1025+F1020+F1015+F1010+F1005+F997+F989+F984+F966</f>
        <v>82055245.603999987</v>
      </c>
      <c r="G1099" s="9">
        <f>G1030+G1025+G1020+G1015+G1010+G1005+G997+G989+G984+G966</f>
        <v>-3501427.2265000017</v>
      </c>
      <c r="H1099" s="9">
        <f>H1030+H1025+H1020+H1015+H1010+H1005+H997+H989+H984+H966</f>
        <v>0</v>
      </c>
      <c r="I1099" s="9">
        <f>I1030+I1025+I1020+I1015+I1010+I1005+I997+I989+I984+I966</f>
        <v>78553818.377499998</v>
      </c>
      <c r="J1099" s="9">
        <f>+I1099-'ROR-Model'!I1099</f>
        <v>0</v>
      </c>
      <c r="K1099" s="9"/>
      <c r="L1099" s="9" t="s">
        <v>24</v>
      </c>
      <c r="M1099" s="9">
        <f>M1030+M1025+M1020+M1015+M1010+M1005+M997+M989+M984+M966</f>
        <v>0</v>
      </c>
      <c r="N1099" s="9">
        <f>N1030+N1025+N1020+N1015+N1010+N1005+N997+N989+N984+N966</f>
        <v>78553818.377499998</v>
      </c>
      <c r="O1099" s="136"/>
      <c r="P1099" s="216" t="s">
        <v>549</v>
      </c>
      <c r="Q1099" s="9">
        <f>Q1030+Q1025+Q1020+Q1015+Q1010+Q1005+Q997+Q989+Q984+Q966</f>
        <v>0</v>
      </c>
      <c r="R1099" s="9">
        <f>R1030+R1025+R1020+R1015+R1010+R1005+R997+R989+R984+R966</f>
        <v>0</v>
      </c>
      <c r="S1099" s="142" t="s">
        <v>549</v>
      </c>
      <c r="T1099" s="9">
        <f>T1030+T1025+T1020+T1015+T1010+T1005+T997+T989+T984+T966</f>
        <v>78553818.377499998</v>
      </c>
      <c r="U1099" s="9">
        <f>U1030+U1025+U1020+U1015+U1010+U1005+U997+U989+U984+U966</f>
        <v>0</v>
      </c>
      <c r="V1099" s="140"/>
      <c r="W1099" s="9">
        <f>HLOOKUP($W$9,'ROR-Model'!$Q$10:$U$1263,Y1099)</f>
        <v>0</v>
      </c>
      <c r="X1099" s="156"/>
      <c r="Y1099" s="918">
        <f t="shared" si="75"/>
        <v>1090</v>
      </c>
      <c r="AA1099" s="9"/>
      <c r="AC1099" s="9" t="str">
        <f t="shared" si="74"/>
        <v/>
      </c>
      <c r="AE1099" s="44" t="str">
        <f t="shared" si="76"/>
        <v/>
      </c>
    </row>
    <row r="1100" spans="1:31">
      <c r="A1100" s="195"/>
      <c r="B1100" s="52"/>
      <c r="C1100" s="52" t="s">
        <v>582</v>
      </c>
      <c r="D1100" s="52"/>
      <c r="E1100" s="9">
        <f>+G1100-Adjustments!G1098</f>
        <v>-91727287.090166748</v>
      </c>
      <c r="F1100" s="9">
        <f>+F1031+F1026+F1021+F1016+F1011+F1006+F1001+F990+F985+F967</f>
        <v>2447896239.6560001</v>
      </c>
      <c r="G1100" s="9">
        <f>+G1031+G1026+G1021+G1016+G1011+G1006+G1001+G990+G985+G967</f>
        <v>-91727287.090166748</v>
      </c>
      <c r="H1100" s="9">
        <f>+H1031+H1026+H1021+H1016+H1011+H1006+H1001+H990+H985+H967</f>
        <v>0</v>
      </c>
      <c r="I1100" s="9">
        <f>+I1031+I1026+I1021+I1016+I1011+I1006+I1001+I990+I985+I967</f>
        <v>2356168952.5658336</v>
      </c>
      <c r="J1100" s="9">
        <f>+I1100-'ROR-Model'!I1100</f>
        <v>0</v>
      </c>
      <c r="K1100" s="9"/>
      <c r="L1100" s="9" t="s">
        <v>13</v>
      </c>
      <c r="M1100" s="9">
        <f>+M1031+M1026+M1021+M1016+M1011+M1006+M1001+M990+M985+M967</f>
        <v>2356168952.5658336</v>
      </c>
      <c r="N1100" s="9">
        <f>+N1031+N1026+N1021+N1016+N1011+N1006+N1001+N990+N985+N967</f>
        <v>0</v>
      </c>
      <c r="O1100" s="136"/>
      <c r="P1100" s="216" t="s">
        <v>549</v>
      </c>
      <c r="Q1100" s="9">
        <f>+Q1031+Q1026+Q1021+Q1016+Q1011+Q1006+Q1001+Q990+Q985+Q967</f>
        <v>2356168952.5658336</v>
      </c>
      <c r="R1100" s="9">
        <f>+R1031+R1026+R1021+R1016+R1011+R1006+R1001+R990+R985+R967</f>
        <v>0</v>
      </c>
      <c r="S1100" s="142" t="s">
        <v>549</v>
      </c>
      <c r="T1100" s="9">
        <f>+T1031+T1026+T1021+T1016+T1011+T1006+T1001+T990+T985+T967</f>
        <v>0</v>
      </c>
      <c r="U1100" s="9">
        <f>+U1031+U1026+U1021+U1016+U1011+U1006+U1001+U990+U985+U967</f>
        <v>0</v>
      </c>
      <c r="V1100" s="140"/>
      <c r="W1100" s="9">
        <f>HLOOKUP($W$9,'ROR-Model'!$Q$10:$U$1263,Y1100)</f>
        <v>2356168952.5658336</v>
      </c>
      <c r="X1100" s="156"/>
      <c r="Y1100" s="918">
        <f t="shared" si="75"/>
        <v>1091</v>
      </c>
      <c r="AA1100" s="9">
        <v>0</v>
      </c>
      <c r="AC1100" s="9" t="str">
        <f t="shared" si="74"/>
        <v/>
      </c>
      <c r="AE1100" s="44" t="str">
        <f t="shared" si="76"/>
        <v/>
      </c>
    </row>
    <row r="1101" spans="1:31">
      <c r="A1101" s="195"/>
      <c r="B1101" s="52"/>
      <c r="C1101" s="52" t="s">
        <v>584</v>
      </c>
      <c r="D1101" s="52"/>
      <c r="E1101" s="9">
        <f>+G1101-Adjustments!G1099</f>
        <v>2138879.1266666506</v>
      </c>
      <c r="F1101" s="9">
        <f>F1094</f>
        <v>265546026.53</v>
      </c>
      <c r="G1101" s="9">
        <f>G1094</f>
        <v>2138879.1266666506</v>
      </c>
      <c r="H1101" s="9">
        <f>H1094</f>
        <v>0</v>
      </c>
      <c r="I1101" s="9">
        <f>I1094</f>
        <v>267684905.65666667</v>
      </c>
      <c r="J1101" s="9">
        <f>+I1101-'ROR-Model'!I1101</f>
        <v>0</v>
      </c>
      <c r="K1101" s="9"/>
      <c r="L1101" s="9" t="s">
        <v>458</v>
      </c>
      <c r="M1101" s="9">
        <f>M1094</f>
        <v>256420583.76026756</v>
      </c>
      <c r="N1101" s="9">
        <f>N1094</f>
        <v>11264321.896399077</v>
      </c>
      <c r="O1101" s="136"/>
      <c r="P1101" s="216" t="s">
        <v>549</v>
      </c>
      <c r="Q1101" s="9">
        <f>Q1094</f>
        <v>256420583.76026756</v>
      </c>
      <c r="R1101" s="9">
        <f>R1094</f>
        <v>0</v>
      </c>
      <c r="S1101" s="142" t="s">
        <v>549</v>
      </c>
      <c r="T1101" s="9">
        <f>T1094</f>
        <v>11264321.896399077</v>
      </c>
      <c r="U1101" s="9">
        <f>U1094</f>
        <v>0</v>
      </c>
      <c r="V1101" s="140"/>
      <c r="W1101" s="9">
        <f>HLOOKUP($W$9,'ROR-Model'!$Q$10:$U$1263,Y1101)</f>
        <v>256420583.76026756</v>
      </c>
      <c r="X1101" s="156"/>
      <c r="Y1101" s="918">
        <f t="shared" si="75"/>
        <v>1092</v>
      </c>
      <c r="AA1101" s="9">
        <v>0</v>
      </c>
      <c r="AC1101" s="9" t="str">
        <f t="shared" si="74"/>
        <v/>
      </c>
      <c r="AE1101" s="44" t="str">
        <f t="shared" si="76"/>
        <v/>
      </c>
    </row>
    <row r="1102" spans="1:31">
      <c r="A1102" s="195"/>
      <c r="B1102" s="52"/>
      <c r="C1102" s="323" t="s">
        <v>648</v>
      </c>
      <c r="D1102" s="52"/>
      <c r="E1102" s="157">
        <f>+G1102-Adjustments!G1100</f>
        <v>-98127827.758000106</v>
      </c>
      <c r="F1102" s="157">
        <f>SUM(F1098:F1101)</f>
        <v>2875465647.7900004</v>
      </c>
      <c r="G1102" s="100">
        <f>SUM(G1098:G1101)</f>
        <v>-98127827.758000106</v>
      </c>
      <c r="H1102" s="157">
        <f>SUM(H1098:H1101)</f>
        <v>0</v>
      </c>
      <c r="I1102" s="157">
        <f>SUM(I1098:I1101)</f>
        <v>2777337820.0320005</v>
      </c>
      <c r="J1102" s="9">
        <f>+I1102-'ROR-Model'!I1102</f>
        <v>0</v>
      </c>
      <c r="K1102" s="9"/>
      <c r="L1102" s="157"/>
      <c r="M1102" s="157">
        <f>SUM(M1098:M1101)</f>
        <v>2684882107.0088673</v>
      </c>
      <c r="N1102" s="157">
        <f>SUM(N1098:N1101)</f>
        <v>92455713.023133129</v>
      </c>
      <c r="O1102" s="136"/>
      <c r="P1102" s="226"/>
      <c r="Q1102" s="157">
        <f>SUM(Q1098:Q1101)</f>
        <v>2684882107.0088673</v>
      </c>
      <c r="R1102" s="157">
        <f>SUM(R1098:R1101)</f>
        <v>0</v>
      </c>
      <c r="S1102" s="226"/>
      <c r="T1102" s="157">
        <f>SUM(T1098:T1101)</f>
        <v>89818140.273899078</v>
      </c>
      <c r="U1102" s="157">
        <f>SUM(U1098:U1101)</f>
        <v>2637572.7492340435</v>
      </c>
      <c r="V1102" s="140"/>
      <c r="W1102" s="157">
        <f>HLOOKUP($W$9,'ROR-Model'!$Q$10:$U$1263,Y1102)</f>
        <v>2684882107.0088673</v>
      </c>
      <c r="X1102" s="156"/>
      <c r="Y1102" s="918">
        <f t="shared" si="75"/>
        <v>1093</v>
      </c>
      <c r="AA1102" s="157">
        <v>0</v>
      </c>
      <c r="AC1102" s="157" t="str">
        <f t="shared" si="74"/>
        <v/>
      </c>
      <c r="AE1102" s="44" t="str">
        <f t="shared" si="76"/>
        <v/>
      </c>
    </row>
    <row r="1103" spans="1:31">
      <c r="A1103" s="195"/>
      <c r="B1103" s="52"/>
      <c r="C1103" s="323"/>
      <c r="D1103" s="52"/>
      <c r="E1103" s="9">
        <f>+G1103-Adjustments!G1101</f>
        <v>0</v>
      </c>
      <c r="F1103" s="9"/>
      <c r="G1103" s="9"/>
      <c r="H1103" s="9"/>
      <c r="I1103" s="9"/>
      <c r="J1103" s="9">
        <f>+I1103-'ROR-Model'!I1103</f>
        <v>0</v>
      </c>
      <c r="K1103" s="9"/>
      <c r="L1103" s="9"/>
      <c r="M1103" s="9"/>
      <c r="N1103" s="9"/>
      <c r="O1103" s="136"/>
      <c r="P1103" s="142"/>
      <c r="Q1103" s="9"/>
      <c r="R1103" s="9"/>
      <c r="S1103" s="142"/>
      <c r="T1103" s="9"/>
      <c r="U1103" s="9"/>
      <c r="V1103" s="140"/>
      <c r="W1103" s="9"/>
      <c r="X1103" s="156"/>
      <c r="Y1103" s="918">
        <f t="shared" si="75"/>
        <v>1094</v>
      </c>
      <c r="AA1103" s="9"/>
      <c r="AC1103" s="9" t="str">
        <f t="shared" si="74"/>
        <v/>
      </c>
      <c r="AE1103" s="44" t="str">
        <f t="shared" si="76"/>
        <v/>
      </c>
    </row>
    <row r="1104" spans="1:31">
      <c r="A1104" s="154">
        <v>105</v>
      </c>
      <c r="B1104" s="49" t="s">
        <v>285</v>
      </c>
      <c r="C1104" s="49"/>
      <c r="D1104" s="49"/>
      <c r="E1104" s="9">
        <f>+G1104-Adjustments!G1102</f>
        <v>0</v>
      </c>
      <c r="F1104" s="9"/>
      <c r="G1104" s="9"/>
      <c r="H1104" s="9"/>
      <c r="I1104" s="9"/>
      <c r="J1104" s="9">
        <f>+I1104-'ROR-Model'!I1104</f>
        <v>0</v>
      </c>
      <c r="K1104" s="9"/>
      <c r="L1104" s="9"/>
      <c r="M1104" s="9"/>
      <c r="N1104" s="9"/>
      <c r="O1104" s="136"/>
      <c r="P1104" s="142"/>
      <c r="Q1104" s="9"/>
      <c r="R1104" s="9"/>
      <c r="S1104" s="142"/>
      <c r="T1104" s="9"/>
      <c r="U1104" s="9"/>
      <c r="V1104" s="140"/>
      <c r="W1104" s="9"/>
      <c r="X1104" s="156"/>
      <c r="Y1104" s="918">
        <f t="shared" si="75"/>
        <v>1095</v>
      </c>
      <c r="AA1104" s="9"/>
      <c r="AC1104" s="9" t="str">
        <f t="shared" si="74"/>
        <v/>
      </c>
      <c r="AE1104" s="44" t="str">
        <f t="shared" si="76"/>
        <v/>
      </c>
    </row>
    <row r="1105" spans="1:31">
      <c r="A1105" s="154"/>
      <c r="B1105" s="49"/>
      <c r="C1105" s="49" t="s">
        <v>582</v>
      </c>
      <c r="D1105" s="49"/>
      <c r="E1105" s="9">
        <f>+G1105-Adjustments!G1103</f>
        <v>0</v>
      </c>
      <c r="F1105" s="9">
        <f>+'Rate Base'!$T$153</f>
        <v>5036.83</v>
      </c>
      <c r="G1105" s="9">
        <f>+Adjustments!U1085</f>
        <v>0</v>
      </c>
      <c r="H1105" s="9"/>
      <c r="I1105" s="9">
        <f>SUM($F$1105:$H$1105)</f>
        <v>5036.83</v>
      </c>
      <c r="J1105" s="9">
        <f>+I1105-'ROR-Model'!I1105</f>
        <v>0</v>
      </c>
      <c r="K1105" s="9"/>
      <c r="L1105" s="9" t="s">
        <v>13</v>
      </c>
      <c r="M1105" s="9">
        <f>VLOOKUP($L1105,$L$2:$N$7,2,FALSE)*I1105</f>
        <v>5036.83</v>
      </c>
      <c r="N1105" s="9">
        <f>VLOOKUP($L1105,$L$2:$N$7,3,FALSE)*I1105</f>
        <v>0</v>
      </c>
      <c r="O1105" s="136"/>
      <c r="P1105" s="216" t="s">
        <v>549</v>
      </c>
      <c r="Q1105" s="9">
        <f>IF(P1105="G",M1105,IF(P1105="PT",0,ERR))</f>
        <v>5036.83</v>
      </c>
      <c r="R1105" s="9">
        <f>IF(P1105="PT",M1105,IF(P1105="G",0,ERR))</f>
        <v>0</v>
      </c>
      <c r="S1105" s="142" t="s">
        <v>549</v>
      </c>
      <c r="T1105" s="9">
        <f>IF(S1105="G",N1105,IF(S1105="PT",0,ERR))</f>
        <v>0</v>
      </c>
      <c r="U1105" s="9">
        <f>IF(S1105="PT",N1105,IF(S1105="G",0,ERR))</f>
        <v>0</v>
      </c>
      <c r="V1105" s="140"/>
      <c r="W1105" s="9">
        <f>HLOOKUP($W$9,'ROR-Model'!$Q$10:$U$1263,Y1105)</f>
        <v>5036.83</v>
      </c>
      <c r="X1105" s="156"/>
      <c r="Y1105" s="918">
        <f t="shared" si="75"/>
        <v>1096</v>
      </c>
      <c r="AA1105" s="9">
        <v>9283690.9945679773</v>
      </c>
      <c r="AC1105" s="9">
        <f t="shared" si="74"/>
        <v>-9278654.1645679772</v>
      </c>
      <c r="AE1105" s="44">
        <f t="shared" si="76"/>
        <v>-0.9994574539369151</v>
      </c>
    </row>
    <row r="1106" spans="1:31">
      <c r="A1106" s="154"/>
      <c r="B1106" s="49"/>
      <c r="C1106" s="49" t="s">
        <v>160</v>
      </c>
      <c r="D1106" s="49"/>
      <c r="E1106" s="157">
        <f>+G1106-Adjustments!G1104</f>
        <v>0</v>
      </c>
      <c r="F1106" s="157">
        <f>SUM(F1105)</f>
        <v>5036.83</v>
      </c>
      <c r="G1106" s="157">
        <f>SUM(G1105)</f>
        <v>0</v>
      </c>
      <c r="H1106" s="157">
        <f>SUM(H1105)</f>
        <v>0</v>
      </c>
      <c r="I1106" s="157">
        <f>SUM(I1105)</f>
        <v>5036.83</v>
      </c>
      <c r="J1106" s="9">
        <f>+I1106-'ROR-Model'!I1106</f>
        <v>0</v>
      </c>
      <c r="K1106" s="9"/>
      <c r="L1106" s="157"/>
      <c r="M1106" s="157">
        <f>SUM(M1105)</f>
        <v>5036.83</v>
      </c>
      <c r="N1106" s="157">
        <f>SUM(N1105)</f>
        <v>0</v>
      </c>
      <c r="O1106" s="136"/>
      <c r="P1106" s="226"/>
      <c r="Q1106" s="157">
        <f>SUM(Q1105)</f>
        <v>5036.83</v>
      </c>
      <c r="R1106" s="157">
        <f>SUM(R1105)</f>
        <v>0</v>
      </c>
      <c r="S1106" s="226"/>
      <c r="T1106" s="157">
        <f>SUM(T1105)</f>
        <v>0</v>
      </c>
      <c r="U1106" s="157">
        <f>SUM(U1105)</f>
        <v>0</v>
      </c>
      <c r="V1106" s="140"/>
      <c r="W1106" s="157">
        <f>HLOOKUP($W$9,'ROR-Model'!$Q$10:$U$1263,Y1106)</f>
        <v>5036.83</v>
      </c>
      <c r="X1106" s="156"/>
      <c r="Y1106" s="918">
        <f t="shared" si="75"/>
        <v>1097</v>
      </c>
      <c r="AA1106" s="157"/>
      <c r="AC1106" s="157" t="str">
        <f t="shared" si="74"/>
        <v/>
      </c>
      <c r="AE1106" s="44" t="str">
        <f t="shared" si="76"/>
        <v/>
      </c>
    </row>
    <row r="1107" spans="1:31">
      <c r="A1107" s="154"/>
      <c r="B1107" s="49"/>
      <c r="C1107" s="49"/>
      <c r="D1107" s="49"/>
      <c r="E1107" s="9">
        <f>+G1107-Adjustments!G1105</f>
        <v>0</v>
      </c>
      <c r="F1107" s="9"/>
      <c r="G1107" s="9"/>
      <c r="H1107" s="9"/>
      <c r="I1107" s="9"/>
      <c r="J1107" s="9">
        <f>+I1107-'ROR-Model'!I1107</f>
        <v>0</v>
      </c>
      <c r="K1107" s="9"/>
      <c r="L1107" s="9"/>
      <c r="M1107" s="9"/>
      <c r="N1107" s="9"/>
      <c r="O1107" s="136"/>
      <c r="P1107" s="142"/>
      <c r="Q1107" s="9"/>
      <c r="R1107" s="9"/>
      <c r="S1107" s="142"/>
      <c r="T1107" s="9"/>
      <c r="U1107" s="9"/>
      <c r="V1107" s="140"/>
      <c r="W1107" s="9"/>
      <c r="X1107" s="156"/>
      <c r="Y1107" s="918">
        <f t="shared" si="75"/>
        <v>1098</v>
      </c>
      <c r="AA1107" s="9"/>
      <c r="AC1107" s="9" t="str">
        <f t="shared" si="74"/>
        <v/>
      </c>
      <c r="AE1107" s="44" t="str">
        <f t="shared" si="76"/>
        <v/>
      </c>
    </row>
    <row r="1108" spans="1:31">
      <c r="A1108" s="154">
        <v>106</v>
      </c>
      <c r="B1108" s="49" t="s">
        <v>649</v>
      </c>
      <c r="C1108" s="49"/>
      <c r="D1108" s="49"/>
      <c r="E1108" s="9">
        <f>+G1108-Adjustments!G1106</f>
        <v>0</v>
      </c>
      <c r="F1108" s="9"/>
      <c r="G1108" s="9"/>
      <c r="H1108" s="9"/>
      <c r="I1108" s="9"/>
      <c r="J1108" s="9">
        <f>+I1108-'ROR-Model'!I1108</f>
        <v>0</v>
      </c>
      <c r="K1108" s="9"/>
      <c r="L1108" s="9"/>
      <c r="M1108" s="9"/>
      <c r="N1108" s="9"/>
      <c r="O1108" s="136"/>
      <c r="P1108" s="142"/>
      <c r="Q1108" s="9"/>
      <c r="R1108" s="9"/>
      <c r="S1108" s="142"/>
      <c r="T1108" s="9"/>
      <c r="U1108" s="9"/>
      <c r="V1108" s="140"/>
      <c r="W1108" s="9"/>
      <c r="X1108" s="156"/>
      <c r="Y1108" s="918">
        <f t="shared" si="75"/>
        <v>1099</v>
      </c>
      <c r="AA1108" s="9"/>
      <c r="AC1108" s="9" t="str">
        <f t="shared" si="74"/>
        <v/>
      </c>
      <c r="AE1108" s="44" t="str">
        <f t="shared" si="76"/>
        <v/>
      </c>
    </row>
    <row r="1109" spans="1:31">
      <c r="A1109" s="154"/>
      <c r="B1109" s="49"/>
      <c r="C1109" s="49" t="s">
        <v>427</v>
      </c>
      <c r="D1109" s="49"/>
      <c r="E1109" s="9">
        <f>+G1109-Adjustments!G1107</f>
        <v>0</v>
      </c>
      <c r="F1109" s="9">
        <f>+'Rate Base'!$T$157</f>
        <v>0</v>
      </c>
      <c r="G1109" s="9">
        <f>+Adjustments!U1089</f>
        <v>0</v>
      </c>
      <c r="H1109" s="9"/>
      <c r="I1109" s="9">
        <f>SUM($F$1109:$H$1109)</f>
        <v>0</v>
      </c>
      <c r="J1109" s="9">
        <f>+I1109-'ROR-Model'!I1109</f>
        <v>0</v>
      </c>
      <c r="K1109" s="9"/>
      <c r="L1109" s="9" t="s">
        <v>679</v>
      </c>
      <c r="M1109" s="9">
        <f>VLOOKUP($L1109,$L$2:$N$7,2,FALSE)*I1109</f>
        <v>0</v>
      </c>
      <c r="N1109" s="9">
        <f>VLOOKUP($L1109,$L$2:$N$7,3,FALSE)*I1109</f>
        <v>0</v>
      </c>
      <c r="O1109" s="136"/>
      <c r="P1109" s="216" t="s">
        <v>549</v>
      </c>
      <c r="Q1109" s="9">
        <f>IF(P1109="G",M1109,IF(P1109="PT",0,ERR))</f>
        <v>0</v>
      </c>
      <c r="R1109" s="9">
        <f>IF(P1109="PT",M1109,IF(P1109="G",0,ERR))</f>
        <v>0</v>
      </c>
      <c r="S1109" s="142" t="s">
        <v>549</v>
      </c>
      <c r="T1109" s="9">
        <f>IF(S1109="G",N1109,IF(S1109="PT",0,ERR))</f>
        <v>0</v>
      </c>
      <c r="U1109" s="9">
        <f>IF(S1109="PT",N1109,IF(S1109="G",0,ERR))</f>
        <v>0</v>
      </c>
      <c r="V1109" s="140"/>
      <c r="W1109" s="9">
        <f>HLOOKUP($W$9,'ROR-Model'!$Q$10:$U$1263,Y1109)</f>
        <v>0</v>
      </c>
      <c r="X1109" s="156"/>
      <c r="Y1109" s="918">
        <f t="shared" si="75"/>
        <v>1100</v>
      </c>
      <c r="AA1109" s="9">
        <v>0</v>
      </c>
      <c r="AC1109" s="9" t="str">
        <f t="shared" si="74"/>
        <v/>
      </c>
      <c r="AE1109" s="44" t="str">
        <f t="shared" si="76"/>
        <v/>
      </c>
    </row>
    <row r="1110" spans="1:31">
      <c r="A1110" s="154"/>
      <c r="B1110" s="49"/>
      <c r="C1110" s="49" t="s">
        <v>581</v>
      </c>
      <c r="D1110" s="49"/>
      <c r="E1110" s="9">
        <f>+G1110-Adjustments!G1108</f>
        <v>422620.18708333338</v>
      </c>
      <c r="F1110" s="9">
        <f>+'Rate Base'!$T$158</f>
        <v>710920.69000000006</v>
      </c>
      <c r="G1110" s="9">
        <f>+Adjustments!U1090</f>
        <v>422620.18708333338</v>
      </c>
      <c r="H1110" s="9"/>
      <c r="I1110" s="9">
        <f>SUM($F$1110:$H$1110)</f>
        <v>1133540.8770833334</v>
      </c>
      <c r="J1110" s="9">
        <f>+I1110-'ROR-Model'!I1110</f>
        <v>0</v>
      </c>
      <c r="K1110" s="9"/>
      <c r="L1110" s="9" t="s">
        <v>24</v>
      </c>
      <c r="M1110" s="9">
        <f>VLOOKUP($L1110,$L$2:$N$7,2,FALSE)*I1110</f>
        <v>0</v>
      </c>
      <c r="N1110" s="9">
        <f>VLOOKUP($L1110,$L$2:$N$7,3,FALSE)*I1110</f>
        <v>1133540.8770833334</v>
      </c>
      <c r="O1110" s="136"/>
      <c r="P1110" s="216" t="s">
        <v>549</v>
      </c>
      <c r="Q1110" s="9">
        <f>IF(P1110="G",M1110,IF(P1110="PT",0,ERR))</f>
        <v>0</v>
      </c>
      <c r="R1110" s="9">
        <f>IF(P1110="PT",M1110,IF(P1110="G",0,ERR))</f>
        <v>0</v>
      </c>
      <c r="S1110" s="142" t="s">
        <v>549</v>
      </c>
      <c r="T1110" s="9">
        <f>IF(S1110="G",N1110,IF(S1110="PT",0,ERR))</f>
        <v>1133540.8770833334</v>
      </c>
      <c r="U1110" s="9">
        <f>IF(S1110="PT",N1110,IF(S1110="G",0,ERR))</f>
        <v>0</v>
      </c>
      <c r="V1110" s="140"/>
      <c r="W1110" s="9">
        <f>HLOOKUP($W$9,'ROR-Model'!$Q$10:$U$1263,Y1110)</f>
        <v>0</v>
      </c>
      <c r="X1110" s="156"/>
      <c r="Y1110" s="918">
        <f t="shared" si="75"/>
        <v>1101</v>
      </c>
      <c r="AA1110" s="9">
        <v>73330920.594000012</v>
      </c>
      <c r="AC1110" s="9">
        <f t="shared" si="74"/>
        <v>-73330920.594000012</v>
      </c>
      <c r="AE1110" s="44">
        <f t="shared" si="76"/>
        <v>-1</v>
      </c>
    </row>
    <row r="1111" spans="1:31">
      <c r="A1111" s="154"/>
      <c r="B1111" s="49"/>
      <c r="C1111" s="49" t="s">
        <v>582</v>
      </c>
      <c r="D1111" s="49"/>
      <c r="E1111" s="9">
        <f>+G1111-Adjustments!G1116</f>
        <v>-9343737.7580833379</v>
      </c>
      <c r="F1111" s="9">
        <f>+'Rate Base'!$T$159</f>
        <v>22418304.782000002</v>
      </c>
      <c r="G1111" s="9">
        <f>+Adjustments!U1091</f>
        <v>-9343737.7580833379</v>
      </c>
      <c r="H1111" s="9"/>
      <c r="I1111" s="9">
        <f>SUM($F$1111:$H$1111)</f>
        <v>13074567.023916664</v>
      </c>
      <c r="J1111" s="9">
        <f>+I1111-'ROR-Model'!I1111</f>
        <v>0</v>
      </c>
      <c r="K1111" s="9"/>
      <c r="L1111" s="9" t="s">
        <v>13</v>
      </c>
      <c r="M1111" s="9">
        <f>VLOOKUP($L1111,$L$2:$N$7,2,FALSE)*I1111</f>
        <v>13074567.023916664</v>
      </c>
      <c r="N1111" s="9">
        <f>VLOOKUP($L1111,$L$2:$N$7,3,FALSE)*I1111</f>
        <v>0</v>
      </c>
      <c r="O1111" s="136"/>
      <c r="P1111" s="216" t="s">
        <v>549</v>
      </c>
      <c r="Q1111" s="9">
        <f>IF(P1111="G",M1111,IF(P1111="PT",0,ERR))</f>
        <v>13074567.023916664</v>
      </c>
      <c r="R1111" s="9">
        <f>IF(P1111="PT",M1111,IF(P1111="G",0,ERR))</f>
        <v>0</v>
      </c>
      <c r="S1111" s="142" t="s">
        <v>549</v>
      </c>
      <c r="T1111" s="9">
        <f>IF(S1111="G",N1111,IF(S1111="PT",0,ERR))</f>
        <v>0</v>
      </c>
      <c r="U1111" s="9">
        <f>IF(S1111="PT",N1111,IF(S1111="G",0,ERR))</f>
        <v>0</v>
      </c>
      <c r="V1111" s="140"/>
      <c r="W1111" s="9">
        <f>HLOOKUP($W$9,'ROR-Model'!$Q$10:$U$1263,Y1111)</f>
        <v>13074567.023916664</v>
      </c>
      <c r="X1111" s="156"/>
      <c r="Y1111" s="918">
        <f t="shared" si="75"/>
        <v>1102</v>
      </c>
      <c r="AA1111" s="9">
        <v>0</v>
      </c>
      <c r="AC1111" s="9" t="str">
        <f t="shared" si="74"/>
        <v/>
      </c>
      <c r="AE1111" s="44" t="str">
        <f t="shared" si="76"/>
        <v/>
      </c>
    </row>
    <row r="1112" spans="1:31">
      <c r="A1112" s="154"/>
      <c r="B1112" s="49"/>
      <c r="C1112" s="49" t="s">
        <v>584</v>
      </c>
      <c r="D1112" s="49"/>
      <c r="E1112" s="9">
        <f>+G1112-Adjustments!G1117</f>
        <v>-2264944.3966666665</v>
      </c>
      <c r="F1112" s="9">
        <f>+'Rate Base'!$T$160</f>
        <v>3618205.25</v>
      </c>
      <c r="G1112" s="9">
        <f>+Adjustments!U1092</f>
        <v>-2264944.3966666665</v>
      </c>
      <c r="H1112" s="9"/>
      <c r="I1112" s="9">
        <f>SUM($F$1112:$H$1112)</f>
        <v>1353260.8533333335</v>
      </c>
      <c r="J1112" s="9">
        <f>+I1112-'ROR-Model'!I1112</f>
        <v>0</v>
      </c>
      <c r="K1112" s="9"/>
      <c r="L1112" s="9" t="s">
        <v>458</v>
      </c>
      <c r="M1112" s="9">
        <f>VLOOKUP($L1112,$L$2:$N$7,2,FALSE)*I1112</f>
        <v>1309119.3151302456</v>
      </c>
      <c r="N1112" s="9">
        <f>VLOOKUP($L1112,$L$2:$N$7,3,FALSE)*I1112</f>
        <v>44141.538203087614</v>
      </c>
      <c r="O1112" s="136"/>
      <c r="P1112" s="216" t="s">
        <v>549</v>
      </c>
      <c r="Q1112" s="9">
        <f>IF(P1112="G",M1112,IF(P1112="PT",0,ERR))</f>
        <v>1309119.3151302456</v>
      </c>
      <c r="R1112" s="9">
        <f>IF(P1112="PT",M1112,IF(P1112="G",0,ERR))</f>
        <v>0</v>
      </c>
      <c r="S1112" s="142" t="s">
        <v>549</v>
      </c>
      <c r="T1112" s="9">
        <f>IF(S1112="G",N1112,IF(S1112="PT",0,ERR))</f>
        <v>44141.538203087614</v>
      </c>
      <c r="U1112" s="9">
        <f>IF(S1112="PT",N1112,IF(S1112="G",0,ERR))</f>
        <v>0</v>
      </c>
      <c r="V1112" s="140"/>
      <c r="W1112" s="9">
        <f>HLOOKUP($W$9,'ROR-Model'!$Q$10:$U$1263,Y1112)</f>
        <v>1309119.3151302456</v>
      </c>
      <c r="X1112" s="156"/>
      <c r="Y1112" s="918">
        <f t="shared" si="75"/>
        <v>1103</v>
      </c>
      <c r="AA1112" s="9">
        <v>9283690.9945679773</v>
      </c>
      <c r="AC1112" s="9">
        <f t="shared" si="74"/>
        <v>-7974571.6794377314</v>
      </c>
      <c r="AE1112" s="44">
        <f t="shared" si="76"/>
        <v>-0.85898719422089442</v>
      </c>
    </row>
    <row r="1113" spans="1:31">
      <c r="A1113" s="154"/>
      <c r="B1113" s="49"/>
      <c r="C1113" s="49" t="s">
        <v>160</v>
      </c>
      <c r="D1113" s="49"/>
      <c r="E1113" s="157">
        <f>+G1113-Adjustments!G1118</f>
        <v>-11186061.967666671</v>
      </c>
      <c r="F1113" s="157">
        <f>SUM(F1109:F1112)</f>
        <v>26747430.722000003</v>
      </c>
      <c r="G1113" s="157">
        <f>SUM(G1109:G1112)</f>
        <v>-11186061.967666671</v>
      </c>
      <c r="H1113" s="157">
        <f>SUM(H1109:H1112)</f>
        <v>0</v>
      </c>
      <c r="I1113" s="157">
        <f>SUM(I1109:I1112)</f>
        <v>15561368.75433333</v>
      </c>
      <c r="J1113" s="9">
        <f>+I1113-'ROR-Model'!I1113</f>
        <v>0</v>
      </c>
      <c r="K1113" s="9"/>
      <c r="L1113" s="157"/>
      <c r="M1113" s="157">
        <f>SUM(M1109:M1112)</f>
        <v>14383686.339046909</v>
      </c>
      <c r="N1113" s="157">
        <f>SUM(N1109:N1112)</f>
        <v>1177682.4152864211</v>
      </c>
      <c r="O1113" s="136"/>
      <c r="P1113" s="226"/>
      <c r="Q1113" s="157">
        <f>SUM(Q1109:Q1112)</f>
        <v>14383686.339046909</v>
      </c>
      <c r="R1113" s="157">
        <f>SUM(R1109:R1112)</f>
        <v>0</v>
      </c>
      <c r="S1113" s="226"/>
      <c r="T1113" s="157">
        <f>SUM(T1109:T1112)</f>
        <v>1177682.4152864211</v>
      </c>
      <c r="U1113" s="157">
        <f>SUM(U1109:U1112)</f>
        <v>0</v>
      </c>
      <c r="V1113" s="140"/>
      <c r="W1113" s="157">
        <f>HLOOKUP($W$9,'ROR-Model'!$Q$10:$U$1263,Y1113)</f>
        <v>14383686.339046909</v>
      </c>
      <c r="X1113" s="156"/>
      <c r="Y1113" s="918">
        <f t="shared" si="75"/>
        <v>1104</v>
      </c>
      <c r="AA1113" s="157">
        <v>82614611.588567987</v>
      </c>
      <c r="AC1113" s="157">
        <f t="shared" si="74"/>
        <v>-68230925.249521077</v>
      </c>
      <c r="AE1113" s="44">
        <f t="shared" si="76"/>
        <v>-0.82589416009507344</v>
      </c>
    </row>
    <row r="1114" spans="1:31">
      <c r="A1114" s="154"/>
      <c r="B1114" s="49"/>
      <c r="C1114" s="49"/>
      <c r="D1114" s="49"/>
      <c r="E1114" s="9">
        <f>+G1114-Adjustments!G1119</f>
        <v>0</v>
      </c>
      <c r="F1114" s="9"/>
      <c r="G1114" s="9"/>
      <c r="H1114" s="9"/>
      <c r="I1114" s="9"/>
      <c r="J1114" s="9">
        <f>+I1114-'ROR-Model'!I1114</f>
        <v>0</v>
      </c>
      <c r="K1114" s="9"/>
      <c r="L1114" s="9"/>
      <c r="M1114" s="9"/>
      <c r="N1114" s="9"/>
      <c r="O1114" s="136"/>
      <c r="P1114" s="142"/>
      <c r="Q1114" s="9"/>
      <c r="R1114" s="9"/>
      <c r="S1114" s="142"/>
      <c r="T1114" s="9"/>
      <c r="U1114" s="9"/>
      <c r="V1114" s="140"/>
      <c r="W1114" s="9"/>
      <c r="X1114" s="156"/>
      <c r="Y1114" s="918">
        <f t="shared" si="75"/>
        <v>1105</v>
      </c>
      <c r="AA1114" s="9"/>
      <c r="AC1114" s="9" t="str">
        <f t="shared" si="74"/>
        <v/>
      </c>
      <c r="AE1114" s="44" t="str">
        <f t="shared" si="76"/>
        <v/>
      </c>
    </row>
    <row r="1115" spans="1:31">
      <c r="A1115" s="154">
        <v>108</v>
      </c>
      <c r="B1115" s="49" t="s">
        <v>650</v>
      </c>
      <c r="C1115" s="49"/>
      <c r="D1115" s="49"/>
      <c r="E1115" s="9">
        <f>+G1115-Adjustments!G1120</f>
        <v>0</v>
      </c>
      <c r="F1115" s="9"/>
      <c r="G1115" s="9"/>
      <c r="H1115" s="9"/>
      <c r="I1115" s="9"/>
      <c r="J1115" s="9">
        <f>+I1115-'ROR-Model'!I1115</f>
        <v>0</v>
      </c>
      <c r="K1115" s="9"/>
      <c r="L1115" s="9"/>
      <c r="M1115" s="9"/>
      <c r="N1115" s="9"/>
      <c r="O1115" s="136"/>
      <c r="P1115" s="142"/>
      <c r="Q1115" s="9"/>
      <c r="R1115" s="9"/>
      <c r="S1115" s="142"/>
      <c r="T1115" s="9"/>
      <c r="U1115" s="9"/>
      <c r="V1115" s="140"/>
      <c r="W1115" s="9"/>
      <c r="X1115" s="156"/>
      <c r="Y1115" s="918">
        <f t="shared" si="75"/>
        <v>1106</v>
      </c>
      <c r="AA1115" s="9"/>
      <c r="AC1115" s="9" t="str">
        <f t="shared" si="74"/>
        <v/>
      </c>
      <c r="AE1115" s="44" t="str">
        <f t="shared" si="76"/>
        <v/>
      </c>
    </row>
    <row r="1116" spans="1:31">
      <c r="A1116" s="154"/>
      <c r="B1116" s="49"/>
      <c r="C1116" s="49" t="s">
        <v>427</v>
      </c>
      <c r="D1116" s="49"/>
      <c r="E1116" s="9">
        <f>+G1116-Adjustments!G1121</f>
        <v>4681918.8696066532</v>
      </c>
      <c r="F1116" s="9">
        <f>+'Rate Base'!$T$164</f>
        <v>-69576718.010000005</v>
      </c>
      <c r="G1116" s="9">
        <f>+Adjustments!U1096</f>
        <v>4681918.8696066532</v>
      </c>
      <c r="H1116" s="9"/>
      <c r="I1116" s="9">
        <f>SUM($F$1116:$H$1116)</f>
        <v>-64894799.140393354</v>
      </c>
      <c r="J1116" s="9">
        <f>+I1116-'ROR-Model'!I1116</f>
        <v>0</v>
      </c>
      <c r="K1116" s="9"/>
      <c r="L1116" s="9" t="s">
        <v>679</v>
      </c>
      <c r="M1116" s="9">
        <f>VLOOKUP($L1116,$L$2:$N$7,2,FALSE)*I1116</f>
        <v>-62610474.755841054</v>
      </c>
      <c r="N1116" s="9">
        <f>VLOOKUP($L1116,$L$2:$N$7,3,FALSE)*I1116</f>
        <v>-2284324.3845522911</v>
      </c>
      <c r="O1116" s="136"/>
      <c r="P1116" s="216" t="s">
        <v>549</v>
      </c>
      <c r="Q1116" s="9">
        <f>IF(P1116="G",M1116,IF(P1116="PT",0,ERR))</f>
        <v>-62610474.755841054</v>
      </c>
      <c r="R1116" s="9">
        <f>IF(P1116="PT",M1116,IF(P1116="G",0,ERR))</f>
        <v>0</v>
      </c>
      <c r="S1116" s="142" t="s">
        <v>548</v>
      </c>
      <c r="T1116" s="9">
        <f>IF(S1116="G",N1116,IF(S1116="PT",0,ERR))</f>
        <v>0</v>
      </c>
      <c r="U1116" s="9">
        <f>IF(S1116="PT",N1116,IF(S1116="G",0,ERR))</f>
        <v>-2284324.3845522911</v>
      </c>
      <c r="V1116" s="140"/>
      <c r="W1116" s="9">
        <f>HLOOKUP($W$9,'ROR-Model'!$Q$10:$U$1263,Y1116)</f>
        <v>-62610474.755841054</v>
      </c>
      <c r="X1116" s="156"/>
      <c r="Y1116" s="918">
        <f t="shared" si="75"/>
        <v>1107</v>
      </c>
      <c r="AA1116" s="9">
        <v>0</v>
      </c>
      <c r="AC1116" s="9" t="str">
        <f t="shared" si="74"/>
        <v/>
      </c>
      <c r="AE1116" s="44" t="str">
        <f t="shared" si="76"/>
        <v/>
      </c>
    </row>
    <row r="1117" spans="1:31">
      <c r="A1117" s="154"/>
      <c r="B1117" s="49"/>
      <c r="C1117" s="49" t="s">
        <v>581</v>
      </c>
      <c r="D1117" s="49"/>
      <c r="E1117" s="9">
        <f>+G1117-Adjustments!G1122</f>
        <v>5998317.5087500028</v>
      </c>
      <c r="F1117" s="9">
        <f>+'Rate Base'!$T$165</f>
        <v>-27333445.210000001</v>
      </c>
      <c r="G1117" s="9">
        <f>+Adjustments!U1097</f>
        <v>5998317.5087500028</v>
      </c>
      <c r="H1117" s="9"/>
      <c r="I1117" s="9">
        <f>SUM($F$1117:$H$1117)</f>
        <v>-21335127.701249998</v>
      </c>
      <c r="J1117" s="9">
        <f>+I1117-'ROR-Model'!I1117</f>
        <v>0</v>
      </c>
      <c r="K1117" s="9"/>
      <c r="L1117" s="9" t="s">
        <v>24</v>
      </c>
      <c r="M1117" s="9">
        <f>VLOOKUP($L1117,$L$2:$N$7,2,FALSE)*I1117</f>
        <v>0</v>
      </c>
      <c r="N1117" s="9">
        <f>VLOOKUP($L1117,$L$2:$N$7,3,FALSE)*I1117</f>
        <v>-21335127.701249998</v>
      </c>
      <c r="O1117" s="136"/>
      <c r="P1117" s="216" t="s">
        <v>549</v>
      </c>
      <c r="Q1117" s="9">
        <f>IF(P1117="G",M1117,IF(P1117="PT",0,ERR))</f>
        <v>0</v>
      </c>
      <c r="R1117" s="9">
        <f>IF(P1117="PT",M1117,IF(P1117="G",0,ERR))</f>
        <v>0</v>
      </c>
      <c r="S1117" s="142" t="s">
        <v>549</v>
      </c>
      <c r="T1117" s="9">
        <f>IF(S1117="G",N1117,IF(S1117="PT",0,ERR))</f>
        <v>-21335127.701249998</v>
      </c>
      <c r="U1117" s="9">
        <f>IF(S1117="PT",N1117,IF(S1117="G",0,ERR))</f>
        <v>0</v>
      </c>
      <c r="V1117" s="140"/>
      <c r="W1117" s="9">
        <f>HLOOKUP($W$9,'ROR-Model'!$Q$10:$U$1263,Y1117)</f>
        <v>0</v>
      </c>
      <c r="X1117" s="156"/>
      <c r="Y1117" s="918">
        <f t="shared" si="75"/>
        <v>1108</v>
      </c>
      <c r="AA1117" s="9">
        <v>0</v>
      </c>
      <c r="AC1117" s="9" t="str">
        <f t="shared" si="74"/>
        <v/>
      </c>
      <c r="AE1117" s="44" t="str">
        <f t="shared" si="76"/>
        <v/>
      </c>
    </row>
    <row r="1118" spans="1:31">
      <c r="A1118" s="154"/>
      <c r="B1118" s="49"/>
      <c r="C1118" s="49" t="s">
        <v>582</v>
      </c>
      <c r="D1118" s="49"/>
      <c r="E1118" s="9">
        <f>+G1118-Adjustments!G1123</f>
        <v>8730765.7579166889</v>
      </c>
      <c r="F1118" s="9">
        <f>+'Rate Base'!$T$166</f>
        <v>-512951843.95999998</v>
      </c>
      <c r="G1118" s="9">
        <f>+Adjustments!U1098</f>
        <v>8730765.7579166889</v>
      </c>
      <c r="H1118" s="9"/>
      <c r="I1118" s="9">
        <f>SUM($F$1118:$H$1118)</f>
        <v>-504221078.20208329</v>
      </c>
      <c r="J1118" s="9">
        <f>+I1118-'ROR-Model'!I1118</f>
        <v>0</v>
      </c>
      <c r="K1118" s="9"/>
      <c r="L1118" s="9" t="s">
        <v>13</v>
      </c>
      <c r="M1118" s="9">
        <f>VLOOKUP($L1118,$L$2:$N$7,2,FALSE)*I1118</f>
        <v>-504221078.20208329</v>
      </c>
      <c r="N1118" s="9">
        <f>VLOOKUP($L1118,$L$2:$N$7,3,FALSE)*I1118</f>
        <v>0</v>
      </c>
      <c r="O1118" s="136"/>
      <c r="P1118" s="216" t="s">
        <v>549</v>
      </c>
      <c r="Q1118" s="9">
        <f>IF(P1118="G",M1118,IF(P1118="PT",0,ERR))</f>
        <v>-504221078.20208329</v>
      </c>
      <c r="R1118" s="9">
        <f>IF(P1118="PT",M1118,IF(P1118="G",0,ERR))</f>
        <v>0</v>
      </c>
      <c r="S1118" s="142" t="s">
        <v>549</v>
      </c>
      <c r="T1118" s="9">
        <f>IF(S1118="G",N1118,IF(S1118="PT",0,ERR))</f>
        <v>0</v>
      </c>
      <c r="U1118" s="9">
        <f>IF(S1118="PT",N1118,IF(S1118="G",0,ERR))</f>
        <v>0</v>
      </c>
      <c r="V1118" s="140"/>
      <c r="W1118" s="9">
        <f>HLOOKUP($W$9,'ROR-Model'!$Q$10:$U$1263,Y1118)</f>
        <v>-504221078.20208329</v>
      </c>
      <c r="X1118" s="156"/>
      <c r="Y1118" s="918">
        <f t="shared" si="75"/>
        <v>1109</v>
      </c>
      <c r="AA1118" s="9"/>
      <c r="AC1118" s="9" t="str">
        <f t="shared" si="74"/>
        <v/>
      </c>
      <c r="AE1118" s="44" t="str">
        <f t="shared" si="76"/>
        <v/>
      </c>
    </row>
    <row r="1119" spans="1:31">
      <c r="A1119" s="154"/>
      <c r="B1119" s="49"/>
      <c r="C1119" s="49" t="s">
        <v>584</v>
      </c>
      <c r="D1119" s="49"/>
      <c r="E1119" s="9">
        <f>+G1119-Adjustments!G1124</f>
        <v>-1666474.9441666901</v>
      </c>
      <c r="F1119" s="9">
        <f>+'Rate Base'!$T$167</f>
        <v>-128844639.09999999</v>
      </c>
      <c r="G1119" s="9">
        <f>+Adjustments!U1099</f>
        <v>-1666474.9441666901</v>
      </c>
      <c r="H1119" s="9"/>
      <c r="I1119" s="9">
        <f>SUM($F$1119:$H$1119)</f>
        <v>-130511114.04416668</v>
      </c>
      <c r="J1119" s="9">
        <f>+I1119-'ROR-Model'!I1119</f>
        <v>0</v>
      </c>
      <c r="K1119" s="9"/>
      <c r="L1119" s="9" t="s">
        <v>458</v>
      </c>
      <c r="M1119" s="9">
        <f>VLOOKUP($L1119,$L$2:$N$7,2,FALSE)*I1119</f>
        <v>-126254018.07311438</v>
      </c>
      <c r="N1119" s="9">
        <f>VLOOKUP($L1119,$L$2:$N$7,3,FALSE)*I1119</f>
        <v>-4257095.9710522825</v>
      </c>
      <c r="O1119" s="136"/>
      <c r="P1119" s="216" t="s">
        <v>549</v>
      </c>
      <c r="Q1119" s="9">
        <f>IF(P1119="G",M1119,IF(P1119="PT",0,ERR))</f>
        <v>-126254018.07311438</v>
      </c>
      <c r="R1119" s="9">
        <f>IF(P1119="PT",M1119,IF(P1119="G",0,ERR))</f>
        <v>0</v>
      </c>
      <c r="S1119" s="142" t="s">
        <v>549</v>
      </c>
      <c r="T1119" s="9">
        <f>IF(S1119="G",N1119,IF(S1119="PT",0,ERR))</f>
        <v>-4257095.9710522825</v>
      </c>
      <c r="U1119" s="9">
        <f>IF(S1119="PT",N1119,IF(S1119="G",0,ERR))</f>
        <v>0</v>
      </c>
      <c r="V1119" s="140"/>
      <c r="W1119" s="9">
        <f>HLOOKUP($W$9,'ROR-Model'!$Q$10:$U$1263,Y1119)</f>
        <v>-126254018.07311438</v>
      </c>
      <c r="X1119" s="156"/>
      <c r="Y1119" s="918">
        <f t="shared" si="75"/>
        <v>1110</v>
      </c>
      <c r="AA1119" s="9"/>
      <c r="AC1119" s="9" t="str">
        <f t="shared" si="74"/>
        <v/>
      </c>
      <c r="AE1119" s="44" t="str">
        <f t="shared" si="76"/>
        <v/>
      </c>
    </row>
    <row r="1120" spans="1:31">
      <c r="A1120" s="154"/>
      <c r="B1120" s="49"/>
      <c r="C1120" s="49" t="s">
        <v>160</v>
      </c>
      <c r="D1120" s="49"/>
      <c r="E1120" s="157">
        <f>+G1120-Adjustments!G1125</f>
        <v>17744527.192106657</v>
      </c>
      <c r="F1120" s="157">
        <f>SUM(F1116:F1119)</f>
        <v>-738706646.27999997</v>
      </c>
      <c r="G1120" s="157">
        <f>SUM(G1116:G1119)</f>
        <v>17744527.192106657</v>
      </c>
      <c r="H1120" s="157">
        <f>SUM(H1116:H1119)</f>
        <v>0</v>
      </c>
      <c r="I1120" s="157">
        <f>SUM(I1116:I1119)</f>
        <v>-720962119.08789337</v>
      </c>
      <c r="J1120" s="9">
        <f>+I1120-'ROR-Model'!I1120</f>
        <v>0</v>
      </c>
      <c r="K1120" s="9"/>
      <c r="L1120" s="157"/>
      <c r="M1120" s="157">
        <f>SUM(M1116:M1119)</f>
        <v>-693085571.03103876</v>
      </c>
      <c r="N1120" s="157">
        <f>SUM(N1116:N1119)</f>
        <v>-27876548.056854572</v>
      </c>
      <c r="O1120" s="136"/>
      <c r="P1120" s="226"/>
      <c r="Q1120" s="157">
        <f>SUM(Q1116:Q1119)</f>
        <v>-693085571.03103876</v>
      </c>
      <c r="R1120" s="157">
        <f>SUM(R1116:R1119)</f>
        <v>0</v>
      </c>
      <c r="S1120" s="226"/>
      <c r="T1120" s="157">
        <f>SUM(T1116:T1119)</f>
        <v>-25592223.67230228</v>
      </c>
      <c r="U1120" s="157">
        <f>SUM(U1116:U1119)</f>
        <v>-2284324.3845522911</v>
      </c>
      <c r="V1120" s="140"/>
      <c r="W1120" s="157">
        <f>HLOOKUP($W$9,'ROR-Model'!$Q$10:$U$1263,Y1120)</f>
        <v>-693085571.03103876</v>
      </c>
      <c r="X1120" s="156"/>
      <c r="Y1120" s="918">
        <f t="shared" si="75"/>
        <v>1111</v>
      </c>
      <c r="AA1120" s="157">
        <v>0</v>
      </c>
      <c r="AC1120" s="157" t="str">
        <f t="shared" si="74"/>
        <v/>
      </c>
      <c r="AE1120" s="44" t="str">
        <f t="shared" si="76"/>
        <v/>
      </c>
    </row>
    <row r="1121" spans="1:31">
      <c r="A1121" s="154"/>
      <c r="B1121" s="49"/>
      <c r="C1121" s="49"/>
      <c r="D1121" s="49"/>
      <c r="E1121" s="9">
        <f>+G1121-Adjustments!G1126</f>
        <v>0</v>
      </c>
      <c r="F1121" s="9"/>
      <c r="G1121" s="9"/>
      <c r="H1121" s="9"/>
      <c r="I1121" s="9"/>
      <c r="J1121" s="9">
        <f>+I1121-'ROR-Model'!I1121</f>
        <v>0</v>
      </c>
      <c r="K1121" s="9"/>
      <c r="L1121" s="9"/>
      <c r="M1121" s="126"/>
      <c r="N1121" s="9"/>
      <c r="O1121" s="136"/>
      <c r="P1121" s="142"/>
      <c r="Q1121" s="155">
        <f>+Q1120/I1120</f>
        <v>0.96133424028973691</v>
      </c>
      <c r="R1121" s="9"/>
      <c r="S1121" s="142"/>
      <c r="T1121" s="9"/>
      <c r="U1121" s="9"/>
      <c r="V1121" s="140"/>
      <c r="W1121" s="9"/>
      <c r="X1121" s="156"/>
      <c r="Y1121" s="918">
        <f t="shared" si="75"/>
        <v>1112</v>
      </c>
      <c r="AA1121" s="9">
        <v>-413881.06</v>
      </c>
      <c r="AC1121" s="9">
        <f t="shared" si="74"/>
        <v>413881.06</v>
      </c>
      <c r="AE1121" s="44">
        <f t="shared" si="76"/>
        <v>-1</v>
      </c>
    </row>
    <row r="1122" spans="1:31">
      <c r="A1122" s="154">
        <v>111</v>
      </c>
      <c r="B1122" s="49" t="s">
        <v>286</v>
      </c>
      <c r="C1122" s="49"/>
      <c r="D1122" s="49"/>
      <c r="E1122" s="9">
        <f>+G1122-Adjustments!G1127</f>
        <v>0</v>
      </c>
      <c r="F1122" s="9"/>
      <c r="G1122" s="9"/>
      <c r="H1122" s="9"/>
      <c r="I1122" s="9"/>
      <c r="J1122" s="9">
        <f>+I1122-'ROR-Model'!I1122</f>
        <v>0</v>
      </c>
      <c r="K1122" s="9"/>
      <c r="L1122" s="9"/>
      <c r="M1122" s="9"/>
      <c r="N1122" s="9"/>
      <c r="O1122" s="136"/>
      <c r="P1122" s="142"/>
      <c r="Q1122" s="9"/>
      <c r="R1122" s="9"/>
      <c r="S1122" s="142"/>
      <c r="T1122" s="9"/>
      <c r="U1122" s="9"/>
      <c r="V1122" s="140"/>
      <c r="W1122" s="9"/>
      <c r="X1122" s="156"/>
      <c r="Y1122" s="918">
        <f t="shared" si="75"/>
        <v>1113</v>
      </c>
      <c r="AA1122" s="9">
        <v>0</v>
      </c>
      <c r="AC1122" s="9" t="str">
        <f t="shared" si="74"/>
        <v/>
      </c>
      <c r="AE1122" s="44" t="str">
        <f t="shared" si="76"/>
        <v/>
      </c>
    </row>
    <row r="1123" spans="1:31">
      <c r="A1123" s="153"/>
      <c r="B1123" s="49"/>
      <c r="C1123" s="49" t="s">
        <v>427</v>
      </c>
      <c r="D1123" s="49"/>
      <c r="E1123" s="9">
        <f>+G1123-Adjustments!G1128</f>
        <v>395334.04236125003</v>
      </c>
      <c r="F1123" s="9">
        <f>+'Rate Base'!$T$171</f>
        <v>-6150276.6600000001</v>
      </c>
      <c r="G1123" s="9">
        <f>+Adjustments!U1103</f>
        <v>395334.04236125003</v>
      </c>
      <c r="H1123" s="9"/>
      <c r="I1123" s="9">
        <f>SUM($F$1123:$H$1123)</f>
        <v>-5754942.61763875</v>
      </c>
      <c r="J1123" s="9">
        <f>+I1123-'ROR-Model'!I1123</f>
        <v>0</v>
      </c>
      <c r="K1123" s="9"/>
      <c r="L1123" s="9" t="s">
        <v>679</v>
      </c>
      <c r="M1123" s="9">
        <f>VLOOKUP($L1123,$L$2:$N$7,2,FALSE)*I1123</f>
        <v>-5552366.202774886</v>
      </c>
      <c r="N1123" s="9">
        <f>VLOOKUP($L1123,$L$2:$N$7,3,FALSE)*I1123</f>
        <v>-202576.41486386309</v>
      </c>
      <c r="O1123" s="136"/>
      <c r="P1123" s="216" t="s">
        <v>549</v>
      </c>
      <c r="Q1123" s="9">
        <f>IF(P1123="G",M1123,IF(P1123="PT",0,ERR))</f>
        <v>-5552366.202774886</v>
      </c>
      <c r="R1123" s="9">
        <f>IF(P1123="PT",M1123,IF(P1123="G",0,ERR))</f>
        <v>0</v>
      </c>
      <c r="S1123" s="142" t="s">
        <v>548</v>
      </c>
      <c r="T1123" s="9">
        <f>IF(S1123="G",N1123,IF(S1123="PT",0,ERR))</f>
        <v>0</v>
      </c>
      <c r="U1123" s="9">
        <f>IF(S1123="PT",N1123,IF(S1123="G",0,ERR))</f>
        <v>-202576.41486386309</v>
      </c>
      <c r="V1123" s="140"/>
      <c r="W1123" s="9">
        <f>HLOOKUP($W$9,'ROR-Model'!$Q$10:$U$1263,Y1123)</f>
        <v>-5552366.202774886</v>
      </c>
      <c r="X1123" s="156"/>
      <c r="Y1123" s="918">
        <f t="shared" si="75"/>
        <v>1114</v>
      </c>
      <c r="AA1123" s="9">
        <v>54039.981978838812</v>
      </c>
      <c r="AC1123" s="9">
        <f t="shared" si="74"/>
        <v>-5606406.1847537253</v>
      </c>
      <c r="AE1123" s="44">
        <f t="shared" si="76"/>
        <v>-103.74552284175638</v>
      </c>
    </row>
    <row r="1124" spans="1:31">
      <c r="A1124" s="153"/>
      <c r="B1124" s="49"/>
      <c r="C1124" s="49" t="s">
        <v>581</v>
      </c>
      <c r="D1124" s="49"/>
      <c r="E1124" s="9">
        <f>+G1124-Adjustments!G1129</f>
        <v>0</v>
      </c>
      <c r="F1124" s="9">
        <f>+'Rate Base'!$T$172</f>
        <v>-10883.08</v>
      </c>
      <c r="G1124" s="9">
        <f>+Adjustments!U1104</f>
        <v>0</v>
      </c>
      <c r="H1124" s="9"/>
      <c r="I1124" s="9">
        <f>SUM($F$1124:$H$1124)</f>
        <v>-10883.08</v>
      </c>
      <c r="J1124" s="9">
        <f>+I1124-'ROR-Model'!I1124</f>
        <v>0</v>
      </c>
      <c r="K1124" s="9"/>
      <c r="L1124" s="9" t="s">
        <v>24</v>
      </c>
      <c r="M1124" s="9">
        <f>VLOOKUP($L1124,$L$2:$N$7,2,FALSE)*I1124</f>
        <v>0</v>
      </c>
      <c r="N1124" s="9">
        <f>VLOOKUP($L1124,$L$2:$N$7,3,FALSE)*I1124</f>
        <v>-10883.08</v>
      </c>
      <c r="O1124" s="136"/>
      <c r="P1124" s="216" t="s">
        <v>549</v>
      </c>
      <c r="Q1124" s="9">
        <f>IF(P1124="G",M1124,IF(P1124="PT",0,ERR))</f>
        <v>0</v>
      </c>
      <c r="R1124" s="9">
        <f>IF(P1124="PT",M1124,IF(P1124="G",0,ERR))</f>
        <v>0</v>
      </c>
      <c r="S1124" s="142" t="s">
        <v>549</v>
      </c>
      <c r="T1124" s="9">
        <f>IF(S1124="G",N1124,IF(S1124="PT",0,ERR))</f>
        <v>-10883.08</v>
      </c>
      <c r="U1124" s="9">
        <f>IF(S1124="PT",N1124,IF(S1124="G",0,ERR))</f>
        <v>0</v>
      </c>
      <c r="V1124" s="140"/>
      <c r="W1124" s="9">
        <f>HLOOKUP($W$9,'ROR-Model'!$Q$10:$U$1263,Y1124)</f>
        <v>0</v>
      </c>
      <c r="X1124" s="156"/>
      <c r="Y1124" s="918">
        <f t="shared" si="75"/>
        <v>1115</v>
      </c>
      <c r="AA1124" s="9">
        <v>-359841.0780211612</v>
      </c>
      <c r="AC1124" s="9">
        <f t="shared" si="74"/>
        <v>359841.0780211612</v>
      </c>
      <c r="AE1124" s="44">
        <f t="shared" si="76"/>
        <v>-1</v>
      </c>
    </row>
    <row r="1125" spans="1:31">
      <c r="A1125" s="153"/>
      <c r="B1125" s="49"/>
      <c r="C1125" s="49" t="s">
        <v>582</v>
      </c>
      <c r="D1125" s="49"/>
      <c r="E1125" s="9">
        <f>+G1125-Adjustments!G1130</f>
        <v>0</v>
      </c>
      <c r="F1125" s="9">
        <f>+'Rate Base'!$T$173</f>
        <v>-58742.880000000005</v>
      </c>
      <c r="G1125" s="9">
        <f>+Adjustments!U1105</f>
        <v>0</v>
      </c>
      <c r="H1125" s="9"/>
      <c r="I1125" s="9">
        <f>SUM($F$1125:$H$1125)</f>
        <v>-58742.880000000005</v>
      </c>
      <c r="J1125" s="9">
        <f>+I1125-'ROR-Model'!I1125</f>
        <v>0</v>
      </c>
      <c r="K1125" s="9"/>
      <c r="L1125" s="9" t="s">
        <v>13</v>
      </c>
      <c r="M1125" s="9">
        <f>VLOOKUP($L1125,$L$2:$N$7,2,FALSE)*I1125</f>
        <v>-58742.880000000005</v>
      </c>
      <c r="N1125" s="9">
        <f>VLOOKUP($L1125,$L$2:$N$7,3,FALSE)*I1125</f>
        <v>0</v>
      </c>
      <c r="O1125" s="136"/>
      <c r="P1125" s="216" t="s">
        <v>549</v>
      </c>
      <c r="Q1125" s="9">
        <f>IF(P1125="G",M1125,IF(P1125="PT",0,ERR))</f>
        <v>-58742.880000000005</v>
      </c>
      <c r="R1125" s="9">
        <f>IF(P1125="PT",M1125,IF(P1125="G",0,ERR))</f>
        <v>0</v>
      </c>
      <c r="S1125" s="142" t="s">
        <v>549</v>
      </c>
      <c r="T1125" s="9">
        <f>IF(S1125="G",N1125,IF(S1125="PT",0,ERR))</f>
        <v>0</v>
      </c>
      <c r="U1125" s="9">
        <f>IF(S1125="PT",N1125,IF(S1125="G",0,ERR))</f>
        <v>0</v>
      </c>
      <c r="V1125" s="140"/>
      <c r="W1125" s="9">
        <f>HLOOKUP($W$9,'ROR-Model'!$Q$10:$U$1263,Y1125)</f>
        <v>-58742.880000000005</v>
      </c>
      <c r="X1125" s="156"/>
      <c r="Y1125" s="918">
        <f t="shared" si="75"/>
        <v>1116</v>
      </c>
      <c r="AA1125" s="9"/>
      <c r="AC1125" s="9" t="str">
        <f t="shared" si="74"/>
        <v/>
      </c>
      <c r="AE1125" s="44" t="str">
        <f t="shared" si="76"/>
        <v/>
      </c>
    </row>
    <row r="1126" spans="1:31">
      <c r="A1126" s="153"/>
      <c r="B1126" s="49"/>
      <c r="C1126" s="49" t="s">
        <v>584</v>
      </c>
      <c r="D1126" s="49"/>
      <c r="E1126" s="9">
        <f>+G1126-Adjustments!G1131</f>
        <v>0</v>
      </c>
      <c r="F1126" s="9">
        <f>+'Rate Base'!$T$174</f>
        <v>0</v>
      </c>
      <c r="G1126" s="9">
        <f>+Adjustments!U1106</f>
        <v>0</v>
      </c>
      <c r="H1126" s="9"/>
      <c r="I1126" s="9">
        <f>SUM($F$1126:$H$1126)</f>
        <v>0</v>
      </c>
      <c r="J1126" s="9">
        <f>+I1126-'ROR-Model'!I1126</f>
        <v>0</v>
      </c>
      <c r="K1126" s="9"/>
      <c r="L1126" s="9" t="s">
        <v>458</v>
      </c>
      <c r="M1126" s="9">
        <f>VLOOKUP($L1126,$L$2:$N$7,2,FALSE)*I1126</f>
        <v>0</v>
      </c>
      <c r="N1126" s="9">
        <f>VLOOKUP($L1126,$L$2:$N$7,3,FALSE)*I1126</f>
        <v>0</v>
      </c>
      <c r="O1126" s="136"/>
      <c r="P1126" s="216" t="s">
        <v>549</v>
      </c>
      <c r="Q1126" s="9">
        <f>IF(P1126="G",M1126,IF(P1126="PT",0,ERR))</f>
        <v>0</v>
      </c>
      <c r="R1126" s="9">
        <f>IF(P1126="PT",M1126,IF(P1126="G",0,ERR))</f>
        <v>0</v>
      </c>
      <c r="S1126" s="142" t="s">
        <v>549</v>
      </c>
      <c r="T1126" s="9">
        <f>IF(S1126="G",N1126,IF(S1126="PT",0,ERR))</f>
        <v>0</v>
      </c>
      <c r="U1126" s="9">
        <f>IF(S1126="PT",N1126,IF(S1126="G",0,ERR))</f>
        <v>0</v>
      </c>
      <c r="V1126" s="140"/>
      <c r="W1126" s="9">
        <f>HLOOKUP($W$9,'ROR-Model'!$Q$10:$U$1263,Y1126)</f>
        <v>0</v>
      </c>
      <c r="X1126" s="156"/>
      <c r="Y1126" s="918">
        <f t="shared" si="75"/>
        <v>1117</v>
      </c>
      <c r="AA1126" s="9"/>
      <c r="AC1126" s="9" t="str">
        <f t="shared" si="74"/>
        <v/>
      </c>
      <c r="AE1126" s="44" t="str">
        <f t="shared" si="76"/>
        <v/>
      </c>
    </row>
    <row r="1127" spans="1:31">
      <c r="A1127" s="153"/>
      <c r="B1127" s="49"/>
      <c r="C1127" s="49" t="s">
        <v>160</v>
      </c>
      <c r="D1127" s="49"/>
      <c r="E1127" s="157">
        <f>+G1127-Adjustments!G1132</f>
        <v>395334.04236125003</v>
      </c>
      <c r="F1127" s="157">
        <f>SUM(F1123:F1126)</f>
        <v>-6219902.6200000001</v>
      </c>
      <c r="G1127" s="157">
        <f>SUM(G1123:G1126)</f>
        <v>395334.04236125003</v>
      </c>
      <c r="H1127" s="157">
        <f>SUM(H1123:H1126)</f>
        <v>0</v>
      </c>
      <c r="I1127" s="157">
        <f>SUM(I1123:I1126)</f>
        <v>-5824568.57763875</v>
      </c>
      <c r="J1127" s="9">
        <f>+I1127-'ROR-Model'!I1127</f>
        <v>0</v>
      </c>
      <c r="K1127" s="9"/>
      <c r="L1127" s="157"/>
      <c r="M1127" s="157">
        <f>SUM(M1123:M1126)</f>
        <v>-5611109.0827748859</v>
      </c>
      <c r="N1127" s="157">
        <f>SUM(N1123:N1126)</f>
        <v>-213459.49486386307</v>
      </c>
      <c r="O1127" s="136"/>
      <c r="P1127" s="226"/>
      <c r="Q1127" s="157">
        <f>SUM(Q1123:Q1126)</f>
        <v>-5611109.0827748859</v>
      </c>
      <c r="R1127" s="157">
        <f>SUM(R1123:R1126)</f>
        <v>0</v>
      </c>
      <c r="S1127" s="226"/>
      <c r="T1127" s="157">
        <f>SUM(T1123:T1126)</f>
        <v>-10883.08</v>
      </c>
      <c r="U1127" s="157">
        <f>SUM(U1123:U1126)</f>
        <v>-202576.41486386309</v>
      </c>
      <c r="V1127" s="140"/>
      <c r="W1127" s="157">
        <f>HLOOKUP($W$9,'ROR-Model'!$Q$10:$U$1263,Y1127)</f>
        <v>-5611109.0827748859</v>
      </c>
      <c r="X1127" s="156"/>
      <c r="Y1127" s="918">
        <f t="shared" si="75"/>
        <v>1118</v>
      </c>
      <c r="AA1127" s="157">
        <v>0</v>
      </c>
      <c r="AC1127" s="157" t="str">
        <f t="shared" si="74"/>
        <v/>
      </c>
      <c r="AE1127" s="44" t="str">
        <f t="shared" si="76"/>
        <v/>
      </c>
    </row>
    <row r="1128" spans="1:31" ht="13.5" thickBot="1">
      <c r="A1128" s="153"/>
      <c r="B1128" s="49"/>
      <c r="C1128" s="49"/>
      <c r="D1128" s="49"/>
      <c r="E1128" s="26">
        <f>+G1128-Adjustments!G1133</f>
        <v>0</v>
      </c>
      <c r="F1128" s="26"/>
      <c r="G1128" s="26"/>
      <c r="H1128" s="26"/>
      <c r="I1128" s="26"/>
      <c r="J1128" s="9">
        <f>+I1128-'ROR-Model'!I1128</f>
        <v>0</v>
      </c>
      <c r="K1128" s="9"/>
      <c r="L1128" s="26"/>
      <c r="M1128" s="26"/>
      <c r="N1128" s="26"/>
      <c r="O1128" s="136"/>
      <c r="P1128" s="227"/>
      <c r="Q1128" s="26"/>
      <c r="R1128" s="26"/>
      <c r="S1128" s="227"/>
      <c r="T1128" s="26"/>
      <c r="U1128" s="26"/>
      <c r="V1128" s="140"/>
      <c r="W1128" s="26"/>
      <c r="X1128" s="156"/>
      <c r="Y1128" s="918">
        <f t="shared" si="75"/>
        <v>1119</v>
      </c>
      <c r="AA1128" s="26">
        <v>-26926379.859999999</v>
      </c>
      <c r="AC1128" s="26">
        <f t="shared" si="74"/>
        <v>26926379.859999999</v>
      </c>
      <c r="AE1128" s="44">
        <f t="shared" si="76"/>
        <v>-1</v>
      </c>
    </row>
    <row r="1129" spans="1:31" ht="13.5" thickTop="1">
      <c r="A1129" s="392" t="s">
        <v>1110</v>
      </c>
      <c r="B1129" s="323" t="s">
        <v>1112</v>
      </c>
      <c r="C1129" s="49"/>
      <c r="D1129" s="49"/>
      <c r="E1129" s="9">
        <f>+G1129-Adjustments!G1134</f>
        <v>0</v>
      </c>
      <c r="F1129" s="9"/>
      <c r="G1129" s="9"/>
      <c r="H1129" s="9"/>
      <c r="I1129" s="9"/>
      <c r="J1129" s="9">
        <f>+I1129-'ROR-Model'!I1129</f>
        <v>0</v>
      </c>
      <c r="K1129" s="9"/>
      <c r="L1129" s="9"/>
      <c r="M1129" s="9"/>
      <c r="N1129" s="9"/>
      <c r="O1129" s="136"/>
      <c r="P1129" s="142"/>
      <c r="Q1129" s="9"/>
      <c r="R1129" s="9"/>
      <c r="S1129" s="142"/>
      <c r="T1129" s="9"/>
      <c r="U1129" s="9"/>
      <c r="V1129" s="140"/>
      <c r="W1129" s="9"/>
      <c r="X1129" s="156"/>
      <c r="Y1129" s="1196">
        <f t="shared" si="75"/>
        <v>1120</v>
      </c>
      <c r="AA1129" s="9">
        <v>0</v>
      </c>
      <c r="AC1129" s="9" t="str">
        <f t="shared" si="74"/>
        <v/>
      </c>
      <c r="AE1129" s="44" t="str">
        <f t="shared" si="76"/>
        <v/>
      </c>
    </row>
    <row r="1130" spans="1:31">
      <c r="A1130" s="153"/>
      <c r="B1130" s="49"/>
      <c r="C1130" s="49" t="s">
        <v>427</v>
      </c>
      <c r="D1130" s="49"/>
      <c r="E1130" s="9">
        <f>+G1130-Adjustments!G1135</f>
        <v>0</v>
      </c>
      <c r="F1130" s="9">
        <f>'Rate Base'!T178</f>
        <v>0</v>
      </c>
      <c r="G1130" s="9">
        <f>+Adjustments!U1110</f>
        <v>0</v>
      </c>
      <c r="H1130" s="9"/>
      <c r="I1130" s="9">
        <f>SUM(F1130:H1130)</f>
        <v>0</v>
      </c>
      <c r="J1130" s="9">
        <f>+I1130-'ROR-Model'!I1130</f>
        <v>0</v>
      </c>
      <c r="K1130" s="9"/>
      <c r="L1130" s="9" t="s">
        <v>679</v>
      </c>
      <c r="M1130" s="9">
        <f>VLOOKUP($L1130,$L$2:$N$7,2,FALSE)*I1130</f>
        <v>0</v>
      </c>
      <c r="N1130" s="9">
        <f>VLOOKUP($L1130,$L$2:$N$7,3,FALSE)*I1130</f>
        <v>0</v>
      </c>
      <c r="O1130" s="136"/>
      <c r="P1130" s="216" t="s">
        <v>549</v>
      </c>
      <c r="Q1130" s="9">
        <f>IF(P1130="G",M1130,IF(P1130="PT",0,ERR))</f>
        <v>0</v>
      </c>
      <c r="R1130" s="9">
        <f>IF(P1130="PT",M1130,IF(P1130="G",0,ERR))</f>
        <v>0</v>
      </c>
      <c r="S1130" s="142" t="s">
        <v>548</v>
      </c>
      <c r="T1130" s="9">
        <f>IF(S1130="G",N1130,IF(S1130="PT",0,ERR))</f>
        <v>0</v>
      </c>
      <c r="U1130" s="9">
        <f>IF(S1130="PT",N1130,IF(S1130="G",0,ERR))</f>
        <v>0</v>
      </c>
      <c r="V1130" s="140"/>
      <c r="W1130" s="9">
        <f>HLOOKUP($W$9,'ROR-Model'!$Q$10:$U$1263,Y1130)</f>
        <v>0</v>
      </c>
      <c r="X1130" s="156"/>
      <c r="Y1130" s="1196">
        <f t="shared" si="75"/>
        <v>1121</v>
      </c>
      <c r="AA1130" s="9">
        <v>-4421935.8770945072</v>
      </c>
      <c r="AC1130" s="9">
        <f t="shared" si="74"/>
        <v>4421935.8770945072</v>
      </c>
      <c r="AE1130" s="44">
        <f t="shared" si="76"/>
        <v>-1</v>
      </c>
    </row>
    <row r="1131" spans="1:31">
      <c r="A1131" s="153"/>
      <c r="B1131" s="49"/>
      <c r="C1131" s="49" t="s">
        <v>581</v>
      </c>
      <c r="D1131" s="49"/>
      <c r="E1131" s="9">
        <f>+G1131-Adjustments!G1136</f>
        <v>92228.957500000484</v>
      </c>
      <c r="F1131" s="9">
        <f>'Rate Base'!T179</f>
        <v>-6315729.0099999998</v>
      </c>
      <c r="G1131" s="9">
        <f>+Adjustments!U1111</f>
        <v>92228.957500000484</v>
      </c>
      <c r="H1131" s="9"/>
      <c r="I1131" s="9">
        <f t="shared" ref="I1131:I1133" si="77">SUM(F1131:H1131)</f>
        <v>-6223500.0524999993</v>
      </c>
      <c r="J1131" s="9">
        <f>+I1131-'ROR-Model'!I1131</f>
        <v>0</v>
      </c>
      <c r="K1131" s="9"/>
      <c r="L1131" s="9" t="s">
        <v>24</v>
      </c>
      <c r="M1131" s="9">
        <f>VLOOKUP($L1131,$L$2:$N$7,2,FALSE)*I1131</f>
        <v>0</v>
      </c>
      <c r="N1131" s="9">
        <f>VLOOKUP($L1131,$L$2:$N$7,3,FALSE)*I1131</f>
        <v>-6223500.0524999993</v>
      </c>
      <c r="O1131" s="136"/>
      <c r="P1131" s="216" t="s">
        <v>549</v>
      </c>
      <c r="Q1131" s="9">
        <f>IF(P1131="G",M1131,IF(P1131="PT",0,ERR))</f>
        <v>0</v>
      </c>
      <c r="R1131" s="9">
        <f>IF(P1131="PT",M1131,IF(P1131="G",0,ERR))</f>
        <v>0</v>
      </c>
      <c r="S1131" s="142" t="s">
        <v>549</v>
      </c>
      <c r="T1131" s="9">
        <f>IF(S1131="G",N1131,IF(S1131="PT",0,ERR))</f>
        <v>-6223500.0524999993</v>
      </c>
      <c r="U1131" s="9">
        <f>IF(S1131="PT",N1131,IF(S1131="G",0,ERR))</f>
        <v>0</v>
      </c>
      <c r="V1131" s="140"/>
      <c r="W1131" s="9">
        <f>HLOOKUP($W$9,'ROR-Model'!$Q$10:$U$1263,Y1131)</f>
        <v>0</v>
      </c>
      <c r="X1131" s="156"/>
      <c r="Y1131" s="1196">
        <f t="shared" si="75"/>
        <v>1122</v>
      </c>
      <c r="AA1131" s="9">
        <v>-31348315.737094507</v>
      </c>
      <c r="AC1131" s="9">
        <f t="shared" si="74"/>
        <v>31348315.737094507</v>
      </c>
      <c r="AE1131" s="44">
        <f t="shared" si="76"/>
        <v>-1</v>
      </c>
    </row>
    <row r="1132" spans="1:31">
      <c r="A1132" s="153"/>
      <c r="B1132" s="49"/>
      <c r="C1132" s="49" t="s">
        <v>582</v>
      </c>
      <c r="D1132" s="49"/>
      <c r="E1132" s="9">
        <f>+G1132-Adjustments!G1137</f>
        <v>1787499.3899999559</v>
      </c>
      <c r="F1132" s="9">
        <f>'Rate Base'!T180</f>
        <v>-188074206.56999999</v>
      </c>
      <c r="G1132" s="9">
        <f>+Adjustments!U1112</f>
        <v>1787499.3899999559</v>
      </c>
      <c r="H1132" s="9"/>
      <c r="I1132" s="9">
        <f t="shared" si="77"/>
        <v>-186286707.18000004</v>
      </c>
      <c r="J1132" s="9">
        <f>+I1132-'ROR-Model'!I1132</f>
        <v>0</v>
      </c>
      <c r="K1132" s="9"/>
      <c r="L1132" s="9" t="s">
        <v>13</v>
      </c>
      <c r="M1132" s="9">
        <f>VLOOKUP($L1132,$L$2:$N$7,2,FALSE)*I1132</f>
        <v>-186286707.18000004</v>
      </c>
      <c r="N1132" s="9">
        <f>VLOOKUP($L1132,$L$2:$N$7,3,FALSE)*I1132</f>
        <v>0</v>
      </c>
      <c r="O1132" s="136"/>
      <c r="P1132" s="216" t="s">
        <v>549</v>
      </c>
      <c r="Q1132" s="9">
        <f>IF(P1132="G",M1132,IF(P1132="PT",0,ERR))</f>
        <v>-186286707.18000004</v>
      </c>
      <c r="R1132" s="9">
        <f>IF(P1132="PT",M1132,IF(P1132="G",0,ERR))</f>
        <v>0</v>
      </c>
      <c r="S1132" s="142" t="s">
        <v>549</v>
      </c>
      <c r="T1132" s="9">
        <f>IF(S1132="G",N1132,IF(S1132="PT",0,ERR))</f>
        <v>0</v>
      </c>
      <c r="U1132" s="9">
        <f>IF(S1132="PT",N1132,IF(S1132="G",0,ERR))</f>
        <v>0</v>
      </c>
      <c r="V1132" s="140"/>
      <c r="W1132" s="9">
        <f>HLOOKUP($W$9,'ROR-Model'!$Q$10:$U$1263,Y1132)</f>
        <v>-186286707.18000004</v>
      </c>
      <c r="X1132" s="156"/>
      <c r="Y1132" s="1196">
        <f t="shared" si="75"/>
        <v>1123</v>
      </c>
      <c r="AA1132" s="9"/>
      <c r="AC1132" s="9" t="str">
        <f t="shared" si="74"/>
        <v/>
      </c>
      <c r="AE1132" s="44" t="str">
        <f t="shared" si="76"/>
        <v/>
      </c>
    </row>
    <row r="1133" spans="1:31">
      <c r="A1133" s="153"/>
      <c r="B1133" s="49"/>
      <c r="C1133" s="49" t="s">
        <v>584</v>
      </c>
      <c r="D1133" s="49"/>
      <c r="E1133" s="9">
        <f>+G1133-Adjustments!G1138</f>
        <v>232942360.29166666</v>
      </c>
      <c r="F1133" s="9">
        <f>'Rate Base'!T181</f>
        <v>-243070289</v>
      </c>
      <c r="G1133" s="9">
        <f>+Adjustments!U1113</f>
        <v>232942360.29166666</v>
      </c>
      <c r="H1133" s="9"/>
      <c r="I1133" s="9">
        <f t="shared" si="77"/>
        <v>-10127928.708333343</v>
      </c>
      <c r="J1133" s="9">
        <f>+I1133-'ROR-Model'!I1133</f>
        <v>0</v>
      </c>
      <c r="K1133" s="9"/>
      <c r="L1133" s="9" t="s">
        <v>458</v>
      </c>
      <c r="M1133" s="9">
        <f>VLOOKUP($L1133,$L$2:$N$7,2,FALSE)*I1133</f>
        <v>-9797569.3759874403</v>
      </c>
      <c r="N1133" s="9">
        <f>VLOOKUP($L1133,$L$2:$N$7,3,FALSE)*I1133</f>
        <v>-330359.33234590082</v>
      </c>
      <c r="O1133" s="136"/>
      <c r="P1133" s="216" t="s">
        <v>549</v>
      </c>
      <c r="Q1133" s="9">
        <f>IF(P1133="G",M1133,IF(P1133="PT",0,ERR))</f>
        <v>-9797569.3759874403</v>
      </c>
      <c r="R1133" s="9">
        <f>IF(P1133="PT",M1133,IF(P1133="G",0,ERR))</f>
        <v>0</v>
      </c>
      <c r="S1133" s="142" t="s">
        <v>549</v>
      </c>
      <c r="T1133" s="9">
        <f>IF(S1133="G",N1133,IF(S1133="PT",0,ERR))</f>
        <v>-330359.33234590082</v>
      </c>
      <c r="U1133" s="9">
        <f>IF(S1133="PT",N1133,IF(S1133="G",0,ERR))</f>
        <v>0</v>
      </c>
      <c r="V1133" s="140"/>
      <c r="W1133" s="9">
        <f>HLOOKUP($W$9,'ROR-Model'!$Q$10:$U$1263,Y1133)</f>
        <v>-9797569.3759874403</v>
      </c>
      <c r="X1133" s="156"/>
      <c r="Y1133" s="1196">
        <f t="shared" si="75"/>
        <v>1124</v>
      </c>
      <c r="AA1133" s="9"/>
      <c r="AC1133" s="9" t="str">
        <f t="shared" si="74"/>
        <v/>
      </c>
      <c r="AE1133" s="44" t="str">
        <f t="shared" si="76"/>
        <v/>
      </c>
    </row>
    <row r="1134" spans="1:31">
      <c r="A1134" s="153"/>
      <c r="B1134" s="49"/>
      <c r="C1134" s="49" t="s">
        <v>160</v>
      </c>
      <c r="D1134" s="49"/>
      <c r="E1134" s="157">
        <f>+G1134-Adjustments!G1139</f>
        <v>234822088.63916662</v>
      </c>
      <c r="F1134" s="157">
        <f>SUM(F1130:F1133)</f>
        <v>-437460224.57999998</v>
      </c>
      <c r="G1134" s="157">
        <f>SUM(G1130:G1133)</f>
        <v>234822088.63916662</v>
      </c>
      <c r="H1134" s="157">
        <f>SUM(H1130:H1133)</f>
        <v>0</v>
      </c>
      <c r="I1134" s="157">
        <f>SUM(I1130:I1133)</f>
        <v>-202638135.94083339</v>
      </c>
      <c r="J1134" s="9">
        <f>+I1134-'ROR-Model'!I1134</f>
        <v>0</v>
      </c>
      <c r="K1134" s="9"/>
      <c r="L1134" s="157"/>
      <c r="M1134" s="157">
        <f>SUM(M1130:M1133)</f>
        <v>-196084276.55598748</v>
      </c>
      <c r="N1134" s="157">
        <f>SUM(N1130:N1133)</f>
        <v>-6553859.3848459003</v>
      </c>
      <c r="O1134" s="136"/>
      <c r="P1134" s="226"/>
      <c r="Q1134" s="157">
        <f>SUM(Q1130:Q1133)</f>
        <v>-196084276.55598748</v>
      </c>
      <c r="R1134" s="157">
        <f>SUM(R1130:R1133)</f>
        <v>0</v>
      </c>
      <c r="S1134" s="226"/>
      <c r="T1134" s="157">
        <f>SUM(T1130:T1133)</f>
        <v>-6553859.3848459003</v>
      </c>
      <c r="U1134" s="157">
        <f>SUM(U1130:U1133)</f>
        <v>0</v>
      </c>
      <c r="V1134" s="140"/>
      <c r="W1134" s="157">
        <f>HLOOKUP($W$9,'ROR-Model'!$Q$10:$U$1263,Y1134)</f>
        <v>-196084276.55598748</v>
      </c>
      <c r="X1134" s="156"/>
      <c r="Y1134" s="1196">
        <f t="shared" si="75"/>
        <v>1125</v>
      </c>
      <c r="AA1134" s="157">
        <v>0</v>
      </c>
      <c r="AC1134" s="157" t="str">
        <f t="shared" si="74"/>
        <v/>
      </c>
      <c r="AE1134" s="44" t="str">
        <f t="shared" si="76"/>
        <v/>
      </c>
    </row>
    <row r="1135" spans="1:31" ht="13.5" thickBot="1">
      <c r="A1135" s="153"/>
      <c r="B1135" s="49"/>
      <c r="C1135" s="49"/>
      <c r="D1135" s="49"/>
      <c r="E1135" s="26">
        <f>+G1135-Adjustments!G1140</f>
        <v>0</v>
      </c>
      <c r="F1135" s="26"/>
      <c r="G1135" s="26"/>
      <c r="H1135" s="26"/>
      <c r="I1135" s="26"/>
      <c r="J1135" s="9">
        <f>+I1135-'ROR-Model'!I1135</f>
        <v>0</v>
      </c>
      <c r="K1135" s="9"/>
      <c r="L1135" s="26"/>
      <c r="M1135" s="26"/>
      <c r="N1135" s="26"/>
      <c r="O1135" s="136"/>
      <c r="P1135" s="227"/>
      <c r="Q1135" s="26"/>
      <c r="R1135" s="26"/>
      <c r="S1135" s="227"/>
      <c r="T1135" s="26"/>
      <c r="U1135" s="26"/>
      <c r="V1135" s="140"/>
      <c r="W1135" s="26"/>
      <c r="X1135" s="156"/>
      <c r="Y1135" s="1196">
        <f t="shared" si="75"/>
        <v>1126</v>
      </c>
      <c r="AA1135" s="26">
        <v>-10883.08</v>
      </c>
      <c r="AC1135" s="26">
        <f t="shared" si="74"/>
        <v>10883.08</v>
      </c>
      <c r="AE1135" s="44">
        <f t="shared" si="76"/>
        <v>-1</v>
      </c>
    </row>
    <row r="1136" spans="1:31" ht="13.5" thickTop="1">
      <c r="A1136" s="153"/>
      <c r="B1136" s="49"/>
      <c r="C1136" s="49"/>
      <c r="D1136" s="49"/>
      <c r="E1136" s="9">
        <f>+G1136-Adjustments!G1134</f>
        <v>0</v>
      </c>
      <c r="F1136" s="9"/>
      <c r="G1136" s="9"/>
      <c r="H1136" s="9"/>
      <c r="I1136" s="9"/>
      <c r="J1136" s="9">
        <f>+I1136-'ROR-Model'!I1136</f>
        <v>0</v>
      </c>
      <c r="K1136" s="9"/>
      <c r="L1136" s="9"/>
      <c r="M1136" s="9"/>
      <c r="N1136" s="9"/>
      <c r="O1136" s="136"/>
      <c r="P1136" s="142"/>
      <c r="Q1136" s="9"/>
      <c r="R1136" s="9"/>
      <c r="S1136" s="142"/>
      <c r="T1136" s="9"/>
      <c r="U1136" s="9"/>
      <c r="V1136" s="140"/>
      <c r="W1136" s="9"/>
      <c r="X1136" s="156"/>
      <c r="Y1136" s="1196">
        <f t="shared" si="75"/>
        <v>1127</v>
      </c>
      <c r="AA1136" s="9">
        <v>0</v>
      </c>
      <c r="AC1136" s="9" t="str">
        <f t="shared" si="74"/>
        <v/>
      </c>
      <c r="AE1136" s="44" t="str">
        <f t="shared" si="76"/>
        <v/>
      </c>
    </row>
    <row r="1137" spans="1:31">
      <c r="A1137" s="234" t="s">
        <v>276</v>
      </c>
      <c r="B1137" s="49"/>
      <c r="C1137" s="49"/>
      <c r="D1137" s="49"/>
      <c r="E1137" s="9">
        <f>+G1137-Adjustments!G1135</f>
        <v>0</v>
      </c>
      <c r="F1137" s="9"/>
      <c r="G1137" s="9"/>
      <c r="H1137" s="9"/>
      <c r="I1137" s="9"/>
      <c r="J1137" s="9">
        <f>+I1137-'ROR-Model'!I1137</f>
        <v>0</v>
      </c>
      <c r="K1137" s="9"/>
      <c r="L1137" s="9"/>
      <c r="M1137" s="9"/>
      <c r="N1137" s="9"/>
      <c r="O1137" s="136"/>
      <c r="P1137" s="142"/>
      <c r="Q1137" s="9"/>
      <c r="R1137" s="9"/>
      <c r="S1137" s="142"/>
      <c r="T1137" s="9"/>
      <c r="U1137" s="9"/>
      <c r="V1137" s="140"/>
      <c r="W1137" s="9"/>
      <c r="X1137" s="156"/>
      <c r="Y1137" s="918">
        <f t="shared" si="75"/>
        <v>1128</v>
      </c>
      <c r="AA1137" s="9">
        <v>0</v>
      </c>
      <c r="AC1137" s="9" t="str">
        <f t="shared" si="74"/>
        <v/>
      </c>
      <c r="AE1137" s="44" t="str">
        <f t="shared" si="76"/>
        <v/>
      </c>
    </row>
    <row r="1138" spans="1:31">
      <c r="A1138" s="153"/>
      <c r="B1138" s="49" t="s">
        <v>427</v>
      </c>
      <c r="C1138" s="49"/>
      <c r="D1138" s="49"/>
      <c r="E1138" s="9">
        <f>+G1138-Adjustments!G1136</f>
        <v>39260.343967902358</v>
      </c>
      <c r="F1138" s="9">
        <f t="shared" ref="F1138:H1139" si="78">F1098+F1109+F1116+F1123+F1130</f>
        <v>4241141.3299999945</v>
      </c>
      <c r="G1138" s="9">
        <f t="shared" si="78"/>
        <v>39260.343967902358</v>
      </c>
      <c r="H1138" s="9">
        <f t="shared" si="78"/>
        <v>0</v>
      </c>
      <c r="I1138" s="9">
        <f>SUM(F1138:H1138)</f>
        <v>4280401.673967897</v>
      </c>
      <c r="J1138" s="9">
        <f>+I1138-'ROR-Model'!I1138</f>
        <v>0</v>
      </c>
      <c r="K1138" s="9"/>
      <c r="L1138" s="9"/>
      <c r="M1138" s="9">
        <f>M1098+M1109+M1116+M1123+M1130</f>
        <v>4129729.7241499908</v>
      </c>
      <c r="N1138" s="9">
        <f>N1098+N1109+N1116+N1123+N1130</f>
        <v>150671.94981788931</v>
      </c>
      <c r="O1138" s="136"/>
      <c r="P1138" s="216"/>
      <c r="Q1138" s="9">
        <f>Q1098+Q1109+Q1116+Q1123+Q1130</f>
        <v>4129729.7241499908</v>
      </c>
      <c r="R1138" s="9">
        <f>R1098+R1109+R1116+R1123+R1130</f>
        <v>0</v>
      </c>
      <c r="S1138" s="142"/>
      <c r="T1138" s="9">
        <f>T1098+T1109+T1116+T1123+T1130</f>
        <v>0</v>
      </c>
      <c r="U1138" s="9">
        <f>U1098+U1109+U1116+U1123+U1130</f>
        <v>150671.94981788931</v>
      </c>
      <c r="V1138" s="140"/>
      <c r="W1138" s="9">
        <f>HLOOKUP($W$9,'ROR-Model'!$Q$10:$U$1263,Y1138)</f>
        <v>4129729.7241499908</v>
      </c>
      <c r="X1138" s="156"/>
      <c r="Y1138" s="918">
        <f t="shared" si="75"/>
        <v>1129</v>
      </c>
      <c r="AA1138" s="9">
        <v>-10883.08</v>
      </c>
      <c r="AC1138" s="9">
        <f t="shared" si="74"/>
        <v>4140612.8041499909</v>
      </c>
      <c r="AE1138" s="44">
        <f t="shared" si="76"/>
        <v>-380.46332510190047</v>
      </c>
    </row>
    <row r="1139" spans="1:31">
      <c r="A1139" s="153"/>
      <c r="B1139" s="49" t="s">
        <v>581</v>
      </c>
      <c r="C1139" s="49"/>
      <c r="D1139" s="49"/>
      <c r="E1139" s="9">
        <f>+G1139-Adjustments!G1137</f>
        <v>3011739.4268333348</v>
      </c>
      <c r="F1139" s="9">
        <f t="shared" si="78"/>
        <v>49106108.993999988</v>
      </c>
      <c r="G1139" s="9">
        <f t="shared" si="78"/>
        <v>3011739.4268333348</v>
      </c>
      <c r="H1139" s="9">
        <f t="shared" si="78"/>
        <v>0</v>
      </c>
      <c r="I1139" s="9">
        <f t="shared" ref="I1139:I1141" si="79">SUM(F1139:H1139)</f>
        <v>52117848.420833319</v>
      </c>
      <c r="J1139" s="9">
        <f>+I1139-'ROR-Model'!I1139</f>
        <v>0</v>
      </c>
      <c r="K1139" s="9"/>
      <c r="L1139" s="9"/>
      <c r="M1139" s="9">
        <f>M1099+M1110+M1117+M1124+M1131</f>
        <v>0</v>
      </c>
      <c r="N1139" s="9">
        <f>N1099+N1110+N1117+N1124+N1131</f>
        <v>52117848.420833327</v>
      </c>
      <c r="O1139" s="136"/>
      <c r="P1139" s="216"/>
      <c r="Q1139" s="9">
        <f>Q1099+Q1110+Q1117+Q1124+Q1131</f>
        <v>0</v>
      </c>
      <c r="R1139" s="9">
        <f>R1099+R1110+R1117+R1124+R1131</f>
        <v>0</v>
      </c>
      <c r="S1139" s="142"/>
      <c r="T1139" s="9">
        <f>T1099+T1110+T1117+T1124+T1131</f>
        <v>52117848.420833327</v>
      </c>
      <c r="U1139" s="9">
        <f>U1099+U1110+U1117+U1124+U1131</f>
        <v>0</v>
      </c>
      <c r="V1139" s="140"/>
      <c r="W1139" s="9">
        <f>HLOOKUP($W$9,'ROR-Model'!$Q$10:$U$1263,Y1139)</f>
        <v>0</v>
      </c>
      <c r="X1139" s="156"/>
      <c r="Y1139" s="918">
        <f t="shared" si="75"/>
        <v>1130</v>
      </c>
      <c r="AA1139" s="9"/>
      <c r="AC1139" s="9" t="str">
        <f t="shared" si="74"/>
        <v/>
      </c>
      <c r="AE1139" s="44" t="str">
        <f t="shared" si="76"/>
        <v/>
      </c>
    </row>
    <row r="1140" spans="1:31">
      <c r="A1140" s="153"/>
      <c r="B1140" s="49" t="s">
        <v>582</v>
      </c>
      <c r="C1140" s="49"/>
      <c r="D1140" s="49"/>
      <c r="E1140" s="9">
        <f>+G1140-Adjustments!G1138</f>
        <v>-90552759.700333446</v>
      </c>
      <c r="F1140" s="9">
        <f t="shared" ref="F1140:H1141" si="80">F1100+F1105+F1111+F1118+F1125+F1132</f>
        <v>1769234787.858</v>
      </c>
      <c r="G1140" s="9">
        <f t="shared" si="80"/>
        <v>-90552759.700333446</v>
      </c>
      <c r="H1140" s="9">
        <f t="shared" si="80"/>
        <v>0</v>
      </c>
      <c r="I1140" s="9">
        <f t="shared" si="79"/>
        <v>1678682028.1576667</v>
      </c>
      <c r="J1140" s="9">
        <f>+I1140-'ROR-Model'!I1140</f>
        <v>0</v>
      </c>
      <c r="K1140" s="9"/>
      <c r="L1140" s="9"/>
      <c r="M1140" s="9">
        <f>M1100+M1105+M1111+M1118+M1125+M1132</f>
        <v>1678682028.1576667</v>
      </c>
      <c r="N1140" s="9">
        <f>N1100+N1105+N1111+N1118+N1125+N1132</f>
        <v>0</v>
      </c>
      <c r="O1140" s="136"/>
      <c r="P1140" s="216"/>
      <c r="Q1140" s="9">
        <f>Q1100+Q1105+Q1111+Q1118+Q1125+Q1132</f>
        <v>1678682028.1576667</v>
      </c>
      <c r="R1140" s="9">
        <f>R1100+R1105+R1111+R1118+R1125+R1132</f>
        <v>0</v>
      </c>
      <c r="S1140" s="142"/>
      <c r="T1140" s="9">
        <f>T1100+T1105+T1111+T1118+T1125+T1132</f>
        <v>0</v>
      </c>
      <c r="U1140" s="9">
        <f>U1100+U1105+U1111+U1118+U1125+U1132</f>
        <v>0</v>
      </c>
      <c r="V1140" s="140"/>
      <c r="W1140" s="9">
        <f>HLOOKUP($W$9,'ROR-Model'!$Q$10:$U$1263,Y1140)</f>
        <v>1678682028.1576667</v>
      </c>
      <c r="X1140" s="156"/>
      <c r="Y1140" s="918">
        <f t="shared" si="75"/>
        <v>1131</v>
      </c>
      <c r="AA1140" s="9"/>
      <c r="AC1140" s="9" t="str">
        <f t="shared" si="74"/>
        <v/>
      </c>
      <c r="AE1140" s="44" t="str">
        <f t="shared" si="76"/>
        <v/>
      </c>
    </row>
    <row r="1141" spans="1:31">
      <c r="A1141" s="153"/>
      <c r="B1141" s="49" t="s">
        <v>584</v>
      </c>
      <c r="C1141" s="49"/>
      <c r="D1141" s="49"/>
      <c r="E1141" s="9">
        <f>+G1141-Adjustments!G1139</f>
        <v>231149820.07749996</v>
      </c>
      <c r="F1141" s="9">
        <f>F1101+F1112+F1119+F1126+F1133</f>
        <v>-102750696.32000002</v>
      </c>
      <c r="G1141" s="9">
        <f t="shared" si="80"/>
        <v>231149820.07749996</v>
      </c>
      <c r="H1141" s="9">
        <f>H1101+H1112+H1119+H1126+H1133</f>
        <v>0</v>
      </c>
      <c r="I1141" s="9">
        <f t="shared" si="79"/>
        <v>128399123.75749993</v>
      </c>
      <c r="J1141" s="9">
        <f>+I1141-'ROR-Model'!I1141</f>
        <v>0</v>
      </c>
      <c r="K1141" s="9"/>
      <c r="L1141" s="9"/>
      <c r="M1141" s="9">
        <f>M1101+M1112+M1119+M1126+M1133</f>
        <v>121678115.62629597</v>
      </c>
      <c r="N1141" s="9">
        <f>N1101+N1112+N1119+N1126+N1133</f>
        <v>6721008.1312039802</v>
      </c>
      <c r="O1141" s="136"/>
      <c r="P1141" s="216"/>
      <c r="Q1141" s="9">
        <f>Q1101+Q1112+Q1119+Q1126+Q1133</f>
        <v>121678115.62629597</v>
      </c>
      <c r="R1141" s="9">
        <f>R1101+R1112+R1119+R1126+R1133</f>
        <v>0</v>
      </c>
      <c r="S1141" s="142"/>
      <c r="T1141" s="9">
        <f>T1101+T1112+T1119+T1126+T1133</f>
        <v>6721008.1312039802</v>
      </c>
      <c r="U1141" s="9">
        <f>U1101+U1112+U1119+U1126+U1133</f>
        <v>0</v>
      </c>
      <c r="V1141" s="140"/>
      <c r="W1141" s="9">
        <f>HLOOKUP($W$9,'ROR-Model'!$Q$10:$U$1263,Y1141)</f>
        <v>121678115.62629597</v>
      </c>
      <c r="X1141" s="156"/>
      <c r="Y1141" s="918">
        <f t="shared" si="75"/>
        <v>1132</v>
      </c>
      <c r="AA1141" s="9">
        <v>0</v>
      </c>
      <c r="AC1141" s="9" t="str">
        <f t="shared" si="74"/>
        <v/>
      </c>
      <c r="AE1141" s="44" t="str">
        <f t="shared" si="76"/>
        <v/>
      </c>
    </row>
    <row r="1142" spans="1:31" ht="13.5" thickBot="1">
      <c r="A1142" s="153"/>
      <c r="B1142" s="49"/>
      <c r="C1142" s="49"/>
      <c r="D1142" s="49"/>
      <c r="E1142" s="26">
        <f>+G1142-Adjustments!G1140</f>
        <v>0</v>
      </c>
      <c r="F1142" s="26"/>
      <c r="G1142" s="26"/>
      <c r="H1142" s="26"/>
      <c r="I1142" s="26"/>
      <c r="J1142" s="9">
        <f>+I1142-'ROR-Model'!I1142</f>
        <v>0</v>
      </c>
      <c r="K1142" s="9"/>
      <c r="L1142" s="26"/>
      <c r="M1142" s="26"/>
      <c r="N1142" s="26"/>
      <c r="O1142" s="136"/>
      <c r="P1142" s="227"/>
      <c r="Q1142" s="26"/>
      <c r="R1142" s="26"/>
      <c r="S1142" s="227"/>
      <c r="T1142" s="26"/>
      <c r="U1142" s="26"/>
      <c r="V1142" s="140"/>
      <c r="W1142" s="26"/>
      <c r="X1142" s="156"/>
      <c r="Y1142" s="918">
        <f t="shared" si="75"/>
        <v>1133</v>
      </c>
      <c r="AA1142" s="26">
        <v>-2184704.2999999998</v>
      </c>
      <c r="AC1142" s="26">
        <f t="shared" si="74"/>
        <v>2184704.2999999998</v>
      </c>
      <c r="AE1142" s="44">
        <f t="shared" si="76"/>
        <v>-1</v>
      </c>
    </row>
    <row r="1143" spans="1:31" ht="13.5" thickTop="1">
      <c r="A1143" s="153"/>
      <c r="B1143" s="49"/>
      <c r="C1143" s="49"/>
      <c r="D1143" s="49"/>
      <c r="E1143" s="9">
        <f>+G1143-Adjustments!G1141</f>
        <v>0</v>
      </c>
      <c r="F1143" s="9"/>
      <c r="G1143" s="9"/>
      <c r="H1143" s="9"/>
      <c r="I1143" s="9"/>
      <c r="J1143" s="9">
        <f>+I1143-'ROR-Model'!I1143</f>
        <v>0</v>
      </c>
      <c r="K1143" s="9"/>
      <c r="L1143" s="9"/>
      <c r="M1143" s="9"/>
      <c r="N1143" s="9"/>
      <c r="O1143" s="136"/>
      <c r="P1143" s="216"/>
      <c r="Q1143" s="9"/>
      <c r="R1143" s="9"/>
      <c r="S1143" s="142"/>
      <c r="T1143" s="9"/>
      <c r="U1143" s="9"/>
      <c r="V1143" s="140"/>
      <c r="W1143" s="9"/>
      <c r="X1143" s="156"/>
      <c r="Y1143" s="918">
        <f t="shared" si="75"/>
        <v>1134</v>
      </c>
      <c r="AA1143" s="9">
        <v>0</v>
      </c>
      <c r="AC1143" s="9" t="str">
        <f t="shared" si="74"/>
        <v/>
      </c>
      <c r="AE1143" s="44" t="str">
        <f t="shared" si="76"/>
        <v/>
      </c>
    </row>
    <row r="1144" spans="1:31">
      <c r="A1144" s="153"/>
      <c r="B1144" s="235" t="s">
        <v>276</v>
      </c>
      <c r="C1144" s="49"/>
      <c r="D1144" s="49"/>
      <c r="E1144" s="9">
        <f>+G1144-Adjustments!G1142</f>
        <v>143648060.14796776</v>
      </c>
      <c r="F1144" s="9">
        <f>F1102+F1106+F1113+F1120+F1127+F1134</f>
        <v>1719831341.8620005</v>
      </c>
      <c r="G1144" s="9">
        <f>G1102+G1106+G1113+G1120+G1127+G1134</f>
        <v>143648060.14796776</v>
      </c>
      <c r="H1144" s="9">
        <f>H1102+H1106+H1113+H1120+H1127+H1134</f>
        <v>0</v>
      </c>
      <c r="I1144" s="52">
        <f>I1102+I1106+I1113+I1120+I1127+I1134</f>
        <v>1863479402.0099683</v>
      </c>
      <c r="J1144" s="9">
        <f>+I1144-'ROR-Model'!I1144</f>
        <v>0</v>
      </c>
      <c r="K1144" s="9"/>
      <c r="L1144" s="9"/>
      <c r="M1144" s="9">
        <f>M1102+M1106+M1113+M1120+M1127+M1134</f>
        <v>1804489873.5081129</v>
      </c>
      <c r="N1144" s="9">
        <f>N1102+N1106+N1113+N1120+N1127+N1134</f>
        <v>58989528.501855217</v>
      </c>
      <c r="O1144" s="136"/>
      <c r="P1144" s="216"/>
      <c r="Q1144" s="9">
        <f>Q1102+Q1106+Q1113+Q1120+Q1127+Q1134</f>
        <v>1804489873.5081129</v>
      </c>
      <c r="R1144" s="9">
        <f>R1102+R1106+R1113+R1120+R1127+R1134</f>
        <v>0</v>
      </c>
      <c r="S1144" s="142"/>
      <c r="T1144" s="9">
        <f>T1102+T1106+T1113+T1120+T1127+T1134</f>
        <v>58838856.552037328</v>
      </c>
      <c r="U1144" s="9">
        <f>U1102+U1106+U1113+U1120+U1127+U1134</f>
        <v>150671.94981788931</v>
      </c>
      <c r="V1144" s="140"/>
      <c r="W1144" s="9">
        <f>HLOOKUP($W$9,'ROR-Model'!$Q$10:$U$1263,Y1144)</f>
        <v>1804489873.5081129</v>
      </c>
      <c r="X1144" s="156"/>
      <c r="Y1144" s="918">
        <f t="shared" si="75"/>
        <v>1135</v>
      </c>
      <c r="AA1144" s="9">
        <v>0</v>
      </c>
      <c r="AC1144" s="9" t="str">
        <f t="shared" si="74"/>
        <v/>
      </c>
      <c r="AE1144" s="44" t="str">
        <f t="shared" si="76"/>
        <v/>
      </c>
    </row>
    <row r="1145" spans="1:31">
      <c r="A1145" s="153"/>
      <c r="B1145" s="49"/>
      <c r="C1145" s="49"/>
      <c r="D1145" s="49"/>
      <c r="E1145" s="9">
        <f>+G1145-Adjustments!G1143</f>
        <v>0</v>
      </c>
      <c r="F1145" s="9"/>
      <c r="G1145" s="9"/>
      <c r="H1145" s="9"/>
      <c r="I1145" s="9"/>
      <c r="J1145" s="9">
        <f>+I1145-'ROR-Model'!I1145</f>
        <v>0</v>
      </c>
      <c r="K1145" s="9"/>
      <c r="L1145" s="9"/>
      <c r="M1145" s="9"/>
      <c r="N1145" s="9"/>
      <c r="O1145" s="136"/>
      <c r="P1145" s="142"/>
      <c r="Q1145" s="9"/>
      <c r="R1145" s="9"/>
      <c r="S1145" s="142"/>
      <c r="T1145" s="9"/>
      <c r="U1145" s="9"/>
      <c r="V1145" s="140"/>
      <c r="W1145" s="9"/>
      <c r="X1145" s="156"/>
      <c r="Y1145" s="918">
        <f t="shared" si="75"/>
        <v>1136</v>
      </c>
      <c r="AA1145" s="9">
        <v>-2184704.2999999998</v>
      </c>
      <c r="AC1145" s="9">
        <f t="shared" si="74"/>
        <v>2184704.2999999998</v>
      </c>
      <c r="AE1145" s="44">
        <f t="shared" si="76"/>
        <v>-1</v>
      </c>
    </row>
    <row r="1146" spans="1:31">
      <c r="A1146" s="153"/>
      <c r="B1146" s="49"/>
      <c r="C1146" s="49"/>
      <c r="D1146" s="49"/>
      <c r="E1146" s="9">
        <f>+G1146-Adjustments!G1144</f>
        <v>0</v>
      </c>
      <c r="F1146" s="9"/>
      <c r="G1146" s="9"/>
      <c r="H1146" s="9"/>
      <c r="I1146" s="9"/>
      <c r="J1146" s="9">
        <f>+I1146-'ROR-Model'!I1146</f>
        <v>0</v>
      </c>
      <c r="K1146" s="9"/>
      <c r="L1146" s="9"/>
      <c r="M1146" s="9"/>
      <c r="N1146" s="9"/>
      <c r="O1146" s="136"/>
      <c r="P1146" s="142"/>
      <c r="Q1146" s="9"/>
      <c r="R1146" s="9"/>
      <c r="S1146" s="142"/>
      <c r="T1146" s="9"/>
      <c r="U1146" s="9"/>
      <c r="V1146" s="140"/>
      <c r="W1146" s="9"/>
      <c r="X1146" s="156"/>
      <c r="Y1146" s="918">
        <f t="shared" si="75"/>
        <v>1137</v>
      </c>
      <c r="AA1146" s="9"/>
      <c r="AC1146" s="9" t="str">
        <f t="shared" si="74"/>
        <v/>
      </c>
      <c r="AE1146" s="44" t="str">
        <f t="shared" si="76"/>
        <v/>
      </c>
    </row>
    <row r="1147" spans="1:31">
      <c r="A1147" s="130" t="s">
        <v>167</v>
      </c>
      <c r="B1147" s="49"/>
      <c r="C1147" s="49"/>
      <c r="D1147" s="49"/>
      <c r="E1147" s="9">
        <f>+G1147-Adjustments!G1145</f>
        <v>0</v>
      </c>
      <c r="F1147" s="9"/>
      <c r="G1147" s="9"/>
      <c r="H1147" s="9"/>
      <c r="I1147" s="9"/>
      <c r="J1147" s="9">
        <f>+I1147-'ROR-Model'!I1147</f>
        <v>0</v>
      </c>
      <c r="K1147" s="9"/>
      <c r="L1147" s="9"/>
      <c r="M1147" s="9"/>
      <c r="N1147" s="9"/>
      <c r="O1147" s="136"/>
      <c r="P1147" s="142"/>
      <c r="Q1147" s="9"/>
      <c r="R1147" s="9"/>
      <c r="S1147" s="142"/>
      <c r="T1147" s="9"/>
      <c r="U1147" s="9"/>
      <c r="V1147" s="140"/>
      <c r="W1147" s="9"/>
      <c r="X1147" s="156"/>
      <c r="Y1147" s="918">
        <f t="shared" si="75"/>
        <v>1138</v>
      </c>
      <c r="AA1147" s="9"/>
      <c r="AC1147" s="9" t="str">
        <f t="shared" si="74"/>
        <v/>
      </c>
      <c r="AE1147" s="44" t="str">
        <f t="shared" si="76"/>
        <v/>
      </c>
    </row>
    <row r="1148" spans="1:31">
      <c r="A1148" s="153"/>
      <c r="B1148" s="49"/>
      <c r="C1148" s="49"/>
      <c r="D1148" s="49"/>
      <c r="E1148" s="9">
        <f>+G1148-Adjustments!G1146</f>
        <v>0</v>
      </c>
      <c r="F1148" s="9"/>
      <c r="G1148" s="9"/>
      <c r="H1148" s="9"/>
      <c r="I1148" s="9"/>
      <c r="J1148" s="9">
        <f>+I1148-'ROR-Model'!I1148</f>
        <v>0</v>
      </c>
      <c r="K1148" s="9"/>
      <c r="L1148" s="9"/>
      <c r="M1148" s="9"/>
      <c r="N1148" s="9"/>
      <c r="O1148" s="136"/>
      <c r="P1148" s="142"/>
      <c r="Q1148" s="9"/>
      <c r="R1148" s="9"/>
      <c r="S1148" s="142"/>
      <c r="T1148" s="9"/>
      <c r="U1148" s="9"/>
      <c r="V1148" s="140"/>
      <c r="W1148" s="9"/>
      <c r="X1148" s="156"/>
      <c r="Y1148" s="918">
        <f t="shared" si="75"/>
        <v>1139</v>
      </c>
      <c r="AA1148" s="9"/>
      <c r="AC1148" s="9" t="str">
        <f t="shared" si="74"/>
        <v/>
      </c>
      <c r="AE1148" s="44" t="str">
        <f t="shared" si="76"/>
        <v/>
      </c>
    </row>
    <row r="1149" spans="1:31">
      <c r="A1149" s="154">
        <v>154</v>
      </c>
      <c r="B1149" s="49" t="s">
        <v>294</v>
      </c>
      <c r="C1149" s="49"/>
      <c r="D1149" s="49"/>
      <c r="E1149" s="9">
        <f>+G1149-Adjustments!G1147</f>
        <v>0</v>
      </c>
      <c r="F1149" s="9"/>
      <c r="G1149" s="9"/>
      <c r="H1149" s="9"/>
      <c r="I1149" s="9"/>
      <c r="J1149" s="9">
        <f>+I1149-'ROR-Model'!I1149</f>
        <v>0</v>
      </c>
      <c r="K1149" s="9"/>
      <c r="L1149" s="9"/>
      <c r="M1149" s="9"/>
      <c r="N1149" s="9"/>
      <c r="O1149" s="136"/>
      <c r="P1149" s="142"/>
      <c r="Q1149" s="9"/>
      <c r="R1149" s="9"/>
      <c r="S1149" s="142"/>
      <c r="T1149" s="9"/>
      <c r="U1149" s="9"/>
      <c r="V1149" s="140"/>
      <c r="W1149" s="9"/>
      <c r="X1149" s="156"/>
      <c r="Y1149" s="918">
        <f t="shared" si="75"/>
        <v>1140</v>
      </c>
      <c r="AA1149" s="9">
        <v>0</v>
      </c>
      <c r="AC1149" s="9" t="str">
        <f t="shared" si="74"/>
        <v/>
      </c>
      <c r="AE1149" s="44" t="str">
        <f t="shared" si="76"/>
        <v/>
      </c>
    </row>
    <row r="1150" spans="1:31">
      <c r="A1150" s="154"/>
      <c r="B1150" s="49"/>
      <c r="C1150" s="49" t="s">
        <v>24</v>
      </c>
      <c r="D1150" s="49"/>
      <c r="E1150" s="9">
        <f>+G1150-Adjustments!G1148</f>
        <v>24091.935429131147</v>
      </c>
      <c r="F1150" s="9">
        <f>+'Rate Base'!$T$198</f>
        <v>821279.85365963727</v>
      </c>
      <c r="G1150" s="9">
        <f>+Adjustments!U1130</f>
        <v>24091.935429131147</v>
      </c>
      <c r="H1150" s="9"/>
      <c r="I1150" s="9">
        <f>SUM($F$1150:$H$1150)</f>
        <v>845371.78908876842</v>
      </c>
      <c r="J1150" s="9">
        <f>+I1150-'ROR-Model'!I1150</f>
        <v>0</v>
      </c>
      <c r="K1150" s="9"/>
      <c r="L1150" s="9" t="s">
        <v>24</v>
      </c>
      <c r="M1150" s="9">
        <f>VLOOKUP($L1150,$L$2:$N$7,2,FALSE)*I1150</f>
        <v>0</v>
      </c>
      <c r="N1150" s="9">
        <f>VLOOKUP($L1150,$L$2:$N$7,3,FALSE)*I1150</f>
        <v>845371.78908876842</v>
      </c>
      <c r="O1150" s="136"/>
      <c r="P1150" s="216" t="s">
        <v>549</v>
      </c>
      <c r="Q1150" s="9">
        <f>IF(P1150="G",M1150,IF(P1150="PT",0,ERR))</f>
        <v>0</v>
      </c>
      <c r="R1150" s="9">
        <f>IF(P1150="PT",M1150,IF(P1150="G",0,ERR))</f>
        <v>0</v>
      </c>
      <c r="S1150" s="142" t="s">
        <v>549</v>
      </c>
      <c r="T1150" s="9">
        <f>IF(S1150="G",N1150,IF(S1150="PT",0,ERR))</f>
        <v>845371.78908876842</v>
      </c>
      <c r="U1150" s="9">
        <f>IF(S1150="PT",N1150,IF(S1150="G",0,ERR))</f>
        <v>0</v>
      </c>
      <c r="V1150" s="140"/>
      <c r="W1150" s="9">
        <f>HLOOKUP($W$9,'ROR-Model'!$Q$10:$U$1263,Y1150)</f>
        <v>0</v>
      </c>
      <c r="X1150" s="156"/>
      <c r="Y1150" s="918">
        <f t="shared" si="75"/>
        <v>1141</v>
      </c>
      <c r="AA1150" s="9">
        <v>43795072.294000015</v>
      </c>
      <c r="AC1150" s="9">
        <f t="shared" si="74"/>
        <v>-43795072.294000015</v>
      </c>
      <c r="AE1150" s="44">
        <f t="shared" si="76"/>
        <v>-1</v>
      </c>
    </row>
    <row r="1151" spans="1:31">
      <c r="A1151" s="154"/>
      <c r="B1151" s="49"/>
      <c r="C1151" s="49" t="s">
        <v>13</v>
      </c>
      <c r="D1151" s="49"/>
      <c r="E1151" s="9">
        <f>+G1151-Adjustments!G1149</f>
        <v>714502.01540419832</v>
      </c>
      <c r="F1151" s="9">
        <f>+'Rate Base'!$T$199</f>
        <v>24356951.826340362</v>
      </c>
      <c r="G1151" s="9">
        <f>+Adjustments!U1131</f>
        <v>714502.01540419832</v>
      </c>
      <c r="H1151" s="9"/>
      <c r="I1151" s="9">
        <f>SUM($F$1151:$H$1151)</f>
        <v>25071453.841744561</v>
      </c>
      <c r="J1151" s="9">
        <f>+I1151-'ROR-Model'!I1151</f>
        <v>0</v>
      </c>
      <c r="K1151" s="9"/>
      <c r="L1151" s="9" t="s">
        <v>13</v>
      </c>
      <c r="M1151" s="9">
        <f>VLOOKUP($L1151,$L$2:$N$7,2,FALSE)*I1151</f>
        <v>25071453.841744561</v>
      </c>
      <c r="N1151" s="9">
        <f>VLOOKUP($L1151,$L$2:$N$7,3,FALSE)*I1151</f>
        <v>0</v>
      </c>
      <c r="O1151" s="136"/>
      <c r="P1151" s="216" t="s">
        <v>549</v>
      </c>
      <c r="Q1151" s="9">
        <f>IF(P1151="G",M1151,IF(P1151="PT",0,ERR))</f>
        <v>25071453.841744561</v>
      </c>
      <c r="R1151" s="9">
        <f>IF(P1151="PT",M1151,IF(P1151="G",0,ERR))</f>
        <v>0</v>
      </c>
      <c r="S1151" s="142" t="s">
        <v>549</v>
      </c>
      <c r="T1151" s="9">
        <f>IF(S1151="G",N1151,IF(S1151="PT",0,ERR))</f>
        <v>0</v>
      </c>
      <c r="U1151" s="9">
        <f>IF(S1151="PT",N1151,IF(S1151="G",0,ERR))</f>
        <v>0</v>
      </c>
      <c r="V1151" s="140"/>
      <c r="W1151" s="9">
        <f>HLOOKUP($W$9,'ROR-Model'!$Q$10:$U$1263,Y1151)</f>
        <v>25071453.841744561</v>
      </c>
      <c r="X1151" s="156"/>
      <c r="Y1151" s="918">
        <f t="shared" si="75"/>
        <v>1142</v>
      </c>
      <c r="AA1151" s="9">
        <v>0</v>
      </c>
      <c r="AC1151" s="9" t="str">
        <f t="shared" si="74"/>
        <v/>
      </c>
      <c r="AE1151" s="44" t="str">
        <f t="shared" si="76"/>
        <v/>
      </c>
    </row>
    <row r="1152" spans="1:31">
      <c r="A1152" s="154"/>
      <c r="B1152" s="49"/>
      <c r="C1152" s="49" t="s">
        <v>160</v>
      </c>
      <c r="D1152" s="49"/>
      <c r="E1152" s="157">
        <f>+G1152-Adjustments!G1150</f>
        <v>738593.95083332947</v>
      </c>
      <c r="F1152" s="157">
        <f>SUM(F1150:F1151)</f>
        <v>25178231.68</v>
      </c>
      <c r="G1152" s="157">
        <f>SUM(G1150:G1151)</f>
        <v>738593.95083332947</v>
      </c>
      <c r="H1152" s="157">
        <f>SUM(H1150:H1151)</f>
        <v>0</v>
      </c>
      <c r="I1152" s="157">
        <f>SUM(I1150:I1151)</f>
        <v>25916825.630833328</v>
      </c>
      <c r="J1152" s="9">
        <f>+I1152-'ROR-Model'!I1152</f>
        <v>0</v>
      </c>
      <c r="K1152" s="9"/>
      <c r="L1152" s="157"/>
      <c r="M1152" s="157">
        <f>SUM(M1150:M1151)</f>
        <v>25071453.841744561</v>
      </c>
      <c r="N1152" s="157">
        <f>SUM(N1150:N1151)</f>
        <v>845371.78908876842</v>
      </c>
      <c r="O1152" s="136"/>
      <c r="P1152" s="226"/>
      <c r="Q1152" s="157">
        <f>SUM(Q1150:Q1151)</f>
        <v>25071453.841744561</v>
      </c>
      <c r="R1152" s="157">
        <f>SUM(R1150:R1151)</f>
        <v>0</v>
      </c>
      <c r="S1152" s="226"/>
      <c r="T1152" s="157">
        <f>SUM(T1150:T1151)</f>
        <v>845371.78908876842</v>
      </c>
      <c r="U1152" s="157">
        <f>SUM(U1150:U1151)</f>
        <v>0</v>
      </c>
      <c r="V1152" s="140"/>
      <c r="W1152" s="157">
        <f>HLOOKUP($W$9,'ROR-Model'!$Q$10:$U$1263,Y1152)</f>
        <v>25071453.841744561</v>
      </c>
      <c r="X1152" s="156"/>
      <c r="Y1152" s="918">
        <f t="shared" si="75"/>
        <v>1143</v>
      </c>
      <c r="AA1152" s="157">
        <v>4915795.0994523093</v>
      </c>
      <c r="AC1152" s="157">
        <f t="shared" si="74"/>
        <v>20155658.742292251</v>
      </c>
      <c r="AE1152" s="44">
        <f t="shared" si="76"/>
        <v>4.1001828462170611</v>
      </c>
    </row>
    <row r="1153" spans="1:31">
      <c r="A1153" s="154"/>
      <c r="B1153" s="49"/>
      <c r="C1153" s="49"/>
      <c r="D1153" s="49"/>
      <c r="E1153" s="9">
        <f>+G1153-Adjustments!G1151</f>
        <v>0</v>
      </c>
      <c r="F1153" s="9"/>
      <c r="G1153" s="9"/>
      <c r="H1153" s="9"/>
      <c r="I1153" s="9"/>
      <c r="J1153" s="9">
        <f>+I1153-'ROR-Model'!I1153</f>
        <v>0</v>
      </c>
      <c r="K1153" s="9"/>
      <c r="L1153" s="9"/>
      <c r="M1153" s="9"/>
      <c r="N1153" s="9"/>
      <c r="O1153" s="136"/>
      <c r="P1153" s="142"/>
      <c r="Q1153" s="9"/>
      <c r="R1153" s="9"/>
      <c r="S1153" s="142"/>
      <c r="T1153" s="9"/>
      <c r="U1153" s="9"/>
      <c r="V1153" s="140"/>
      <c r="W1153" s="9"/>
      <c r="X1153" s="156"/>
      <c r="Y1153" s="918">
        <f t="shared" si="75"/>
        <v>1144</v>
      </c>
      <c r="AA1153" s="9"/>
      <c r="AC1153" s="9" t="str">
        <f t="shared" si="74"/>
        <v/>
      </c>
      <c r="AE1153" s="44" t="str">
        <f t="shared" si="76"/>
        <v/>
      </c>
    </row>
    <row r="1154" spans="1:31">
      <c r="A1154" s="392">
        <v>1641</v>
      </c>
      <c r="B1154" s="309" t="s">
        <v>295</v>
      </c>
      <c r="C1154" s="309"/>
      <c r="D1154" s="309"/>
      <c r="E1154" s="357">
        <f>+G1154-Adjustments!G1152</f>
        <v>0</v>
      </c>
      <c r="F1154" s="357"/>
      <c r="G1154" s="357"/>
      <c r="H1154" s="357"/>
      <c r="I1154" s="357"/>
      <c r="J1154" s="9">
        <f>+I1154-'ROR-Model'!I1154</f>
        <v>0</v>
      </c>
      <c r="K1154" s="357"/>
      <c r="L1154" s="357"/>
      <c r="M1154" s="357"/>
      <c r="N1154" s="357"/>
      <c r="O1154" s="709"/>
      <c r="P1154" s="584"/>
      <c r="Q1154" s="357"/>
      <c r="R1154" s="357"/>
      <c r="S1154" s="584"/>
      <c r="T1154" s="357"/>
      <c r="U1154" s="357"/>
      <c r="V1154" s="710"/>
      <c r="W1154" s="357"/>
      <c r="X1154" s="359"/>
      <c r="Y1154" s="918">
        <f t="shared" si="75"/>
        <v>1145</v>
      </c>
      <c r="AA1154" s="357"/>
      <c r="AC1154" s="357" t="str">
        <f t="shared" si="74"/>
        <v/>
      </c>
      <c r="AE1154" s="44" t="str">
        <f t="shared" si="76"/>
        <v/>
      </c>
    </row>
    <row r="1155" spans="1:31">
      <c r="A1155" s="392"/>
      <c r="B1155" s="309"/>
      <c r="C1155" s="309" t="s">
        <v>427</v>
      </c>
      <c r="D1155" s="309"/>
      <c r="E1155" s="357">
        <f>+G1155-Adjustments!G1153</f>
        <v>-52891066.75</v>
      </c>
      <c r="F1155" s="357">
        <f>+'Rate Base'!$T$203</f>
        <v>52891066.75</v>
      </c>
      <c r="G1155" s="357">
        <f>-F1155</f>
        <v>-52891066.75</v>
      </c>
      <c r="H1155" s="357"/>
      <c r="I1155" s="357">
        <f>SUM($F$1155:$H$1155)</f>
        <v>0</v>
      </c>
      <c r="J1155" s="9">
        <f>+I1155-'ROR-Model'!I1155</f>
        <v>0</v>
      </c>
      <c r="K1155" s="357"/>
      <c r="L1155" s="357" t="s">
        <v>679</v>
      </c>
      <c r="M1155" s="357">
        <f>VLOOKUP($L1155,$L$2:$N$7,2,FALSE)*I1155</f>
        <v>0</v>
      </c>
      <c r="N1155" s="357">
        <f>VLOOKUP($L1155,$L$2:$N$7,3,FALSE)*I1155</f>
        <v>0</v>
      </c>
      <c r="O1155" s="709"/>
      <c r="P1155" s="513" t="s">
        <v>549</v>
      </c>
      <c r="Q1155" s="357">
        <f>IF(P1155="G",M1155,IF(P1155="PT",0,ERR))</f>
        <v>0</v>
      </c>
      <c r="R1155" s="357">
        <f>IF(P1155="PT",M1155,IF(P1155="G",0,ERR))</f>
        <v>0</v>
      </c>
      <c r="S1155" s="584" t="s">
        <v>549</v>
      </c>
      <c r="T1155" s="357">
        <f>IF(S1155="G",N1155,IF(S1155="PT",0,ERR))</f>
        <v>0</v>
      </c>
      <c r="U1155" s="357">
        <f>IF(S1155="PT",N1155,IF(S1155="G",0,ERR))</f>
        <v>0</v>
      </c>
      <c r="V1155" s="710"/>
      <c r="W1155" s="357">
        <f>HLOOKUP($W$9,'ROR-Model'!$Q$10:$U$1263,Y1155)</f>
        <v>0</v>
      </c>
      <c r="X1155" s="359"/>
      <c r="Y1155" s="918">
        <f t="shared" si="75"/>
        <v>1146</v>
      </c>
      <c r="AA1155" s="357">
        <v>48710867.393452331</v>
      </c>
      <c r="AC1155" s="357">
        <f t="shared" si="74"/>
        <v>-48710867.393452331</v>
      </c>
      <c r="AE1155" s="44">
        <f t="shared" si="76"/>
        <v>-1</v>
      </c>
    </row>
    <row r="1156" spans="1:31">
      <c r="A1156" s="392"/>
      <c r="B1156" s="309"/>
      <c r="C1156" s="309" t="s">
        <v>160</v>
      </c>
      <c r="D1156" s="309"/>
      <c r="E1156" s="388">
        <f>+G1156-Adjustments!G1154</f>
        <v>-52891066.75</v>
      </c>
      <c r="F1156" s="388">
        <f>SUM(F1155)</f>
        <v>52891066.75</v>
      </c>
      <c r="G1156" s="388">
        <f>SUM(G1155)</f>
        <v>-52891066.75</v>
      </c>
      <c r="H1156" s="388">
        <f>SUM(H1155)</f>
        <v>0</v>
      </c>
      <c r="I1156" s="388">
        <f>SUM(I1155)</f>
        <v>0</v>
      </c>
      <c r="J1156" s="9">
        <f>+I1156-'ROR-Model'!I1156</f>
        <v>0</v>
      </c>
      <c r="K1156" s="357"/>
      <c r="L1156" s="388"/>
      <c r="M1156" s="388">
        <f>SUM(M1155)</f>
        <v>0</v>
      </c>
      <c r="N1156" s="388">
        <f>SUM(N1155)</f>
        <v>0</v>
      </c>
      <c r="O1156" s="709"/>
      <c r="P1156" s="625"/>
      <c r="Q1156" s="388">
        <f>SUM(Q1155)</f>
        <v>0</v>
      </c>
      <c r="R1156" s="388">
        <f>SUM(R1155)</f>
        <v>0</v>
      </c>
      <c r="S1156" s="625"/>
      <c r="T1156" s="388">
        <f>SUM(T1155)</f>
        <v>0</v>
      </c>
      <c r="U1156" s="388">
        <f>SUM(U1155)</f>
        <v>0</v>
      </c>
      <c r="V1156" s="710"/>
      <c r="W1156" s="388">
        <f>HLOOKUP($W$9,'ROR-Model'!$Q$10:$U$1263,Y1156)</f>
        <v>0</v>
      </c>
      <c r="X1156" s="359"/>
      <c r="Y1156" s="918">
        <f t="shared" si="75"/>
        <v>1147</v>
      </c>
      <c r="AA1156" s="388"/>
      <c r="AC1156" s="388" t="str">
        <f t="shared" si="74"/>
        <v/>
      </c>
      <c r="AE1156" s="44" t="str">
        <f t="shared" si="76"/>
        <v/>
      </c>
    </row>
    <row r="1157" spans="1:31">
      <c r="A1157" s="154"/>
      <c r="B1157" s="49"/>
      <c r="C1157" s="49"/>
      <c r="D1157" s="49"/>
      <c r="E1157" s="9">
        <f>+G1157-Adjustments!G1155</f>
        <v>0</v>
      </c>
      <c r="F1157" s="9"/>
      <c r="G1157" s="9"/>
      <c r="H1157" s="9"/>
      <c r="I1157" s="9"/>
      <c r="J1157" s="9">
        <f>+I1157-'ROR-Model'!I1157</f>
        <v>0</v>
      </c>
      <c r="K1157" s="9"/>
      <c r="L1157" s="9"/>
      <c r="M1157" s="9"/>
      <c r="N1157" s="9"/>
      <c r="O1157" s="136"/>
      <c r="P1157" s="142"/>
      <c r="Q1157" s="9"/>
      <c r="R1157" s="9"/>
      <c r="S1157" s="142"/>
      <c r="T1157" s="9"/>
      <c r="U1157" s="9"/>
      <c r="V1157" s="140"/>
      <c r="W1157" s="9"/>
      <c r="X1157" s="156"/>
      <c r="Y1157" s="918">
        <f t="shared" si="75"/>
        <v>1148</v>
      </c>
      <c r="AA1157" s="9"/>
      <c r="AC1157" s="9" t="str">
        <f t="shared" si="74"/>
        <v/>
      </c>
      <c r="AE1157" s="44" t="str">
        <f t="shared" si="76"/>
        <v/>
      </c>
    </row>
    <row r="1158" spans="1:31">
      <c r="A1158" s="154">
        <v>165</v>
      </c>
      <c r="B1158" s="49" t="s">
        <v>296</v>
      </c>
      <c r="C1158" s="49"/>
      <c r="D1158" s="49"/>
      <c r="E1158" s="9">
        <f>+G1158-Adjustments!G1156</f>
        <v>0</v>
      </c>
      <c r="F1158" s="9"/>
      <c r="G1158" s="9"/>
      <c r="H1158" s="9"/>
      <c r="I1158" s="9"/>
      <c r="J1158" s="9">
        <f>+I1158-'ROR-Model'!I1158</f>
        <v>0</v>
      </c>
      <c r="K1158" s="9"/>
      <c r="L1158" s="9"/>
      <c r="M1158" s="9"/>
      <c r="N1158" s="9"/>
      <c r="O1158" s="136"/>
      <c r="P1158" s="142"/>
      <c r="Q1158" s="9"/>
      <c r="R1158" s="9"/>
      <c r="S1158" s="142"/>
      <c r="T1158" s="9"/>
      <c r="U1158" s="9"/>
      <c r="V1158" s="140"/>
      <c r="W1158" s="9"/>
      <c r="X1158" s="156"/>
      <c r="Y1158" s="918">
        <f t="shared" si="75"/>
        <v>1149</v>
      </c>
      <c r="AA1158" s="9"/>
      <c r="AC1158" s="9" t="str">
        <f t="shared" ref="AC1158:AC1221" si="81">IF(ABS(AA1158)&gt;0,W1158-AA1158,"")</f>
        <v/>
      </c>
      <c r="AE1158" s="44" t="str">
        <f t="shared" si="76"/>
        <v/>
      </c>
    </row>
    <row r="1159" spans="1:31">
      <c r="A1159" s="154"/>
      <c r="B1159" s="49"/>
      <c r="C1159" s="49" t="s">
        <v>584</v>
      </c>
      <c r="D1159" s="49"/>
      <c r="E1159" s="9">
        <f>+G1159-Adjustments!G1157</f>
        <v>-276003.70500000007</v>
      </c>
      <c r="F1159" s="9">
        <f>+'Rate Base'!$T$207</f>
        <v>3910153.76</v>
      </c>
      <c r="G1159" s="9">
        <f>+Adjustments!U1139</f>
        <v>-276003.70500000007</v>
      </c>
      <c r="H1159" s="9"/>
      <c r="I1159" s="9">
        <f>SUM($F$1159:$H$1159)</f>
        <v>3634150.0549999997</v>
      </c>
      <c r="J1159" s="9">
        <f>+I1159-'ROR-Model'!I1159</f>
        <v>0</v>
      </c>
      <c r="K1159" s="9"/>
      <c r="L1159" s="9" t="s">
        <v>458</v>
      </c>
      <c r="M1159" s="9">
        <f>VLOOKUP($L1159,$L$2:$N$7,2,FALSE)*I1159</f>
        <v>3515608.9968637214</v>
      </c>
      <c r="N1159" s="9">
        <f>VLOOKUP($L1159,$L$2:$N$7,3,FALSE)*I1159</f>
        <v>118541.05813627769</v>
      </c>
      <c r="O1159" s="136"/>
      <c r="P1159" s="216" t="s">
        <v>549</v>
      </c>
      <c r="Q1159" s="9">
        <f>IF(P1159="G",M1159,IF(P1159="PT",0,ERR))</f>
        <v>3515608.9968637214</v>
      </c>
      <c r="R1159" s="9">
        <f>IF(P1159="PT",M1159,IF(P1159="G",0,ERR))</f>
        <v>0</v>
      </c>
      <c r="S1159" s="142" t="s">
        <v>549</v>
      </c>
      <c r="T1159" s="9">
        <f>IF(S1159="G",N1159,IF(S1159="PT",0,ERR))</f>
        <v>118541.05813627769</v>
      </c>
      <c r="U1159" s="9">
        <f>IF(S1159="PT",N1159,IF(S1159="G",0,ERR))</f>
        <v>0</v>
      </c>
      <c r="V1159" s="140"/>
      <c r="W1159" s="9">
        <f>HLOOKUP($W$9,'ROR-Model'!$Q$10:$U$1263,Y1159)</f>
        <v>3515608.9968637214</v>
      </c>
      <c r="X1159" s="156"/>
      <c r="Y1159" s="918">
        <f t="shared" si="75"/>
        <v>1150</v>
      </c>
      <c r="AA1159" s="9"/>
      <c r="AC1159" s="9" t="str">
        <f t="shared" si="81"/>
        <v/>
      </c>
      <c r="AE1159" s="44" t="str">
        <f t="shared" ref="AE1159:AE1222" si="82">IF(ABS(AA1159)&gt;0,AC1159/AA1159,"")</f>
        <v/>
      </c>
    </row>
    <row r="1160" spans="1:31">
      <c r="A1160" s="154"/>
      <c r="B1160" s="49"/>
      <c r="C1160" s="49" t="s">
        <v>160</v>
      </c>
      <c r="D1160" s="49"/>
      <c r="E1160" s="157">
        <f>+G1160-Adjustments!G1158</f>
        <v>-276003.70500000007</v>
      </c>
      <c r="F1160" s="157">
        <f>SUM(F1159)</f>
        <v>3910153.76</v>
      </c>
      <c r="G1160" s="157">
        <f>SUM(G1159)</f>
        <v>-276003.70500000007</v>
      </c>
      <c r="H1160" s="157">
        <f>SUM(H1159)</f>
        <v>0</v>
      </c>
      <c r="I1160" s="157">
        <f>SUM(I1159)</f>
        <v>3634150.0549999997</v>
      </c>
      <c r="J1160" s="9">
        <f>+I1160-'ROR-Model'!I1160</f>
        <v>0</v>
      </c>
      <c r="K1160" s="9"/>
      <c r="L1160" s="157"/>
      <c r="M1160" s="157">
        <f>SUM(M1159)</f>
        <v>3515608.9968637214</v>
      </c>
      <c r="N1160" s="157">
        <f>SUM(N1159)</f>
        <v>118541.05813627769</v>
      </c>
      <c r="O1160" s="136"/>
      <c r="P1160" s="226"/>
      <c r="Q1160" s="157">
        <f>SUM(Q1159)</f>
        <v>3515608.9968637214</v>
      </c>
      <c r="R1160" s="157">
        <f>SUM(R1159)</f>
        <v>0</v>
      </c>
      <c r="S1160" s="226"/>
      <c r="T1160" s="157">
        <f>SUM(T1159)</f>
        <v>118541.05813627769</v>
      </c>
      <c r="U1160" s="157">
        <f>SUM(U1159)</f>
        <v>0</v>
      </c>
      <c r="V1160" s="140"/>
      <c r="W1160" s="157">
        <f>HLOOKUP($W$9,'ROR-Model'!$Q$10:$U$1263,Y1160)</f>
        <v>3515608.9968637214</v>
      </c>
      <c r="X1160" s="156"/>
      <c r="Y1160" s="918">
        <f t="shared" si="75"/>
        <v>1151</v>
      </c>
      <c r="AA1160" s="157"/>
      <c r="AC1160" s="157" t="str">
        <f t="shared" si="81"/>
        <v/>
      </c>
      <c r="AE1160" s="44" t="str">
        <f t="shared" si="82"/>
        <v/>
      </c>
    </row>
    <row r="1161" spans="1:31">
      <c r="A1161" s="154"/>
      <c r="B1161" s="49"/>
      <c r="C1161" s="49"/>
      <c r="D1161" s="49"/>
      <c r="E1161" s="9">
        <f>+G1161-Adjustments!G1159</f>
        <v>0</v>
      </c>
      <c r="F1161" s="9"/>
      <c r="G1161" s="9"/>
      <c r="H1161" s="9"/>
      <c r="I1161" s="9"/>
      <c r="J1161" s="9">
        <f>+I1161-'ROR-Model'!I1161</f>
        <v>0</v>
      </c>
      <c r="K1161" s="9"/>
      <c r="L1161" s="9"/>
      <c r="M1161" s="9"/>
      <c r="N1161" s="9"/>
      <c r="O1161" s="136"/>
      <c r="P1161" s="142"/>
      <c r="Q1161" s="9"/>
      <c r="R1161" s="9"/>
      <c r="S1161" s="142"/>
      <c r="T1161" s="9"/>
      <c r="U1161" s="9"/>
      <c r="V1161" s="140"/>
      <c r="W1161" s="9"/>
      <c r="X1161" s="156"/>
      <c r="Y1161" s="918">
        <f t="shared" si="75"/>
        <v>1152</v>
      </c>
      <c r="AA1161" s="9">
        <v>664261.83012723329</v>
      </c>
      <c r="AC1161" s="9">
        <f t="shared" si="81"/>
        <v>-664261.83012723329</v>
      </c>
      <c r="AE1161" s="44">
        <f t="shared" si="82"/>
        <v>-1</v>
      </c>
    </row>
    <row r="1162" spans="1:31">
      <c r="A1162" s="366" t="s">
        <v>289</v>
      </c>
      <c r="B1162" s="172" t="s">
        <v>291</v>
      </c>
      <c r="C1162" s="49"/>
      <c r="D1162" s="49"/>
      <c r="E1162" s="9">
        <f>+G1162-Adjustments!G1160</f>
        <v>0</v>
      </c>
      <c r="F1162" s="9"/>
      <c r="G1162" s="9"/>
      <c r="H1162" s="9"/>
      <c r="I1162" s="9"/>
      <c r="J1162" s="9">
        <f>+I1162-'ROR-Model'!I1162</f>
        <v>0</v>
      </c>
      <c r="K1162" s="9"/>
      <c r="L1162" s="9"/>
      <c r="M1162" s="9"/>
      <c r="N1162" s="9"/>
      <c r="O1162" s="136"/>
      <c r="P1162" s="142"/>
      <c r="Q1162" s="9"/>
      <c r="R1162" s="9"/>
      <c r="S1162" s="142"/>
      <c r="T1162" s="9"/>
      <c r="U1162" s="9"/>
      <c r="V1162" s="140"/>
      <c r="W1162" s="9"/>
      <c r="X1162" s="156"/>
      <c r="Y1162" s="918">
        <f t="shared" ref="Y1162:Y1225" si="83">Y1161+1</f>
        <v>1153</v>
      </c>
      <c r="AA1162" s="9">
        <v>0</v>
      </c>
      <c r="AC1162" s="9" t="str">
        <f t="shared" si="81"/>
        <v/>
      </c>
      <c r="AE1162" s="44" t="str">
        <f t="shared" si="82"/>
        <v/>
      </c>
    </row>
    <row r="1163" spans="1:31">
      <c r="A1163" s="154"/>
      <c r="B1163" s="49"/>
      <c r="C1163" s="49" t="s">
        <v>427</v>
      </c>
      <c r="D1163" s="49"/>
      <c r="E1163" s="9">
        <f>+G1163-Adjustments!G1161</f>
        <v>0</v>
      </c>
      <c r="F1163" s="9">
        <f>+'Rate Base'!$T$211</f>
        <v>0</v>
      </c>
      <c r="G1163" s="9">
        <f>+Adjustments!U1143</f>
        <v>0</v>
      </c>
      <c r="H1163" s="9"/>
      <c r="I1163" s="9">
        <f>SUM($F$1163:$H$1163)</f>
        <v>0</v>
      </c>
      <c r="J1163" s="9">
        <f>+I1163-'ROR-Model'!I1163</f>
        <v>0</v>
      </c>
      <c r="K1163" s="9"/>
      <c r="L1163" s="9" t="s">
        <v>679</v>
      </c>
      <c r="M1163" s="9">
        <f>VLOOKUP($L1163,$L$2:$N$7,2,FALSE)*I1163</f>
        <v>0</v>
      </c>
      <c r="N1163" s="9">
        <f>VLOOKUP($L1163,$L$2:$N$7,3,FALSE)*I1163</f>
        <v>0</v>
      </c>
      <c r="O1163" s="136"/>
      <c r="P1163" s="216" t="s">
        <v>549</v>
      </c>
      <c r="Q1163" s="9">
        <f>IF(P1163="G",M1163,IF(P1163="PT",0,ERR))</f>
        <v>0</v>
      </c>
      <c r="R1163" s="9">
        <f>IF(P1163="PT",M1163,IF(P1163="G",0,ERR))</f>
        <v>0</v>
      </c>
      <c r="S1163" s="142" t="s">
        <v>548</v>
      </c>
      <c r="T1163" s="9">
        <f>IF(S1163="G",N1163,IF(S1163="PT",0,ERR))</f>
        <v>0</v>
      </c>
      <c r="U1163" s="9">
        <f>IF(S1163="PT",N1163,IF(S1163="G",0,ERR))</f>
        <v>0</v>
      </c>
      <c r="V1163" s="140"/>
      <c r="W1163" s="9">
        <f>HLOOKUP($W$9,'ROR-Model'!$Q$10:$U$1263,Y1163)</f>
        <v>0</v>
      </c>
      <c r="X1163" s="156"/>
      <c r="Y1163" s="918">
        <f t="shared" si="83"/>
        <v>1154</v>
      </c>
      <c r="AA1163" s="9">
        <v>664261.83012723329</v>
      </c>
      <c r="AC1163" s="9">
        <f t="shared" si="81"/>
        <v>-664261.83012723329</v>
      </c>
      <c r="AE1163" s="44">
        <f t="shared" si="82"/>
        <v>-1</v>
      </c>
    </row>
    <row r="1164" spans="1:31">
      <c r="A1164" s="154"/>
      <c r="B1164" s="49"/>
      <c r="C1164" s="49" t="s">
        <v>581</v>
      </c>
      <c r="D1164" s="49"/>
      <c r="E1164" s="9">
        <f>+G1164-Adjustments!G1162</f>
        <v>-1755838.0441708355</v>
      </c>
      <c r="F1164" s="9">
        <f>+'Rate Base'!$T$212</f>
        <v>1832178.8287000023</v>
      </c>
      <c r="G1164" s="9">
        <f>+Adjustments!U1144</f>
        <v>-1755838.0441708355</v>
      </c>
      <c r="H1164" s="9"/>
      <c r="I1164" s="9">
        <f>SUM($F$1164:$H$1164)</f>
        <v>76340.784529166762</v>
      </c>
      <c r="J1164" s="9">
        <f>+I1164-'ROR-Model'!I1164</f>
        <v>0</v>
      </c>
      <c r="K1164" s="9"/>
      <c r="L1164" s="9" t="s">
        <v>24</v>
      </c>
      <c r="M1164" s="9">
        <f>VLOOKUP($L1164,$L$2:$N$7,2,FALSE)*I1164</f>
        <v>0</v>
      </c>
      <c r="N1164" s="9">
        <f>VLOOKUP($L1164,$L$2:$N$7,3,FALSE)*I1164</f>
        <v>76340.784529166762</v>
      </c>
      <c r="O1164" s="136"/>
      <c r="P1164" s="216" t="s">
        <v>549</v>
      </c>
      <c r="Q1164" s="9">
        <f>IF(P1164="G",M1164,IF(P1164="PT",0,ERR))</f>
        <v>0</v>
      </c>
      <c r="R1164" s="9">
        <f>IF(P1164="PT",M1164,IF(P1164="G",0,ERR))</f>
        <v>0</v>
      </c>
      <c r="S1164" s="142" t="s">
        <v>549</v>
      </c>
      <c r="T1164" s="9">
        <f>IF(S1164="G",N1164,IF(S1164="PT",0,ERR))</f>
        <v>76340.784529166762</v>
      </c>
      <c r="U1164" s="9">
        <f>IF(S1164="PT",N1164,IF(S1164="G",0,ERR))</f>
        <v>0</v>
      </c>
      <c r="V1164" s="140"/>
      <c r="W1164" s="9">
        <f>HLOOKUP($W$9,'ROR-Model'!$Q$10:$U$1263,Y1164)</f>
        <v>0</v>
      </c>
      <c r="X1164" s="156"/>
      <c r="Y1164" s="918">
        <f t="shared" si="83"/>
        <v>1155</v>
      </c>
      <c r="AA1164" s="9"/>
      <c r="AC1164" s="9" t="str">
        <f t="shared" si="81"/>
        <v/>
      </c>
      <c r="AE1164" s="44" t="str">
        <f t="shared" si="82"/>
        <v/>
      </c>
    </row>
    <row r="1165" spans="1:31">
      <c r="A1165" s="154"/>
      <c r="B1165" s="49"/>
      <c r="C1165" s="49" t="s">
        <v>582</v>
      </c>
      <c r="D1165" s="49"/>
      <c r="E1165" s="9">
        <f>+G1165-Adjustments!G1163</f>
        <v>-53286106.914162494</v>
      </c>
      <c r="F1165" s="9">
        <f>+'Rate Base'!$T$213</f>
        <v>55602894.171299994</v>
      </c>
      <c r="G1165" s="9">
        <f>+Adjustments!U1145</f>
        <v>-53286106.914162494</v>
      </c>
      <c r="H1165" s="9"/>
      <c r="I1165" s="9">
        <f>SUM($F$1165:$H$1165)</f>
        <v>2316787.2571374997</v>
      </c>
      <c r="J1165" s="9">
        <f>+I1165-'ROR-Model'!I1165</f>
        <v>0</v>
      </c>
      <c r="K1165" s="9"/>
      <c r="L1165" s="9" t="s">
        <v>13</v>
      </c>
      <c r="M1165" s="9">
        <f>VLOOKUP($L1165,$L$2:$N$7,2,FALSE)*I1165</f>
        <v>2316787.2571374997</v>
      </c>
      <c r="N1165" s="9">
        <f>VLOOKUP($L1165,$L$2:$N$7,3,FALSE)*I1165</f>
        <v>0</v>
      </c>
      <c r="O1165" s="136"/>
      <c r="P1165" s="216" t="s">
        <v>549</v>
      </c>
      <c r="Q1165" s="9">
        <f>IF(P1165="G",M1165,IF(P1165="PT",0,ERR))</f>
        <v>2316787.2571374997</v>
      </c>
      <c r="R1165" s="9">
        <f>IF(P1165="PT",M1165,IF(P1165="G",0,ERR))</f>
        <v>0</v>
      </c>
      <c r="S1165" s="142" t="s">
        <v>549</v>
      </c>
      <c r="T1165" s="9">
        <f>IF(S1165="G",N1165,IF(S1165="PT",0,ERR))</f>
        <v>0</v>
      </c>
      <c r="U1165" s="9">
        <f>IF(S1165="PT",N1165,IF(S1165="G",0,ERR))</f>
        <v>0</v>
      </c>
      <c r="V1165" s="140"/>
      <c r="W1165" s="9">
        <f>HLOOKUP($W$9,'ROR-Model'!$Q$10:$U$1263,Y1165)</f>
        <v>2316787.2571374997</v>
      </c>
      <c r="X1165" s="156"/>
      <c r="Y1165" s="918">
        <f t="shared" si="83"/>
        <v>1156</v>
      </c>
      <c r="AA1165" s="9"/>
      <c r="AC1165" s="9" t="str">
        <f t="shared" si="81"/>
        <v/>
      </c>
      <c r="AE1165" s="44" t="str">
        <f t="shared" si="82"/>
        <v/>
      </c>
    </row>
    <row r="1166" spans="1:31">
      <c r="A1166" s="154"/>
      <c r="B1166" s="49"/>
      <c r="C1166" s="49" t="s">
        <v>584</v>
      </c>
      <c r="D1166" s="49"/>
      <c r="E1166" s="9">
        <f>+G1166-Adjustments!G1164</f>
        <v>0</v>
      </c>
      <c r="F1166" s="9">
        <f>+'Rate Base'!$T$214</f>
        <v>0</v>
      </c>
      <c r="G1166" s="9">
        <f>+Adjustments!U1146</f>
        <v>0</v>
      </c>
      <c r="H1166" s="9"/>
      <c r="I1166" s="9">
        <f>SUM($F$1166:$H$1166)</f>
        <v>0</v>
      </c>
      <c r="J1166" s="9">
        <f>+I1166-'ROR-Model'!I1166</f>
        <v>0</v>
      </c>
      <c r="K1166" s="9"/>
      <c r="L1166" s="9" t="s">
        <v>458</v>
      </c>
      <c r="M1166" s="9">
        <f>VLOOKUP($L1166,$L$2:$N$7,2,FALSE)*I1166</f>
        <v>0</v>
      </c>
      <c r="N1166" s="9">
        <f>VLOOKUP($L1166,$L$2:$N$7,3,FALSE)*I1166</f>
        <v>0</v>
      </c>
      <c r="O1166" s="136"/>
      <c r="P1166" s="216" t="s">
        <v>549</v>
      </c>
      <c r="Q1166" s="9">
        <f>IF(P1166="G",M1166,IF(P1166="PT",0,ERR))</f>
        <v>0</v>
      </c>
      <c r="R1166" s="9">
        <f>IF(P1166="PT",M1166,IF(P1166="G",0,ERR))</f>
        <v>0</v>
      </c>
      <c r="S1166" s="142" t="s">
        <v>549</v>
      </c>
      <c r="T1166" s="9">
        <f>IF(S1166="G",N1166,IF(S1166="PT",0,ERR))</f>
        <v>0</v>
      </c>
      <c r="U1166" s="9">
        <f>IF(S1166="PT",N1166,IF(S1166="G",0,ERR))</f>
        <v>0</v>
      </c>
      <c r="V1166" s="140"/>
      <c r="W1166" s="9">
        <f>HLOOKUP($W$9,'ROR-Model'!$Q$10:$U$1263,Y1166)</f>
        <v>0</v>
      </c>
      <c r="X1166" s="156"/>
      <c r="Y1166" s="918">
        <f t="shared" si="83"/>
        <v>1157</v>
      </c>
      <c r="AA1166" s="9">
        <v>0</v>
      </c>
      <c r="AC1166" s="9" t="str">
        <f t="shared" si="81"/>
        <v/>
      </c>
      <c r="AE1166" s="44" t="str">
        <f t="shared" si="82"/>
        <v/>
      </c>
    </row>
    <row r="1167" spans="1:31">
      <c r="A1167" s="154"/>
      <c r="B1167" s="49"/>
      <c r="C1167" s="49" t="s">
        <v>160</v>
      </c>
      <c r="D1167" s="49"/>
      <c r="E1167" s="157">
        <f>+G1167-Adjustments!G1165</f>
        <v>-55041944.958333328</v>
      </c>
      <c r="F1167" s="157">
        <f>SUM(F1163:F1166)</f>
        <v>57435073</v>
      </c>
      <c r="G1167" s="157">
        <f>SUM(G1163:G1166)</f>
        <v>-55041944.958333328</v>
      </c>
      <c r="H1167" s="157">
        <f>SUM(H1163:H1166)</f>
        <v>0</v>
      </c>
      <c r="I1167" s="157">
        <f>SUM(I1163:I1166)</f>
        <v>2393128.0416666665</v>
      </c>
      <c r="J1167" s="9">
        <f>+I1167-'ROR-Model'!I1167</f>
        <v>0</v>
      </c>
      <c r="K1167" s="9"/>
      <c r="L1167" s="157"/>
      <c r="M1167" s="157">
        <f>SUM(M1163:M1166)</f>
        <v>2316787.2571374997</v>
      </c>
      <c r="N1167" s="157">
        <f>SUM(N1163:N1166)</f>
        <v>76340.784529166762</v>
      </c>
      <c r="O1167" s="136"/>
      <c r="P1167" s="226"/>
      <c r="Q1167" s="157">
        <f>SUM(Q1163:Q1166)</f>
        <v>2316787.2571374997</v>
      </c>
      <c r="R1167" s="157">
        <f>SUM(R1163:R1166)</f>
        <v>0</v>
      </c>
      <c r="S1167" s="226"/>
      <c r="T1167" s="157">
        <f>SUM(T1163:T1166)</f>
        <v>76340.784529166762</v>
      </c>
      <c r="U1167" s="157">
        <f>SUM(U1163:U1166)</f>
        <v>0</v>
      </c>
      <c r="V1167" s="140"/>
      <c r="W1167" s="157">
        <f>HLOOKUP($W$9,'ROR-Model'!$Q$10:$U$1263,Y1167)</f>
        <v>2316787.2571374997</v>
      </c>
      <c r="X1167" s="156"/>
      <c r="Y1167" s="918">
        <f t="shared" si="83"/>
        <v>1158</v>
      </c>
      <c r="AA1167" s="157">
        <v>0</v>
      </c>
      <c r="AC1167" s="157" t="str">
        <f t="shared" si="81"/>
        <v/>
      </c>
      <c r="AE1167" s="44" t="str">
        <f t="shared" si="82"/>
        <v/>
      </c>
    </row>
    <row r="1168" spans="1:31">
      <c r="A1168" s="154"/>
      <c r="B1168" s="49"/>
      <c r="C1168" s="49"/>
      <c r="D1168" s="49"/>
      <c r="E1168" s="9">
        <f>+G1168-Adjustments!G1166</f>
        <v>0</v>
      </c>
      <c r="F1168" s="9"/>
      <c r="G1168" s="9"/>
      <c r="H1168" s="9"/>
      <c r="I1168" s="9"/>
      <c r="J1168" s="9">
        <f>+I1168-'ROR-Model'!I1168</f>
        <v>0</v>
      </c>
      <c r="K1168" s="9"/>
      <c r="L1168" s="9"/>
      <c r="M1168" s="9"/>
      <c r="N1168" s="9"/>
      <c r="O1168" s="136"/>
      <c r="P1168" s="142"/>
      <c r="Q1168" s="9"/>
      <c r="R1168" s="9"/>
      <c r="S1168" s="142"/>
      <c r="T1168" s="9"/>
      <c r="U1168" s="9"/>
      <c r="V1168" s="140"/>
      <c r="W1168" s="9"/>
      <c r="X1168" s="156"/>
      <c r="Y1168" s="918">
        <f t="shared" si="83"/>
        <v>1159</v>
      </c>
      <c r="AA1168" s="9"/>
      <c r="AC1168" s="9" t="str">
        <f t="shared" si="81"/>
        <v/>
      </c>
      <c r="AE1168" s="44" t="str">
        <f t="shared" si="82"/>
        <v/>
      </c>
    </row>
    <row r="1169" spans="1:31">
      <c r="A1169" s="366" t="s">
        <v>290</v>
      </c>
      <c r="B1169" s="172" t="s">
        <v>292</v>
      </c>
      <c r="C1169" s="49"/>
      <c r="D1169" s="49"/>
      <c r="E1169" s="9">
        <f>+G1169-Adjustments!G1167</f>
        <v>0</v>
      </c>
      <c r="F1169" s="9"/>
      <c r="G1169" s="9"/>
      <c r="H1169" s="9"/>
      <c r="I1169" s="9"/>
      <c r="J1169" s="9">
        <f>+I1169-'ROR-Model'!I1169</f>
        <v>0</v>
      </c>
      <c r="K1169" s="9"/>
      <c r="L1169" s="9"/>
      <c r="M1169" s="9"/>
      <c r="N1169" s="9"/>
      <c r="O1169" s="136"/>
      <c r="P1169" s="142"/>
      <c r="Q1169" s="9"/>
      <c r="R1169" s="9"/>
      <c r="S1169" s="142"/>
      <c r="T1169" s="9"/>
      <c r="U1169" s="9"/>
      <c r="V1169" s="140"/>
      <c r="W1169" s="9"/>
      <c r="X1169" s="156"/>
      <c r="Y1169" s="918">
        <f t="shared" si="83"/>
        <v>1160</v>
      </c>
      <c r="AA1169" s="9"/>
      <c r="AC1169" s="9" t="str">
        <f t="shared" si="81"/>
        <v/>
      </c>
      <c r="AE1169" s="44" t="str">
        <f t="shared" si="82"/>
        <v/>
      </c>
    </row>
    <row r="1170" spans="1:31">
      <c r="A1170" s="154"/>
      <c r="B1170" s="49"/>
      <c r="C1170" s="49" t="s">
        <v>427</v>
      </c>
      <c r="D1170" s="49"/>
      <c r="E1170" s="9">
        <f>+G1170-Adjustments!G1168</f>
        <v>0</v>
      </c>
      <c r="F1170" s="9">
        <f>+'Rate Base'!$T$218</f>
        <v>0</v>
      </c>
      <c r="G1170" s="9">
        <f>+Adjustments!U1150</f>
        <v>0</v>
      </c>
      <c r="H1170" s="9"/>
      <c r="I1170" s="9">
        <f>SUM($F$1170:$H$1170)</f>
        <v>0</v>
      </c>
      <c r="J1170" s="9">
        <f>+I1170-'ROR-Model'!I1170</f>
        <v>0</v>
      </c>
      <c r="K1170" s="9"/>
      <c r="L1170" s="9" t="s">
        <v>679</v>
      </c>
      <c r="M1170" s="9">
        <f>VLOOKUP($L1170,$L$2:$N$7,2,FALSE)*I1170</f>
        <v>0</v>
      </c>
      <c r="N1170" s="9">
        <f>VLOOKUP($L1170,$L$2:$N$7,3,FALSE)*I1170</f>
        <v>0</v>
      </c>
      <c r="O1170" s="136"/>
      <c r="P1170" s="216" t="s">
        <v>549</v>
      </c>
      <c r="Q1170" s="9">
        <f>IF(P1170="G",M1170,IF(P1170="PT",0,ERR))</f>
        <v>0</v>
      </c>
      <c r="R1170" s="9">
        <f>IF(P1170="PT",M1170,IF(P1170="G",0,ERR))</f>
        <v>0</v>
      </c>
      <c r="S1170" s="142" t="s">
        <v>548</v>
      </c>
      <c r="T1170" s="9">
        <f>IF(S1170="G",N1170,IF(S1170="PT",0,ERR))</f>
        <v>0</v>
      </c>
      <c r="U1170" s="9">
        <f>IF(S1170="PT",N1170,IF(S1170="G",0,ERR))</f>
        <v>0</v>
      </c>
      <c r="V1170" s="140"/>
      <c r="W1170" s="9">
        <f>HLOOKUP($W$9,'ROR-Model'!$Q$10:$U$1263,Y1170)</f>
        <v>0</v>
      </c>
      <c r="X1170" s="156"/>
      <c r="Y1170" s="918">
        <f t="shared" si="83"/>
        <v>1161</v>
      </c>
      <c r="AA1170" s="9">
        <v>102846.52461809778</v>
      </c>
      <c r="AC1170" s="9">
        <f t="shared" si="81"/>
        <v>-102846.52461809778</v>
      </c>
      <c r="AE1170" s="44">
        <f t="shared" si="82"/>
        <v>-1</v>
      </c>
    </row>
    <row r="1171" spans="1:31">
      <c r="A1171" s="154"/>
      <c r="B1171" s="49"/>
      <c r="C1171" s="49" t="s">
        <v>581</v>
      </c>
      <c r="D1171" s="49"/>
      <c r="E1171" s="9">
        <f>+G1171-Adjustments!G1169</f>
        <v>0</v>
      </c>
      <c r="F1171" s="9">
        <f>+'Rate Base'!$T$219</f>
        <v>0</v>
      </c>
      <c r="G1171" s="9">
        <f>+Adjustments!U1151</f>
        <v>0</v>
      </c>
      <c r="H1171" s="9"/>
      <c r="I1171" s="9">
        <f>SUM($F$1171:$H$1171)</f>
        <v>0</v>
      </c>
      <c r="J1171" s="9">
        <f>+I1171-'ROR-Model'!I1171</f>
        <v>0</v>
      </c>
      <c r="K1171" s="9"/>
      <c r="L1171" s="9" t="s">
        <v>24</v>
      </c>
      <c r="M1171" s="9">
        <f>VLOOKUP($L1171,$L$2:$N$7,2,FALSE)*I1171</f>
        <v>0</v>
      </c>
      <c r="N1171" s="9">
        <f>VLOOKUP($L1171,$L$2:$N$7,3,FALSE)*I1171</f>
        <v>0</v>
      </c>
      <c r="O1171" s="136"/>
      <c r="P1171" s="216" t="s">
        <v>549</v>
      </c>
      <c r="Q1171" s="9">
        <f>IF(P1171="G",M1171,IF(P1171="PT",0,ERR))</f>
        <v>0</v>
      </c>
      <c r="R1171" s="9">
        <f>IF(P1171="PT",M1171,IF(P1171="G",0,ERR))</f>
        <v>0</v>
      </c>
      <c r="S1171" s="142" t="s">
        <v>549</v>
      </c>
      <c r="T1171" s="9">
        <f>IF(S1171="G",N1171,IF(S1171="PT",0,ERR))</f>
        <v>0</v>
      </c>
      <c r="U1171" s="9">
        <f>IF(S1171="PT",N1171,IF(S1171="G",0,ERR))</f>
        <v>0</v>
      </c>
      <c r="V1171" s="140"/>
      <c r="W1171" s="9">
        <f>HLOOKUP($W$9,'ROR-Model'!$Q$10:$U$1263,Y1171)</f>
        <v>0</v>
      </c>
      <c r="X1171" s="156"/>
      <c r="Y1171" s="918">
        <f t="shared" si="83"/>
        <v>1162</v>
      </c>
      <c r="AA1171" s="9">
        <v>102846.52461809778</v>
      </c>
      <c r="AC1171" s="9">
        <f t="shared" si="81"/>
        <v>-102846.52461809778</v>
      </c>
      <c r="AE1171" s="44">
        <f t="shared" si="82"/>
        <v>-1</v>
      </c>
    </row>
    <row r="1172" spans="1:31">
      <c r="A1172" s="154"/>
      <c r="B1172" s="49"/>
      <c r="C1172" s="49" t="s">
        <v>582</v>
      </c>
      <c r="D1172" s="49"/>
      <c r="E1172" s="9">
        <f>+G1172-Adjustments!G1170</f>
        <v>-12588429.958333334</v>
      </c>
      <c r="F1172" s="9">
        <f>+'Rate Base'!$T$220</f>
        <v>13135753</v>
      </c>
      <c r="G1172" s="9">
        <f>+Adjustments!U1152</f>
        <v>-12588429.958333334</v>
      </c>
      <c r="H1172" s="9"/>
      <c r="I1172" s="9">
        <f>SUM($F$1172:$H$1172)</f>
        <v>547323.04166666605</v>
      </c>
      <c r="J1172" s="9">
        <f>+I1172-'ROR-Model'!I1172</f>
        <v>0</v>
      </c>
      <c r="K1172" s="9"/>
      <c r="L1172" s="9" t="s">
        <v>13</v>
      </c>
      <c r="M1172" s="9">
        <f>VLOOKUP($L1172,$L$2:$N$7,2,FALSE)*I1172</f>
        <v>547323.04166666605</v>
      </c>
      <c r="N1172" s="9">
        <f>VLOOKUP($L1172,$L$2:$N$7,3,FALSE)*I1172</f>
        <v>0</v>
      </c>
      <c r="O1172" s="136"/>
      <c r="P1172" s="216" t="s">
        <v>549</v>
      </c>
      <c r="Q1172" s="9">
        <f>IF(P1172="G",M1172,IF(P1172="PT",0,ERR))</f>
        <v>547323.04166666605</v>
      </c>
      <c r="R1172" s="9">
        <f>IF(P1172="PT",M1172,IF(P1172="G",0,ERR))</f>
        <v>0</v>
      </c>
      <c r="S1172" s="142" t="s">
        <v>549</v>
      </c>
      <c r="T1172" s="9">
        <f>IF(S1172="G",N1172,IF(S1172="PT",0,ERR))</f>
        <v>0</v>
      </c>
      <c r="U1172" s="9">
        <f>IF(S1172="PT",N1172,IF(S1172="G",0,ERR))</f>
        <v>0</v>
      </c>
      <c r="V1172" s="140"/>
      <c r="W1172" s="9">
        <f>HLOOKUP($W$9,'ROR-Model'!$Q$10:$U$1263,Y1172)</f>
        <v>547323.04166666605</v>
      </c>
      <c r="X1172" s="156"/>
      <c r="Y1172" s="918">
        <f t="shared" si="83"/>
        <v>1163</v>
      </c>
      <c r="AA1172" s="9"/>
      <c r="AC1172" s="9" t="str">
        <f t="shared" si="81"/>
        <v/>
      </c>
      <c r="AE1172" s="44" t="str">
        <f t="shared" si="82"/>
        <v/>
      </c>
    </row>
    <row r="1173" spans="1:31">
      <c r="A1173" s="154"/>
      <c r="B1173" s="49"/>
      <c r="C1173" s="49" t="s">
        <v>584</v>
      </c>
      <c r="D1173" s="49"/>
      <c r="E1173" s="9">
        <f>+G1173-Adjustments!G1171</f>
        <v>0</v>
      </c>
      <c r="F1173" s="9">
        <f>+'Rate Base'!$T$221</f>
        <v>0</v>
      </c>
      <c r="G1173" s="9">
        <f>+Adjustments!U1153</f>
        <v>0</v>
      </c>
      <c r="H1173" s="9"/>
      <c r="I1173" s="9">
        <f>SUM($F$1173:$H$1173)</f>
        <v>0</v>
      </c>
      <c r="J1173" s="9">
        <f>+I1173-'ROR-Model'!I1173</f>
        <v>0</v>
      </c>
      <c r="K1173" s="9"/>
      <c r="L1173" s="9" t="s">
        <v>458</v>
      </c>
      <c r="M1173" s="9">
        <f>VLOOKUP($L1173,$L$2:$N$7,2,FALSE)*I1173</f>
        <v>0</v>
      </c>
      <c r="N1173" s="9">
        <f>VLOOKUP($L1173,$L$2:$N$7,3,FALSE)*I1173</f>
        <v>0</v>
      </c>
      <c r="O1173" s="136"/>
      <c r="P1173" s="216" t="s">
        <v>549</v>
      </c>
      <c r="Q1173" s="9">
        <f>IF(P1173="G",M1173,IF(P1173="PT",0,ERR))</f>
        <v>0</v>
      </c>
      <c r="R1173" s="9">
        <f>IF(P1173="PT",M1173,IF(P1173="G",0,ERR))</f>
        <v>0</v>
      </c>
      <c r="S1173" s="142" t="s">
        <v>549</v>
      </c>
      <c r="T1173" s="9">
        <f>IF(S1173="G",N1173,IF(S1173="PT",0,ERR))</f>
        <v>0</v>
      </c>
      <c r="U1173" s="9">
        <f>IF(S1173="PT",N1173,IF(S1173="G",0,ERR))</f>
        <v>0</v>
      </c>
      <c r="V1173" s="140"/>
      <c r="W1173" s="9">
        <f>HLOOKUP($W$9,'ROR-Model'!$Q$10:$U$1263,Y1173)</f>
        <v>0</v>
      </c>
      <c r="X1173" s="156"/>
      <c r="Y1173" s="918">
        <f t="shared" si="83"/>
        <v>1164</v>
      </c>
      <c r="AA1173" s="9"/>
      <c r="AC1173" s="9" t="str">
        <f t="shared" si="81"/>
        <v/>
      </c>
      <c r="AE1173" s="44" t="str">
        <f t="shared" si="82"/>
        <v/>
      </c>
    </row>
    <row r="1174" spans="1:31">
      <c r="A1174" s="154"/>
      <c r="B1174" s="49"/>
      <c r="C1174" s="49" t="s">
        <v>160</v>
      </c>
      <c r="D1174" s="49"/>
      <c r="E1174" s="157">
        <f>+G1174-Adjustments!G1172</f>
        <v>-12588429.958333334</v>
      </c>
      <c r="F1174" s="157">
        <f>SUM(F1170:F1173)</f>
        <v>13135753</v>
      </c>
      <c r="G1174" s="157">
        <f>SUM(G1170:G1173)</f>
        <v>-12588429.958333334</v>
      </c>
      <c r="H1174" s="157">
        <f>SUM(H1170:H1173)</f>
        <v>0</v>
      </c>
      <c r="I1174" s="157">
        <f>SUM(I1170:I1173)</f>
        <v>547323.04166666605</v>
      </c>
      <c r="J1174" s="9">
        <f>+I1174-'ROR-Model'!I1174</f>
        <v>0</v>
      </c>
      <c r="K1174" s="9"/>
      <c r="L1174" s="157"/>
      <c r="M1174" s="157">
        <f>SUM(M1170:M1173)</f>
        <v>547323.04166666605</v>
      </c>
      <c r="N1174" s="157">
        <f>SUM(N1170:N1173)</f>
        <v>0</v>
      </c>
      <c r="O1174" s="136"/>
      <c r="P1174" s="226"/>
      <c r="Q1174" s="157">
        <f>SUM(Q1170:Q1173)</f>
        <v>547323.04166666605</v>
      </c>
      <c r="R1174" s="157">
        <f>SUM(R1170:R1173)</f>
        <v>0</v>
      </c>
      <c r="S1174" s="226"/>
      <c r="T1174" s="157">
        <f>SUM(T1170:T1173)</f>
        <v>0</v>
      </c>
      <c r="U1174" s="157">
        <f>SUM(U1170:U1173)</f>
        <v>0</v>
      </c>
      <c r="V1174" s="140"/>
      <c r="W1174" s="157">
        <f>HLOOKUP($W$9,'ROR-Model'!$Q$10:$U$1263,Y1174)</f>
        <v>547323.04166666605</v>
      </c>
      <c r="X1174" s="156"/>
      <c r="Y1174" s="918">
        <f t="shared" si="83"/>
        <v>1165</v>
      </c>
      <c r="AA1174" s="157">
        <v>0</v>
      </c>
      <c r="AC1174" s="157" t="str">
        <f t="shared" si="81"/>
        <v/>
      </c>
      <c r="AE1174" s="44" t="str">
        <f t="shared" si="82"/>
        <v/>
      </c>
    </row>
    <row r="1175" spans="1:31">
      <c r="A1175" s="154"/>
      <c r="B1175" s="49"/>
      <c r="C1175" s="49"/>
      <c r="D1175" s="49"/>
      <c r="E1175" s="9">
        <f>+G1175-Adjustments!G1173</f>
        <v>0</v>
      </c>
      <c r="F1175" s="9"/>
      <c r="G1175" s="9"/>
      <c r="H1175" s="9"/>
      <c r="I1175" s="9"/>
      <c r="J1175" s="9">
        <f>+I1175-'ROR-Model'!I1175</f>
        <v>0</v>
      </c>
      <c r="K1175" s="9"/>
      <c r="L1175" s="9"/>
      <c r="M1175" s="9"/>
      <c r="N1175" s="9"/>
      <c r="O1175" s="136"/>
      <c r="P1175" s="142"/>
      <c r="Q1175" s="9"/>
      <c r="R1175" s="9"/>
      <c r="S1175" s="142"/>
      <c r="T1175" s="9"/>
      <c r="U1175" s="9"/>
      <c r="V1175" s="140"/>
      <c r="W1175" s="9"/>
      <c r="X1175" s="156"/>
      <c r="Y1175" s="918">
        <f t="shared" si="83"/>
        <v>1166</v>
      </c>
      <c r="AA1175" s="9">
        <v>0</v>
      </c>
      <c r="AC1175" s="9" t="str">
        <f t="shared" si="81"/>
        <v/>
      </c>
      <c r="AE1175" s="44" t="str">
        <f t="shared" si="82"/>
        <v/>
      </c>
    </row>
    <row r="1176" spans="1:31">
      <c r="A1176" s="154">
        <v>2351</v>
      </c>
      <c r="B1176" s="49" t="s">
        <v>297</v>
      </c>
      <c r="C1176" s="49"/>
      <c r="D1176" s="49"/>
      <c r="E1176" s="9">
        <f>+G1176-Adjustments!G1174</f>
        <v>0</v>
      </c>
      <c r="F1176" s="9"/>
      <c r="G1176" s="9"/>
      <c r="H1176" s="9"/>
      <c r="I1176" s="9"/>
      <c r="J1176" s="9">
        <f>+I1176-'ROR-Model'!I1176</f>
        <v>0</v>
      </c>
      <c r="K1176" s="9"/>
      <c r="L1176" s="9"/>
      <c r="M1176" s="9"/>
      <c r="N1176" s="9"/>
      <c r="O1176" s="136"/>
      <c r="P1176" s="142"/>
      <c r="Q1176" s="9"/>
      <c r="R1176" s="9"/>
      <c r="S1176" s="142"/>
      <c r="T1176" s="9"/>
      <c r="U1176" s="9"/>
      <c r="V1176" s="140"/>
      <c r="W1176" s="9"/>
      <c r="X1176" s="156"/>
      <c r="Y1176" s="918">
        <f t="shared" si="83"/>
        <v>1167</v>
      </c>
      <c r="AA1176" s="9">
        <v>0</v>
      </c>
      <c r="AC1176" s="9" t="str">
        <f t="shared" si="81"/>
        <v/>
      </c>
      <c r="AE1176" s="44" t="str">
        <f t="shared" si="82"/>
        <v/>
      </c>
    </row>
    <row r="1177" spans="1:31">
      <c r="A1177" s="154"/>
      <c r="B1177" s="49"/>
      <c r="C1177" s="49" t="s">
        <v>24</v>
      </c>
      <c r="D1177" s="49"/>
      <c r="E1177" s="9">
        <f>+G1177-Adjustments!G1175</f>
        <v>-15891.307083333289</v>
      </c>
      <c r="F1177" s="9">
        <f>+'Rate Base'!$T$225</f>
        <v>-248143.61000000002</v>
      </c>
      <c r="G1177" s="9">
        <f>+Adjustments!U1157</f>
        <v>-15891.307083333289</v>
      </c>
      <c r="H1177" s="9"/>
      <c r="I1177" s="9">
        <f>SUM($F$1177:$H$1177)</f>
        <v>-264034.9170833333</v>
      </c>
      <c r="J1177" s="9">
        <f>+I1177-'ROR-Model'!I1177</f>
        <v>0</v>
      </c>
      <c r="K1177" s="9"/>
      <c r="L1177" s="9" t="s">
        <v>24</v>
      </c>
      <c r="M1177" s="9">
        <f>VLOOKUP($L1177,$L$2:$N$7,2,FALSE)*I1177</f>
        <v>0</v>
      </c>
      <c r="N1177" s="9">
        <f>VLOOKUP($L1177,$L$2:$N$7,3,FALSE)*I1177</f>
        <v>-264034.9170833333</v>
      </c>
      <c r="O1177" s="136"/>
      <c r="P1177" s="216" t="s">
        <v>549</v>
      </c>
      <c r="Q1177" s="9">
        <f>IF(P1177="G",M1177,IF(P1177="PT",0,ERR))</f>
        <v>0</v>
      </c>
      <c r="R1177" s="9">
        <f>IF(P1177="PT",M1177,IF(P1177="G",0,ERR))</f>
        <v>0</v>
      </c>
      <c r="S1177" s="142" t="s">
        <v>549</v>
      </c>
      <c r="T1177" s="9">
        <f>IF(S1177="G",N1177,IF(S1177="PT",0,ERR))</f>
        <v>-264034.9170833333</v>
      </c>
      <c r="U1177" s="9">
        <f>IF(S1177="PT",N1177,IF(S1177="G",0,ERR))</f>
        <v>0</v>
      </c>
      <c r="V1177" s="140"/>
      <c r="W1177" s="9">
        <f>HLOOKUP($W$9,'ROR-Model'!$Q$10:$U$1263,Y1177)</f>
        <v>0</v>
      </c>
      <c r="X1177" s="156"/>
      <c r="Y1177" s="918">
        <f t="shared" si="83"/>
        <v>1168</v>
      </c>
      <c r="AA1177" s="9">
        <v>0</v>
      </c>
      <c r="AC1177" s="9" t="str">
        <f t="shared" si="81"/>
        <v/>
      </c>
      <c r="AE1177" s="44" t="str">
        <f t="shared" si="82"/>
        <v/>
      </c>
    </row>
    <row r="1178" spans="1:31">
      <c r="A1178" s="154"/>
      <c r="B1178" s="49"/>
      <c r="C1178" s="49" t="s">
        <v>13</v>
      </c>
      <c r="D1178" s="49"/>
      <c r="E1178" s="9">
        <f>+G1178-Adjustments!G1176</f>
        <v>-1147626.9724999992</v>
      </c>
      <c r="F1178" s="9">
        <f>+'Rate Base'!$T$226</f>
        <v>-5457546.1899999995</v>
      </c>
      <c r="G1178" s="9">
        <f>+Adjustments!U1158</f>
        <v>-1147626.9724999992</v>
      </c>
      <c r="H1178" s="9"/>
      <c r="I1178" s="9">
        <f>SUM($F$1178:$H$1178)</f>
        <v>-6605173.1624999987</v>
      </c>
      <c r="J1178" s="9">
        <f>+I1178-'ROR-Model'!I1178</f>
        <v>0</v>
      </c>
      <c r="K1178" s="9"/>
      <c r="L1178" s="9" t="s">
        <v>13</v>
      </c>
      <c r="M1178" s="9">
        <f>VLOOKUP($L1178,$L$2:$N$7,2,FALSE)*I1178</f>
        <v>-6605173.1624999987</v>
      </c>
      <c r="N1178" s="9">
        <f>VLOOKUP($L1178,$L$2:$N$7,3,FALSE)*I1178</f>
        <v>0</v>
      </c>
      <c r="O1178" s="136"/>
      <c r="P1178" s="216" t="s">
        <v>549</v>
      </c>
      <c r="Q1178" s="9">
        <f>IF(P1178="G",M1178,IF(P1178="PT",0,ERR))</f>
        <v>-6605173.1624999987</v>
      </c>
      <c r="R1178" s="9">
        <f>IF(P1178="PT",M1178,IF(P1178="G",0,ERR))</f>
        <v>0</v>
      </c>
      <c r="S1178" s="142" t="s">
        <v>549</v>
      </c>
      <c r="T1178" s="9">
        <f>IF(S1178="G",N1178,IF(S1178="PT",0,ERR))</f>
        <v>0</v>
      </c>
      <c r="U1178" s="9">
        <f>IF(S1178="PT",N1178,IF(S1178="G",0,ERR))</f>
        <v>0</v>
      </c>
      <c r="V1178" s="140"/>
      <c r="W1178" s="9">
        <f>HLOOKUP($W$9,'ROR-Model'!$Q$10:$U$1263,Y1178)</f>
        <v>-6605173.1624999987</v>
      </c>
      <c r="X1178" s="156"/>
      <c r="Y1178" s="918">
        <f t="shared" si="83"/>
        <v>1169</v>
      </c>
      <c r="AA1178" s="9">
        <v>0</v>
      </c>
      <c r="AC1178" s="9" t="str">
        <f t="shared" si="81"/>
        <v/>
      </c>
      <c r="AE1178" s="44" t="str">
        <f t="shared" si="82"/>
        <v/>
      </c>
    </row>
    <row r="1179" spans="1:31">
      <c r="A1179" s="154"/>
      <c r="B1179" s="49"/>
      <c r="C1179" s="49" t="s">
        <v>160</v>
      </c>
      <c r="D1179" s="49"/>
      <c r="E1179" s="157">
        <f>+G1179-Adjustments!G1177</f>
        <v>-1163518.2795833326</v>
      </c>
      <c r="F1179" s="157">
        <f>SUM(F1177:F1178)</f>
        <v>-5705689.7999999998</v>
      </c>
      <c r="G1179" s="157">
        <f>SUM(G1177:G1178)</f>
        <v>-1163518.2795833326</v>
      </c>
      <c r="H1179" s="157">
        <f>SUM(H1177:H1178)</f>
        <v>0</v>
      </c>
      <c r="I1179" s="157">
        <f>SUM(I1177:I1178)</f>
        <v>-6869208.0795833319</v>
      </c>
      <c r="J1179" s="9">
        <f>+I1179-'ROR-Model'!I1179</f>
        <v>0</v>
      </c>
      <c r="K1179" s="9"/>
      <c r="L1179" s="157"/>
      <c r="M1179" s="157">
        <f>SUM(M1177:M1178)</f>
        <v>-6605173.1624999987</v>
      </c>
      <c r="N1179" s="157">
        <f>SUM(N1177:N1178)</f>
        <v>-264034.9170833333</v>
      </c>
      <c r="O1179" s="136"/>
      <c r="P1179" s="226"/>
      <c r="Q1179" s="157">
        <f>SUM(Q1177:Q1178)</f>
        <v>-6605173.1624999987</v>
      </c>
      <c r="R1179" s="157">
        <f>SUM(R1177:R1178)</f>
        <v>0</v>
      </c>
      <c r="S1179" s="226"/>
      <c r="T1179" s="157">
        <f>SUM(T1177:T1178)</f>
        <v>-264034.9170833333</v>
      </c>
      <c r="U1179" s="157">
        <f>SUM(U1177:U1178)</f>
        <v>0</v>
      </c>
      <c r="V1179" s="140"/>
      <c r="W1179" s="157">
        <f>HLOOKUP($W$9,'ROR-Model'!$Q$10:$U$1263,Y1179)</f>
        <v>-6605173.1624999987</v>
      </c>
      <c r="X1179" s="156"/>
      <c r="Y1179" s="918">
        <f t="shared" si="83"/>
        <v>1170</v>
      </c>
      <c r="AA1179" s="157"/>
      <c r="AC1179" s="157" t="str">
        <f t="shared" si="81"/>
        <v/>
      </c>
      <c r="AE1179" s="44" t="str">
        <f t="shared" si="82"/>
        <v/>
      </c>
    </row>
    <row r="1180" spans="1:31">
      <c r="A1180" s="154"/>
      <c r="B1180" s="49"/>
      <c r="C1180" s="49"/>
      <c r="D1180" s="49"/>
      <c r="E1180" s="9">
        <f>+G1180-Adjustments!G1178</f>
        <v>0</v>
      </c>
      <c r="F1180" s="9"/>
      <c r="G1180" s="9"/>
      <c r="H1180" s="9"/>
      <c r="I1180" s="9"/>
      <c r="J1180" s="9">
        <f>+I1180-'ROR-Model'!I1180</f>
        <v>0</v>
      </c>
      <c r="K1180" s="9"/>
      <c r="L1180" s="9"/>
      <c r="M1180" s="9"/>
      <c r="N1180" s="9"/>
      <c r="O1180" s="136"/>
      <c r="P1180" s="142"/>
      <c r="Q1180" s="9"/>
      <c r="R1180" s="9"/>
      <c r="S1180" s="142"/>
      <c r="T1180" s="9"/>
      <c r="U1180" s="9"/>
      <c r="V1180" s="140"/>
      <c r="W1180" s="9"/>
      <c r="X1180" s="156"/>
      <c r="Y1180" s="918">
        <f t="shared" si="83"/>
        <v>1171</v>
      </c>
      <c r="AA1180" s="9"/>
      <c r="AC1180" s="9" t="str">
        <f t="shared" si="81"/>
        <v/>
      </c>
      <c r="AE1180" s="44" t="str">
        <f t="shared" si="82"/>
        <v/>
      </c>
    </row>
    <row r="1181" spans="1:31">
      <c r="A1181" s="213">
        <v>252</v>
      </c>
      <c r="B1181" s="17" t="s">
        <v>480</v>
      </c>
      <c r="C1181" s="49"/>
      <c r="D1181" s="49"/>
      <c r="E1181" s="9">
        <f>+G1181-Adjustments!G1179</f>
        <v>0</v>
      </c>
      <c r="F1181" s="9"/>
      <c r="G1181" s="9"/>
      <c r="H1181" s="9"/>
      <c r="I1181" s="9"/>
      <c r="J1181" s="9">
        <f>+I1181-'ROR-Model'!I1181</f>
        <v>0</v>
      </c>
      <c r="K1181" s="9"/>
      <c r="L1181" s="9"/>
      <c r="M1181" s="9"/>
      <c r="N1181" s="9"/>
      <c r="O1181" s="136"/>
      <c r="P1181" s="142"/>
      <c r="Q1181" s="9"/>
      <c r="R1181" s="9"/>
      <c r="S1181" s="142"/>
      <c r="T1181" s="9"/>
      <c r="U1181" s="9"/>
      <c r="V1181" s="140"/>
      <c r="W1181" s="9"/>
      <c r="X1181" s="156"/>
      <c r="Y1181" s="918">
        <f t="shared" si="83"/>
        <v>1172</v>
      </c>
      <c r="AA1181" s="9">
        <v>0</v>
      </c>
      <c r="AC1181" s="9" t="str">
        <f t="shared" si="81"/>
        <v/>
      </c>
      <c r="AE1181" s="44" t="str">
        <f t="shared" si="82"/>
        <v/>
      </c>
    </row>
    <row r="1182" spans="1:31">
      <c r="A1182" s="213"/>
      <c r="B1182" s="17"/>
      <c r="C1182" s="49" t="s">
        <v>24</v>
      </c>
      <c r="D1182" s="49"/>
      <c r="E1182" s="9">
        <f>+G1182-Adjustments!G1180</f>
        <v>-75867.867083333433</v>
      </c>
      <c r="F1182" s="9">
        <f>+'Rate Base'!T230</f>
        <v>-404156.02</v>
      </c>
      <c r="G1182" s="9">
        <f>+Adjustments!U1162</f>
        <v>-75867.867083333433</v>
      </c>
      <c r="H1182" s="9"/>
      <c r="I1182" s="9">
        <f>SUM($F$1182:$H$1182)</f>
        <v>-480023.88708333345</v>
      </c>
      <c r="J1182" s="9">
        <f>+I1182-'ROR-Model'!I1182</f>
        <v>0</v>
      </c>
      <c r="K1182" s="9"/>
      <c r="L1182" s="9" t="s">
        <v>24</v>
      </c>
      <c r="M1182" s="9">
        <f>VLOOKUP($L1182,$L$2:$N$7,2,FALSE)*I1182</f>
        <v>0</v>
      </c>
      <c r="N1182" s="9">
        <f>VLOOKUP($L1182,$L$2:$N$7,3,FALSE)*I1182</f>
        <v>-480023.88708333345</v>
      </c>
      <c r="O1182" s="136"/>
      <c r="P1182" s="216" t="s">
        <v>549</v>
      </c>
      <c r="Q1182" s="9">
        <f>IF(P1182="G",M1182,IF(P1182="PT",0,ERR))</f>
        <v>0</v>
      </c>
      <c r="R1182" s="9">
        <f>IF(P1182="PT",M1182,IF(P1182="G",0,ERR))</f>
        <v>0</v>
      </c>
      <c r="S1182" s="142" t="s">
        <v>549</v>
      </c>
      <c r="T1182" s="9">
        <f>IF(S1182="G",N1182,IF(S1182="PT",0,ERR))</f>
        <v>-480023.88708333345</v>
      </c>
      <c r="U1182" s="9">
        <f>IF(S1182="PT",N1182,IF(S1182="G",0,ERR))</f>
        <v>0</v>
      </c>
      <c r="V1182" s="140"/>
      <c r="W1182" s="9">
        <f>HLOOKUP($W$9,'ROR-Model'!$Q$10:$U$1263,Y1182)</f>
        <v>0</v>
      </c>
      <c r="X1182" s="156"/>
      <c r="Y1182" s="918">
        <f t="shared" si="83"/>
        <v>1173</v>
      </c>
      <c r="AA1182" s="9">
        <v>0</v>
      </c>
      <c r="AC1182" s="9" t="str">
        <f t="shared" si="81"/>
        <v/>
      </c>
      <c r="AE1182" s="44" t="str">
        <f t="shared" si="82"/>
        <v/>
      </c>
    </row>
    <row r="1183" spans="1:31">
      <c r="A1183" s="213"/>
      <c r="B1183" s="49"/>
      <c r="C1183" s="49" t="s">
        <v>13</v>
      </c>
      <c r="D1183" s="49"/>
      <c r="E1183" s="9">
        <f>+G1183-Adjustments!G1181</f>
        <v>-5287294.8050000034</v>
      </c>
      <c r="F1183" s="9">
        <f>+'Rate Base'!T231</f>
        <v>-11724439</v>
      </c>
      <c r="G1183" s="9">
        <f>+Adjustments!U1163</f>
        <v>-5287294.8050000034</v>
      </c>
      <c r="H1183" s="9"/>
      <c r="I1183" s="9">
        <f>SUM($F$1183:$H$1183)</f>
        <v>-17011733.805000003</v>
      </c>
      <c r="J1183" s="9">
        <f>+I1183-'ROR-Model'!I1183</f>
        <v>0</v>
      </c>
      <c r="K1183" s="9"/>
      <c r="L1183" s="9" t="s">
        <v>13</v>
      </c>
      <c r="M1183" s="9">
        <f>VLOOKUP($L1183,$L$2:$N$7,2,FALSE)*I1183</f>
        <v>-17011733.805000003</v>
      </c>
      <c r="N1183" s="9">
        <f>VLOOKUP($L1183,$L$2:$N$7,3,FALSE)*I1183</f>
        <v>0</v>
      </c>
      <c r="O1183" s="136"/>
      <c r="P1183" s="216" t="s">
        <v>549</v>
      </c>
      <c r="Q1183" s="9">
        <f>IF(P1183="G",M1183,IF(P1183="PT",0,ERR))</f>
        <v>-17011733.805000003</v>
      </c>
      <c r="R1183" s="9">
        <f>IF(P1183="PT",M1183,IF(P1183="G",0,ERR))</f>
        <v>0</v>
      </c>
      <c r="S1183" s="142" t="s">
        <v>549</v>
      </c>
      <c r="T1183" s="9">
        <f>IF(S1183="G",N1183,IF(S1183="PT",0,ERR))</f>
        <v>0</v>
      </c>
      <c r="U1183" s="9">
        <f>IF(S1183="PT",N1183,IF(S1183="G",0,ERR))</f>
        <v>0</v>
      </c>
      <c r="V1183" s="140"/>
      <c r="W1183" s="9">
        <f>HLOOKUP($W$9,'ROR-Model'!$Q$10:$U$1263,Y1183)</f>
        <v>-17011733.805000003</v>
      </c>
      <c r="X1183" s="156"/>
      <c r="Y1183" s="918">
        <f t="shared" si="83"/>
        <v>1174</v>
      </c>
      <c r="AA1183" s="9">
        <v>0</v>
      </c>
      <c r="AC1183" s="9" t="str">
        <f t="shared" si="81"/>
        <v/>
      </c>
      <c r="AE1183" s="44" t="str">
        <f t="shared" si="82"/>
        <v/>
      </c>
    </row>
    <row r="1184" spans="1:31">
      <c r="A1184" s="213"/>
      <c r="B1184" s="49"/>
      <c r="C1184" s="49" t="s">
        <v>160</v>
      </c>
      <c r="D1184" s="49"/>
      <c r="E1184" s="157">
        <f>+G1184-Adjustments!G1182</f>
        <v>-5363162.6720833369</v>
      </c>
      <c r="F1184" s="157">
        <f>SUM(F1182:F1183)</f>
        <v>-12128595.02</v>
      </c>
      <c r="G1184" s="157">
        <f>SUM(G1182:G1183)</f>
        <v>-5363162.6720833369</v>
      </c>
      <c r="H1184" s="157">
        <f>SUM(H1182:H1183)</f>
        <v>0</v>
      </c>
      <c r="I1184" s="157">
        <f>SUM(I1182:I1183)</f>
        <v>-17491757.692083336</v>
      </c>
      <c r="J1184" s="9">
        <f>+I1184-'ROR-Model'!I1184</f>
        <v>0</v>
      </c>
      <c r="K1184" s="9"/>
      <c r="L1184" s="157"/>
      <c r="M1184" s="157">
        <f>SUM(M1183)</f>
        <v>-17011733.805000003</v>
      </c>
      <c r="N1184" s="157">
        <f>SUM(N1182:N1183)</f>
        <v>-480023.88708333345</v>
      </c>
      <c r="O1184" s="136"/>
      <c r="P1184" s="226"/>
      <c r="Q1184" s="157">
        <f>SUM(Q1182:Q1183)</f>
        <v>-17011733.805000003</v>
      </c>
      <c r="R1184" s="157">
        <f>SUM(R1182:R1183)</f>
        <v>0</v>
      </c>
      <c r="S1184" s="226"/>
      <c r="T1184" s="157">
        <f>SUM(T1182:T1183)</f>
        <v>-480023.88708333345</v>
      </c>
      <c r="U1184" s="157">
        <f>SUM(U1183)</f>
        <v>0</v>
      </c>
      <c r="V1184" s="140"/>
      <c r="W1184" s="157">
        <f>HLOOKUP($W$9,'ROR-Model'!$Q$10:$U$1263,Y1184)</f>
        <v>-17011733.805000003</v>
      </c>
      <c r="X1184" s="156"/>
      <c r="Y1184" s="918">
        <f t="shared" si="83"/>
        <v>1175</v>
      </c>
      <c r="AA1184" s="157">
        <v>0</v>
      </c>
      <c r="AC1184" s="157" t="str">
        <f t="shared" si="81"/>
        <v/>
      </c>
      <c r="AE1184" s="44" t="str">
        <f t="shared" si="82"/>
        <v/>
      </c>
    </row>
    <row r="1185" spans="1:31">
      <c r="A1185" s="213"/>
      <c r="B1185" s="49"/>
      <c r="C1185" s="49"/>
      <c r="D1185" s="49"/>
      <c r="E1185" s="9">
        <f>+G1185-Adjustments!G1183</f>
        <v>0</v>
      </c>
      <c r="F1185" s="9"/>
      <c r="G1185" s="9"/>
      <c r="H1185" s="9"/>
      <c r="I1185" s="9"/>
      <c r="J1185" s="9">
        <f>+I1185-'ROR-Model'!I1185</f>
        <v>0</v>
      </c>
      <c r="K1185" s="9"/>
      <c r="L1185" s="9"/>
      <c r="M1185" s="9"/>
      <c r="N1185" s="9"/>
      <c r="O1185" s="136"/>
      <c r="P1185" s="142"/>
      <c r="Q1185" s="9"/>
      <c r="R1185" s="9"/>
      <c r="S1185" s="142"/>
      <c r="T1185" s="9"/>
      <c r="U1185" s="9"/>
      <c r="V1185" s="140"/>
      <c r="W1185" s="9"/>
      <c r="X1185" s="156"/>
      <c r="Y1185" s="918">
        <f t="shared" si="83"/>
        <v>1176</v>
      </c>
      <c r="AA1185" s="9">
        <v>0</v>
      </c>
      <c r="AC1185" s="9" t="str">
        <f t="shared" si="81"/>
        <v/>
      </c>
      <c r="AE1185" s="44" t="str">
        <f t="shared" si="82"/>
        <v/>
      </c>
    </row>
    <row r="1186" spans="1:31">
      <c r="A1186" s="154">
        <v>2531</v>
      </c>
      <c r="B1186" s="49" t="s">
        <v>298</v>
      </c>
      <c r="C1186" s="49"/>
      <c r="D1186" s="49"/>
      <c r="E1186" s="9">
        <f>+G1186-Adjustments!G1184</f>
        <v>0</v>
      </c>
      <c r="F1186" s="9"/>
      <c r="G1186" s="9"/>
      <c r="H1186" s="9"/>
      <c r="I1186" s="9"/>
      <c r="J1186" s="9">
        <f>+I1186-'ROR-Model'!I1186</f>
        <v>0</v>
      </c>
      <c r="K1186" s="9"/>
      <c r="L1186" s="9"/>
      <c r="M1186" s="9"/>
      <c r="N1186" s="9"/>
      <c r="O1186" s="136"/>
      <c r="P1186" s="142"/>
      <c r="Q1186" s="9"/>
      <c r="R1186" s="9"/>
      <c r="S1186" s="142"/>
      <c r="T1186" s="9"/>
      <c r="U1186" s="9"/>
      <c r="V1186" s="140"/>
      <c r="W1186" s="9"/>
      <c r="X1186" s="156"/>
      <c r="Y1186" s="918">
        <f t="shared" si="83"/>
        <v>1177</v>
      </c>
      <c r="AA1186" s="9"/>
      <c r="AC1186" s="9" t="str">
        <f t="shared" si="81"/>
        <v/>
      </c>
      <c r="AE1186" s="44" t="str">
        <f t="shared" si="82"/>
        <v/>
      </c>
    </row>
    <row r="1187" spans="1:31">
      <c r="A1187" s="154"/>
      <c r="B1187" s="49"/>
      <c r="C1187" s="49" t="s">
        <v>584</v>
      </c>
      <c r="D1187" s="49"/>
      <c r="E1187" s="9">
        <f>+G1187-Adjustments!G1185</f>
        <v>-7421.0112499999959</v>
      </c>
      <c r="F1187" s="9">
        <f>+'Rate Base'!$T$236</f>
        <v>-29018.39</v>
      </c>
      <c r="G1187" s="9">
        <f>+Adjustments!U1167</f>
        <v>-7421.0112499999959</v>
      </c>
      <c r="H1187" s="9"/>
      <c r="I1187" s="9">
        <f>SUM($F$1187:$H$1187)</f>
        <v>-36439.401249999995</v>
      </c>
      <c r="J1187" s="9">
        <f>+I1187-'ROR-Model'!I1187</f>
        <v>0</v>
      </c>
      <c r="K1187" s="9"/>
      <c r="L1187" s="9" t="s">
        <v>458</v>
      </c>
      <c r="M1187" s="9">
        <f>VLOOKUP($L1187,$L$2:$N$7,2,FALSE)*I1187</f>
        <v>-35250.797280253508</v>
      </c>
      <c r="N1187" s="9">
        <f>VLOOKUP($L1187,$L$2:$N$7,3,FALSE)*I1187</f>
        <v>-1188.603969746483</v>
      </c>
      <c r="O1187" s="136"/>
      <c r="P1187" s="216" t="s">
        <v>549</v>
      </c>
      <c r="Q1187" s="9">
        <f>IF(P1187="G",M1187,IF(P1187="PT",0,ERR))</f>
        <v>-35250.797280253508</v>
      </c>
      <c r="R1187" s="9">
        <f>IF(P1187="PT",M1187,IF(P1187="G",0,ERR))</f>
        <v>0</v>
      </c>
      <c r="S1187" s="142" t="s">
        <v>549</v>
      </c>
      <c r="T1187" s="9">
        <f>IF(S1187="G",N1187,IF(S1187="PT",0,ERR))</f>
        <v>-1188.603969746483</v>
      </c>
      <c r="U1187" s="9">
        <f>IF(S1187="PT",N1187,IF(S1187="G",0,ERR))</f>
        <v>0</v>
      </c>
      <c r="V1187" s="140"/>
      <c r="W1187" s="9">
        <f>HLOOKUP($W$9,'ROR-Model'!$Q$10:$U$1263,Y1187)</f>
        <v>-35250.797280253508</v>
      </c>
      <c r="X1187" s="156"/>
      <c r="Y1187" s="918">
        <f t="shared" si="83"/>
        <v>1178</v>
      </c>
      <c r="AA1187" s="9"/>
      <c r="AC1187" s="9" t="str">
        <f t="shared" si="81"/>
        <v/>
      </c>
      <c r="AE1187" s="44" t="str">
        <f t="shared" si="82"/>
        <v/>
      </c>
    </row>
    <row r="1188" spans="1:31">
      <c r="A1188" s="154"/>
      <c r="B1188" s="49"/>
      <c r="C1188" s="49" t="s">
        <v>160</v>
      </c>
      <c r="D1188" s="49"/>
      <c r="E1188" s="157">
        <f>+G1188-Adjustments!G1186</f>
        <v>-7421.0112499999959</v>
      </c>
      <c r="F1188" s="157">
        <f>SUM(F1187)</f>
        <v>-29018.39</v>
      </c>
      <c r="G1188" s="157">
        <f>SUM(G1187)</f>
        <v>-7421.0112499999959</v>
      </c>
      <c r="H1188" s="157">
        <f>SUM(H1187)</f>
        <v>0</v>
      </c>
      <c r="I1188" s="157">
        <f>SUM(I1187)</f>
        <v>-36439.401249999995</v>
      </c>
      <c r="J1188" s="9">
        <f>+I1188-'ROR-Model'!I1188</f>
        <v>0</v>
      </c>
      <c r="K1188" s="9"/>
      <c r="L1188" s="157"/>
      <c r="M1188" s="157">
        <f>SUM(M1187)</f>
        <v>-35250.797280253508</v>
      </c>
      <c r="N1188" s="157">
        <f>SUM(N1187)</f>
        <v>-1188.603969746483</v>
      </c>
      <c r="O1188" s="136"/>
      <c r="P1188" s="226"/>
      <c r="Q1188" s="157">
        <f>SUM(Q1186:Q1187)</f>
        <v>-35250.797280253508</v>
      </c>
      <c r="R1188" s="157">
        <f>SUM(R1186:R1187)</f>
        <v>0</v>
      </c>
      <c r="S1188" s="226"/>
      <c r="T1188" s="157">
        <f>SUM(T1186:T1187)</f>
        <v>-1188.603969746483</v>
      </c>
      <c r="U1188" s="157">
        <f>SUM(U1187)</f>
        <v>0</v>
      </c>
      <c r="V1188" s="140"/>
      <c r="W1188" s="157">
        <f>HLOOKUP($W$9,'ROR-Model'!$Q$10:$U$1263,Y1188)</f>
        <v>-35250.797280253508</v>
      </c>
      <c r="X1188" s="156"/>
      <c r="Y1188" s="918">
        <f t="shared" si="83"/>
        <v>1179</v>
      </c>
      <c r="AA1188" s="157">
        <v>-224565.22291666668</v>
      </c>
      <c r="AC1188" s="157">
        <f t="shared" si="81"/>
        <v>189314.42563641316</v>
      </c>
      <c r="AE1188" s="44">
        <f t="shared" si="82"/>
        <v>-0.84302646321449937</v>
      </c>
    </row>
    <row r="1189" spans="1:31">
      <c r="A1189" s="154"/>
      <c r="B1189" s="49"/>
      <c r="C1189" s="49"/>
      <c r="D1189" s="49"/>
      <c r="E1189" s="9">
        <f>+G1189-Adjustments!G1187</f>
        <v>0</v>
      </c>
      <c r="F1189" s="9"/>
      <c r="G1189" s="9"/>
      <c r="H1189" s="9"/>
      <c r="I1189" s="9"/>
      <c r="J1189" s="9">
        <f>+I1189-'ROR-Model'!I1189</f>
        <v>0</v>
      </c>
      <c r="K1189" s="9"/>
      <c r="L1189" s="9"/>
      <c r="M1189" s="9"/>
      <c r="N1189" s="9"/>
      <c r="O1189" s="136"/>
      <c r="P1189" s="142"/>
      <c r="Q1189" s="9"/>
      <c r="R1189" s="9"/>
      <c r="S1189" s="142"/>
      <c r="T1189" s="9"/>
      <c r="U1189" s="9"/>
      <c r="V1189" s="140"/>
      <c r="W1189" s="9"/>
      <c r="X1189" s="156"/>
      <c r="Y1189" s="918">
        <f t="shared" si="83"/>
        <v>1180</v>
      </c>
      <c r="AA1189" s="9">
        <v>0</v>
      </c>
      <c r="AC1189" s="9" t="str">
        <f t="shared" si="81"/>
        <v/>
      </c>
      <c r="AE1189" s="44" t="str">
        <f t="shared" si="82"/>
        <v/>
      </c>
    </row>
    <row r="1190" spans="1:31">
      <c r="A1190" s="154">
        <v>255</v>
      </c>
      <c r="B1190" s="49" t="s">
        <v>299</v>
      </c>
      <c r="C1190" s="49"/>
      <c r="D1190" s="49"/>
      <c r="E1190" s="9">
        <f>+G1190-Adjustments!G1188</f>
        <v>0</v>
      </c>
      <c r="F1190" s="9"/>
      <c r="G1190" s="9"/>
      <c r="H1190" s="9"/>
      <c r="I1190" s="9"/>
      <c r="J1190" s="9">
        <f>+I1190-'ROR-Model'!I1190</f>
        <v>0</v>
      </c>
      <c r="K1190" s="9"/>
      <c r="L1190" s="9"/>
      <c r="M1190" s="9"/>
      <c r="N1190" s="9"/>
      <c r="O1190" s="136"/>
      <c r="P1190" s="142"/>
      <c r="Q1190" s="9"/>
      <c r="R1190" s="9"/>
      <c r="S1190" s="142"/>
      <c r="T1190" s="9"/>
      <c r="U1190" s="9"/>
      <c r="V1190" s="140"/>
      <c r="W1190" s="9"/>
      <c r="X1190" s="156"/>
      <c r="Y1190" s="918">
        <f t="shared" si="83"/>
        <v>1181</v>
      </c>
      <c r="AA1190" s="9">
        <v>-224565.22291666668</v>
      </c>
      <c r="AC1190" s="9">
        <f t="shared" si="81"/>
        <v>224565.22291666668</v>
      </c>
      <c r="AE1190" s="44">
        <f t="shared" si="82"/>
        <v>-1</v>
      </c>
    </row>
    <row r="1191" spans="1:31">
      <c r="A1191" s="154"/>
      <c r="B1191" s="49"/>
      <c r="C1191" s="49" t="s">
        <v>427</v>
      </c>
      <c r="D1191" s="49"/>
      <c r="E1191" s="9">
        <f>+G1191-Adjustments!G1189</f>
        <v>92.999999999999773</v>
      </c>
      <c r="F1191" s="9">
        <f>+'Rate Base'!$T$239</f>
        <v>-1310.79</v>
      </c>
      <c r="G1191" s="9">
        <f>+Adjustments!U1171</f>
        <v>92.999999999999773</v>
      </c>
      <c r="H1191" s="9"/>
      <c r="I1191" s="9">
        <f>SUM($F$1191:$H$1191)</f>
        <v>-1217.7900000000002</v>
      </c>
      <c r="J1191" s="9">
        <f>+I1191-'ROR-Model'!I1191</f>
        <v>0</v>
      </c>
      <c r="K1191" s="9"/>
      <c r="L1191" s="9" t="s">
        <v>679</v>
      </c>
      <c r="M1191" s="9">
        <f>VLOOKUP($L1191,$L$2:$N$7,2,FALSE)*I1191</f>
        <v>-1174.9232767939427</v>
      </c>
      <c r="N1191" s="9">
        <f>VLOOKUP($L1191,$L$2:$N$7,3,FALSE)*I1191</f>
        <v>-42.866723206057422</v>
      </c>
      <c r="O1191" s="136"/>
      <c r="P1191" s="216" t="s">
        <v>549</v>
      </c>
      <c r="Q1191" s="9">
        <f>IF(P1191="G",M1191,IF(P1191="PT",0,ERR))</f>
        <v>-1174.9232767939427</v>
      </c>
      <c r="R1191" s="9">
        <f>IF(P1191="PT",M1191,IF(P1191="G",0,ERR))</f>
        <v>0</v>
      </c>
      <c r="S1191" s="142" t="s">
        <v>548</v>
      </c>
      <c r="T1191" s="9">
        <f>IF(S1191="G",N1191,IF(S1191="PT",0,ERR))</f>
        <v>0</v>
      </c>
      <c r="U1191" s="9">
        <f>IF(S1191="PT",N1191,IF(S1191="G",0,ERR))</f>
        <v>-42.866723206057422</v>
      </c>
      <c r="V1191" s="140"/>
      <c r="W1191" s="9">
        <f>HLOOKUP($W$9,'ROR-Model'!$Q$10:$U$1263,Y1191)</f>
        <v>-1174.9232767939427</v>
      </c>
      <c r="X1191" s="156"/>
      <c r="Y1191" s="918">
        <f t="shared" si="83"/>
        <v>1182</v>
      </c>
      <c r="AA1191" s="9"/>
      <c r="AC1191" s="9" t="str">
        <f t="shared" si="81"/>
        <v/>
      </c>
      <c r="AE1191" s="44" t="str">
        <f t="shared" si="82"/>
        <v/>
      </c>
    </row>
    <row r="1192" spans="1:31">
      <c r="A1192" s="154"/>
      <c r="B1192" s="49"/>
      <c r="C1192" s="49" t="s">
        <v>581</v>
      </c>
      <c r="D1192" s="49"/>
      <c r="E1192" s="9">
        <f>+G1192-Adjustments!G1190</f>
        <v>-1159.1044344499414</v>
      </c>
      <c r="F1192" s="9">
        <f>+'Rate Base'!$T$240</f>
        <v>-854.65140200000099</v>
      </c>
      <c r="G1192" s="9">
        <f>+Adjustments!U1172</f>
        <v>-1159.1044344499414</v>
      </c>
      <c r="H1192" s="9"/>
      <c r="I1192" s="9">
        <f>SUM($F$1192:$H$1192)</f>
        <v>-2013.7558364499423</v>
      </c>
      <c r="J1192" s="9">
        <f>+I1192-'ROR-Model'!I1192</f>
        <v>0</v>
      </c>
      <c r="K1192" s="9"/>
      <c r="L1192" s="9" t="s">
        <v>24</v>
      </c>
      <c r="M1192" s="9">
        <f>VLOOKUP($L1192,$L$2:$N$7,2,FALSE)*I1192</f>
        <v>0</v>
      </c>
      <c r="N1192" s="9">
        <f>VLOOKUP($L1192,$L$2:$N$7,3,FALSE)*I1192</f>
        <v>-2013.7558364499423</v>
      </c>
      <c r="O1192" s="136"/>
      <c r="P1192" s="216" t="s">
        <v>549</v>
      </c>
      <c r="Q1192" s="9">
        <f>IF(P1192="G",M1192,IF(P1192="PT",0,ERR))</f>
        <v>0</v>
      </c>
      <c r="R1192" s="9">
        <f>IF(P1192="PT",M1192,IF(P1192="G",0,ERR))</f>
        <v>0</v>
      </c>
      <c r="S1192" s="142" t="s">
        <v>549</v>
      </c>
      <c r="T1192" s="9">
        <f>IF(S1192="G",N1192,IF(S1192="PT",0,ERR))</f>
        <v>-2013.7558364499423</v>
      </c>
      <c r="U1192" s="9">
        <f>IF(S1192="PT",N1192,IF(S1192="G",0,ERR))</f>
        <v>0</v>
      </c>
      <c r="V1192" s="140"/>
      <c r="W1192" s="9">
        <f>HLOOKUP($W$9,'ROR-Model'!$Q$10:$U$1263,Y1192)</f>
        <v>0</v>
      </c>
      <c r="X1192" s="156"/>
      <c r="Y1192" s="918">
        <f t="shared" si="83"/>
        <v>1183</v>
      </c>
      <c r="AA1192" s="9"/>
      <c r="AC1192" s="9" t="str">
        <f t="shared" si="81"/>
        <v/>
      </c>
      <c r="AE1192" s="44" t="str">
        <f t="shared" si="82"/>
        <v/>
      </c>
    </row>
    <row r="1193" spans="1:31">
      <c r="A1193" s="154"/>
      <c r="B1193" s="49"/>
      <c r="C1193" s="49" t="s">
        <v>582</v>
      </c>
      <c r="D1193" s="49"/>
      <c r="E1193" s="9">
        <f>+G1193-Adjustments!G1191</f>
        <v>-35240.226815550064</v>
      </c>
      <c r="F1193" s="9">
        <f>+'Rate Base'!$T$241</f>
        <v>-25936.928597999999</v>
      </c>
      <c r="G1193" s="9">
        <f>+Adjustments!U1173</f>
        <v>-35240.226815550064</v>
      </c>
      <c r="H1193" s="9"/>
      <c r="I1193" s="9">
        <f>SUM($F$1193:$H$1193)</f>
        <v>-61177.155413550063</v>
      </c>
      <c r="J1193" s="9">
        <f>+I1193-'ROR-Model'!I1193</f>
        <v>0</v>
      </c>
      <c r="K1193" s="9"/>
      <c r="L1193" s="9" t="s">
        <v>13</v>
      </c>
      <c r="M1193" s="9">
        <f>VLOOKUP($L1193,$L$2:$N$7,2,FALSE)*I1193</f>
        <v>-61177.155413550063</v>
      </c>
      <c r="N1193" s="9">
        <f>VLOOKUP($L1193,$L$2:$N$7,3,FALSE)*I1193</f>
        <v>0</v>
      </c>
      <c r="O1193" s="136"/>
      <c r="P1193" s="216" t="s">
        <v>549</v>
      </c>
      <c r="Q1193" s="9">
        <f>IF(P1193="G",M1193,IF(P1193="PT",0,ERR))</f>
        <v>-61177.155413550063</v>
      </c>
      <c r="R1193" s="9">
        <f>IF(P1193="PT",M1193,IF(P1193="G",0,ERR))</f>
        <v>0</v>
      </c>
      <c r="S1193" s="142" t="s">
        <v>549</v>
      </c>
      <c r="T1193" s="9">
        <f>IF(S1193="G",N1193,IF(S1193="PT",0,ERR))</f>
        <v>0</v>
      </c>
      <c r="U1193" s="9">
        <f>IF(S1193="PT",N1193,IF(S1193="G",0,ERR))</f>
        <v>0</v>
      </c>
      <c r="V1193" s="140"/>
      <c r="W1193" s="9">
        <f>HLOOKUP($W$9,'ROR-Model'!$Q$10:$U$1263,Y1193)</f>
        <v>-61177.155413550063</v>
      </c>
      <c r="X1193" s="156"/>
      <c r="Y1193" s="918">
        <f t="shared" si="83"/>
        <v>1184</v>
      </c>
      <c r="AA1193" s="9">
        <v>-646556.32999999996</v>
      </c>
      <c r="AC1193" s="9">
        <f t="shared" si="81"/>
        <v>585379.17458644987</v>
      </c>
      <c r="AE1193" s="44">
        <f t="shared" si="82"/>
        <v>-0.90538000700797394</v>
      </c>
    </row>
    <row r="1194" spans="1:31">
      <c r="A1194" s="154"/>
      <c r="B1194" s="49"/>
      <c r="C1194" s="49" t="s">
        <v>584</v>
      </c>
      <c r="D1194" s="49"/>
      <c r="E1194" s="9">
        <f>+G1194-Adjustments!G1192</f>
        <v>-93</v>
      </c>
      <c r="F1194" s="9">
        <f>+'Rate Base'!$T$242</f>
        <v>-527.25</v>
      </c>
      <c r="G1194" s="9">
        <f>+Adjustments!U1174</f>
        <v>-93</v>
      </c>
      <c r="H1194" s="9"/>
      <c r="I1194" s="9">
        <f>SUM($F$1194:$H$1194)</f>
        <v>-620.25</v>
      </c>
      <c r="J1194" s="9">
        <f>+I1194-'ROR-Model'!I1194</f>
        <v>0</v>
      </c>
      <c r="K1194" s="9"/>
      <c r="L1194" s="9" t="s">
        <v>458</v>
      </c>
      <c r="M1194" s="9">
        <f>VLOOKUP($L1194,$L$2:$N$7,2,FALSE)*I1194</f>
        <v>-600.01828413899204</v>
      </c>
      <c r="N1194" s="9">
        <f>VLOOKUP($L1194,$L$2:$N$7,3,FALSE)*I1194</f>
        <v>-20.231715861007903</v>
      </c>
      <c r="O1194" s="136"/>
      <c r="P1194" s="216" t="s">
        <v>549</v>
      </c>
      <c r="Q1194" s="9">
        <f>IF(P1194="G",M1194,IF(P1194="PT",0,ERR))</f>
        <v>-600.01828413899204</v>
      </c>
      <c r="R1194" s="9">
        <f>IF(P1194="PT",M1194,IF(P1194="G",0,ERR))</f>
        <v>0</v>
      </c>
      <c r="S1194" s="142" t="s">
        <v>549</v>
      </c>
      <c r="T1194" s="9">
        <f>IF(S1194="G",N1194,IF(S1194="PT",0,ERR))</f>
        <v>-20.231715861007903</v>
      </c>
      <c r="U1194" s="9">
        <f>IF(S1194="PT",N1194,IF(S1194="G",0,ERR))</f>
        <v>0</v>
      </c>
      <c r="V1194" s="140"/>
      <c r="W1194" s="9">
        <f>HLOOKUP($W$9,'ROR-Model'!$Q$10:$U$1263,Y1194)</f>
        <v>-600.01828413899204</v>
      </c>
      <c r="X1194" s="156"/>
      <c r="Y1194" s="918">
        <f t="shared" si="83"/>
        <v>1185</v>
      </c>
      <c r="AA1194" s="9">
        <v>0</v>
      </c>
      <c r="AC1194" s="9" t="str">
        <f t="shared" si="81"/>
        <v/>
      </c>
      <c r="AE1194" s="44" t="str">
        <f t="shared" si="82"/>
        <v/>
      </c>
    </row>
    <row r="1195" spans="1:31">
      <c r="A1195" s="154"/>
      <c r="B1195" s="49"/>
      <c r="C1195" s="49" t="s">
        <v>160</v>
      </c>
      <c r="D1195" s="49"/>
      <c r="E1195" s="157">
        <f>+G1195-Adjustments!G1193</f>
        <v>-36399.331250000003</v>
      </c>
      <c r="F1195" s="157">
        <f>SUM(F1191:F1194)</f>
        <v>-28629.62</v>
      </c>
      <c r="G1195" s="157">
        <f>SUM(G1191:G1194)</f>
        <v>-36399.331250000003</v>
      </c>
      <c r="H1195" s="157">
        <f>SUM(H1191:H1194)</f>
        <v>0</v>
      </c>
      <c r="I1195" s="157">
        <f>SUM(I1191:I1194)</f>
        <v>-65028.951250000006</v>
      </c>
      <c r="J1195" s="9">
        <f>+I1195-'ROR-Model'!I1195</f>
        <v>0</v>
      </c>
      <c r="K1195" s="9"/>
      <c r="L1195" s="157"/>
      <c r="M1195" s="157">
        <f>SUM(M1191:M1194)</f>
        <v>-62952.096974482993</v>
      </c>
      <c r="N1195" s="157">
        <f>SUM(N1191:N1194)</f>
        <v>-2076.8542755170079</v>
      </c>
      <c r="O1195" s="136"/>
      <c r="P1195" s="226"/>
      <c r="Q1195" s="157">
        <f>SUM(Q1191:Q1194)</f>
        <v>-62952.096974482993</v>
      </c>
      <c r="R1195" s="157">
        <f>SUM(R1191:R1194)</f>
        <v>0</v>
      </c>
      <c r="S1195" s="226"/>
      <c r="T1195" s="157">
        <f>SUM(T1191:T1194)</f>
        <v>-2033.9875523109502</v>
      </c>
      <c r="U1195" s="157">
        <f>SUM(U1191:U1194)</f>
        <v>-42.866723206057422</v>
      </c>
      <c r="V1195" s="140"/>
      <c r="W1195" s="157">
        <f>HLOOKUP($W$9,'ROR-Model'!$Q$10:$U$1263,Y1195)</f>
        <v>-62952.096974482993</v>
      </c>
      <c r="X1195" s="156"/>
      <c r="Y1195" s="918">
        <f t="shared" si="83"/>
        <v>1186</v>
      </c>
      <c r="AA1195" s="157">
        <v>-646556.32999999996</v>
      </c>
      <c r="AC1195" s="157">
        <f t="shared" si="81"/>
        <v>583604.23302551697</v>
      </c>
      <c r="AE1195" s="44">
        <f t="shared" si="82"/>
        <v>-0.90263478361663707</v>
      </c>
    </row>
    <row r="1196" spans="1:31">
      <c r="A1196" s="154"/>
      <c r="B1196" s="49"/>
      <c r="C1196" s="49"/>
      <c r="D1196" s="49"/>
      <c r="E1196" s="9">
        <f>+G1196-Adjustments!G1194</f>
        <v>0</v>
      </c>
      <c r="F1196" s="9"/>
      <c r="G1196" s="9"/>
      <c r="H1196" s="9"/>
      <c r="I1196" s="9"/>
      <c r="J1196" s="9">
        <f>+I1196-'ROR-Model'!I1196</f>
        <v>0</v>
      </c>
      <c r="K1196" s="9"/>
      <c r="L1196" s="9"/>
      <c r="M1196" s="9"/>
      <c r="N1196" s="9"/>
      <c r="O1196" s="136"/>
      <c r="P1196" s="142"/>
      <c r="Q1196" s="9"/>
      <c r="R1196" s="9"/>
      <c r="S1196" s="142"/>
      <c r="T1196" s="9"/>
      <c r="U1196" s="9"/>
      <c r="V1196" s="140"/>
      <c r="W1196" s="9"/>
      <c r="X1196" s="156"/>
      <c r="Y1196" s="918">
        <f t="shared" si="83"/>
        <v>1187</v>
      </c>
      <c r="AA1196" s="9"/>
      <c r="AC1196" s="9" t="str">
        <f t="shared" si="81"/>
        <v/>
      </c>
      <c r="AE1196" s="44" t="str">
        <f t="shared" si="82"/>
        <v/>
      </c>
    </row>
    <row r="1197" spans="1:31">
      <c r="A1197" s="154">
        <v>2820</v>
      </c>
      <c r="B1197" s="49" t="s">
        <v>464</v>
      </c>
      <c r="C1197" s="49"/>
      <c r="D1197" s="49"/>
      <c r="E1197" s="9">
        <f>+G1197-Adjustments!G1195</f>
        <v>0</v>
      </c>
      <c r="F1197" s="9"/>
      <c r="G1197" s="9"/>
      <c r="H1197" s="9"/>
      <c r="I1197" s="9"/>
      <c r="J1197" s="9">
        <f>+I1197-'ROR-Model'!I1197</f>
        <v>0</v>
      </c>
      <c r="K1197" s="9"/>
      <c r="L1197" s="9"/>
      <c r="M1197" s="9"/>
      <c r="N1197" s="9"/>
      <c r="O1197" s="136"/>
      <c r="P1197" s="142"/>
      <c r="Q1197" s="9"/>
      <c r="R1197" s="9"/>
      <c r="S1197" s="142"/>
      <c r="T1197" s="9"/>
      <c r="U1197" s="9"/>
      <c r="V1197" s="140"/>
      <c r="W1197" s="9"/>
      <c r="X1197" s="156"/>
      <c r="Y1197" s="918">
        <f t="shared" si="83"/>
        <v>1188</v>
      </c>
      <c r="AA1197" s="9"/>
      <c r="AC1197" s="9" t="str">
        <f t="shared" si="81"/>
        <v/>
      </c>
      <c r="AE1197" s="44" t="str">
        <f t="shared" si="82"/>
        <v/>
      </c>
    </row>
    <row r="1198" spans="1:31">
      <c r="A1198" s="154"/>
      <c r="B1198" s="49"/>
      <c r="C1198" s="49" t="s">
        <v>427</v>
      </c>
      <c r="D1198" s="49"/>
      <c r="E1198" s="9">
        <f>+G1198-Adjustments!G1196</f>
        <v>-180049.70666666664</v>
      </c>
      <c r="F1198" s="9">
        <f>+'Rate Base'!$T$246</f>
        <v>44147.49</v>
      </c>
      <c r="G1198" s="9">
        <f>+Adjustments!U1178</f>
        <v>-180049.70666666664</v>
      </c>
      <c r="H1198" s="9"/>
      <c r="I1198" s="9">
        <f>SUM($F$1198:$H$1198)</f>
        <v>-135902.21666666665</v>
      </c>
      <c r="J1198" s="9">
        <f>+I1198-'ROR-Model'!I1198</f>
        <v>0</v>
      </c>
      <c r="K1198" s="9"/>
      <c r="L1198" s="9" t="s">
        <v>679</v>
      </c>
      <c r="M1198" s="9">
        <f>VLOOKUP($L1198,$L$2:$N$7,2,FALSE)*I1198</f>
        <v>-131118.40114433548</v>
      </c>
      <c r="N1198" s="9">
        <f>VLOOKUP($L1198,$L$2:$N$7,3,FALSE)*I1198</f>
        <v>-4783.8155223311423</v>
      </c>
      <c r="O1198" s="136"/>
      <c r="P1198" s="216" t="s">
        <v>549</v>
      </c>
      <c r="Q1198" s="9">
        <f>IF(P1198="G",M1198,IF(P1198="PT",0,ERR))</f>
        <v>-131118.40114433548</v>
      </c>
      <c r="R1198" s="9">
        <f>IF(P1198="PT",M1198,IF(P1198="G",0,ERR))</f>
        <v>0</v>
      </c>
      <c r="S1198" s="142" t="s">
        <v>548</v>
      </c>
      <c r="T1198" s="9">
        <f>IF(S1198="G",N1198,IF(S1198="PT",0,ERR))</f>
        <v>0</v>
      </c>
      <c r="U1198" s="9">
        <f>IF(S1198="PT",N1198,IF(S1198="G",0,ERR))</f>
        <v>-4783.8155223311423</v>
      </c>
      <c r="V1198" s="140"/>
      <c r="W1198" s="9">
        <f>HLOOKUP($W$9,'ROR-Model'!$Q$10:$U$1263,Y1198)</f>
        <v>-131118.40114433548</v>
      </c>
      <c r="X1198" s="156"/>
      <c r="Y1198" s="918">
        <f t="shared" si="83"/>
        <v>1189</v>
      </c>
      <c r="AA1198" s="9">
        <v>-2132.8925941926709</v>
      </c>
      <c r="AC1198" s="9">
        <f t="shared" si="81"/>
        <v>-128985.50855014281</v>
      </c>
      <c r="AE1198" s="44">
        <f t="shared" si="82"/>
        <v>60.474450941101232</v>
      </c>
    </row>
    <row r="1199" spans="1:31">
      <c r="A1199" s="154"/>
      <c r="B1199" s="49"/>
      <c r="C1199" s="49" t="s">
        <v>581</v>
      </c>
      <c r="D1199" s="49"/>
      <c r="E1199" s="9">
        <f>+G1199-Adjustments!G1197</f>
        <v>-4866424.0731295533</v>
      </c>
      <c r="F1199" s="9">
        <f>+'Rate Base'!$T$247</f>
        <v>-8486889.9906229991</v>
      </c>
      <c r="G1199" s="9">
        <f>+Adjustments!U1179</f>
        <v>-4866424.0731295533</v>
      </c>
      <c r="H1199" s="9"/>
      <c r="I1199" s="9">
        <f>SUM($F$1199:$H$1199)</f>
        <v>-13353314.063752552</v>
      </c>
      <c r="J1199" s="9">
        <f>+I1199-'ROR-Model'!I1199</f>
        <v>0</v>
      </c>
      <c r="K1199" s="9"/>
      <c r="L1199" s="9" t="s">
        <v>24</v>
      </c>
      <c r="M1199" s="9">
        <f>VLOOKUP($L1199,$L$2:$N$7,2,FALSE)*I1199</f>
        <v>0</v>
      </c>
      <c r="N1199" s="9">
        <f>VLOOKUP($L1199,$L$2:$N$7,3,FALSE)*I1199</f>
        <v>-13353314.063752552</v>
      </c>
      <c r="O1199" s="136"/>
      <c r="P1199" s="216" t="s">
        <v>549</v>
      </c>
      <c r="Q1199" s="9">
        <f>IF(P1199="G",M1199,IF(P1199="PT",0,ERR))</f>
        <v>0</v>
      </c>
      <c r="R1199" s="9">
        <f>IF(P1199="PT",M1199,IF(P1199="G",0,ERR))</f>
        <v>0</v>
      </c>
      <c r="S1199" s="142" t="s">
        <v>549</v>
      </c>
      <c r="T1199" s="9">
        <f>IF(S1199="G",N1199,IF(S1199="PT",0,ERR))</f>
        <v>-13353314.063752552</v>
      </c>
      <c r="U1199" s="9">
        <f>IF(S1199="PT",N1199,IF(S1199="G",0,ERR))</f>
        <v>0</v>
      </c>
      <c r="V1199" s="140"/>
      <c r="W1199" s="9">
        <f>HLOOKUP($W$9,'ROR-Model'!$Q$10:$U$1263,Y1199)</f>
        <v>0</v>
      </c>
      <c r="X1199" s="156"/>
      <c r="Y1199" s="918">
        <f t="shared" si="83"/>
        <v>1190</v>
      </c>
      <c r="AA1199" s="9">
        <v>-2132.8925941926709</v>
      </c>
      <c r="AC1199" s="9">
        <f t="shared" si="81"/>
        <v>2132.8925941926709</v>
      </c>
      <c r="AE1199" s="44">
        <f t="shared" si="82"/>
        <v>-1</v>
      </c>
    </row>
    <row r="1200" spans="1:31">
      <c r="A1200" s="154"/>
      <c r="B1200" s="49"/>
      <c r="C1200" s="49" t="s">
        <v>582</v>
      </c>
      <c r="D1200" s="49"/>
      <c r="E1200" s="9">
        <f>+G1200-Adjustments!G1198</f>
        <v>-147819035.968537</v>
      </c>
      <c r="F1200" s="9">
        <f>+'Rate Base'!$T$248</f>
        <v>-257559818.17937699</v>
      </c>
      <c r="G1200" s="9">
        <f>+Adjustments!U1180</f>
        <v>-147819035.968537</v>
      </c>
      <c r="H1200" s="9"/>
      <c r="I1200" s="9">
        <f>SUM($F$1200:$H$1200)</f>
        <v>-405378854.14791399</v>
      </c>
      <c r="J1200" s="9">
        <f>+I1200-'ROR-Model'!I1200</f>
        <v>0</v>
      </c>
      <c r="K1200" s="9"/>
      <c r="L1200" s="9" t="s">
        <v>13</v>
      </c>
      <c r="M1200" s="9">
        <f>VLOOKUP($L1200,$L$2:$N$7,2,FALSE)*I1200</f>
        <v>-405378854.14791399</v>
      </c>
      <c r="N1200" s="9">
        <f>VLOOKUP($L1200,$L$2:$N$7,3,FALSE)*I1200</f>
        <v>0</v>
      </c>
      <c r="O1200" s="136"/>
      <c r="P1200" s="216" t="s">
        <v>549</v>
      </c>
      <c r="Q1200" s="9">
        <f>IF(P1200="G",M1200,IF(P1200="PT",0,ERR))</f>
        <v>-405378854.14791399</v>
      </c>
      <c r="R1200" s="9">
        <f>IF(P1200="PT",M1200,IF(P1200="G",0,ERR))</f>
        <v>0</v>
      </c>
      <c r="S1200" s="142" t="s">
        <v>549</v>
      </c>
      <c r="T1200" s="9">
        <f>IF(S1200="G",N1200,IF(S1200="PT",0,ERR))</f>
        <v>0</v>
      </c>
      <c r="U1200" s="9">
        <f>IF(S1200="PT",N1200,IF(S1200="G",0,ERR))</f>
        <v>0</v>
      </c>
      <c r="V1200" s="140"/>
      <c r="W1200" s="9">
        <f>HLOOKUP($W$9,'ROR-Model'!$Q$10:$U$1263,Y1200)</f>
        <v>-405378854.14791399</v>
      </c>
      <c r="X1200" s="156"/>
      <c r="Y1200" s="918">
        <f t="shared" si="83"/>
        <v>1191</v>
      </c>
      <c r="AA1200" s="9"/>
      <c r="AC1200" s="9" t="str">
        <f t="shared" si="81"/>
        <v/>
      </c>
      <c r="AE1200" s="44" t="str">
        <f t="shared" si="82"/>
        <v/>
      </c>
    </row>
    <row r="1201" spans="1:31">
      <c r="A1201" s="154"/>
      <c r="B1201" s="49"/>
      <c r="C1201" s="49" t="s">
        <v>584</v>
      </c>
      <c r="D1201" s="49"/>
      <c r="E1201" s="9">
        <f>+G1201-Adjustments!G1199</f>
        <v>-270074.54583333433</v>
      </c>
      <c r="F1201" s="9">
        <f>+'Rate Base'!$T$249</f>
        <v>-12817268.039999999</v>
      </c>
      <c r="G1201" s="9">
        <f>+Adjustments!U1181</f>
        <v>-270074.54583333433</v>
      </c>
      <c r="H1201" s="9"/>
      <c r="I1201" s="9">
        <f>SUM($F$1201:$H$1201)</f>
        <v>-13087342.585833333</v>
      </c>
      <c r="J1201" s="9">
        <f>+I1201-'ROR-Model'!I1201</f>
        <v>0</v>
      </c>
      <c r="K1201" s="9"/>
      <c r="L1201" s="9" t="s">
        <v>458</v>
      </c>
      <c r="M1201" s="9">
        <f>VLOOKUP($L1201,$L$2:$N$7,2,FALSE)*I1201</f>
        <v>-12660451.176607618</v>
      </c>
      <c r="N1201" s="9">
        <f>VLOOKUP($L1201,$L$2:$N$7,3,FALSE)*I1201</f>
        <v>-426891.40922571288</v>
      </c>
      <c r="O1201" s="136"/>
      <c r="P1201" s="216" t="s">
        <v>549</v>
      </c>
      <c r="Q1201" s="9">
        <f>IF(P1201="G",M1201,IF(P1201="PT",0,ERR))</f>
        <v>-12660451.176607618</v>
      </c>
      <c r="R1201" s="9">
        <f>IF(P1201="PT",M1201,IF(P1201="G",0,ERR))</f>
        <v>0</v>
      </c>
      <c r="S1201" s="142" t="s">
        <v>549</v>
      </c>
      <c r="T1201" s="9">
        <f>IF(S1201="G",N1201,IF(S1201="PT",0,ERR))</f>
        <v>-426891.40922571288</v>
      </c>
      <c r="U1201" s="9">
        <f>IF(S1201="PT",N1201,IF(S1201="G",0,ERR))</f>
        <v>0</v>
      </c>
      <c r="V1201" s="140"/>
      <c r="W1201" s="9">
        <f>HLOOKUP($W$9,'ROR-Model'!$Q$10:$U$1263,Y1201)</f>
        <v>-12660451.176607618</v>
      </c>
      <c r="X1201" s="156"/>
      <c r="Y1201" s="918">
        <f t="shared" si="83"/>
        <v>1192</v>
      </c>
      <c r="AA1201" s="9"/>
      <c r="AC1201" s="9" t="str">
        <f t="shared" si="81"/>
        <v/>
      </c>
      <c r="AE1201" s="44" t="str">
        <f t="shared" si="82"/>
        <v/>
      </c>
    </row>
    <row r="1202" spans="1:31">
      <c r="A1202" s="154"/>
      <c r="B1202" s="49"/>
      <c r="C1202" s="49" t="s">
        <v>160</v>
      </c>
      <c r="D1202" s="49"/>
      <c r="E1202" s="157">
        <f>+G1202-Adjustments!G1200</f>
        <v>-153135584.29416656</v>
      </c>
      <c r="F1202" s="157">
        <f>SUM(F1198:F1201)</f>
        <v>-278819828.71999997</v>
      </c>
      <c r="G1202" s="157">
        <f>SUM(G1198:G1201)</f>
        <v>-153135584.29416656</v>
      </c>
      <c r="H1202" s="157">
        <f>SUM(H1198:H1201)</f>
        <v>0</v>
      </c>
      <c r="I1202" s="157">
        <f>SUM(I1198:I1201)</f>
        <v>-431955413.01416653</v>
      </c>
      <c r="J1202" s="9">
        <f>+I1202-'ROR-Model'!I1202</f>
        <v>0</v>
      </c>
      <c r="K1202" s="9"/>
      <c r="L1202" s="157"/>
      <c r="M1202" s="157">
        <f>SUM(M1198:M1201)</f>
        <v>-418170423.72566593</v>
      </c>
      <c r="N1202" s="157">
        <f>SUM(N1198:N1201)</f>
        <v>-13784989.288500598</v>
      </c>
      <c r="O1202" s="136"/>
      <c r="P1202" s="226"/>
      <c r="Q1202" s="157">
        <f>SUM(Q1198:Q1201)</f>
        <v>-418170423.72566593</v>
      </c>
      <c r="R1202" s="157">
        <f>SUM(R1198:R1201)</f>
        <v>0</v>
      </c>
      <c r="S1202" s="226"/>
      <c r="T1202" s="157">
        <f>SUM(T1198:T1201)</f>
        <v>-13780205.472978266</v>
      </c>
      <c r="U1202" s="157">
        <f>SUM(U1198:U1201)</f>
        <v>-4783.8155223311423</v>
      </c>
      <c r="V1202" s="140"/>
      <c r="W1202" s="157">
        <f>HLOOKUP($W$9,'ROR-Model'!$Q$10:$U$1263,Y1202)</f>
        <v>-418170423.72566593</v>
      </c>
      <c r="X1202" s="156"/>
      <c r="Y1202" s="918">
        <f t="shared" si="83"/>
        <v>1193</v>
      </c>
      <c r="AA1202" s="157">
        <v>0</v>
      </c>
      <c r="AC1202" s="157" t="str">
        <f t="shared" si="81"/>
        <v/>
      </c>
      <c r="AE1202" s="44" t="str">
        <f t="shared" si="82"/>
        <v/>
      </c>
    </row>
    <row r="1203" spans="1:31">
      <c r="A1203" s="154"/>
      <c r="B1203" s="49"/>
      <c r="C1203" s="49"/>
      <c r="D1203" s="49"/>
      <c r="E1203" s="9">
        <f>+G1203-Adjustments!G1201</f>
        <v>0</v>
      </c>
      <c r="F1203" s="9"/>
      <c r="G1203" s="9"/>
      <c r="H1203" s="9"/>
      <c r="I1203" s="9"/>
      <c r="J1203" s="9">
        <f>+I1203-'ROR-Model'!I1203</f>
        <v>0</v>
      </c>
      <c r="K1203" s="9"/>
      <c r="L1203" s="9"/>
      <c r="M1203" s="9"/>
      <c r="N1203" s="9"/>
      <c r="O1203" s="136"/>
      <c r="P1203" s="142"/>
      <c r="Q1203" s="9"/>
      <c r="R1203" s="9"/>
      <c r="S1203" s="142"/>
      <c r="T1203" s="9"/>
      <c r="U1203" s="9"/>
      <c r="V1203" s="140"/>
      <c r="W1203" s="9"/>
      <c r="X1203" s="156"/>
      <c r="Y1203" s="918">
        <f t="shared" si="83"/>
        <v>1194</v>
      </c>
      <c r="AA1203" s="9">
        <v>-7047.7448669999994</v>
      </c>
      <c r="AC1203" s="9">
        <f t="shared" si="81"/>
        <v>7047.7448669999994</v>
      </c>
      <c r="AE1203" s="44">
        <f t="shared" si="82"/>
        <v>-1</v>
      </c>
    </row>
    <row r="1204" spans="1:31">
      <c r="A1204" s="154">
        <v>2821</v>
      </c>
      <c r="B1204" s="49" t="s">
        <v>465</v>
      </c>
      <c r="C1204" s="49"/>
      <c r="D1204" s="49"/>
      <c r="E1204" s="9">
        <f>+G1204-Adjustments!G1202</f>
        <v>0</v>
      </c>
      <c r="F1204" s="9"/>
      <c r="G1204" s="9"/>
      <c r="H1204" s="9"/>
      <c r="I1204" s="9"/>
      <c r="J1204" s="9">
        <f>+I1204-'ROR-Model'!I1204</f>
        <v>0</v>
      </c>
      <c r="K1204" s="9"/>
      <c r="L1204" s="9"/>
      <c r="M1204" s="9"/>
      <c r="N1204" s="9"/>
      <c r="O1204" s="136"/>
      <c r="P1204" s="142"/>
      <c r="Q1204" s="9"/>
      <c r="R1204" s="9"/>
      <c r="S1204" s="142"/>
      <c r="T1204" s="9"/>
      <c r="U1204" s="9"/>
      <c r="V1204" s="140"/>
      <c r="W1204" s="9"/>
      <c r="X1204" s="156"/>
      <c r="Y1204" s="918">
        <f t="shared" si="83"/>
        <v>1195</v>
      </c>
      <c r="AA1204" s="9">
        <v>0</v>
      </c>
      <c r="AC1204" s="9" t="str">
        <f t="shared" si="81"/>
        <v/>
      </c>
      <c r="AE1204" s="44" t="str">
        <f t="shared" si="82"/>
        <v/>
      </c>
    </row>
    <row r="1205" spans="1:31">
      <c r="A1205" s="154"/>
      <c r="B1205" s="49"/>
      <c r="C1205" s="49" t="s">
        <v>427</v>
      </c>
      <c r="D1205" s="49"/>
      <c r="E1205" s="9">
        <f>+G1205-Adjustments!G1203</f>
        <v>0</v>
      </c>
      <c r="F1205" s="9">
        <f>+'Rate Base'!$T$253</f>
        <v>-700755.31</v>
      </c>
      <c r="G1205" s="9">
        <f>+Adjustments!U1185</f>
        <v>0</v>
      </c>
      <c r="H1205" s="9"/>
      <c r="I1205" s="9">
        <f>SUM($F$1205:$H$1205)</f>
        <v>-700755.31</v>
      </c>
      <c r="J1205" s="9">
        <f>+I1205-'ROR-Model'!I1205</f>
        <v>0</v>
      </c>
      <c r="K1205" s="9"/>
      <c r="L1205" s="9" t="s">
        <v>679</v>
      </c>
      <c r="M1205" s="9">
        <f>VLOOKUP($L1205,$L$2:$N$7,2,FALSE)*I1205</f>
        <v>-676088.42662195861</v>
      </c>
      <c r="N1205" s="9">
        <f>VLOOKUP($L1205,$L$2:$N$7,3,FALSE)*I1205</f>
        <v>-24666.883378041337</v>
      </c>
      <c r="O1205" s="136"/>
      <c r="P1205" s="216" t="s">
        <v>549</v>
      </c>
      <c r="Q1205" s="9">
        <f>IF(P1205="G",M1205,IF(P1205="PT",0,ERR))</f>
        <v>-676088.42662195861</v>
      </c>
      <c r="R1205" s="9">
        <f>IF(P1205="PT",M1205,IF(P1205="G",0,ERR))</f>
        <v>0</v>
      </c>
      <c r="S1205" s="142" t="s">
        <v>548</v>
      </c>
      <c r="T1205" s="9">
        <f>IF(S1205="G",N1205,IF(S1205="PT",0,ERR))</f>
        <v>0</v>
      </c>
      <c r="U1205" s="9">
        <f>IF(S1205="PT",N1205,IF(S1205="G",0,ERR))</f>
        <v>-24666.883378041337</v>
      </c>
      <c r="V1205" s="140"/>
      <c r="W1205" s="9">
        <f>HLOOKUP($W$9,'ROR-Model'!$Q$10:$U$1263,Y1205)</f>
        <v>-676088.42662195861</v>
      </c>
      <c r="X1205" s="156"/>
      <c r="Y1205" s="918">
        <f t="shared" si="83"/>
        <v>1196</v>
      </c>
      <c r="AA1205" s="9">
        <v>-29.93868906649335</v>
      </c>
      <c r="AC1205" s="9">
        <f t="shared" si="81"/>
        <v>-676058.48793289217</v>
      </c>
      <c r="AE1205" s="44">
        <f t="shared" si="82"/>
        <v>22581.432554758063</v>
      </c>
    </row>
    <row r="1206" spans="1:31">
      <c r="A1206" s="154"/>
      <c r="B1206" s="49"/>
      <c r="C1206" s="49" t="s">
        <v>581</v>
      </c>
      <c r="D1206" s="49"/>
      <c r="E1206" s="9">
        <f>+G1206-Adjustments!G1204</f>
        <v>0</v>
      </c>
      <c r="F1206" s="9">
        <f>+'Rate Base'!$T$254</f>
        <v>0</v>
      </c>
      <c r="G1206" s="9">
        <f>+Adjustments!U1186</f>
        <v>0</v>
      </c>
      <c r="H1206" s="9"/>
      <c r="I1206" s="9">
        <f>SUM($F$1206:$H$1206)</f>
        <v>0</v>
      </c>
      <c r="J1206" s="9">
        <f>+I1206-'ROR-Model'!I1206</f>
        <v>0</v>
      </c>
      <c r="K1206" s="9"/>
      <c r="L1206" s="9" t="s">
        <v>24</v>
      </c>
      <c r="M1206" s="9">
        <f>VLOOKUP($L1206,$L$2:$N$7,2,FALSE)*I1206</f>
        <v>0</v>
      </c>
      <c r="N1206" s="9">
        <f>VLOOKUP($L1206,$L$2:$N$7,3,FALSE)*I1206</f>
        <v>0</v>
      </c>
      <c r="O1206" s="136"/>
      <c r="P1206" s="216" t="s">
        <v>549</v>
      </c>
      <c r="Q1206" s="9">
        <f>IF(P1206="G",M1206,IF(P1206="PT",0,ERR))</f>
        <v>0</v>
      </c>
      <c r="R1206" s="9">
        <f>IF(P1206="PT",M1206,IF(P1206="G",0,ERR))</f>
        <v>0</v>
      </c>
      <c r="S1206" s="142" t="s">
        <v>549</v>
      </c>
      <c r="T1206" s="9">
        <f>IF(S1206="G",N1206,IF(S1206="PT",0,ERR))</f>
        <v>0</v>
      </c>
      <c r="U1206" s="9">
        <f>IF(S1206="PT",N1206,IF(S1206="G",0,ERR))</f>
        <v>0</v>
      </c>
      <c r="V1206" s="140"/>
      <c r="W1206" s="9">
        <f>HLOOKUP($W$9,'ROR-Model'!$Q$10:$U$1263,Y1206)</f>
        <v>0</v>
      </c>
      <c r="X1206" s="156"/>
      <c r="Y1206" s="918">
        <f t="shared" si="83"/>
        <v>1197</v>
      </c>
      <c r="AA1206" s="9">
        <v>-7077.6835560664931</v>
      </c>
      <c r="AC1206" s="9">
        <f t="shared" si="81"/>
        <v>7077.6835560664931</v>
      </c>
      <c r="AE1206" s="44">
        <f t="shared" si="82"/>
        <v>-1</v>
      </c>
    </row>
    <row r="1207" spans="1:31">
      <c r="A1207" s="154"/>
      <c r="B1207" s="49"/>
      <c r="C1207" s="49" t="s">
        <v>582</v>
      </c>
      <c r="D1207" s="49"/>
      <c r="E1207" s="9">
        <f>+G1207-Adjustments!G1205</f>
        <v>2756149.8029166833</v>
      </c>
      <c r="F1207" s="9">
        <f>+'Rate Base'!$T$255</f>
        <v>-64071192.340000004</v>
      </c>
      <c r="G1207" s="9">
        <f>+Adjustments!U1187</f>
        <v>2756149.8029166833</v>
      </c>
      <c r="H1207" s="9"/>
      <c r="I1207" s="9">
        <f>SUM($F$1207:$H$1207)</f>
        <v>-61315042.53708332</v>
      </c>
      <c r="J1207" s="9">
        <f>+I1207-'ROR-Model'!I1207</f>
        <v>0</v>
      </c>
      <c r="K1207" s="9"/>
      <c r="L1207" s="9" t="s">
        <v>13</v>
      </c>
      <c r="M1207" s="9">
        <f>VLOOKUP($L1207,$L$2:$N$7,2,FALSE)*I1207</f>
        <v>-61315042.53708332</v>
      </c>
      <c r="N1207" s="9">
        <f>VLOOKUP($L1207,$L$2:$N$7,3,FALSE)*I1207</f>
        <v>0</v>
      </c>
      <c r="O1207" s="136"/>
      <c r="P1207" s="216" t="s">
        <v>549</v>
      </c>
      <c r="Q1207" s="9">
        <f>IF(P1207="G",M1207,IF(P1207="PT",0,ERR))</f>
        <v>-61315042.53708332</v>
      </c>
      <c r="R1207" s="9">
        <f>IF(P1207="PT",M1207,IF(P1207="G",0,ERR))</f>
        <v>0</v>
      </c>
      <c r="S1207" s="142" t="s">
        <v>549</v>
      </c>
      <c r="T1207" s="9">
        <f>IF(S1207="G",N1207,IF(S1207="PT",0,ERR))</f>
        <v>0</v>
      </c>
      <c r="U1207" s="9">
        <f>IF(S1207="PT",N1207,IF(S1207="G",0,ERR))</f>
        <v>0</v>
      </c>
      <c r="V1207" s="140"/>
      <c r="W1207" s="9">
        <f>HLOOKUP($W$9,'ROR-Model'!$Q$10:$U$1263,Y1207)</f>
        <v>-61315042.53708332</v>
      </c>
      <c r="X1207" s="156"/>
      <c r="Y1207" s="918">
        <f t="shared" si="83"/>
        <v>1198</v>
      </c>
      <c r="AA1207" s="9"/>
      <c r="AC1207" s="9" t="str">
        <f t="shared" si="81"/>
        <v/>
      </c>
      <c r="AE1207" s="44" t="str">
        <f t="shared" si="82"/>
        <v/>
      </c>
    </row>
    <row r="1208" spans="1:31">
      <c r="A1208" s="154"/>
      <c r="B1208" s="49"/>
      <c r="C1208" s="49" t="s">
        <v>584</v>
      </c>
      <c r="D1208" s="49"/>
      <c r="E1208" s="9">
        <f>+G1208-Adjustments!G1206</f>
        <v>0</v>
      </c>
      <c r="F1208" s="9">
        <f>+'Rate Base'!$T$256</f>
        <v>-1119041.3500000001</v>
      </c>
      <c r="G1208" s="9">
        <f>+Adjustments!U1188</f>
        <v>0</v>
      </c>
      <c r="H1208" s="9"/>
      <c r="I1208" s="9">
        <f>SUM($F$1208:$H$1208)</f>
        <v>-1119041.3500000001</v>
      </c>
      <c r="J1208" s="9">
        <f>+I1208-'ROR-Model'!I1208</f>
        <v>0</v>
      </c>
      <c r="K1208" s="9"/>
      <c r="L1208" s="9" t="s">
        <v>458</v>
      </c>
      <c r="M1208" s="9">
        <f>VLOOKUP($L1208,$L$2:$N$7,2,FALSE)*I1208</f>
        <v>-1082539.7351190348</v>
      </c>
      <c r="N1208" s="9">
        <f>VLOOKUP($L1208,$L$2:$N$7,3,FALSE)*I1208</f>
        <v>-36501.614880965251</v>
      </c>
      <c r="O1208" s="136"/>
      <c r="P1208" s="216" t="s">
        <v>549</v>
      </c>
      <c r="Q1208" s="9">
        <f>IF(P1208="G",M1208,IF(P1208="PT",0,ERR))</f>
        <v>-1082539.7351190348</v>
      </c>
      <c r="R1208" s="9">
        <f>IF(P1208="PT",M1208,IF(P1208="G",0,ERR))</f>
        <v>0</v>
      </c>
      <c r="S1208" s="142" t="s">
        <v>549</v>
      </c>
      <c r="T1208" s="9">
        <f>IF(S1208="G",N1208,IF(S1208="PT",0,ERR))</f>
        <v>-36501.614880965251</v>
      </c>
      <c r="U1208" s="9">
        <f>IF(S1208="PT",N1208,IF(S1208="G",0,ERR))</f>
        <v>0</v>
      </c>
      <c r="V1208" s="140"/>
      <c r="W1208" s="9">
        <f>HLOOKUP($W$9,'ROR-Model'!$Q$10:$U$1263,Y1208)</f>
        <v>-1082539.7351190348</v>
      </c>
      <c r="X1208" s="156"/>
      <c r="Y1208" s="918">
        <f t="shared" si="83"/>
        <v>1199</v>
      </c>
      <c r="AA1208" s="9"/>
      <c r="AC1208" s="9" t="str">
        <f t="shared" si="81"/>
        <v/>
      </c>
      <c r="AE1208" s="44" t="str">
        <f t="shared" si="82"/>
        <v/>
      </c>
    </row>
    <row r="1209" spans="1:31">
      <c r="A1209" s="154"/>
      <c r="B1209" s="49"/>
      <c r="C1209" s="49" t="s">
        <v>160</v>
      </c>
      <c r="D1209" s="49"/>
      <c r="E1209" s="157">
        <f>+G1209-Adjustments!G1207</f>
        <v>2756149.8029166833</v>
      </c>
      <c r="F1209" s="157">
        <f>SUM(F1205:F1208)</f>
        <v>-65890989.000000007</v>
      </c>
      <c r="G1209" s="157">
        <f>SUM(G1205:G1208)</f>
        <v>2756149.8029166833</v>
      </c>
      <c r="H1209" s="157">
        <f>SUM(H1205:H1208)</f>
        <v>0</v>
      </c>
      <c r="I1209" s="157">
        <f>SUM(I1205:I1208)</f>
        <v>-63134839.197083324</v>
      </c>
      <c r="J1209" s="9">
        <f>+I1209-'ROR-Model'!I1209</f>
        <v>0</v>
      </c>
      <c r="K1209" s="9"/>
      <c r="L1209" s="157"/>
      <c r="M1209" s="157">
        <f>SUM(M1205:M1208)</f>
        <v>-63073670.698824316</v>
      </c>
      <c r="N1209" s="157">
        <f>SUM(N1205:N1208)</f>
        <v>-61168.498259006592</v>
      </c>
      <c r="O1209" s="136"/>
      <c r="P1209" s="226"/>
      <c r="Q1209" s="157">
        <f>SUM(Q1205:Q1208)</f>
        <v>-63073670.698824316</v>
      </c>
      <c r="R1209" s="157">
        <f>SUM(R1205:R1208)</f>
        <v>0</v>
      </c>
      <c r="S1209" s="226"/>
      <c r="T1209" s="157">
        <f>SUM(T1205:T1208)</f>
        <v>-36501.614880965251</v>
      </c>
      <c r="U1209" s="157">
        <f>SUM(U1205:U1208)</f>
        <v>-24666.883378041337</v>
      </c>
      <c r="V1209" s="140"/>
      <c r="W1209" s="157">
        <f>HLOOKUP($W$9,'ROR-Model'!$Q$10:$U$1263,Y1209)</f>
        <v>-63073670.698824316</v>
      </c>
      <c r="X1209" s="156"/>
      <c r="Y1209" s="918">
        <f t="shared" si="83"/>
        <v>1200</v>
      </c>
      <c r="AA1209" s="157">
        <v>0</v>
      </c>
      <c r="AC1209" s="157" t="str">
        <f t="shared" si="81"/>
        <v/>
      </c>
      <c r="AE1209" s="44" t="str">
        <f t="shared" si="82"/>
        <v/>
      </c>
    </row>
    <row r="1210" spans="1:31">
      <c r="A1210" s="154"/>
      <c r="B1210" s="49"/>
      <c r="C1210" s="49"/>
      <c r="D1210" s="49"/>
      <c r="E1210" s="9">
        <f>+G1210-Adjustments!G1208</f>
        <v>0</v>
      </c>
      <c r="F1210" s="9"/>
      <c r="G1210" s="9"/>
      <c r="H1210" s="9"/>
      <c r="I1210" s="9"/>
      <c r="J1210" s="9">
        <f>+I1210-'ROR-Model'!I1210</f>
        <v>0</v>
      </c>
      <c r="K1210" s="9"/>
      <c r="L1210" s="9"/>
      <c r="M1210" s="9"/>
      <c r="N1210" s="9"/>
      <c r="O1210" s="136"/>
      <c r="P1210" s="142"/>
      <c r="Q1210" s="9"/>
      <c r="R1210" s="9"/>
      <c r="S1210" s="142"/>
      <c r="T1210" s="9"/>
      <c r="U1210" s="9"/>
      <c r="V1210" s="140"/>
      <c r="W1210" s="9"/>
      <c r="X1210" s="156"/>
      <c r="Y1210" s="918">
        <f t="shared" si="83"/>
        <v>1201</v>
      </c>
      <c r="AA1210" s="9">
        <v>-12674816.449712997</v>
      </c>
      <c r="AC1210" s="9">
        <f t="shared" si="81"/>
        <v>12674816.449712997</v>
      </c>
      <c r="AE1210" s="44">
        <f t="shared" si="82"/>
        <v>-1</v>
      </c>
    </row>
    <row r="1211" spans="1:31">
      <c r="A1211" s="316" t="s">
        <v>147</v>
      </c>
      <c r="B1211" s="172" t="s">
        <v>146</v>
      </c>
      <c r="C1211" s="49"/>
      <c r="D1211" s="49"/>
      <c r="E1211" s="9">
        <f>+G1211-Adjustments!G1209</f>
        <v>0</v>
      </c>
      <c r="F1211" s="9"/>
      <c r="G1211" s="9"/>
      <c r="H1211" s="9"/>
      <c r="I1211" s="9"/>
      <c r="J1211" s="9">
        <f>+I1211-'ROR-Model'!I1211</f>
        <v>0</v>
      </c>
      <c r="K1211" s="9"/>
      <c r="L1211" s="9"/>
      <c r="M1211" s="9"/>
      <c r="N1211" s="9"/>
      <c r="O1211" s="136"/>
      <c r="P1211" s="142"/>
      <c r="Q1211" s="9"/>
      <c r="R1211" s="9"/>
      <c r="S1211" s="142"/>
      <c r="T1211" s="9"/>
      <c r="U1211" s="9"/>
      <c r="V1211" s="140"/>
      <c r="W1211" s="9"/>
      <c r="X1211" s="156"/>
      <c r="Y1211" s="918">
        <f t="shared" si="83"/>
        <v>1202</v>
      </c>
      <c r="AA1211" s="9">
        <v>0</v>
      </c>
      <c r="AC1211" s="9" t="str">
        <f t="shared" si="81"/>
        <v/>
      </c>
      <c r="AE1211" s="44" t="str">
        <f t="shared" si="82"/>
        <v/>
      </c>
    </row>
    <row r="1212" spans="1:31">
      <c r="A1212" s="153"/>
      <c r="B1212" s="49" t="s">
        <v>584</v>
      </c>
      <c r="C1212" s="49"/>
      <c r="D1212" s="49"/>
      <c r="E1212" s="9">
        <f>+G1212-Adjustments!G1210</f>
        <v>0</v>
      </c>
      <c r="F1212" s="9">
        <f>+'Rate Base'!$T$260</f>
        <v>0</v>
      </c>
      <c r="G1212" s="9">
        <f>+Adjustments!U1192</f>
        <v>0</v>
      </c>
      <c r="H1212" s="9"/>
      <c r="I1212" s="9">
        <f>SUM($F$1212:$H$1212)</f>
        <v>0</v>
      </c>
      <c r="J1212" s="9">
        <f>+I1212-'ROR-Model'!I1212</f>
        <v>0</v>
      </c>
      <c r="K1212" s="9"/>
      <c r="L1212" s="9" t="s">
        <v>458</v>
      </c>
      <c r="M1212" s="9">
        <f>VLOOKUP($L1212,$L$2:$N$7,2,FALSE)*I1212</f>
        <v>0</v>
      </c>
      <c r="N1212" s="9">
        <f>VLOOKUP($L1212,$L$2:$N$7,3,FALSE)*I1212</f>
        <v>0</v>
      </c>
      <c r="O1212" s="136"/>
      <c r="P1212" s="216" t="s">
        <v>549</v>
      </c>
      <c r="Q1212" s="9">
        <f>IF(P1212="G",M1212,IF(P1212="PT",0,ERR))</f>
        <v>0</v>
      </c>
      <c r="R1212" s="9">
        <f>IF(P1212="PT",M1212,IF(P1212="G",0,ERR))</f>
        <v>0</v>
      </c>
      <c r="S1212" s="142" t="s">
        <v>549</v>
      </c>
      <c r="T1212" s="9">
        <f>IF(S1212="G",N1212,IF(S1212="PT",0,ERR))</f>
        <v>0</v>
      </c>
      <c r="U1212" s="9">
        <f>IF(S1212="PT",N1212,IF(S1212="G",0,ERR))</f>
        <v>0</v>
      </c>
      <c r="V1212" s="140"/>
      <c r="W1212" s="9">
        <f>HLOOKUP($W$9,'ROR-Model'!$Q$10:$U$1263,Y1212)</f>
        <v>0</v>
      </c>
      <c r="X1212" s="156"/>
      <c r="Y1212" s="918">
        <f t="shared" si="83"/>
        <v>1203</v>
      </c>
      <c r="AA1212" s="9">
        <v>-384585.46782217902</v>
      </c>
      <c r="AC1212" s="9">
        <f t="shared" si="81"/>
        <v>384585.46782217902</v>
      </c>
      <c r="AE1212" s="44">
        <f t="shared" si="82"/>
        <v>-1</v>
      </c>
    </row>
    <row r="1213" spans="1:31">
      <c r="A1213" s="153"/>
      <c r="B1213" s="49" t="s">
        <v>160</v>
      </c>
      <c r="C1213" s="49"/>
      <c r="D1213" s="49"/>
      <c r="E1213" s="157">
        <f>+G1213-Adjustments!G1211</f>
        <v>0</v>
      </c>
      <c r="F1213" s="157">
        <f>SUM(F1212)</f>
        <v>0</v>
      </c>
      <c r="G1213" s="157">
        <f>SUM(G1212)</f>
        <v>0</v>
      </c>
      <c r="H1213" s="157">
        <f>SUM(H1212)</f>
        <v>0</v>
      </c>
      <c r="I1213" s="157">
        <f>SUM(I1212)</f>
        <v>0</v>
      </c>
      <c r="J1213" s="9">
        <f>+I1213-'ROR-Model'!I1213</f>
        <v>0</v>
      </c>
      <c r="K1213" s="9"/>
      <c r="L1213" s="157"/>
      <c r="M1213" s="157">
        <f>SUM(M1212)</f>
        <v>0</v>
      </c>
      <c r="N1213" s="157">
        <f>SUM(N1212)</f>
        <v>0</v>
      </c>
      <c r="O1213" s="136"/>
      <c r="P1213" s="226"/>
      <c r="Q1213" s="157">
        <f>SUM(Q1212)</f>
        <v>0</v>
      </c>
      <c r="R1213" s="157">
        <f>SUM(R1212)</f>
        <v>0</v>
      </c>
      <c r="S1213" s="226"/>
      <c r="T1213" s="157">
        <f>SUM(T1212)</f>
        <v>0</v>
      </c>
      <c r="U1213" s="157">
        <f>SUM(U1212)</f>
        <v>0</v>
      </c>
      <c r="V1213" s="140"/>
      <c r="W1213" s="157">
        <f>HLOOKUP($W$9,'ROR-Model'!$Q$10:$U$1263,Y1213)</f>
        <v>0</v>
      </c>
      <c r="X1213" s="156"/>
      <c r="Y1213" s="918">
        <f t="shared" si="83"/>
        <v>1204</v>
      </c>
      <c r="AA1213" s="157">
        <v>-13059401.917535177</v>
      </c>
      <c r="AC1213" s="157">
        <f t="shared" si="81"/>
        <v>13059401.917535177</v>
      </c>
      <c r="AE1213" s="44">
        <f t="shared" si="82"/>
        <v>-1</v>
      </c>
    </row>
    <row r="1214" spans="1:31" ht="13.5" thickBot="1">
      <c r="A1214" s="153"/>
      <c r="B1214" s="49"/>
      <c r="C1214" s="49"/>
      <c r="D1214" s="49"/>
      <c r="E1214" s="26">
        <f>+G1214-Adjustments!G1212</f>
        <v>0</v>
      </c>
      <c r="F1214" s="26"/>
      <c r="G1214" s="26"/>
      <c r="H1214" s="26"/>
      <c r="I1214" s="26"/>
      <c r="J1214" s="9">
        <f>+I1214-'ROR-Model'!I1214</f>
        <v>0</v>
      </c>
      <c r="K1214" s="9"/>
      <c r="L1214" s="26"/>
      <c r="M1214" s="26"/>
      <c r="N1214" s="26"/>
      <c r="O1214" s="136"/>
      <c r="P1214" s="227"/>
      <c r="Q1214" s="26"/>
      <c r="R1214" s="26"/>
      <c r="S1214" s="227"/>
      <c r="T1214" s="26"/>
      <c r="U1214" s="26"/>
      <c r="V1214" s="140"/>
      <c r="W1214" s="26"/>
      <c r="X1214" s="156"/>
      <c r="Y1214" s="918">
        <f t="shared" si="83"/>
        <v>1205</v>
      </c>
      <c r="AA1214" s="26"/>
      <c r="AC1214" s="26" t="str">
        <f t="shared" si="81"/>
        <v/>
      </c>
      <c r="AE1214" s="44" t="str">
        <f t="shared" si="82"/>
        <v/>
      </c>
    </row>
    <row r="1215" spans="1:31" ht="13.5" thickTop="1">
      <c r="A1215" s="234" t="s">
        <v>277</v>
      </c>
      <c r="B1215" s="49"/>
      <c r="C1215" s="49"/>
      <c r="D1215" s="49"/>
      <c r="E1215" s="9">
        <f>+G1215-Adjustments!G1213</f>
        <v>0</v>
      </c>
      <c r="F1215" s="9"/>
      <c r="G1215" s="9"/>
      <c r="H1215" s="9"/>
      <c r="I1215" s="9"/>
      <c r="J1215" s="9">
        <f>+I1215-'ROR-Model'!I1215</f>
        <v>0</v>
      </c>
      <c r="K1215" s="9"/>
      <c r="L1215" s="9"/>
      <c r="M1215" s="9"/>
      <c r="N1215" s="9"/>
      <c r="O1215" s="136"/>
      <c r="P1215" s="142"/>
      <c r="Q1215" s="9"/>
      <c r="R1215" s="9"/>
      <c r="S1215" s="142"/>
      <c r="T1215" s="9"/>
      <c r="U1215" s="9"/>
      <c r="V1215" s="140"/>
      <c r="W1215" s="9"/>
      <c r="X1215" s="156"/>
      <c r="Y1215" s="918">
        <f t="shared" si="83"/>
        <v>1206</v>
      </c>
      <c r="AA1215" s="9"/>
      <c r="AC1215" s="9" t="str">
        <f t="shared" si="81"/>
        <v/>
      </c>
      <c r="AE1215" s="44" t="str">
        <f t="shared" si="82"/>
        <v/>
      </c>
    </row>
    <row r="1216" spans="1:31">
      <c r="A1216" s="153"/>
      <c r="B1216" s="49" t="s">
        <v>427</v>
      </c>
      <c r="C1216" s="49"/>
      <c r="D1216" s="49"/>
      <c r="E1216" s="9">
        <f>+G1216-Adjustments!G1214</f>
        <v>-53071023.456666663</v>
      </c>
      <c r="F1216" s="9">
        <f>F1155+F1191+F1198+F1205+F1170+F1163</f>
        <v>52233148.140000001</v>
      </c>
      <c r="G1216" s="9">
        <f>G1155+G1191+G1198+G1205+G1170+G1163</f>
        <v>-53071023.456666663</v>
      </c>
      <c r="H1216" s="9">
        <f>H1155+H1191+H1198+H1205+H1170+H1163</f>
        <v>0</v>
      </c>
      <c r="I1216" s="9">
        <f>I1155+I1191+I1198+I1205+I1170+I1163</f>
        <v>-837875.31666666665</v>
      </c>
      <c r="J1216" s="9">
        <f>+I1216-'ROR-Model'!I1216</f>
        <v>0</v>
      </c>
      <c r="K1216" s="9"/>
      <c r="L1216" s="9"/>
      <c r="M1216" s="9">
        <f>M1155+M1191+M1198+M1205+M1170+M1163</f>
        <v>-808381.75104308804</v>
      </c>
      <c r="N1216" s="9">
        <f>N1155+N1191+N1198+N1205+N1170+N1163</f>
        <v>-29493.565623578535</v>
      </c>
      <c r="O1216" s="136"/>
      <c r="P1216" s="216"/>
      <c r="Q1216" s="9">
        <f>Q1155+Q1191+Q1198+Q1205+Q1170+Q1163</f>
        <v>-808381.75104308804</v>
      </c>
      <c r="R1216" s="9">
        <f>R1155+R1191+R1198+R1205+R1170+R1163</f>
        <v>0</v>
      </c>
      <c r="S1216" s="142"/>
      <c r="T1216" s="9">
        <f>T1155+T1191+T1198+T1205+T1170+T1163</f>
        <v>0</v>
      </c>
      <c r="U1216" s="9">
        <f>U1155+U1191+U1198+U1205+U1170+U1163</f>
        <v>-29493.565623578535</v>
      </c>
      <c r="V1216" s="140"/>
      <c r="W1216" s="9">
        <f>HLOOKUP($W$9,'ROR-Model'!$Q$10:$U$1263,Y1216)</f>
        <v>-808381.75104308804</v>
      </c>
      <c r="X1216" s="156"/>
      <c r="Y1216" s="918">
        <f t="shared" si="83"/>
        <v>1207</v>
      </c>
      <c r="AA1216" s="9">
        <v>0</v>
      </c>
      <c r="AC1216" s="9" t="str">
        <f t="shared" si="81"/>
        <v/>
      </c>
      <c r="AE1216" s="44" t="str">
        <f t="shared" si="82"/>
        <v/>
      </c>
    </row>
    <row r="1217" spans="1:31">
      <c r="A1217" s="153"/>
      <c r="B1217" s="49" t="s">
        <v>581</v>
      </c>
      <c r="C1217" s="49"/>
      <c r="D1217" s="49"/>
      <c r="E1217" s="9">
        <f>+G1217-Adjustments!G1215</f>
        <v>-6691088.4604723742</v>
      </c>
      <c r="F1217" s="9">
        <f>F1150+F1177+F1171+F1164+F1192+F1199+F1206+F1182</f>
        <v>-6486585.5896653589</v>
      </c>
      <c r="G1217" s="9">
        <f>G1150+G1177+G1171+G1164+G1192+G1199+G1206+G1182</f>
        <v>-6691088.4604723742</v>
      </c>
      <c r="H1217" s="9">
        <f>H1150+H1177+H1171+H1164+H1192+H1199+H1206+H1182</f>
        <v>0</v>
      </c>
      <c r="I1217" s="9">
        <f>I1150+I1177+I1171+I1164+I1192+I1199+I1206+I1182</f>
        <v>-13177674.050137734</v>
      </c>
      <c r="J1217" s="9">
        <f>+I1217-'ROR-Model'!I1217</f>
        <v>0</v>
      </c>
      <c r="K1217" s="9"/>
      <c r="L1217" s="9"/>
      <c r="M1217" s="9">
        <f>M1150+M1177+M1171+M1164+M1192+M1199+M1206+M1182</f>
        <v>0</v>
      </c>
      <c r="N1217" s="9">
        <f>N1150+N1177+N1171+N1164+N1192+N1199+N1206+N1182</f>
        <v>-13177674.050137734</v>
      </c>
      <c r="O1217" s="136"/>
      <c r="P1217" s="216"/>
      <c r="Q1217" s="9">
        <f>Q1150+Q1177+Q1171+Q1164+Q1192+Q1199+Q1206+Q1182</f>
        <v>0</v>
      </c>
      <c r="R1217" s="9">
        <f>R1150+R1177+R1171+R1164+R1192+R1199+R1206+R1182</f>
        <v>0</v>
      </c>
      <c r="S1217" s="142"/>
      <c r="T1217" s="9">
        <f>T1150+T1177+T1171+T1164+T1192+T1199+T1206+T1182</f>
        <v>-13177674.050137734</v>
      </c>
      <c r="U1217" s="9">
        <f>U1150+U1177+U1171+U1164+U1192+U1199+U1206+U1182</f>
        <v>0</v>
      </c>
      <c r="V1217" s="140"/>
      <c r="W1217" s="9">
        <f>HLOOKUP($W$9,'ROR-Model'!$Q$10:$U$1263,Y1217)</f>
        <v>0</v>
      </c>
      <c r="X1217" s="156"/>
      <c r="Y1217" s="918">
        <f t="shared" si="83"/>
        <v>1208</v>
      </c>
      <c r="AA1217" s="9">
        <v>0</v>
      </c>
      <c r="AC1217" s="9" t="str">
        <f t="shared" si="81"/>
        <v/>
      </c>
      <c r="AE1217" s="44" t="str">
        <f t="shared" si="82"/>
        <v/>
      </c>
    </row>
    <row r="1218" spans="1:31">
      <c r="A1218" s="153"/>
      <c r="B1218" s="49" t="s">
        <v>582</v>
      </c>
      <c r="C1218" s="49"/>
      <c r="D1218" s="49"/>
      <c r="E1218" s="9">
        <f>+G1218-Adjustments!G1216</f>
        <v>-216693083.02702752</v>
      </c>
      <c r="F1218" s="9">
        <f>F1151+F1178+F1193+F1172+F1165+F1200+F1207+F1183</f>
        <v>-245743333.64033464</v>
      </c>
      <c r="G1218" s="9">
        <f>G1151+G1178+G1193+G1172+G1165+G1200+G1207+G1183</f>
        <v>-216693083.02702752</v>
      </c>
      <c r="H1218" s="9">
        <f>H1151+H1178+H1193+H1172+H1165+H1200+H1207+H1183</f>
        <v>0</v>
      </c>
      <c r="I1218" s="9">
        <f>I1151+I1178+I1193+I1172+I1165+I1200+I1207+I1183</f>
        <v>-462436416.66736215</v>
      </c>
      <c r="J1218" s="9">
        <f>+I1218-'ROR-Model'!I1218</f>
        <v>0</v>
      </c>
      <c r="K1218" s="9"/>
      <c r="L1218" s="9"/>
      <c r="M1218" s="9">
        <f>M1151+M1178+M1193+M1172+M1165+M1200+M1207+M1183</f>
        <v>-462436416.66736215</v>
      </c>
      <c r="N1218" s="9">
        <f>N1151+N1178+N1193+N1172+N1165+N1200+N1207+N1183</f>
        <v>0</v>
      </c>
      <c r="O1218" s="136"/>
      <c r="P1218" s="216"/>
      <c r="Q1218" s="9">
        <f>Q1151+Q1178+Q1193+Q1172+Q1165+Q1200+Q1207+Q1183</f>
        <v>-462436416.66736215</v>
      </c>
      <c r="R1218" s="9">
        <f>R1151+R1178+R1193+R1172+R1165+R1200+R1207+R1183</f>
        <v>0</v>
      </c>
      <c r="S1218" s="142"/>
      <c r="T1218" s="9">
        <f>T1151+T1178+T1193+T1172+T1165+T1200+T1207+T1183</f>
        <v>0</v>
      </c>
      <c r="U1218" s="9">
        <f>U1151+U1178+U1193+U1172+U1165+U1200+U1207+U1183</f>
        <v>0</v>
      </c>
      <c r="V1218" s="140"/>
      <c r="W1218" s="9">
        <f>HLOOKUP($W$9,'ROR-Model'!$Q$10:$U$1263,Y1218)</f>
        <v>-462436416.66736215</v>
      </c>
      <c r="X1218" s="156"/>
      <c r="Y1218" s="918">
        <f t="shared" si="83"/>
        <v>1209</v>
      </c>
      <c r="AA1218" s="9">
        <v>0</v>
      </c>
      <c r="AC1218" s="9" t="str">
        <f t="shared" si="81"/>
        <v/>
      </c>
      <c r="AE1218" s="44" t="str">
        <f t="shared" si="82"/>
        <v/>
      </c>
    </row>
    <row r="1219" spans="1:31">
      <c r="A1219" s="153"/>
      <c r="B1219" s="49" t="s">
        <v>584</v>
      </c>
      <c r="C1219" s="49"/>
      <c r="D1219" s="49"/>
      <c r="E1219" s="9">
        <f>+G1219-Adjustments!G1217</f>
        <v>20418456.857916668</v>
      </c>
      <c r="F1219" s="9">
        <f>F1159+F1187+F1194+F1201+F1208+F1212+F1173+F1166</f>
        <v>-10055701.27</v>
      </c>
      <c r="G1219" s="9">
        <f>G1159+G1187+G1194+G1201+G1208+G1212+G1173+G1166</f>
        <v>-553592.26208333438</v>
      </c>
      <c r="H1219" s="9">
        <f>H1159+H1187+H1194+H1201+H1208+H1212+H1173+H1166</f>
        <v>0</v>
      </c>
      <c r="I1219" s="9">
        <f>I1159+I1187+I1194+I1201+I1208+I1212+I1173+I1166</f>
        <v>-10609293.532083334</v>
      </c>
      <c r="J1219" s="9">
        <f>+I1219-'ROR-Model'!I1219</f>
        <v>0</v>
      </c>
      <c r="K1219" s="9"/>
      <c r="L1219" s="9"/>
      <c r="M1219" s="9">
        <f>M1159+M1187+M1194+M1201+M1208+M1212+M1173+M1166</f>
        <v>-10263232.730427325</v>
      </c>
      <c r="N1219" s="9">
        <f>N1159+N1187+N1194+N1201+N1208+N1212+N1173+N1166</f>
        <v>-346060.80165600794</v>
      </c>
      <c r="O1219" s="136"/>
      <c r="P1219" s="216"/>
      <c r="Q1219" s="9">
        <f>Q1159+Q1187+Q1194+Q1201+Q1208+Q1212+Q1173+Q1166</f>
        <v>-10263232.730427325</v>
      </c>
      <c r="R1219" s="9">
        <f>R1159+R1187+R1194+R1201+R1208+R1212+R1173+R1166</f>
        <v>0</v>
      </c>
      <c r="S1219" s="142"/>
      <c r="T1219" s="9">
        <f>T1159+T1187+T1194+T1201+T1208+T1212+T1173+T1166</f>
        <v>-346060.80165600794</v>
      </c>
      <c r="U1219" s="9">
        <f>U1159+U1187+U1194+U1201+U1208+U1212+U1173+U1166</f>
        <v>0</v>
      </c>
      <c r="V1219" s="140"/>
      <c r="W1219" s="9">
        <f>HLOOKUP($W$9,'ROR-Model'!$Q$10:$U$1263,Y1219)</f>
        <v>-10263232.730427325</v>
      </c>
      <c r="X1219" s="156"/>
      <c r="Y1219" s="918">
        <f t="shared" si="83"/>
        <v>1210</v>
      </c>
      <c r="AA1219" s="9">
        <v>-31162.150200056505</v>
      </c>
      <c r="AC1219" s="9">
        <f t="shared" si="81"/>
        <v>-10232070.580227269</v>
      </c>
      <c r="AE1219" s="44">
        <f t="shared" si="82"/>
        <v>328.34931205128186</v>
      </c>
    </row>
    <row r="1220" spans="1:31" ht="13.5" thickBot="1">
      <c r="A1220" s="153"/>
      <c r="B1220" s="49"/>
      <c r="C1220" s="49"/>
      <c r="D1220" s="49"/>
      <c r="E1220" s="26">
        <f>+G1220-Adjustments!G1218</f>
        <v>0</v>
      </c>
      <c r="F1220" s="26"/>
      <c r="G1220" s="26"/>
      <c r="H1220" s="26"/>
      <c r="I1220" s="26"/>
      <c r="J1220" s="9">
        <f>+I1220-'ROR-Model'!I1220</f>
        <v>0</v>
      </c>
      <c r="K1220" s="9"/>
      <c r="L1220" s="26"/>
      <c r="M1220" s="26"/>
      <c r="N1220" s="26"/>
      <c r="O1220" s="136"/>
      <c r="P1220" s="227"/>
      <c r="Q1220" s="26"/>
      <c r="R1220" s="26"/>
      <c r="S1220" s="227"/>
      <c r="T1220" s="26"/>
      <c r="U1220" s="26"/>
      <c r="V1220" s="140"/>
      <c r="W1220" s="26"/>
      <c r="X1220" s="156"/>
      <c r="Y1220" s="918">
        <f t="shared" si="83"/>
        <v>1211</v>
      </c>
      <c r="AA1220" s="26">
        <v>-31162.150200056505</v>
      </c>
      <c r="AC1220" s="26">
        <f t="shared" si="81"/>
        <v>31162.150200056505</v>
      </c>
      <c r="AE1220" s="44">
        <f t="shared" si="82"/>
        <v>-1</v>
      </c>
    </row>
    <row r="1221" spans="1:31" ht="13.5" thickTop="1">
      <c r="A1221" s="153"/>
      <c r="B1221" s="49"/>
      <c r="C1221" s="49"/>
      <c r="D1221" s="49"/>
      <c r="E1221" s="9">
        <f>+G1221-Adjustments!G1219</f>
        <v>0</v>
      </c>
      <c r="F1221" s="9"/>
      <c r="G1221" s="9"/>
      <c r="H1221" s="9"/>
      <c r="I1221" s="9"/>
      <c r="J1221" s="9">
        <f>+I1221-'ROR-Model'!I1221</f>
        <v>0</v>
      </c>
      <c r="K1221" s="9"/>
      <c r="L1221" s="9"/>
      <c r="M1221" s="9"/>
      <c r="N1221" s="9"/>
      <c r="O1221" s="136"/>
      <c r="P1221" s="216"/>
      <c r="Q1221" s="9"/>
      <c r="R1221" s="9"/>
      <c r="S1221" s="142"/>
      <c r="T1221" s="9"/>
      <c r="U1221" s="9"/>
      <c r="V1221" s="140"/>
      <c r="W1221" s="9"/>
      <c r="X1221" s="156"/>
      <c r="Y1221" s="918">
        <f t="shared" si="83"/>
        <v>1212</v>
      </c>
      <c r="AA1221" s="9"/>
      <c r="AC1221" s="9" t="str">
        <f t="shared" si="81"/>
        <v/>
      </c>
      <c r="AE1221" s="44" t="str">
        <f t="shared" si="82"/>
        <v/>
      </c>
    </row>
    <row r="1222" spans="1:31">
      <c r="A1222" s="153"/>
      <c r="B1222" s="236" t="s">
        <v>277</v>
      </c>
      <c r="C1222" s="49"/>
      <c r="D1222" s="49"/>
      <c r="E1222" s="9">
        <f>+G1222-Adjustments!G1220</f>
        <v>-277008787.20624989</v>
      </c>
      <c r="F1222" s="9">
        <f>SUM(F1216:F1220)</f>
        <v>-210052472.36000001</v>
      </c>
      <c r="G1222" s="9">
        <f>SUM(G1216:G1220)</f>
        <v>-277008787.20624989</v>
      </c>
      <c r="H1222" s="9">
        <f>SUM(H1216:H1220)</f>
        <v>0</v>
      </c>
      <c r="I1222" s="9">
        <f>SUM(I1216:I1220)</f>
        <v>-487061259.56624991</v>
      </c>
      <c r="J1222" s="9">
        <f>+I1222-'ROR-Model'!I1222</f>
        <v>0</v>
      </c>
      <c r="K1222" s="9"/>
      <c r="L1222" s="9"/>
      <c r="M1222" s="9">
        <f>SUM(M1216:M1220)</f>
        <v>-473508031.14883256</v>
      </c>
      <c r="N1222" s="9">
        <f>SUM(N1216:N1220)</f>
        <v>-13553228.417417319</v>
      </c>
      <c r="O1222" s="136"/>
      <c r="P1222" s="216"/>
      <c r="Q1222" s="9">
        <f>SUM(Q1216:Q1220)</f>
        <v>-473508031.14883256</v>
      </c>
      <c r="R1222" s="9">
        <f>SUM(R1216:R1220)</f>
        <v>0</v>
      </c>
      <c r="S1222" s="142"/>
      <c r="T1222" s="9">
        <f>SUM(T1216:T1220)</f>
        <v>-13523734.851793742</v>
      </c>
      <c r="U1222" s="9">
        <f>SUM(U1216:U1220)</f>
        <v>-29493.565623578535</v>
      </c>
      <c r="V1222" s="140"/>
      <c r="W1222" s="9">
        <f>HLOOKUP($W$9,'ROR-Model'!$Q$10:$U$1263,Y1222)</f>
        <v>-473508031.14883256</v>
      </c>
      <c r="X1222" s="156"/>
      <c r="Y1222" s="918">
        <f t="shared" si="83"/>
        <v>1213</v>
      </c>
      <c r="AA1222" s="9"/>
      <c r="AC1222" s="9" t="str">
        <f t="shared" ref="AC1222:AC1263" si="84">IF(ABS(AA1222)&gt;0,W1222-AA1222,"")</f>
        <v/>
      </c>
      <c r="AE1222" s="44" t="str">
        <f t="shared" si="82"/>
        <v/>
      </c>
    </row>
    <row r="1223" spans="1:31">
      <c r="A1223" s="153"/>
      <c r="B1223" s="49"/>
      <c r="C1223" s="49"/>
      <c r="D1223" s="49"/>
      <c r="E1223" s="9">
        <f>+G1223-Adjustments!G1221</f>
        <v>0</v>
      </c>
      <c r="F1223" s="9"/>
      <c r="G1223" s="9"/>
      <c r="H1223" s="9"/>
      <c r="I1223" s="9"/>
      <c r="J1223" s="9">
        <f>+I1223-'ROR-Model'!I1223</f>
        <v>0</v>
      </c>
      <c r="K1223" s="9"/>
      <c r="L1223" s="9"/>
      <c r="M1223" s="9"/>
      <c r="N1223" s="9"/>
      <c r="O1223" s="136"/>
      <c r="P1223" s="142"/>
      <c r="Q1223" s="9"/>
      <c r="R1223" s="9"/>
      <c r="S1223" s="142"/>
      <c r="T1223" s="9"/>
      <c r="U1223" s="9"/>
      <c r="V1223" s="140"/>
      <c r="W1223" s="9"/>
      <c r="X1223" s="156"/>
      <c r="Y1223" s="918">
        <f t="shared" si="83"/>
        <v>1214</v>
      </c>
      <c r="AA1223" s="9">
        <v>0</v>
      </c>
      <c r="AC1223" s="9" t="str">
        <f t="shared" si="84"/>
        <v/>
      </c>
      <c r="AE1223" s="44" t="str">
        <f t="shared" ref="AE1223:AE1263" si="85">IF(ABS(AA1223)&gt;0,AC1223/AA1223,"")</f>
        <v/>
      </c>
    </row>
    <row r="1224" spans="1:31">
      <c r="A1224" s="130" t="s">
        <v>673</v>
      </c>
      <c r="B1224" s="49"/>
      <c r="C1224" s="49"/>
      <c r="D1224" s="49"/>
      <c r="E1224" s="52">
        <f>+G1224-Adjustments!G1222</f>
        <v>0</v>
      </c>
      <c r="F1224" s="52"/>
      <c r="G1224" s="52"/>
      <c r="H1224" s="52"/>
      <c r="I1224" s="52"/>
      <c r="J1224" s="9">
        <f>+I1224-'ROR-Model'!I1224</f>
        <v>0</v>
      </c>
      <c r="K1224" s="52"/>
      <c r="L1224" s="52"/>
      <c r="M1224" s="52"/>
      <c r="N1224" s="52"/>
      <c r="O1224" s="140"/>
      <c r="P1224" s="216"/>
      <c r="Q1224" s="52"/>
      <c r="R1224" s="52"/>
      <c r="S1224" s="216"/>
      <c r="T1224" s="52"/>
      <c r="U1224" s="52"/>
      <c r="V1224" s="140"/>
      <c r="W1224" s="52"/>
      <c r="X1224" s="156"/>
      <c r="Y1224" s="918">
        <f t="shared" si="83"/>
        <v>1215</v>
      </c>
      <c r="AA1224" s="52">
        <v>0</v>
      </c>
      <c r="AC1224" s="52" t="str">
        <f t="shared" si="84"/>
        <v/>
      </c>
      <c r="AE1224" s="44" t="str">
        <f t="shared" si="85"/>
        <v/>
      </c>
    </row>
    <row r="1225" spans="1:31">
      <c r="A1225" s="130"/>
      <c r="B1225" s="49" t="s">
        <v>427</v>
      </c>
      <c r="C1225" s="49"/>
      <c r="D1225" s="49"/>
      <c r="E1225" s="9">
        <f>+G1225-Adjustments!G1223</f>
        <v>-53031763.112698764</v>
      </c>
      <c r="F1225" s="9">
        <f>F1138+F1216</f>
        <v>56474289.469999999</v>
      </c>
      <c r="G1225" s="9">
        <f>G1138+G1216</f>
        <v>-53031763.112698764</v>
      </c>
      <c r="H1225" s="9">
        <f t="shared" ref="F1225:I1228" si="86">H1138+H1216</f>
        <v>0</v>
      </c>
      <c r="I1225" s="9">
        <f t="shared" si="86"/>
        <v>3442526.3573012305</v>
      </c>
      <c r="J1225" s="9">
        <f>+I1225-'ROR-Model'!I1225</f>
        <v>0</v>
      </c>
      <c r="K1225" s="9"/>
      <c r="L1225" s="9"/>
      <c r="M1225" s="9">
        <f t="shared" ref="M1225:N1228" si="87">M1138+M1216</f>
        <v>3321347.973106903</v>
      </c>
      <c r="N1225" s="9">
        <f t="shared" si="87"/>
        <v>121178.38419431078</v>
      </c>
      <c r="O1225" s="136"/>
      <c r="P1225" s="216"/>
      <c r="Q1225" s="9">
        <f t="shared" ref="Q1225:R1228" si="88">Q1138+Q1216</f>
        <v>3321347.973106903</v>
      </c>
      <c r="R1225" s="9">
        <f t="shared" si="88"/>
        <v>0</v>
      </c>
      <c r="S1225" s="142"/>
      <c r="T1225" s="9">
        <f t="shared" ref="T1225:U1228" si="89">T1138+T1216</f>
        <v>0</v>
      </c>
      <c r="U1225" s="9">
        <f t="shared" si="89"/>
        <v>121178.38419431078</v>
      </c>
      <c r="V1225" s="140"/>
      <c r="W1225" s="9">
        <f>HLOOKUP($W$9,'ROR-Model'!$Q$10:$U$1263,Y1225)</f>
        <v>3321347.973106903</v>
      </c>
      <c r="X1225" s="156"/>
      <c r="Y1225" s="918">
        <f t="shared" si="83"/>
        <v>1216</v>
      </c>
      <c r="AA1225" s="9"/>
      <c r="AC1225" s="9" t="str">
        <f t="shared" si="84"/>
        <v/>
      </c>
      <c r="AE1225" s="44" t="str">
        <f t="shared" si="85"/>
        <v/>
      </c>
    </row>
    <row r="1226" spans="1:31">
      <c r="A1226" s="130"/>
      <c r="B1226" s="49" t="s">
        <v>581</v>
      </c>
      <c r="C1226" s="49"/>
      <c r="D1226" s="49"/>
      <c r="E1226" s="9">
        <f>+G1226-Adjustments!G1224</f>
        <v>17292700.086360961</v>
      </c>
      <c r="F1226" s="9">
        <f t="shared" si="86"/>
        <v>42619523.404334627</v>
      </c>
      <c r="G1226" s="9">
        <f t="shared" si="86"/>
        <v>-3679349.0336390394</v>
      </c>
      <c r="H1226" s="9">
        <f t="shared" si="86"/>
        <v>0</v>
      </c>
      <c r="I1226" s="9">
        <f t="shared" si="86"/>
        <v>38940174.370695584</v>
      </c>
      <c r="J1226" s="9">
        <f>+I1226-'ROR-Model'!I1226</f>
        <v>0</v>
      </c>
      <c r="K1226" s="9"/>
      <c r="L1226" s="9"/>
      <c r="M1226" s="9">
        <f t="shared" si="87"/>
        <v>0</v>
      </c>
      <c r="N1226" s="9">
        <f t="shared" si="87"/>
        <v>38940174.370695591</v>
      </c>
      <c r="O1226" s="136"/>
      <c r="P1226" s="216"/>
      <c r="Q1226" s="9">
        <f t="shared" si="88"/>
        <v>0</v>
      </c>
      <c r="R1226" s="9">
        <f t="shared" si="88"/>
        <v>0</v>
      </c>
      <c r="S1226" s="142"/>
      <c r="T1226" s="9">
        <f t="shared" si="89"/>
        <v>38940174.370695591</v>
      </c>
      <c r="U1226" s="9">
        <f t="shared" si="89"/>
        <v>0</v>
      </c>
      <c r="V1226" s="140"/>
      <c r="W1226" s="9">
        <f>HLOOKUP($W$9,'ROR-Model'!$Q$10:$U$1263,Y1226)</f>
        <v>0</v>
      </c>
      <c r="X1226" s="156"/>
      <c r="Y1226" s="918">
        <f t="shared" ref="Y1226:Y1263" si="90">Y1225+1</f>
        <v>1217</v>
      </c>
      <c r="AA1226" s="9"/>
      <c r="AC1226" s="9" t="str">
        <f t="shared" si="84"/>
        <v/>
      </c>
      <c r="AE1226" s="44" t="str">
        <f t="shared" si="85"/>
        <v/>
      </c>
    </row>
    <row r="1227" spans="1:31">
      <c r="A1227" s="130"/>
      <c r="B1227" s="49" t="s">
        <v>582</v>
      </c>
      <c r="C1227" s="49"/>
      <c r="D1227" s="49"/>
      <c r="E1227" s="9">
        <f>+G1227-Adjustments!G1225</f>
        <v>-307245842.72736096</v>
      </c>
      <c r="F1227" s="9">
        <f t="shared" si="86"/>
        <v>1523491454.2176654</v>
      </c>
      <c r="G1227" s="9">
        <f t="shared" si="86"/>
        <v>-307245842.72736096</v>
      </c>
      <c r="H1227" s="9">
        <f t="shared" si="86"/>
        <v>0</v>
      </c>
      <c r="I1227" s="9">
        <f t="shared" si="86"/>
        <v>1216245611.4903045</v>
      </c>
      <c r="J1227" s="9">
        <f>+I1227-'ROR-Model'!I1227</f>
        <v>0</v>
      </c>
      <c r="K1227" s="9"/>
      <c r="L1227" s="9"/>
      <c r="M1227" s="9">
        <f t="shared" si="87"/>
        <v>1216245611.4903045</v>
      </c>
      <c r="N1227" s="9">
        <f t="shared" si="87"/>
        <v>0</v>
      </c>
      <c r="O1227" s="136"/>
      <c r="P1227" s="216"/>
      <c r="Q1227" s="9">
        <f t="shared" si="88"/>
        <v>1216245611.4903045</v>
      </c>
      <c r="R1227" s="9">
        <f t="shared" si="88"/>
        <v>0</v>
      </c>
      <c r="S1227" s="142"/>
      <c r="T1227" s="9">
        <f t="shared" si="89"/>
        <v>0</v>
      </c>
      <c r="U1227" s="9">
        <f t="shared" si="89"/>
        <v>0</v>
      </c>
      <c r="V1227" s="140"/>
      <c r="W1227" s="9">
        <f>HLOOKUP($W$9,'ROR-Model'!$Q$10:$U$1263,Y1227)</f>
        <v>1216245611.4903045</v>
      </c>
      <c r="X1227" s="156"/>
      <c r="Y1227" s="918">
        <f t="shared" si="90"/>
        <v>1218</v>
      </c>
      <c r="AA1227" s="9">
        <v>0</v>
      </c>
      <c r="AC1227" s="9" t="str">
        <f t="shared" si="84"/>
        <v/>
      </c>
      <c r="AE1227" s="44" t="str">
        <f t="shared" si="85"/>
        <v/>
      </c>
    </row>
    <row r="1228" spans="1:31">
      <c r="A1228" s="130"/>
      <c r="B1228" s="49" t="s">
        <v>584</v>
      </c>
      <c r="C1228" s="49"/>
      <c r="D1228" s="49"/>
      <c r="E1228" s="9">
        <f>+G1228-Adjustments!G1226</f>
        <v>230653685.48423856</v>
      </c>
      <c r="F1228" s="9">
        <f t="shared" si="86"/>
        <v>-112806397.59000002</v>
      </c>
      <c r="G1228" s="9">
        <f t="shared" si="86"/>
        <v>230596227.81541663</v>
      </c>
      <c r="H1228" s="9">
        <f t="shared" si="86"/>
        <v>0</v>
      </c>
      <c r="I1228" s="9">
        <f t="shared" si="86"/>
        <v>117789830.2254166</v>
      </c>
      <c r="J1228" s="9">
        <f>+I1228-'ROR-Model'!I1228</f>
        <v>0</v>
      </c>
      <c r="K1228" s="9"/>
      <c r="L1228" s="9"/>
      <c r="M1228" s="9">
        <f t="shared" si="87"/>
        <v>111414882.89586864</v>
      </c>
      <c r="N1228" s="9">
        <f t="shared" si="87"/>
        <v>6374947.3295479724</v>
      </c>
      <c r="O1228" s="136"/>
      <c r="P1228" s="216"/>
      <c r="Q1228" s="9">
        <f t="shared" si="88"/>
        <v>111414882.89586864</v>
      </c>
      <c r="R1228" s="9">
        <f t="shared" si="88"/>
        <v>0</v>
      </c>
      <c r="S1228" s="142"/>
      <c r="T1228" s="9">
        <f t="shared" si="89"/>
        <v>6374947.3295479724</v>
      </c>
      <c r="U1228" s="9">
        <f t="shared" si="89"/>
        <v>0</v>
      </c>
      <c r="V1228" s="140"/>
      <c r="W1228" s="9">
        <f>HLOOKUP($W$9,'ROR-Model'!$Q$10:$U$1263,Y1228)</f>
        <v>111414882.89586864</v>
      </c>
      <c r="X1228" s="156"/>
      <c r="Y1228" s="918">
        <f t="shared" si="90"/>
        <v>1219</v>
      </c>
      <c r="AA1228" s="9">
        <v>-12888723.917369431</v>
      </c>
      <c r="AC1228" s="9">
        <f t="shared" si="84"/>
        <v>124303606.81323807</v>
      </c>
      <c r="AE1228" s="44">
        <f t="shared" si="85"/>
        <v>-9.6443687994372258</v>
      </c>
    </row>
    <row r="1229" spans="1:31" ht="13.5" thickBot="1">
      <c r="A1229" s="130"/>
      <c r="B1229" s="49"/>
      <c r="C1229" s="49"/>
      <c r="D1229" s="49"/>
      <c r="E1229" s="26">
        <f>+G1229-Adjustments!G1227</f>
        <v>0</v>
      </c>
      <c r="F1229" s="26"/>
      <c r="G1229" s="26"/>
      <c r="H1229" s="26"/>
      <c r="I1229" s="26"/>
      <c r="J1229" s="9">
        <f>+I1229-'ROR-Model'!I1229</f>
        <v>0</v>
      </c>
      <c r="K1229" s="9"/>
      <c r="L1229" s="26"/>
      <c r="M1229" s="26"/>
      <c r="N1229" s="26"/>
      <c r="O1229" s="136"/>
      <c r="P1229" s="227"/>
      <c r="Q1229" s="26"/>
      <c r="R1229" s="26"/>
      <c r="S1229" s="227"/>
      <c r="T1229" s="26"/>
      <c r="U1229" s="26"/>
      <c r="V1229" s="140"/>
      <c r="W1229" s="26"/>
      <c r="X1229" s="156"/>
      <c r="Y1229" s="918">
        <f t="shared" si="90"/>
        <v>1220</v>
      </c>
      <c r="AA1229" s="26">
        <v>0</v>
      </c>
      <c r="AC1229" s="26" t="str">
        <f t="shared" si="84"/>
        <v/>
      </c>
      <c r="AE1229" s="44" t="str">
        <f t="shared" si="85"/>
        <v/>
      </c>
    </row>
    <row r="1230" spans="1:31" ht="13.5" thickTop="1">
      <c r="A1230" s="130"/>
      <c r="B1230" s="49"/>
      <c r="C1230" s="49"/>
      <c r="D1230" s="49"/>
      <c r="E1230" s="9">
        <f>+G1230-Adjustments!G1228</f>
        <v>-1.0149999999999999</v>
      </c>
      <c r="F1230" s="9"/>
      <c r="G1230" s="9"/>
      <c r="H1230" s="9"/>
      <c r="I1230" s="9"/>
      <c r="J1230" s="9">
        <f>+I1230-'ROR-Model'!I1230</f>
        <v>0</v>
      </c>
      <c r="K1230" s="9"/>
      <c r="L1230" s="9"/>
      <c r="M1230" s="9"/>
      <c r="N1230" s="9"/>
      <c r="O1230" s="136"/>
      <c r="P1230" s="216"/>
      <c r="Q1230" s="9"/>
      <c r="R1230" s="9"/>
      <c r="S1230" s="142"/>
      <c r="T1230" s="9"/>
      <c r="U1230" s="9"/>
      <c r="V1230" s="140"/>
      <c r="W1230" s="9"/>
      <c r="X1230" s="156"/>
      <c r="Y1230" s="918">
        <f t="shared" si="90"/>
        <v>1221</v>
      </c>
      <c r="AA1230" s="9">
        <v>-315063.92468739691</v>
      </c>
      <c r="AC1230" s="9">
        <f t="shared" si="84"/>
        <v>315063.92468739691</v>
      </c>
      <c r="AE1230" s="44">
        <f t="shared" si="85"/>
        <v>-1</v>
      </c>
    </row>
    <row r="1231" spans="1:31">
      <c r="A1231" s="153"/>
      <c r="B1231" s="158" t="s">
        <v>673</v>
      </c>
      <c r="C1231" s="49"/>
      <c r="D1231" s="49"/>
      <c r="E1231" s="9">
        <f>+G1231-Adjustments!G1229</f>
        <v>-133360727.05828214</v>
      </c>
      <c r="F1231" s="9">
        <f>F1144+F1222</f>
        <v>1509778869.5020003</v>
      </c>
      <c r="G1231" s="9">
        <f>G1144+G1222</f>
        <v>-133360727.05828214</v>
      </c>
      <c r="H1231" s="9">
        <f>H1144+H1222</f>
        <v>0</v>
      </c>
      <c r="I1231" s="9">
        <f>I1144+I1222</f>
        <v>1376418142.4437184</v>
      </c>
      <c r="J1231" s="9">
        <f>+I1231-'ROR-Model'!I1231</f>
        <v>0</v>
      </c>
      <c r="K1231" s="9"/>
      <c r="L1231" s="9"/>
      <c r="M1231" s="9">
        <f>M1144+M1222</f>
        <v>1330981842.3592803</v>
      </c>
      <c r="N1231" s="9">
        <f>N1144+N1222</f>
        <v>45436300.084437899</v>
      </c>
      <c r="O1231" s="136"/>
      <c r="P1231" s="216"/>
      <c r="Q1231" s="9">
        <f>Q1144+Q1222</f>
        <v>1330981842.3592803</v>
      </c>
      <c r="R1231" s="9">
        <f>R1144+R1222</f>
        <v>0</v>
      </c>
      <c r="S1231" s="142"/>
      <c r="T1231" s="9">
        <f>T1144+T1222</f>
        <v>45315121.700243585</v>
      </c>
      <c r="U1231" s="9">
        <f>U1144+U1222</f>
        <v>121178.38419431078</v>
      </c>
      <c r="V1231" s="140"/>
      <c r="W1231" s="9">
        <f>HLOOKUP($W$9,'ROR-Model'!$Q$10:$U$1263,Y1231)</f>
        <v>1330981842.3592803</v>
      </c>
      <c r="X1231" s="156"/>
      <c r="Y1231" s="918">
        <f t="shared" si="90"/>
        <v>1222</v>
      </c>
      <c r="AA1231" s="9"/>
      <c r="AC1231" s="9" t="str">
        <f t="shared" si="84"/>
        <v/>
      </c>
      <c r="AE1231" s="44" t="str">
        <f t="shared" si="85"/>
        <v/>
      </c>
    </row>
    <row r="1232" spans="1:31">
      <c r="A1232" s="153"/>
      <c r="B1232" s="49"/>
      <c r="C1232" s="49"/>
      <c r="D1232" s="49"/>
      <c r="E1232" s="9">
        <f>+G1232-Adjustments!G1230</f>
        <v>0</v>
      </c>
      <c r="F1232" s="9"/>
      <c r="G1232" s="9"/>
      <c r="H1232" s="9"/>
      <c r="I1232" s="9"/>
      <c r="J1232" s="9">
        <f>+I1232-'ROR-Model'!I1232</f>
        <v>0</v>
      </c>
      <c r="K1232" s="9"/>
      <c r="L1232" s="9"/>
      <c r="M1232" s="9"/>
      <c r="N1232" s="9"/>
      <c r="O1232" s="136"/>
      <c r="P1232" s="142"/>
      <c r="Q1232" s="9"/>
      <c r="R1232" s="9"/>
      <c r="S1232" s="142"/>
      <c r="T1232" s="9"/>
      <c r="U1232" s="9"/>
      <c r="V1232" s="140"/>
      <c r="W1232" s="9"/>
      <c r="X1232" s="156"/>
      <c r="Y1232" s="918">
        <f t="shared" si="90"/>
        <v>1223</v>
      </c>
      <c r="AA1232" s="9"/>
      <c r="AC1232" s="9" t="str">
        <f t="shared" si="84"/>
        <v/>
      </c>
      <c r="AE1232" s="44" t="str">
        <f t="shared" si="85"/>
        <v/>
      </c>
    </row>
    <row r="1233" spans="1:31">
      <c r="A1233" s="130" t="s">
        <v>677</v>
      </c>
      <c r="B1233" s="49"/>
      <c r="C1233" s="49"/>
      <c r="D1233" s="49"/>
      <c r="E1233" s="9">
        <f>+G1233-Adjustments!G1231</f>
        <v>58319.533854246569</v>
      </c>
      <c r="F1233" s="9"/>
      <c r="G1233" s="9"/>
      <c r="H1233" s="9"/>
      <c r="I1233" s="9"/>
      <c r="J1233" s="9">
        <f>+I1233-'ROR-Model'!I1233</f>
        <v>0</v>
      </c>
      <c r="K1233" s="9"/>
      <c r="L1233" s="9"/>
      <c r="M1233" s="9"/>
      <c r="N1233" s="9"/>
      <c r="O1233" s="136"/>
      <c r="P1233" s="142"/>
      <c r="Q1233" s="9"/>
      <c r="R1233" s="9"/>
      <c r="S1233" s="142"/>
      <c r="T1233" s="9"/>
      <c r="U1233" s="9"/>
      <c r="V1233" s="140"/>
      <c r="W1233" s="9"/>
      <c r="X1233" s="156"/>
      <c r="Y1233" s="918">
        <f t="shared" si="90"/>
        <v>1224</v>
      </c>
      <c r="AA1233" s="9">
        <v>-13203787.842056828</v>
      </c>
      <c r="AC1233" s="9">
        <f t="shared" si="84"/>
        <v>13203787.842056828</v>
      </c>
      <c r="AE1233" s="44">
        <f t="shared" si="85"/>
        <v>-1</v>
      </c>
    </row>
    <row r="1234" spans="1:31">
      <c r="A1234" s="153"/>
      <c r="B1234" s="49"/>
      <c r="C1234" s="49"/>
      <c r="D1234" s="49"/>
      <c r="E1234" s="9">
        <f>+G1234-Adjustments!G1232</f>
        <v>0</v>
      </c>
      <c r="F1234" s="9"/>
      <c r="G1234" s="9"/>
      <c r="H1234" s="9"/>
      <c r="I1234" s="9"/>
      <c r="J1234" s="9">
        <f>+I1234-'ROR-Model'!I1234</f>
        <v>0</v>
      </c>
      <c r="K1234" s="9"/>
      <c r="L1234" s="9"/>
      <c r="M1234" s="9"/>
      <c r="N1234" s="9"/>
      <c r="O1234" s="136"/>
      <c r="P1234" s="142"/>
      <c r="Q1234" s="9"/>
      <c r="R1234" s="9"/>
      <c r="S1234" s="142"/>
      <c r="T1234" s="9"/>
      <c r="U1234" s="9"/>
      <c r="V1234" s="140"/>
      <c r="W1234" s="9"/>
      <c r="X1234" s="156"/>
      <c r="Y1234" s="918">
        <f t="shared" si="90"/>
        <v>1225</v>
      </c>
      <c r="AA1234" s="9"/>
      <c r="AC1234" s="9" t="str">
        <f t="shared" si="84"/>
        <v/>
      </c>
      <c r="AE1234" s="44" t="str">
        <f t="shared" si="85"/>
        <v/>
      </c>
    </row>
    <row r="1235" spans="1:31">
      <c r="A1235" s="153"/>
      <c r="B1235" s="58" t="s">
        <v>467</v>
      </c>
      <c r="C1235" s="49"/>
      <c r="D1235" s="49"/>
      <c r="E1235" s="9">
        <f>+G1235-Adjustments!G1233</f>
        <v>0</v>
      </c>
      <c r="F1235" s="9"/>
      <c r="G1235" s="9"/>
      <c r="H1235" s="9"/>
      <c r="I1235" s="9"/>
      <c r="J1235" s="9">
        <f>+I1235-'ROR-Model'!I1235</f>
        <v>0</v>
      </c>
      <c r="K1235" s="9"/>
      <c r="L1235" s="9"/>
      <c r="M1235" s="9"/>
      <c r="N1235" s="9"/>
      <c r="O1235" s="136"/>
      <c r="P1235" s="142"/>
      <c r="Q1235" s="9"/>
      <c r="R1235" s="9"/>
      <c r="S1235" s="142"/>
      <c r="T1235" s="9"/>
      <c r="U1235" s="9"/>
      <c r="V1235" s="140"/>
      <c r="W1235" s="9"/>
      <c r="X1235" s="156"/>
      <c r="Y1235" s="918">
        <f t="shared" si="90"/>
        <v>1226</v>
      </c>
      <c r="AA1235" s="9"/>
      <c r="AC1235" s="9" t="str">
        <f t="shared" si="84"/>
        <v/>
      </c>
      <c r="AE1235" s="44" t="str">
        <f t="shared" si="85"/>
        <v/>
      </c>
    </row>
    <row r="1236" spans="1:31">
      <c r="A1236" s="153"/>
      <c r="B1236" s="49"/>
      <c r="C1236" s="49" t="s">
        <v>468</v>
      </c>
      <c r="D1236" s="49"/>
      <c r="E1236" s="9">
        <f>+G1236-Adjustments!G1234</f>
        <v>0</v>
      </c>
      <c r="F1236" s="9">
        <f>F640</f>
        <v>555949684.56595278</v>
      </c>
      <c r="G1236" s="9">
        <f>G640</f>
        <v>0</v>
      </c>
      <c r="H1236" s="9">
        <f>H640</f>
        <v>0</v>
      </c>
      <c r="I1236" s="9">
        <f>I640</f>
        <v>555949684.56595278</v>
      </c>
      <c r="J1236" s="9">
        <f>+I1236-'ROR-Model'!I1236</f>
        <v>0</v>
      </c>
      <c r="K1236" s="9"/>
      <c r="L1236" s="9"/>
      <c r="M1236" s="9">
        <f>M640</f>
        <v>536464433.88394201</v>
      </c>
      <c r="N1236" s="9">
        <f t="shared" ref="N1236:N1244" si="91">I1236-M1236</f>
        <v>19485250.68201077</v>
      </c>
      <c r="O1236" s="136"/>
      <c r="P1236" s="142"/>
      <c r="Q1236" s="9"/>
      <c r="R1236" s="9"/>
      <c r="S1236" s="142"/>
      <c r="T1236" s="9"/>
      <c r="U1236" s="9"/>
      <c r="V1236" s="140"/>
      <c r="W1236" s="9"/>
      <c r="X1236" s="156"/>
      <c r="Y1236" s="918">
        <f t="shared" si="90"/>
        <v>1227</v>
      </c>
      <c r="AA1236" s="9">
        <v>0</v>
      </c>
      <c r="AC1236" s="9" t="str">
        <f t="shared" si="84"/>
        <v/>
      </c>
      <c r="AE1236" s="44" t="str">
        <f t="shared" si="85"/>
        <v/>
      </c>
    </row>
    <row r="1237" spans="1:31">
      <c r="A1237" s="153"/>
      <c r="B1237" s="49"/>
      <c r="C1237" s="49" t="s">
        <v>469</v>
      </c>
      <c r="D1237" s="49"/>
      <c r="E1237" s="9">
        <f ca="1">+G1237-Adjustments!G1235</f>
        <v>6722569.6595016047</v>
      </c>
      <c r="F1237" s="9">
        <f>F905</f>
        <v>137434097.47000003</v>
      </c>
      <c r="G1237" s="9">
        <f ca="1">G905</f>
        <v>6722569.6595016047</v>
      </c>
      <c r="H1237" s="9">
        <f>H905</f>
        <v>0</v>
      </c>
      <c r="I1237" s="9">
        <f ca="1">I905</f>
        <v>144156667.12950161</v>
      </c>
      <c r="J1237" s="9">
        <f ca="1">+I1237-'ROR-Model'!I1237</f>
        <v>0</v>
      </c>
      <c r="K1237" s="9"/>
      <c r="L1237" s="9"/>
      <c r="M1237" s="9">
        <f ca="1">M905</f>
        <v>138143063.53718659</v>
      </c>
      <c r="N1237" s="9">
        <f t="shared" ca="1" si="91"/>
        <v>6013603.5923150182</v>
      </c>
      <c r="O1237" s="136"/>
      <c r="P1237" s="142"/>
      <c r="Q1237" s="9"/>
      <c r="R1237" s="9"/>
      <c r="S1237" s="142"/>
      <c r="T1237" s="9"/>
      <c r="U1237" s="9"/>
      <c r="V1237" s="140"/>
      <c r="W1237" s="9"/>
      <c r="X1237" s="156"/>
      <c r="Y1237" s="918">
        <f t="shared" si="90"/>
        <v>1228</v>
      </c>
      <c r="AA1237" s="9">
        <v>30906348.376630582</v>
      </c>
      <c r="AC1237" s="9">
        <f t="shared" si="84"/>
        <v>-30906348.376630582</v>
      </c>
      <c r="AE1237" s="44">
        <f t="shared" si="85"/>
        <v>-1</v>
      </c>
    </row>
    <row r="1238" spans="1:31">
      <c r="A1238" s="153"/>
      <c r="B1238" s="49"/>
      <c r="C1238" s="49" t="s">
        <v>653</v>
      </c>
      <c r="D1238" s="49"/>
      <c r="E1238" s="9">
        <f>+G1238-Adjustments!G1236</f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f>+I1238-'ROR-Model'!I1238</f>
        <v>0</v>
      </c>
      <c r="K1238" s="9"/>
      <c r="L1238" s="9"/>
      <c r="M1238" s="9">
        <v>0</v>
      </c>
      <c r="N1238" s="9">
        <f t="shared" si="91"/>
        <v>0</v>
      </c>
      <c r="O1238" s="136"/>
      <c r="P1238" s="142"/>
      <c r="Q1238" s="9"/>
      <c r="R1238" s="9"/>
      <c r="S1238" s="142"/>
      <c r="T1238" s="9"/>
      <c r="U1238" s="9"/>
      <c r="V1238" s="140"/>
      <c r="W1238" s="9"/>
      <c r="X1238" s="156"/>
      <c r="Y1238" s="918">
        <f t="shared" si="90"/>
        <v>1229</v>
      </c>
      <c r="AA1238" s="9">
        <v>0</v>
      </c>
      <c r="AC1238" s="9" t="str">
        <f t="shared" si="84"/>
        <v/>
      </c>
      <c r="AE1238" s="44" t="str">
        <f t="shared" si="85"/>
        <v/>
      </c>
    </row>
    <row r="1239" spans="1:31">
      <c r="A1239" s="153"/>
      <c r="B1239" s="49"/>
      <c r="C1239" s="49" t="s">
        <v>470</v>
      </c>
      <c r="D1239" s="49"/>
      <c r="E1239" s="9">
        <f>+G1239-Adjustments!G1237</f>
        <v>0</v>
      </c>
      <c r="F1239" s="9">
        <f>F934</f>
        <v>22257842.259999998</v>
      </c>
      <c r="G1239" s="9">
        <f>G934</f>
        <v>0</v>
      </c>
      <c r="H1239" s="9">
        <f>H934</f>
        <v>0</v>
      </c>
      <c r="I1239" s="9">
        <f>I934</f>
        <v>22257842.259999998</v>
      </c>
      <c r="J1239" s="9">
        <f>+I1239-'ROR-Model'!I1239</f>
        <v>0</v>
      </c>
      <c r="K1239" s="9"/>
      <c r="L1239" s="9"/>
      <c r="M1239" s="9">
        <f>M934</f>
        <v>21360520.07333659</v>
      </c>
      <c r="N1239" s="9">
        <f t="shared" si="91"/>
        <v>897322.18666340783</v>
      </c>
      <c r="O1239" s="136"/>
      <c r="P1239" s="142"/>
      <c r="Q1239" s="9"/>
      <c r="R1239" s="9"/>
      <c r="S1239" s="142"/>
      <c r="T1239" s="9"/>
      <c r="U1239" s="9"/>
      <c r="V1239" s="140"/>
      <c r="W1239" s="9"/>
      <c r="X1239" s="156"/>
      <c r="Y1239" s="918">
        <f t="shared" si="90"/>
        <v>1230</v>
      </c>
      <c r="AA1239" s="9">
        <v>4600731.1747649126</v>
      </c>
      <c r="AC1239" s="9">
        <f t="shared" si="84"/>
        <v>-4600731.1747649126</v>
      </c>
      <c r="AE1239" s="44">
        <f t="shared" si="85"/>
        <v>-1</v>
      </c>
    </row>
    <row r="1240" spans="1:31">
      <c r="A1240" s="153"/>
      <c r="B1240" s="49"/>
      <c r="C1240" s="49" t="s">
        <v>472</v>
      </c>
      <c r="D1240" s="49"/>
      <c r="E1240" s="9">
        <f ca="1">+G1240-Adjustments!G1238</f>
        <v>-10490410.239004847</v>
      </c>
      <c r="F1240" s="9">
        <f>F936+F938+F940</f>
        <v>47644557.899999991</v>
      </c>
      <c r="G1240" s="9">
        <f ca="1">G936+G938+G940</f>
        <v>-10548729.772859093</v>
      </c>
      <c r="H1240" s="9">
        <f ca="1">H936+H938+H940</f>
        <v>-691028.9912417978</v>
      </c>
      <c r="I1240" s="9">
        <f ca="1">I936+I938+I940</f>
        <v>36404799.135899104</v>
      </c>
      <c r="J1240" s="9">
        <f ca="1">+I1240-'ROR-Model'!I1240</f>
        <v>0</v>
      </c>
      <c r="K1240" s="9"/>
      <c r="L1240" s="9"/>
      <c r="M1240" s="9">
        <f ca="1">M936+M938+M940</f>
        <v>35281639.890570097</v>
      </c>
      <c r="N1240" s="9">
        <f ca="1">N936+N938+N940</f>
        <v>-42905837.729454793</v>
      </c>
      <c r="O1240" s="136"/>
      <c r="P1240" s="142"/>
      <c r="Q1240" s="9"/>
      <c r="R1240" s="9"/>
      <c r="S1240" s="142"/>
      <c r="T1240" s="9"/>
      <c r="U1240" s="9"/>
      <c r="V1240" s="140"/>
      <c r="W1240" s="9"/>
      <c r="X1240" s="156"/>
      <c r="Y1240" s="918">
        <f t="shared" si="90"/>
        <v>1231</v>
      </c>
      <c r="AA1240" s="9"/>
      <c r="AC1240" s="9" t="str">
        <f t="shared" si="84"/>
        <v/>
      </c>
      <c r="AE1240" s="44" t="str">
        <f t="shared" si="85"/>
        <v/>
      </c>
    </row>
    <row r="1241" spans="1:31">
      <c r="A1241" s="153"/>
      <c r="B1241" s="49"/>
      <c r="C1241" s="49" t="s">
        <v>594</v>
      </c>
      <c r="D1241" s="49"/>
      <c r="E1241" s="9">
        <f>+G1241-Adjustments!G1239</f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f>+I1241-'ROR-Model'!I1241</f>
        <v>0</v>
      </c>
      <c r="K1241" s="9"/>
      <c r="L1241" s="9"/>
      <c r="M1241" s="9">
        <v>0</v>
      </c>
      <c r="N1241" s="9">
        <f t="shared" si="91"/>
        <v>0</v>
      </c>
      <c r="O1241" s="136"/>
      <c r="P1241" s="142"/>
      <c r="Q1241" s="9"/>
      <c r="R1241" s="9"/>
      <c r="S1241" s="142"/>
      <c r="T1241" s="9"/>
      <c r="U1241" s="9"/>
      <c r="V1241" s="140"/>
      <c r="W1241" s="9"/>
      <c r="X1241" s="156"/>
      <c r="Y1241" s="918">
        <f t="shared" si="90"/>
        <v>1232</v>
      </c>
      <c r="AA1241" s="9"/>
      <c r="AC1241" s="9" t="str">
        <f t="shared" si="84"/>
        <v/>
      </c>
      <c r="AE1241" s="44" t="str">
        <f t="shared" si="85"/>
        <v/>
      </c>
    </row>
    <row r="1242" spans="1:31">
      <c r="A1242" s="153"/>
      <c r="B1242" s="49"/>
      <c r="C1242" s="49" t="s">
        <v>595</v>
      </c>
      <c r="D1242" s="49"/>
      <c r="E1242" s="9">
        <f>+G1242-Adjustments!G1240</f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f>+I1242-'ROR-Model'!I1242</f>
        <v>0</v>
      </c>
      <c r="K1242" s="9"/>
      <c r="L1242" s="9"/>
      <c r="M1242" s="9">
        <v>0</v>
      </c>
      <c r="N1242" s="9">
        <f t="shared" si="91"/>
        <v>0</v>
      </c>
      <c r="O1242" s="136"/>
      <c r="P1242" s="142"/>
      <c r="Q1242" s="9"/>
      <c r="R1242" s="9"/>
      <c r="S1242" s="142"/>
      <c r="T1242" s="9"/>
      <c r="U1242" s="9"/>
      <c r="V1242" s="140"/>
      <c r="W1242" s="9"/>
      <c r="X1242" s="156"/>
      <c r="Y1242" s="918">
        <f t="shared" si="90"/>
        <v>1233</v>
      </c>
      <c r="AA1242" s="9">
        <v>35507079.551395506</v>
      </c>
      <c r="AC1242" s="9">
        <f t="shared" si="84"/>
        <v>-35507079.551395506</v>
      </c>
      <c r="AE1242" s="44">
        <f t="shared" si="85"/>
        <v>-1</v>
      </c>
    </row>
    <row r="1243" spans="1:31">
      <c r="A1243" s="153"/>
      <c r="B1243" s="49"/>
      <c r="C1243" s="49" t="s">
        <v>281</v>
      </c>
      <c r="D1243" s="49"/>
      <c r="E1243" s="9">
        <f>+G1243-Adjustments!G1241</f>
        <v>58319.533854246569</v>
      </c>
      <c r="F1243" s="9">
        <f>F946</f>
        <v>0</v>
      </c>
      <c r="G1243" s="9">
        <f>G946</f>
        <v>0</v>
      </c>
      <c r="H1243" s="9">
        <f>H946</f>
        <v>0</v>
      </c>
      <c r="I1243" s="9">
        <f>I946</f>
        <v>0</v>
      </c>
      <c r="J1243" s="9">
        <f>+I1243-'ROR-Model'!I1243</f>
        <v>0</v>
      </c>
      <c r="K1243" s="9"/>
      <c r="L1243" s="9"/>
      <c r="M1243" s="9">
        <f>M946</f>
        <v>0</v>
      </c>
      <c r="N1243" s="9">
        <f t="shared" si="91"/>
        <v>0</v>
      </c>
      <c r="O1243" s="136"/>
      <c r="P1243" s="142"/>
      <c r="Q1243" s="9"/>
      <c r="R1243" s="9"/>
      <c r="S1243" s="142"/>
      <c r="T1243" s="9"/>
      <c r="U1243" s="9"/>
      <c r="V1243" s="140"/>
      <c r="W1243" s="9"/>
      <c r="X1243" s="156"/>
      <c r="Y1243" s="918">
        <f t="shared" si="90"/>
        <v>1234</v>
      </c>
      <c r="AA1243" s="9"/>
      <c r="AC1243" s="9" t="str">
        <f t="shared" si="84"/>
        <v/>
      </c>
      <c r="AE1243" s="44" t="str">
        <f t="shared" si="85"/>
        <v/>
      </c>
    </row>
    <row r="1244" spans="1:31">
      <c r="A1244" s="153"/>
      <c r="B1244" s="49"/>
      <c r="C1244" s="49" t="s">
        <v>282</v>
      </c>
      <c r="D1244" s="49"/>
      <c r="E1244" s="9">
        <f>+G1244-Adjustments!G1242</f>
        <v>0</v>
      </c>
      <c r="F1244" s="9">
        <f>F948</f>
        <v>0</v>
      </c>
      <c r="G1244" s="9">
        <f>G948</f>
        <v>0</v>
      </c>
      <c r="H1244" s="9">
        <f>H948</f>
        <v>0</v>
      </c>
      <c r="I1244" s="9">
        <f>I948</f>
        <v>0</v>
      </c>
      <c r="J1244" s="9">
        <f>+I1244-'ROR-Model'!I1244</f>
        <v>0</v>
      </c>
      <c r="K1244" s="9"/>
      <c r="L1244" s="9"/>
      <c r="M1244" s="9">
        <f>M948</f>
        <v>0</v>
      </c>
      <c r="N1244" s="9">
        <f t="shared" si="91"/>
        <v>0</v>
      </c>
      <c r="O1244" s="136"/>
      <c r="P1244" s="142"/>
      <c r="Q1244" s="9"/>
      <c r="R1244" s="9"/>
      <c r="S1244" s="142"/>
      <c r="T1244" s="9"/>
      <c r="U1244" s="9"/>
      <c r="V1244" s="140"/>
      <c r="W1244" s="9"/>
      <c r="X1244" s="156"/>
      <c r="Y1244" s="918">
        <f t="shared" si="90"/>
        <v>1235</v>
      </c>
      <c r="AA1244" s="9"/>
      <c r="AC1244" s="9" t="str">
        <f t="shared" si="84"/>
        <v/>
      </c>
      <c r="AE1244" s="44" t="str">
        <f t="shared" si="85"/>
        <v/>
      </c>
    </row>
    <row r="1245" spans="1:31" ht="13.5" thickBot="1">
      <c r="A1245" s="153"/>
      <c r="B1245" s="49"/>
      <c r="C1245" s="49"/>
      <c r="D1245" s="49"/>
      <c r="E1245" s="175">
        <f>+G1245-Adjustments!G1243</f>
        <v>0</v>
      </c>
      <c r="F1245" s="175"/>
      <c r="G1245" s="175"/>
      <c r="H1245" s="175"/>
      <c r="I1245" s="175"/>
      <c r="J1245" s="9">
        <f>+I1245-'ROR-Model'!I1245</f>
        <v>0</v>
      </c>
      <c r="K1245" s="9"/>
      <c r="L1245" s="175"/>
      <c r="M1245" s="175"/>
      <c r="N1245" s="175"/>
      <c r="O1245" s="136"/>
      <c r="P1245" s="229"/>
      <c r="Q1245" s="175"/>
      <c r="R1245" s="175"/>
      <c r="S1245" s="229"/>
      <c r="T1245" s="175"/>
      <c r="U1245" s="175"/>
      <c r="V1245" s="140"/>
      <c r="W1245" s="175"/>
      <c r="X1245" s="156"/>
      <c r="Y1245" s="918">
        <f t="shared" si="90"/>
        <v>1236</v>
      </c>
      <c r="AA1245" s="175"/>
      <c r="AC1245" s="175" t="str">
        <f t="shared" si="84"/>
        <v/>
      </c>
      <c r="AE1245" s="44" t="str">
        <f t="shared" si="85"/>
        <v/>
      </c>
    </row>
    <row r="1246" spans="1:31">
      <c r="A1246" s="153"/>
      <c r="B1246" s="49"/>
      <c r="C1246" s="58" t="s">
        <v>467</v>
      </c>
      <c r="D1246" s="49"/>
      <c r="E1246" s="9">
        <f ca="1">+G1246-Adjustments!G1244</f>
        <v>-3826160.1133574881</v>
      </c>
      <c r="F1246" s="9">
        <f>SUM(F1236:F1244)</f>
        <v>763286182.19595277</v>
      </c>
      <c r="G1246" s="9">
        <f ca="1">SUM(G1236:G1244)</f>
        <v>-3826160.1133574881</v>
      </c>
      <c r="H1246" s="9">
        <f ca="1">SUM(H1236:H1244)</f>
        <v>-691028.9912417978</v>
      </c>
      <c r="I1246" s="9">
        <f ca="1">SUM(I1236:I1244)</f>
        <v>758768993.09135342</v>
      </c>
      <c r="J1246" s="9">
        <f ca="1">+I1246-'ROR-Model'!I1246</f>
        <v>0</v>
      </c>
      <c r="K1246" s="9"/>
      <c r="L1246" s="9"/>
      <c r="M1246" s="9">
        <f ca="1">SUM(M1236:M1244)</f>
        <v>731249657.38503528</v>
      </c>
      <c r="N1246" s="9">
        <f ca="1">SUM(N1236:N1244)</f>
        <v>-16509661.268465597</v>
      </c>
      <c r="O1246" s="136"/>
      <c r="P1246" s="142"/>
      <c r="Q1246" s="9"/>
      <c r="R1246" s="9"/>
      <c r="S1246" s="142"/>
      <c r="T1246" s="9"/>
      <c r="U1246" s="9"/>
      <c r="V1246" s="140"/>
      <c r="W1246" s="9"/>
      <c r="X1246" s="156"/>
      <c r="Y1246" s="918">
        <f t="shared" si="90"/>
        <v>1237</v>
      </c>
      <c r="AA1246" s="9"/>
      <c r="AC1246" s="9" t="str">
        <f t="shared" si="84"/>
        <v/>
      </c>
      <c r="AE1246" s="44" t="str">
        <f t="shared" si="85"/>
        <v/>
      </c>
    </row>
    <row r="1247" spans="1:31">
      <c r="A1247" s="153"/>
      <c r="B1247" s="49"/>
      <c r="C1247" s="58"/>
      <c r="D1247" s="49"/>
      <c r="E1247" s="9">
        <f>+G1247-Adjustments!G1245</f>
        <v>0</v>
      </c>
      <c r="F1247" s="9"/>
      <c r="G1247" s="9"/>
      <c r="H1247" s="9"/>
      <c r="I1247" s="9"/>
      <c r="J1247" s="9">
        <f>+I1247-'ROR-Model'!I1247</f>
        <v>0</v>
      </c>
      <c r="K1247" s="9"/>
      <c r="L1247" s="9"/>
      <c r="M1247" s="9"/>
      <c r="N1247" s="9"/>
      <c r="O1247" s="136"/>
      <c r="P1247" s="142"/>
      <c r="Q1247" s="9"/>
      <c r="R1247" s="9"/>
      <c r="S1247" s="142"/>
      <c r="T1247" s="9"/>
      <c r="U1247" s="9"/>
      <c r="V1247" s="140"/>
      <c r="W1247" s="9"/>
      <c r="X1247" s="156"/>
      <c r="Y1247" s="918">
        <f t="shared" si="90"/>
        <v>1238</v>
      </c>
      <c r="AA1247" s="9"/>
      <c r="AC1247" s="9" t="str">
        <f t="shared" si="84"/>
        <v/>
      </c>
      <c r="AE1247" s="44" t="str">
        <f t="shared" si="85"/>
        <v/>
      </c>
    </row>
    <row r="1248" spans="1:31">
      <c r="A1248" s="153"/>
      <c r="B1248" s="49"/>
      <c r="C1248" s="58" t="s">
        <v>658</v>
      </c>
      <c r="D1248" s="49"/>
      <c r="E1248" s="9">
        <f ca="1">+G1248-Adjustments!G1246</f>
        <v>-10482.630447554762</v>
      </c>
      <c r="F1248" s="9">
        <f>+F1246/365</f>
        <v>2091195.0197149392</v>
      </c>
      <c r="G1248" s="9">
        <f ca="1">+G1246/365</f>
        <v>-10482.630447554762</v>
      </c>
      <c r="H1248" s="9">
        <f ca="1">+H1246/365</f>
        <v>-1893.2301129912269</v>
      </c>
      <c r="I1248" s="9">
        <f ca="1">+I1246/365</f>
        <v>2078819.159154393</v>
      </c>
      <c r="J1248" s="9">
        <f ca="1">+I1248-'ROR-Model'!I1248</f>
        <v>0</v>
      </c>
      <c r="K1248" s="9"/>
      <c r="L1248" s="9"/>
      <c r="M1248" s="9">
        <f ca="1">+M1246/365</f>
        <v>2003423.7188631103</v>
      </c>
      <c r="N1248" s="9">
        <f ca="1">+N1246/365</f>
        <v>-45231.948680727663</v>
      </c>
      <c r="O1248" s="136"/>
      <c r="P1248" s="142"/>
      <c r="Q1248" s="9"/>
      <c r="R1248" s="9"/>
      <c r="S1248" s="142"/>
      <c r="T1248" s="9"/>
      <c r="U1248" s="9"/>
      <c r="V1248" s="140"/>
      <c r="W1248" s="9"/>
      <c r="X1248" s="156"/>
      <c r="Y1248" s="918">
        <f t="shared" si="90"/>
        <v>1239</v>
      </c>
      <c r="AA1248" s="9"/>
      <c r="AC1248" s="9" t="str">
        <f t="shared" si="84"/>
        <v/>
      </c>
      <c r="AE1248" s="44" t="str">
        <f t="shared" si="85"/>
        <v/>
      </c>
    </row>
    <row r="1249" spans="1:31">
      <c r="A1249" s="153"/>
      <c r="B1249" s="49"/>
      <c r="C1249" s="49"/>
      <c r="D1249" s="49"/>
      <c r="E1249" s="9">
        <f>+G1249-Adjustments!G1247</f>
        <v>0</v>
      </c>
      <c r="F1249" s="9"/>
      <c r="G1249" s="9"/>
      <c r="H1249" s="9"/>
      <c r="I1249" s="9"/>
      <c r="J1249" s="9">
        <f>+I1249-'ROR-Model'!I1249</f>
        <v>0</v>
      </c>
      <c r="K1249" s="9"/>
      <c r="L1249" s="9"/>
      <c r="M1249" s="9"/>
      <c r="N1249" s="9"/>
      <c r="O1249" s="136"/>
      <c r="P1249" s="142"/>
      <c r="Q1249" s="9"/>
      <c r="R1249" s="9"/>
      <c r="S1249" s="142"/>
      <c r="T1249" s="9"/>
      <c r="U1249" s="9"/>
      <c r="V1249" s="140"/>
      <c r="W1249" s="9"/>
      <c r="X1249" s="156"/>
      <c r="Y1249" s="918">
        <f t="shared" si="90"/>
        <v>1240</v>
      </c>
      <c r="AA1249" s="9"/>
      <c r="AC1249" s="9" t="str">
        <f t="shared" si="84"/>
        <v/>
      </c>
      <c r="AE1249" s="44" t="str">
        <f t="shared" si="85"/>
        <v/>
      </c>
    </row>
    <row r="1250" spans="1:31">
      <c r="A1250" s="153"/>
      <c r="B1250" s="58" t="s">
        <v>473</v>
      </c>
      <c r="C1250" s="49"/>
      <c r="D1250" s="49"/>
      <c r="E1250" s="237">
        <f>+G1250-Adjustments!G1248</f>
        <v>1.0149999999999999</v>
      </c>
      <c r="F1250" s="237">
        <f>+'Control Panel'!$F$21</f>
        <v>1.0149999999999999</v>
      </c>
      <c r="G1250" s="237">
        <f>+'Control Panel'!$F$21</f>
        <v>1.0149999999999999</v>
      </c>
      <c r="H1250" s="237">
        <f>+'Control Panel'!$F$21</f>
        <v>1.0149999999999999</v>
      </c>
      <c r="I1250" s="237">
        <f>+'Control Panel'!$F$21</f>
        <v>1.0149999999999999</v>
      </c>
      <c r="J1250" s="9">
        <f>+I1250-'ROR-Model'!I1250</f>
        <v>0</v>
      </c>
      <c r="K1250" s="202"/>
      <c r="L1250" s="202"/>
      <c r="M1250" s="237">
        <f>+'Control Panel'!$F$21</f>
        <v>1.0149999999999999</v>
      </c>
      <c r="N1250" s="237">
        <f>+'Control Panel'!$F$21</f>
        <v>1.0149999999999999</v>
      </c>
      <c r="O1250" s="141"/>
      <c r="P1250" s="238"/>
      <c r="Q1250" s="202"/>
      <c r="R1250" s="202"/>
      <c r="S1250" s="238"/>
      <c r="T1250" s="202"/>
      <c r="U1250" s="202"/>
      <c r="V1250" s="140"/>
      <c r="W1250" s="202"/>
      <c r="X1250" s="156"/>
      <c r="Y1250" s="918">
        <f t="shared" si="90"/>
        <v>1241</v>
      </c>
      <c r="AA1250" s="202"/>
      <c r="AC1250" s="202" t="str">
        <f t="shared" si="84"/>
        <v/>
      </c>
      <c r="AE1250" s="44" t="str">
        <f t="shared" si="85"/>
        <v/>
      </c>
    </row>
    <row r="1251" spans="1:31" ht="13.5" thickBot="1">
      <c r="A1251" s="153"/>
      <c r="B1251" s="49"/>
      <c r="C1251" s="49"/>
      <c r="D1251" s="49"/>
      <c r="E1251" s="26">
        <f>+G1251-Adjustments!G1249</f>
        <v>0</v>
      </c>
      <c r="F1251" s="26"/>
      <c r="G1251" s="26"/>
      <c r="H1251" s="26"/>
      <c r="I1251" s="26"/>
      <c r="J1251" s="9">
        <f>+I1251-'ROR-Model'!I1251</f>
        <v>0</v>
      </c>
      <c r="K1251" s="9"/>
      <c r="L1251" s="26"/>
      <c r="M1251" s="26"/>
      <c r="N1251" s="26"/>
      <c r="O1251" s="136"/>
      <c r="P1251" s="227"/>
      <c r="Q1251" s="26"/>
      <c r="R1251" s="26"/>
      <c r="S1251" s="227"/>
      <c r="T1251" s="26"/>
      <c r="U1251" s="26"/>
      <c r="V1251" s="140"/>
      <c r="W1251" s="26"/>
      <c r="X1251" s="156"/>
      <c r="Y1251" s="918">
        <f t="shared" si="90"/>
        <v>1242</v>
      </c>
      <c r="AA1251" s="26"/>
      <c r="AC1251" s="26" t="str">
        <f t="shared" si="84"/>
        <v/>
      </c>
      <c r="AE1251" s="44" t="str">
        <f t="shared" si="85"/>
        <v/>
      </c>
    </row>
    <row r="1252" spans="1:31" ht="13.5" thickTop="1">
      <c r="A1252" s="153"/>
      <c r="B1252" s="49"/>
      <c r="C1252" s="49"/>
      <c r="D1252" s="49"/>
      <c r="E1252" s="9">
        <f>+G1252-Adjustments!G1250</f>
        <v>0</v>
      </c>
      <c r="F1252" s="9"/>
      <c r="G1252" s="9"/>
      <c r="H1252" s="9"/>
      <c r="I1252" s="9"/>
      <c r="J1252" s="9">
        <f>+I1252-'ROR-Model'!I1252</f>
        <v>0</v>
      </c>
      <c r="K1252" s="9"/>
      <c r="L1252" s="9"/>
      <c r="M1252" s="9"/>
      <c r="N1252" s="9"/>
      <c r="O1252" s="136"/>
      <c r="P1252" s="142"/>
      <c r="Q1252" s="9"/>
      <c r="R1252" s="9"/>
      <c r="S1252" s="142"/>
      <c r="T1252" s="9"/>
      <c r="U1252" s="9"/>
      <c r="V1252" s="140"/>
      <c r="W1252" s="9"/>
      <c r="X1252" s="156"/>
      <c r="Y1252" s="918">
        <f t="shared" si="90"/>
        <v>1243</v>
      </c>
      <c r="AA1252" s="9"/>
      <c r="AC1252" s="9" t="str">
        <f t="shared" si="84"/>
        <v/>
      </c>
      <c r="AE1252" s="44" t="str">
        <f t="shared" si="85"/>
        <v/>
      </c>
    </row>
    <row r="1253" spans="1:31">
      <c r="A1253" s="153"/>
      <c r="B1253" s="158" t="s">
        <v>677</v>
      </c>
      <c r="C1253" s="49"/>
      <c r="D1253" s="49"/>
      <c r="E1253" s="9">
        <f ca="1">+G1253-Adjustments!G1251</f>
        <v>-10639.869904268073</v>
      </c>
      <c r="F1253" s="9">
        <f>F1248*F1250</f>
        <v>2122562.945010663</v>
      </c>
      <c r="G1253" s="9">
        <f ca="1">+Adjustments!U1231</f>
        <v>-10639.869904268073</v>
      </c>
      <c r="H1253" s="9">
        <f ca="1">+H1248*H1250</f>
        <v>-1921.6285646860952</v>
      </c>
      <c r="I1253" s="9">
        <f ca="1">+I1248*I1250</f>
        <v>2110001.4465417089</v>
      </c>
      <c r="J1253" s="9">
        <f ca="1">+I1253-'ROR-Model'!I1253</f>
        <v>0</v>
      </c>
      <c r="K1253" s="9"/>
      <c r="L1253" s="9"/>
      <c r="M1253" s="9">
        <f ca="1">+M1248*M1250</f>
        <v>2033475.0746460569</v>
      </c>
      <c r="N1253" s="9">
        <f ca="1">+N1248*N1250</f>
        <v>-45910.427910938575</v>
      </c>
      <c r="O1253" s="136"/>
      <c r="P1253" s="216" t="s">
        <v>549</v>
      </c>
      <c r="Q1253" s="9">
        <f ca="1">IF(P1253="G",M1253,IF(P1253="PT",0,ERR))</f>
        <v>2033475.0746460569</v>
      </c>
      <c r="R1253" s="9">
        <f>IF(P1253="PT",M1253,IF(P1253="G",0,ERR))</f>
        <v>0</v>
      </c>
      <c r="S1253" s="142" t="s">
        <v>549</v>
      </c>
      <c r="T1253" s="9">
        <f ca="1">IF(S1253="G",N1253,IF(S1253="PT",0,ERR))</f>
        <v>-45910.427910938575</v>
      </c>
      <c r="U1253" s="9">
        <f>IF(S1253="PT",N1253,IF(S1253="G",0,ERR))</f>
        <v>0</v>
      </c>
      <c r="V1253" s="140"/>
      <c r="W1253" s="9">
        <f ca="1">HLOOKUP($W$9,'ROR-Model'!$Q$10:$U$1263,Y1253)</f>
        <v>2033475.0746460569</v>
      </c>
      <c r="X1253" s="156"/>
      <c r="Y1253" s="918">
        <f t="shared" si="90"/>
        <v>1244</v>
      </c>
      <c r="AA1253" s="9"/>
      <c r="AC1253" s="9" t="str">
        <f t="shared" si="84"/>
        <v/>
      </c>
      <c r="AE1253" s="44" t="str">
        <f t="shared" si="85"/>
        <v/>
      </c>
    </row>
    <row r="1254" spans="1:31" ht="13.5" thickBot="1">
      <c r="A1254" s="153"/>
      <c r="B1254" s="49"/>
      <c r="C1254" s="49"/>
      <c r="D1254" s="49"/>
      <c r="E1254" s="26">
        <f ca="1">+G1254-Adjustments!G1252</f>
        <v>-10639.869904268082</v>
      </c>
      <c r="F1254" s="26"/>
      <c r="G1254" s="26">
        <f ca="1">G1250*G1248</f>
        <v>-10639.869904268082</v>
      </c>
      <c r="H1254" s="26"/>
      <c r="I1254" s="26"/>
      <c r="J1254" s="9">
        <f>+I1254-'ROR-Model'!I1254</f>
        <v>0</v>
      </c>
      <c r="K1254" s="9"/>
      <c r="L1254" s="26"/>
      <c r="M1254" s="26"/>
      <c r="N1254" s="26"/>
      <c r="O1254" s="136"/>
      <c r="P1254" s="227"/>
      <c r="Q1254" s="26"/>
      <c r="R1254" s="26"/>
      <c r="S1254" s="227"/>
      <c r="T1254" s="26"/>
      <c r="U1254" s="26"/>
      <c r="V1254" s="140"/>
      <c r="W1254" s="26"/>
      <c r="X1254" s="156"/>
      <c r="Y1254" s="918">
        <f t="shared" si="90"/>
        <v>1245</v>
      </c>
      <c r="AA1254" s="26"/>
      <c r="AC1254" s="26" t="str">
        <f t="shared" si="84"/>
        <v/>
      </c>
      <c r="AE1254" s="44" t="str">
        <f t="shared" si="85"/>
        <v/>
      </c>
    </row>
    <row r="1255" spans="1:31" ht="13.5" thickTop="1">
      <c r="A1255" s="153"/>
      <c r="B1255" s="49"/>
      <c r="C1255" s="49"/>
      <c r="D1255" s="49"/>
      <c r="E1255" s="9">
        <f>+G1255-Adjustments!G1253</f>
        <v>0</v>
      </c>
      <c r="F1255" s="9"/>
      <c r="G1255" s="9"/>
      <c r="H1255" s="9"/>
      <c r="I1255" s="9"/>
      <c r="J1255" s="9">
        <f>+I1255-'ROR-Model'!I1255</f>
        <v>0</v>
      </c>
      <c r="K1255" s="9"/>
      <c r="L1255" s="9"/>
      <c r="M1255" s="9"/>
      <c r="N1255" s="9"/>
      <c r="O1255" s="136"/>
      <c r="P1255" s="142"/>
      <c r="Q1255" s="9"/>
      <c r="R1255" s="9"/>
      <c r="S1255" s="142"/>
      <c r="T1255" s="9"/>
      <c r="U1255" s="9"/>
      <c r="V1255" s="140"/>
      <c r="W1255" s="9"/>
      <c r="X1255" s="156"/>
      <c r="Y1255" s="918">
        <f t="shared" si="90"/>
        <v>1246</v>
      </c>
      <c r="AA1255" s="9"/>
      <c r="AC1255" s="9" t="str">
        <f t="shared" si="84"/>
        <v/>
      </c>
      <c r="AE1255" s="44" t="str">
        <f t="shared" si="85"/>
        <v/>
      </c>
    </row>
    <row r="1256" spans="1:31">
      <c r="A1256" s="234" t="s">
        <v>790</v>
      </c>
      <c r="B1256" s="49"/>
      <c r="C1256" s="49"/>
      <c r="D1256" s="49"/>
      <c r="E1256" s="9">
        <f>+G1256-Adjustments!G1254</f>
        <v>0</v>
      </c>
      <c r="F1256" s="9"/>
      <c r="G1256" s="9"/>
      <c r="H1256" s="9"/>
      <c r="I1256" s="9"/>
      <c r="J1256" s="9">
        <f>+I1256-'ROR-Model'!I1256</f>
        <v>0</v>
      </c>
      <c r="K1256" s="9"/>
      <c r="L1256" s="9"/>
      <c r="M1256" s="9"/>
      <c r="N1256" s="9"/>
      <c r="O1256" s="136"/>
      <c r="P1256" s="142"/>
      <c r="Q1256" s="9"/>
      <c r="R1256" s="9"/>
      <c r="S1256" s="142"/>
      <c r="T1256" s="9"/>
      <c r="U1256" s="9"/>
      <c r="V1256" s="140"/>
      <c r="W1256" s="9"/>
      <c r="X1256" s="156"/>
      <c r="Y1256" s="918">
        <f t="shared" si="90"/>
        <v>1247</v>
      </c>
      <c r="AA1256" s="9"/>
      <c r="AC1256" s="9" t="str">
        <f t="shared" si="84"/>
        <v/>
      </c>
      <c r="AE1256" s="44" t="str">
        <f t="shared" si="85"/>
        <v/>
      </c>
    </row>
    <row r="1257" spans="1:31">
      <c r="A1257" s="130"/>
      <c r="B1257" s="49" t="s">
        <v>427</v>
      </c>
      <c r="C1257" s="49"/>
      <c r="D1257" s="49"/>
      <c r="E1257" s="9">
        <f>+G1257-Adjustments!G1255</f>
        <v>-53031763.112698764</v>
      </c>
      <c r="F1257" s="9">
        <f t="shared" ref="F1257:I1259" si="92">F1225</f>
        <v>56474289.469999999</v>
      </c>
      <c r="G1257" s="9">
        <f t="shared" si="92"/>
        <v>-53031763.112698764</v>
      </c>
      <c r="H1257" s="9">
        <f t="shared" si="92"/>
        <v>0</v>
      </c>
      <c r="I1257" s="9">
        <f>I1225</f>
        <v>3442526.3573012305</v>
      </c>
      <c r="J1257" s="9">
        <f>+I1257-'ROR-Model'!I1257</f>
        <v>0</v>
      </c>
      <c r="K1257" s="9"/>
      <c r="L1257" s="9"/>
      <c r="M1257" s="9">
        <f t="shared" ref="M1257:N1259" si="93">M1225</f>
        <v>3321347.973106903</v>
      </c>
      <c r="N1257" s="9">
        <f t="shared" si="93"/>
        <v>121178.38419431078</v>
      </c>
      <c r="O1257" s="136"/>
      <c r="P1257" s="216"/>
      <c r="Q1257" s="9">
        <f t="shared" ref="Q1257:R1259" si="94">Q1225</f>
        <v>3321347.973106903</v>
      </c>
      <c r="R1257" s="9">
        <f t="shared" si="94"/>
        <v>0</v>
      </c>
      <c r="S1257" s="142"/>
      <c r="T1257" s="9">
        <f t="shared" ref="T1257:U1259" si="95">T1225</f>
        <v>0</v>
      </c>
      <c r="U1257" s="9">
        <f t="shared" si="95"/>
        <v>121178.38419431078</v>
      </c>
      <c r="V1257" s="140"/>
      <c r="W1257" s="9">
        <f>HLOOKUP($W$9,'ROR-Model'!$Q$10:$U$1263,Y1257)</f>
        <v>3321347.973106903</v>
      </c>
      <c r="X1257" s="156"/>
      <c r="Y1257" s="918">
        <f t="shared" si="90"/>
        <v>1248</v>
      </c>
      <c r="AA1257" s="9"/>
      <c r="AC1257" s="9" t="str">
        <f t="shared" si="84"/>
        <v/>
      </c>
      <c r="AE1257" s="44" t="str">
        <f t="shared" si="85"/>
        <v/>
      </c>
    </row>
    <row r="1258" spans="1:31">
      <c r="A1258" s="130"/>
      <c r="B1258" s="49" t="s">
        <v>581</v>
      </c>
      <c r="C1258" s="49"/>
      <c r="D1258" s="49"/>
      <c r="E1258" s="9">
        <f>+G1258-Adjustments!G1256</f>
        <v>-3679349.0336390394</v>
      </c>
      <c r="F1258" s="9">
        <f>F1226</f>
        <v>42619523.404334627</v>
      </c>
      <c r="G1258" s="9">
        <f t="shared" si="92"/>
        <v>-3679349.0336390394</v>
      </c>
      <c r="H1258" s="9">
        <f t="shared" si="92"/>
        <v>0</v>
      </c>
      <c r="I1258" s="9">
        <f t="shared" si="92"/>
        <v>38940174.370695584</v>
      </c>
      <c r="J1258" s="9">
        <f>+I1258-'ROR-Model'!I1258</f>
        <v>0</v>
      </c>
      <c r="K1258" s="9"/>
      <c r="L1258" s="9"/>
      <c r="M1258" s="9">
        <f t="shared" si="93"/>
        <v>0</v>
      </c>
      <c r="N1258" s="9">
        <f t="shared" si="93"/>
        <v>38940174.370695591</v>
      </c>
      <c r="O1258" s="136"/>
      <c r="P1258" s="216"/>
      <c r="Q1258" s="9">
        <f t="shared" si="94"/>
        <v>0</v>
      </c>
      <c r="R1258" s="9">
        <f t="shared" si="94"/>
        <v>0</v>
      </c>
      <c r="S1258" s="142"/>
      <c r="T1258" s="9">
        <f t="shared" si="95"/>
        <v>38940174.370695591</v>
      </c>
      <c r="U1258" s="9">
        <f t="shared" si="95"/>
        <v>0</v>
      </c>
      <c r="V1258" s="140"/>
      <c r="W1258" s="9">
        <f>HLOOKUP($W$9,'ROR-Model'!$Q$10:$U$1263,Y1258)</f>
        <v>0</v>
      </c>
      <c r="X1258" s="156"/>
      <c r="Y1258" s="918">
        <f t="shared" si="90"/>
        <v>1249</v>
      </c>
      <c r="AA1258" s="9"/>
      <c r="AC1258" s="9" t="str">
        <f t="shared" si="84"/>
        <v/>
      </c>
      <c r="AE1258" s="44" t="str">
        <f t="shared" si="85"/>
        <v/>
      </c>
    </row>
    <row r="1259" spans="1:31">
      <c r="A1259" s="130"/>
      <c r="B1259" s="49" t="s">
        <v>582</v>
      </c>
      <c r="C1259" s="49"/>
      <c r="D1259" s="49"/>
      <c r="E1259" s="9">
        <f>+G1259-Adjustments!G1257</f>
        <v>-307245842.72736096</v>
      </c>
      <c r="F1259" s="9">
        <f t="shared" si="92"/>
        <v>1523491454.2176654</v>
      </c>
      <c r="G1259" s="9">
        <f t="shared" si="92"/>
        <v>-307245842.72736096</v>
      </c>
      <c r="H1259" s="9">
        <f t="shared" si="92"/>
        <v>0</v>
      </c>
      <c r="I1259" s="9">
        <f t="shared" si="92"/>
        <v>1216245611.4903045</v>
      </c>
      <c r="J1259" s="9">
        <f>+I1259-'ROR-Model'!I1259</f>
        <v>0</v>
      </c>
      <c r="K1259" s="9"/>
      <c r="L1259" s="9"/>
      <c r="M1259" s="9">
        <f t="shared" si="93"/>
        <v>1216245611.4903045</v>
      </c>
      <c r="N1259" s="9">
        <f t="shared" si="93"/>
        <v>0</v>
      </c>
      <c r="O1259" s="136"/>
      <c r="P1259" s="216"/>
      <c r="Q1259" s="9">
        <f t="shared" si="94"/>
        <v>1216245611.4903045</v>
      </c>
      <c r="R1259" s="9">
        <f t="shared" si="94"/>
        <v>0</v>
      </c>
      <c r="S1259" s="142"/>
      <c r="T1259" s="9">
        <f t="shared" si="95"/>
        <v>0</v>
      </c>
      <c r="U1259" s="9">
        <f t="shared" si="95"/>
        <v>0</v>
      </c>
      <c r="V1259" s="140"/>
      <c r="W1259" s="9">
        <f>HLOOKUP($W$9,'ROR-Model'!$Q$10:$U$1263,Y1259)</f>
        <v>1216245611.4903045</v>
      </c>
      <c r="X1259" s="156"/>
      <c r="Y1259" s="918">
        <f t="shared" si="90"/>
        <v>1250</v>
      </c>
      <c r="AA1259" s="9"/>
      <c r="AC1259" s="9" t="str">
        <f t="shared" si="84"/>
        <v/>
      </c>
      <c r="AE1259" s="44" t="str">
        <f t="shared" si="85"/>
        <v/>
      </c>
    </row>
    <row r="1260" spans="1:31">
      <c r="A1260" s="130"/>
      <c r="B1260" s="49" t="s">
        <v>584</v>
      </c>
      <c r="C1260" s="49"/>
      <c r="D1260" s="49"/>
      <c r="E1260" s="9">
        <f ca="1">+G1260-Adjustments!G1258</f>
        <v>230585587.94551235</v>
      </c>
      <c r="F1260" s="9">
        <f>F1228+F1253</f>
        <v>-110683834.64498936</v>
      </c>
      <c r="G1260" s="9">
        <f ca="1">G1228+G1253</f>
        <v>230585587.94551235</v>
      </c>
      <c r="H1260" s="9">
        <f ca="1">H1228+H1253</f>
        <v>-1921.6285646860952</v>
      </c>
      <c r="I1260" s="9">
        <f ca="1">I1228+I1253</f>
        <v>119899831.67195831</v>
      </c>
      <c r="J1260" s="9">
        <f ca="1">+I1260-'ROR-Model'!I1260</f>
        <v>0</v>
      </c>
      <c r="K1260" s="9"/>
      <c r="L1260" s="9"/>
      <c r="M1260" s="9">
        <f ca="1">M1228+M1253</f>
        <v>113448357.9705147</v>
      </c>
      <c r="N1260" s="9">
        <f ca="1">N1228+N1253</f>
        <v>6329036.9016370336</v>
      </c>
      <c r="O1260" s="136"/>
      <c r="P1260" s="216"/>
      <c r="Q1260" s="9">
        <f ca="1">Q1228+Q1253</f>
        <v>113448357.9705147</v>
      </c>
      <c r="R1260" s="9">
        <f>R1228+R1253</f>
        <v>0</v>
      </c>
      <c r="S1260" s="142"/>
      <c r="T1260" s="9">
        <f ca="1">T1228+T1253</f>
        <v>6329036.9016370336</v>
      </c>
      <c r="U1260" s="9">
        <f>U1228+U1253</f>
        <v>0</v>
      </c>
      <c r="V1260" s="140"/>
      <c r="W1260" s="9">
        <f ca="1">HLOOKUP($W$9,'ROR-Model'!$Q$10:$U$1263,Y1260)</f>
        <v>113448357.9705147</v>
      </c>
      <c r="X1260" s="156"/>
      <c r="Y1260" s="918">
        <f t="shared" si="90"/>
        <v>1251</v>
      </c>
      <c r="AA1260" s="9"/>
      <c r="AC1260" s="9" t="str">
        <f t="shared" si="84"/>
        <v/>
      </c>
      <c r="AE1260" s="44" t="str">
        <f t="shared" si="85"/>
        <v/>
      </c>
    </row>
    <row r="1261" spans="1:31" ht="13.5" thickBot="1">
      <c r="A1261" s="130"/>
      <c r="B1261" s="49"/>
      <c r="C1261" s="49"/>
      <c r="D1261" s="49"/>
      <c r="E1261" s="26">
        <f>+G1261-Adjustments!G1259</f>
        <v>0</v>
      </c>
      <c r="F1261" s="26"/>
      <c r="G1261" s="26"/>
      <c r="H1261" s="26"/>
      <c r="I1261" s="26"/>
      <c r="J1261" s="9">
        <f>+I1261-'ROR-Model'!I1261</f>
        <v>0</v>
      </c>
      <c r="K1261" s="9"/>
      <c r="L1261" s="26"/>
      <c r="M1261" s="26"/>
      <c r="N1261" s="26"/>
      <c r="O1261" s="136"/>
      <c r="P1261" s="227"/>
      <c r="Q1261" s="26"/>
      <c r="R1261" s="26"/>
      <c r="S1261" s="227"/>
      <c r="T1261" s="26"/>
      <c r="U1261" s="26"/>
      <c r="V1261" s="140"/>
      <c r="W1261" s="26"/>
      <c r="X1261" s="156"/>
      <c r="Y1261" s="918">
        <f t="shared" si="90"/>
        <v>1252</v>
      </c>
      <c r="AA1261" s="26"/>
      <c r="AC1261" s="26" t="str">
        <f t="shared" si="84"/>
        <v/>
      </c>
      <c r="AE1261" s="44" t="str">
        <f t="shared" si="85"/>
        <v/>
      </c>
    </row>
    <row r="1262" spans="1:31" ht="13.5" thickTop="1">
      <c r="A1262" s="130"/>
      <c r="B1262" s="49"/>
      <c r="C1262" s="49"/>
      <c r="D1262" s="49"/>
      <c r="E1262" s="9">
        <f>+G1262-Adjustments!G1260</f>
        <v>0</v>
      </c>
      <c r="F1262" s="9"/>
      <c r="G1262" s="9"/>
      <c r="H1262" s="9"/>
      <c r="I1262" s="9"/>
      <c r="J1262" s="9">
        <f>+I1262-'ROR-Model'!I1262</f>
        <v>0</v>
      </c>
      <c r="K1262" s="9"/>
      <c r="L1262" s="9"/>
      <c r="M1262" s="9"/>
      <c r="N1262" s="9"/>
      <c r="O1262" s="136"/>
      <c r="P1262" s="216"/>
      <c r="Q1262" s="9"/>
      <c r="R1262" s="9"/>
      <c r="S1262" s="142"/>
      <c r="T1262" s="9"/>
      <c r="U1262" s="9"/>
      <c r="V1262" s="140"/>
      <c r="W1262" s="9"/>
      <c r="X1262" s="156"/>
      <c r="Y1262" s="918">
        <f t="shared" si="90"/>
        <v>1253</v>
      </c>
      <c r="AA1262" s="9"/>
      <c r="AC1262" s="9" t="str">
        <f t="shared" si="84"/>
        <v/>
      </c>
      <c r="AE1262" s="44" t="str">
        <f t="shared" si="85"/>
        <v/>
      </c>
    </row>
    <row r="1263" spans="1:31">
      <c r="A1263" s="153"/>
      <c r="B1263" s="158" t="s">
        <v>790</v>
      </c>
      <c r="C1263" s="49"/>
      <c r="D1263" s="49"/>
      <c r="E1263" s="9">
        <f ca="1">+G1263-Adjustments!G1261</f>
        <v>-133371366.9281864</v>
      </c>
      <c r="F1263" s="9">
        <f>F1231+F1253</f>
        <v>1511901432.447011</v>
      </c>
      <c r="G1263" s="9">
        <f ca="1">G1231+G1253</f>
        <v>-133371366.9281864</v>
      </c>
      <c r="H1263" s="9">
        <f ca="1">H1231+H1253</f>
        <v>-1921.6285646860952</v>
      </c>
      <c r="I1263" s="9">
        <f ca="1">I1231+I1253</f>
        <v>1378528143.8902602</v>
      </c>
      <c r="J1263" s="9">
        <f ca="1">+I1263-'ROR-Model'!I1263</f>
        <v>0</v>
      </c>
      <c r="K1263" s="9"/>
      <c r="L1263" s="9"/>
      <c r="M1263" s="9">
        <f ca="1">M1231+M1253</f>
        <v>1333015317.4339263</v>
      </c>
      <c r="N1263" s="9">
        <f ca="1">N1231+N1253</f>
        <v>45390389.65652696</v>
      </c>
      <c r="O1263" s="136"/>
      <c r="P1263" s="216"/>
      <c r="Q1263" s="9">
        <f ca="1">Q1231+Q1253</f>
        <v>1333015317.4339263</v>
      </c>
      <c r="R1263" s="9">
        <f>R1231+R1253</f>
        <v>0</v>
      </c>
      <c r="S1263" s="142"/>
      <c r="T1263" s="9">
        <f ca="1">T1231+T1253</f>
        <v>45269211.272332646</v>
      </c>
      <c r="U1263" s="9">
        <f>U1231+U1253</f>
        <v>121178.38419431078</v>
      </c>
      <c r="V1263" s="140"/>
      <c r="W1263" s="9">
        <f ca="1">HLOOKUP($W$9,'ROR-Model'!$Q$10:$U$1263,Y1263)</f>
        <v>1333015317.4339263</v>
      </c>
      <c r="X1263" s="156"/>
      <c r="Y1263" s="918">
        <f t="shared" si="90"/>
        <v>1254</v>
      </c>
      <c r="AA1263" s="9"/>
      <c r="AC1263" s="9" t="str">
        <f t="shared" si="84"/>
        <v/>
      </c>
      <c r="AE1263" s="44" t="str">
        <f t="shared" si="85"/>
        <v/>
      </c>
    </row>
    <row r="1264" spans="1:31">
      <c r="AA1264" s="2">
        <v>-68856.344514277676</v>
      </c>
    </row>
    <row r="1268" spans="27:27">
      <c r="AA1268" s="2">
        <v>0</v>
      </c>
    </row>
    <row r="1269" spans="27:27">
      <c r="AA1269" s="2">
        <v>30906348.376630582</v>
      </c>
    </row>
    <row r="1270" spans="27:27">
      <c r="AA1270" s="2">
        <v>0</v>
      </c>
    </row>
    <row r="1271" spans="27:27">
      <c r="AA1271" s="2">
        <v>4531874.8302506348</v>
      </c>
    </row>
    <row r="1274" spans="27:27">
      <c r="AA1274" s="2">
        <v>35438223.206881225</v>
      </c>
    </row>
  </sheetData>
  <mergeCells count="15">
    <mergeCell ref="T7:U7"/>
    <mergeCell ref="P2:U2"/>
    <mergeCell ref="S8:U8"/>
    <mergeCell ref="P3:U3"/>
    <mergeCell ref="P4:U4"/>
    <mergeCell ref="P6:R6"/>
    <mergeCell ref="P5:U5"/>
    <mergeCell ref="P8:R8"/>
    <mergeCell ref="Q7:R7"/>
    <mergeCell ref="A959:D959"/>
    <mergeCell ref="A8:B8"/>
    <mergeCell ref="A9:B9"/>
    <mergeCell ref="C9:D9"/>
    <mergeCell ref="A11:D11"/>
    <mergeCell ref="A515:D515"/>
  </mergeCells>
  <phoneticPr fontId="0" type="noConversion"/>
  <printOptions headings="1"/>
  <pageMargins left="0.2" right="0.23" top="0.17" bottom="0.23" header="0.17" footer="0.5"/>
  <pageSetup scale="38" fitToHeight="0" pageOrder="overThenDown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U75"/>
  <sheetViews>
    <sheetView workbookViewId="0">
      <selection activeCell="J25" sqref="J25"/>
    </sheetView>
  </sheetViews>
  <sheetFormatPr defaultColWidth="9.140625" defaultRowHeight="12.75"/>
  <cols>
    <col min="1" max="1" width="4.7109375" style="2" customWidth="1"/>
    <col min="2" max="2" width="34" style="2" customWidth="1"/>
    <col min="3" max="3" width="15" style="2" customWidth="1"/>
    <col min="4" max="5" width="15.85546875" style="2" hidden="1" customWidth="1"/>
    <col min="6" max="6" width="15.85546875" style="2" customWidth="1"/>
    <col min="7" max="7" width="14" style="2" customWidth="1"/>
    <col min="8" max="8" width="14" style="2" bestFit="1" customWidth="1"/>
    <col min="9" max="9" width="4.7109375" style="2" customWidth="1"/>
    <col min="10" max="10" width="3.7109375" style="2" customWidth="1"/>
    <col min="11" max="11" width="29" style="2" bestFit="1" customWidth="1"/>
    <col min="12" max="12" width="15.140625" style="2" bestFit="1" customWidth="1"/>
    <col min="13" max="13" width="1.7109375" style="2" customWidth="1"/>
    <col min="14" max="14" width="14" style="2" customWidth="1"/>
    <col min="15" max="18" width="11.7109375" style="2" customWidth="1"/>
    <col min="19" max="19" width="16" style="2" bestFit="1" customWidth="1"/>
    <col min="20" max="20" width="13.85546875" style="2" customWidth="1"/>
    <col min="21" max="23" width="9.140625" style="2"/>
    <col min="24" max="24" width="17.28515625" style="2" bestFit="1" customWidth="1"/>
    <col min="25" max="25" width="13.42578125" style="2" bestFit="1" customWidth="1"/>
    <col min="26" max="26" width="9.140625" style="2"/>
    <col min="27" max="27" width="12.7109375" style="2" bestFit="1" customWidth="1"/>
    <col min="28" max="28" width="11.42578125" style="2" bestFit="1" customWidth="1"/>
    <col min="29" max="29" width="9.5703125" style="2" bestFit="1" customWidth="1"/>
    <col min="30" max="30" width="9.28515625" style="2" bestFit="1" customWidth="1"/>
    <col min="31" max="31" width="12.140625" style="2" bestFit="1" customWidth="1"/>
    <col min="32" max="32" width="16" style="2" bestFit="1" customWidth="1"/>
    <col min="33" max="33" width="14.140625" style="2" bestFit="1" customWidth="1"/>
    <col min="34" max="16384" width="9.140625" style="2"/>
  </cols>
  <sheetData>
    <row r="1" spans="2:21">
      <c r="B1" s="14" t="str">
        <f>'Control Panel'!$B$2</f>
        <v>Utah - Dec 2017 Adjusted Avg Results</v>
      </c>
      <c r="E1" s="68"/>
      <c r="K1" s="249"/>
      <c r="L1" s="57"/>
      <c r="M1" s="57"/>
      <c r="N1" s="57"/>
      <c r="O1" s="57"/>
      <c r="P1" s="109"/>
      <c r="Q1" s="57"/>
      <c r="R1" s="57"/>
      <c r="S1" s="57"/>
      <c r="T1" s="173"/>
    </row>
    <row r="2" spans="2:21">
      <c r="B2" s="14" t="str">
        <f>'Control Panel'!$B$3</f>
        <v>12 Months Ended : Dec-2017</v>
      </c>
    </row>
    <row r="3" spans="2:21">
      <c r="B3" s="14" t="str">
        <f>'Control Panel'!$B$4</f>
        <v>Capital Structure : ORDERED CAP STR 13-057-05</v>
      </c>
    </row>
    <row r="4" spans="2:21">
      <c r="B4" s="14"/>
      <c r="C4" s="1424"/>
      <c r="D4" s="1424"/>
      <c r="E4" s="241"/>
      <c r="F4" s="241"/>
    </row>
    <row r="5" spans="2:21">
      <c r="C5" s="89"/>
      <c r="E5" s="7"/>
    </row>
    <row r="7" spans="2:21">
      <c r="C7" s="132" t="s">
        <v>791</v>
      </c>
      <c r="D7" s="132"/>
      <c r="E7" s="3"/>
      <c r="F7" s="3"/>
      <c r="J7" s="249" t="s">
        <v>834</v>
      </c>
      <c r="K7" s="249"/>
      <c r="L7" s="249"/>
    </row>
    <row r="8" spans="2:21">
      <c r="C8" s="3" t="s">
        <v>784</v>
      </c>
      <c r="D8" s="3" t="s">
        <v>785</v>
      </c>
      <c r="E8" s="3" t="s">
        <v>786</v>
      </c>
      <c r="F8" s="1201" t="s">
        <v>785</v>
      </c>
      <c r="G8" s="3"/>
      <c r="J8" s="1423" t="s">
        <v>972</v>
      </c>
      <c r="K8" s="1423" t="s">
        <v>972</v>
      </c>
      <c r="L8" s="881" t="s">
        <v>784</v>
      </c>
      <c r="M8" s="881"/>
      <c r="N8" s="881" t="s">
        <v>785</v>
      </c>
      <c r="O8" s="3" t="s">
        <v>786</v>
      </c>
      <c r="P8" s="3" t="s">
        <v>787</v>
      </c>
      <c r="Q8" s="3" t="s">
        <v>766</v>
      </c>
      <c r="R8" s="3" t="s">
        <v>767</v>
      </c>
      <c r="S8" s="3" t="s">
        <v>549</v>
      </c>
      <c r="T8" s="3" t="s">
        <v>753</v>
      </c>
    </row>
    <row r="9" spans="2:21">
      <c r="C9" s="4" t="s">
        <v>43</v>
      </c>
      <c r="D9" s="250" t="s">
        <v>13</v>
      </c>
      <c r="E9" s="250" t="s">
        <v>24</v>
      </c>
      <c r="F9" s="250" t="str">
        <f>'Control Panel'!F11</f>
        <v>Utah</v>
      </c>
      <c r="G9" s="250"/>
      <c r="J9" s="1423" t="s">
        <v>973</v>
      </c>
      <c r="K9" s="1423"/>
      <c r="L9" s="46"/>
    </row>
    <row r="10" spans="2:21" ht="13.5" thickBot="1">
      <c r="C10" s="101" t="s">
        <v>160</v>
      </c>
      <c r="D10" s="101" t="s">
        <v>46</v>
      </c>
      <c r="E10" s="79" t="s">
        <v>46</v>
      </c>
      <c r="F10" s="79" t="s">
        <v>46</v>
      </c>
      <c r="G10" s="101"/>
      <c r="J10" s="47" t="s">
        <v>1627</v>
      </c>
      <c r="K10" s="251"/>
      <c r="L10" s="106" t="s">
        <v>160</v>
      </c>
      <c r="M10" s="106"/>
      <c r="N10" s="106" t="s">
        <v>29</v>
      </c>
      <c r="O10" s="106" t="s">
        <v>443</v>
      </c>
      <c r="P10" s="106" t="s">
        <v>770</v>
      </c>
      <c r="Q10" s="106" t="s">
        <v>771</v>
      </c>
      <c r="R10" s="106" t="s">
        <v>772</v>
      </c>
      <c r="S10" s="106" t="s">
        <v>13</v>
      </c>
      <c r="T10" s="106" t="s">
        <v>24</v>
      </c>
    </row>
    <row r="11" spans="2:21">
      <c r="B11" s="485" t="s">
        <v>596</v>
      </c>
      <c r="C11" s="486"/>
      <c r="D11" s="486"/>
      <c r="E11" s="470"/>
      <c r="F11" s="470"/>
      <c r="G11" s="475"/>
      <c r="I11" s="4">
        <v>1</v>
      </c>
      <c r="J11" s="252" t="s">
        <v>3</v>
      </c>
      <c r="K11" s="252"/>
      <c r="L11" s="1278"/>
      <c r="M11" s="68"/>
      <c r="N11" s="1279">
        <v>4.6300000000000001E-2</v>
      </c>
      <c r="O11" s="1280">
        <v>7.3999999999999996E-2</v>
      </c>
      <c r="P11" s="1280">
        <v>6.7500000000000004E-2</v>
      </c>
      <c r="Q11" s="1280">
        <v>0</v>
      </c>
      <c r="R11" s="1280">
        <v>7.5999999999999998E-2</v>
      </c>
      <c r="S11" s="1280">
        <v>0.05</v>
      </c>
      <c r="T11" s="1280">
        <v>0</v>
      </c>
    </row>
    <row r="12" spans="2:21">
      <c r="B12" s="480" t="s">
        <v>557</v>
      </c>
      <c r="C12" s="441">
        <f>$L$20</f>
        <v>0.35</v>
      </c>
      <c r="D12" s="441">
        <f>$L$20</f>
        <v>0.35</v>
      </c>
      <c r="E12" s="441">
        <f>$L$20</f>
        <v>0.35</v>
      </c>
      <c r="F12" s="441">
        <f>HLOOKUP($F$9,Taxes,4)</f>
        <v>0.35</v>
      </c>
      <c r="G12" s="613" t="s">
        <v>598</v>
      </c>
      <c r="I12" s="4">
        <v>2</v>
      </c>
      <c r="J12" s="55" t="s">
        <v>831</v>
      </c>
      <c r="K12" s="55"/>
      <c r="L12" s="572"/>
      <c r="M12" s="68"/>
      <c r="N12" s="498"/>
      <c r="O12" s="68"/>
      <c r="P12" s="68"/>
      <c r="Q12" s="68"/>
      <c r="R12" s="68"/>
      <c r="S12" s="68"/>
      <c r="T12" s="68"/>
    </row>
    <row r="13" spans="2:21">
      <c r="B13" s="480" t="s">
        <v>558</v>
      </c>
      <c r="C13" s="423">
        <f>$L$18</f>
        <v>4.7530099999999999E-2</v>
      </c>
      <c r="D13" s="423">
        <f>$L$18</f>
        <v>4.7530099999999999E-2</v>
      </c>
      <c r="E13" s="423">
        <f>$L$18</f>
        <v>4.7530099999999999E-2</v>
      </c>
      <c r="F13" s="423">
        <f>HLOOKUP($F$9,Taxes,5)</f>
        <v>4.7530099999999999E-2</v>
      </c>
      <c r="G13" s="567" t="s">
        <v>599</v>
      </c>
      <c r="I13" s="4">
        <v>3</v>
      </c>
      <c r="K13" s="254" t="s">
        <v>974</v>
      </c>
      <c r="L13" s="112">
        <v>2446044422.6700001</v>
      </c>
      <c r="M13" s="68"/>
      <c r="N13" s="112">
        <v>21521802</v>
      </c>
      <c r="O13" s="112">
        <v>5824227</v>
      </c>
      <c r="P13" s="112">
        <v>122836.66</v>
      </c>
      <c r="Q13" s="112">
        <v>0</v>
      </c>
      <c r="R13" s="112">
        <v>250626.01</v>
      </c>
      <c r="S13" s="112">
        <v>2282002956</v>
      </c>
      <c r="T13" s="112">
        <v>136321975</v>
      </c>
      <c r="U13" s="1"/>
    </row>
    <row r="14" spans="2:21">
      <c r="B14" s="480" t="s">
        <v>559</v>
      </c>
      <c r="C14" s="423">
        <f>'Capital Str'!$D$7</f>
        <v>0.47933429200017746</v>
      </c>
      <c r="D14" s="423">
        <f>'Capital Str'!$D$7</f>
        <v>0.47933429200017746</v>
      </c>
      <c r="E14" s="423">
        <f>'Capital Str'!$D$7</f>
        <v>0.47933429200017746</v>
      </c>
      <c r="F14" s="423">
        <f>HLOOKUP($F$9,Taxes,6)</f>
        <v>0.47933429200017746</v>
      </c>
      <c r="G14" s="614" t="s">
        <v>600</v>
      </c>
      <c r="I14" s="4">
        <v>4</v>
      </c>
      <c r="K14" s="57" t="s">
        <v>773</v>
      </c>
      <c r="L14" s="112">
        <v>921835703</v>
      </c>
      <c r="M14" s="68"/>
      <c r="N14" s="112">
        <v>1535517</v>
      </c>
      <c r="O14" s="112">
        <v>1865258</v>
      </c>
      <c r="P14" s="112">
        <v>6969</v>
      </c>
      <c r="Q14" s="112">
        <v>0</v>
      </c>
      <c r="R14" s="112">
        <v>290188</v>
      </c>
      <c r="S14" s="112">
        <v>868114555</v>
      </c>
      <c r="T14" s="112">
        <v>50023216</v>
      </c>
      <c r="U14" s="1"/>
    </row>
    <row r="15" spans="2:21">
      <c r="B15" s="480" t="s">
        <v>560</v>
      </c>
      <c r="C15" s="423">
        <f>'Capital Str'!$E$7</f>
        <v>5.2455893909448444E-2</v>
      </c>
      <c r="D15" s="423">
        <f>'Capital Str'!$E$7</f>
        <v>5.2455893909448444E-2</v>
      </c>
      <c r="E15" s="423">
        <f>'Capital Str'!$E$7</f>
        <v>5.2455893909448444E-2</v>
      </c>
      <c r="F15" s="423">
        <f>HLOOKUP($F$9,Taxes,7)</f>
        <v>5.2455893909448444E-2</v>
      </c>
      <c r="G15" s="614" t="s">
        <v>601</v>
      </c>
      <c r="I15" s="4">
        <v>5</v>
      </c>
      <c r="K15" s="57" t="s">
        <v>66</v>
      </c>
      <c r="L15" s="112">
        <v>75055100</v>
      </c>
      <c r="M15" s="68"/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72403596</v>
      </c>
      <c r="T15" s="112">
        <v>2651504</v>
      </c>
      <c r="U15" s="1"/>
    </row>
    <row r="16" spans="2:21">
      <c r="B16" s="480" t="s">
        <v>561</v>
      </c>
      <c r="C16" s="469">
        <f>'Control Panel'!$F$21</f>
        <v>1.0149999999999999</v>
      </c>
      <c r="D16" s="469">
        <f>'Control Panel'!$F$21</f>
        <v>1.0149999999999999</v>
      </c>
      <c r="E16" s="469">
        <f>'Control Panel'!$F$21</f>
        <v>1.0149999999999999</v>
      </c>
      <c r="F16" s="469">
        <f>HLOOKUP($F$9,Taxes,8)</f>
        <v>1.0149999999999999</v>
      </c>
      <c r="G16" s="567" t="s">
        <v>602</v>
      </c>
      <c r="I16" s="4">
        <v>6</v>
      </c>
      <c r="K16" s="57" t="s">
        <v>67</v>
      </c>
      <c r="L16" s="1275">
        <v>0.99831599999999987</v>
      </c>
      <c r="M16" s="68"/>
      <c r="N16" s="1275">
        <v>1.6659999999999999E-3</v>
      </c>
      <c r="O16" s="1275">
        <v>1.6069999999999999E-3</v>
      </c>
      <c r="P16" s="1275">
        <v>1.9000000000000001E-5</v>
      </c>
      <c r="Q16" s="1275">
        <v>0</v>
      </c>
      <c r="R16" s="1275">
        <v>1.3899999999999999E-4</v>
      </c>
      <c r="S16" s="1275">
        <v>0.94644399999999995</v>
      </c>
      <c r="T16" s="1275">
        <v>4.8440999999999998E-2</v>
      </c>
      <c r="U16" s="882"/>
    </row>
    <row r="17" spans="2:21">
      <c r="B17" s="480" t="s">
        <v>783</v>
      </c>
      <c r="C17" s="167">
        <f>'ROR-Model'!I512</f>
        <v>919337816.77999997</v>
      </c>
      <c r="D17" s="167">
        <f>'ROR-Model'!M512</f>
        <v>886796817.7207737</v>
      </c>
      <c r="E17" s="167">
        <f>'ROR-Model'!N512-'ROR-Model'!N325</f>
        <v>32364039.059226301</v>
      </c>
      <c r="F17" s="167">
        <f>HLOOKUP($F$9,Taxes,9)</f>
        <v>886796817.7207737</v>
      </c>
      <c r="G17" s="615" t="s">
        <v>603</v>
      </c>
      <c r="H17" s="147"/>
      <c r="I17" s="4"/>
      <c r="J17" s="55"/>
      <c r="K17" s="55"/>
      <c r="L17" s="1275"/>
      <c r="M17" s="68"/>
      <c r="N17" s="1275"/>
      <c r="O17" s="1275"/>
      <c r="P17" s="1275"/>
      <c r="Q17" s="1275"/>
      <c r="R17" s="1275"/>
      <c r="S17" s="1275"/>
      <c r="T17" s="1275"/>
      <c r="U17" s="882"/>
    </row>
    <row r="18" spans="2:21">
      <c r="B18" s="480" t="s">
        <v>562</v>
      </c>
      <c r="C18" s="57">
        <f>'ROR-Model'!I640</f>
        <v>555949684.56595278</v>
      </c>
      <c r="D18" s="57">
        <f>'ROR-Model'!M640</f>
        <v>536464433.88394201</v>
      </c>
      <c r="E18" s="57">
        <f>'ROR-Model'!N640</f>
        <v>19485250.6820109</v>
      </c>
      <c r="F18" s="57">
        <f>HLOOKUP($F$9,Taxes,10)</f>
        <v>536464433.88394201</v>
      </c>
      <c r="G18" s="615" t="s">
        <v>604</v>
      </c>
      <c r="H18" s="147"/>
      <c r="I18" s="4">
        <v>7</v>
      </c>
      <c r="J18" s="254"/>
      <c r="K18" s="57" t="s">
        <v>975</v>
      </c>
      <c r="L18" s="1276">
        <f>SUM(N18:T18)</f>
        <v>4.7530099999999999E-2</v>
      </c>
      <c r="M18" s="68"/>
      <c r="N18" s="1276">
        <f>ROUND(N11*N16,7)</f>
        <v>7.7100000000000004E-5</v>
      </c>
      <c r="O18" s="1276">
        <f t="shared" ref="O18:T18" si="0">ROUND(O11*O16,7)</f>
        <v>1.189E-4</v>
      </c>
      <c r="P18" s="1276">
        <f t="shared" si="0"/>
        <v>1.3E-6</v>
      </c>
      <c r="Q18" s="1276">
        <f t="shared" si="0"/>
        <v>0</v>
      </c>
      <c r="R18" s="1276">
        <f t="shared" si="0"/>
        <v>1.06E-5</v>
      </c>
      <c r="S18" s="1276">
        <f t="shared" si="0"/>
        <v>4.7322200000000002E-2</v>
      </c>
      <c r="T18" s="1276">
        <f t="shared" si="0"/>
        <v>0</v>
      </c>
    </row>
    <row r="19" spans="2:21">
      <c r="B19" s="480" t="s">
        <v>486</v>
      </c>
      <c r="C19" s="57">
        <f ca="1">'ROR-Model'!I905</f>
        <v>144156667.12950161</v>
      </c>
      <c r="D19" s="57">
        <f ca="1">'ROR-Model'!Q905</f>
        <v>138143063.53718659</v>
      </c>
      <c r="E19" s="57">
        <f ca="1">'ROR-Model'!N905</f>
        <v>6013603.5923150172</v>
      </c>
      <c r="F19" s="57">
        <f ca="1">HLOOKUP($F$9,Taxes,11)</f>
        <v>138143063.53718659</v>
      </c>
      <c r="G19" s="615" t="s">
        <v>605</v>
      </c>
      <c r="H19" s="88"/>
      <c r="I19" s="4"/>
      <c r="N19" s="68"/>
      <c r="O19" s="68"/>
      <c r="P19" s="68"/>
      <c r="Q19" s="68"/>
      <c r="R19" s="68"/>
      <c r="S19" s="68"/>
      <c r="T19" s="1277"/>
    </row>
    <row r="20" spans="2:21">
      <c r="B20" s="480" t="s">
        <v>563</v>
      </c>
      <c r="C20" s="57">
        <f>'ROR-Model'!I917</f>
        <v>66717826.210000008</v>
      </c>
      <c r="D20" s="57">
        <f>'ROR-Model'!Q917</f>
        <v>64666716.701444604</v>
      </c>
      <c r="E20" s="57">
        <f>'ROR-Model'!W917</f>
        <v>64666716.701444604</v>
      </c>
      <c r="F20" s="57">
        <f>HLOOKUP($F$9,Taxes,12)</f>
        <v>64666716.701444604</v>
      </c>
      <c r="G20" s="615" t="s">
        <v>606</v>
      </c>
      <c r="H20" s="147"/>
      <c r="I20" s="4">
        <v>8</v>
      </c>
      <c r="J20" s="45" t="s">
        <v>229</v>
      </c>
      <c r="K20" s="30"/>
      <c r="L20" s="616">
        <v>0.35</v>
      </c>
    </row>
    <row r="21" spans="2:21" ht="13.5" thickBot="1">
      <c r="B21" s="480" t="s">
        <v>564</v>
      </c>
      <c r="C21" s="57">
        <f>'ROR-Model'!I924</f>
        <v>17107.560000000001</v>
      </c>
      <c r="D21" s="57">
        <f>'ROR-Model'!Q924</f>
        <v>16505.36665036581</v>
      </c>
      <c r="E21" s="57">
        <f>'ROR-Model'!W924</f>
        <v>16505.36665036581</v>
      </c>
      <c r="F21" s="57">
        <f>HLOOKUP($F$9,Taxes,13)</f>
        <v>16505.36665036581</v>
      </c>
      <c r="G21" s="615" t="s">
        <v>607</v>
      </c>
      <c r="H21" s="86"/>
      <c r="I21" s="4"/>
      <c r="L21" s="87"/>
      <c r="N21" s="253"/>
      <c r="O21" s="253"/>
      <c r="P21" s="253"/>
      <c r="Q21" s="253"/>
      <c r="R21" s="253"/>
      <c r="S21" s="253"/>
    </row>
    <row r="22" spans="2:21" ht="13.5" thickTop="1">
      <c r="B22" s="480" t="s">
        <v>565</v>
      </c>
      <c r="C22" s="57">
        <f>'ROR-Model'!I934</f>
        <v>22257842.259999998</v>
      </c>
      <c r="D22" s="57">
        <f>'ROR-Model'!Q934</f>
        <v>21360520.07333659</v>
      </c>
      <c r="E22" s="57">
        <f>'ROR-Model'!W934</f>
        <v>21360520.07333659</v>
      </c>
      <c r="F22" s="57">
        <f>HLOOKUP($F$9,Taxes,14)</f>
        <v>21360520.07333659</v>
      </c>
      <c r="G22" s="615" t="s">
        <v>608</v>
      </c>
      <c r="I22" s="4"/>
    </row>
    <row r="23" spans="2:21">
      <c r="B23" s="480" t="s">
        <v>566</v>
      </c>
      <c r="C23" s="57">
        <f>'ROR-Model'!I1231</f>
        <v>1376418142.4437184</v>
      </c>
      <c r="D23" s="57">
        <f>'ROR-Model'!Q1231</f>
        <v>1330981842.3592803</v>
      </c>
      <c r="E23" s="57">
        <f>'ROR-Model'!W1231</f>
        <v>1330981842.3592803</v>
      </c>
      <c r="F23" s="57">
        <f>HLOOKUP($F$9,Taxes,15)</f>
        <v>1330981842.3592803</v>
      </c>
      <c r="G23" s="615" t="s">
        <v>609</v>
      </c>
      <c r="I23" s="4">
        <v>9</v>
      </c>
      <c r="J23" s="256" t="s">
        <v>837</v>
      </c>
      <c r="K23" s="256"/>
      <c r="L23" s="442">
        <f>L20*(1-L18)+L18</f>
        <v>0.38089456500000002</v>
      </c>
      <c r="M23" s="257"/>
      <c r="N23" s="258" t="s">
        <v>835</v>
      </c>
      <c r="O23" s="259"/>
    </row>
    <row r="24" spans="2:21">
      <c r="B24" s="480" t="s">
        <v>593</v>
      </c>
      <c r="C24" s="57">
        <v>0</v>
      </c>
      <c r="D24" s="57">
        <f>'ROR-Model'!W958</f>
        <v>0</v>
      </c>
      <c r="E24" s="57">
        <f>'ROR-Model'!X958</f>
        <v>0</v>
      </c>
      <c r="F24" s="57">
        <f>HLOOKUP($F$9,Taxes,16)</f>
        <v>0</v>
      </c>
      <c r="G24" s="615" t="s">
        <v>610</v>
      </c>
      <c r="I24" s="4"/>
      <c r="J24" s="47" t="s">
        <v>1628</v>
      </c>
      <c r="L24" s="257"/>
    </row>
    <row r="25" spans="2:21">
      <c r="B25" s="480" t="s">
        <v>567</v>
      </c>
      <c r="C25" s="57">
        <f>'ROR-Model'!I960</f>
        <v>0</v>
      </c>
      <c r="D25" s="57">
        <f>'ROR-Model'!W960</f>
        <v>0</v>
      </c>
      <c r="E25" s="57">
        <f>'ROR-Model'!X960</f>
        <v>0</v>
      </c>
      <c r="F25" s="57">
        <f>HLOOKUP($F$9,Taxes,17)</f>
        <v>0</v>
      </c>
      <c r="G25" s="615" t="s">
        <v>611</v>
      </c>
      <c r="I25" s="4"/>
    </row>
    <row r="26" spans="2:21">
      <c r="B26" s="480" t="s">
        <v>568</v>
      </c>
      <c r="C26" s="166" t="s">
        <v>569</v>
      </c>
      <c r="D26" s="471"/>
      <c r="E26" s="471"/>
      <c r="F26" s="471"/>
      <c r="G26" s="304"/>
      <c r="I26" s="4">
        <v>10</v>
      </c>
      <c r="J26" s="47" t="s">
        <v>832</v>
      </c>
      <c r="K26" s="77"/>
      <c r="L26" s="4" t="s">
        <v>554</v>
      </c>
      <c r="M26" s="120"/>
      <c r="N26" s="4" t="s">
        <v>448</v>
      </c>
    </row>
    <row r="27" spans="2:21">
      <c r="B27" s="480" t="s">
        <v>570</v>
      </c>
      <c r="C27" s="166" t="s">
        <v>571</v>
      </c>
      <c r="D27" s="471"/>
      <c r="E27" s="471"/>
      <c r="F27" s="471"/>
      <c r="G27" s="477"/>
      <c r="I27" s="4">
        <v>11</v>
      </c>
      <c r="K27" s="13" t="s">
        <v>833</v>
      </c>
      <c r="L27" s="260">
        <f>(Taxes!$L$23/(1-Taxes!$L$23))</f>
        <v>0.61523376062754154</v>
      </c>
      <c r="N27" s="260">
        <f>(Taxes!$L$20/(1-Taxes!$L$20))</f>
        <v>0.53846153846153844</v>
      </c>
      <c r="O27" s="13" t="s">
        <v>838</v>
      </c>
    </row>
    <row r="28" spans="2:21">
      <c r="B28" s="480" t="s">
        <v>572</v>
      </c>
      <c r="C28" s="55"/>
      <c r="D28" s="471"/>
      <c r="E28" s="471"/>
      <c r="F28" s="471"/>
      <c r="G28" s="473"/>
      <c r="I28" s="4">
        <v>12</v>
      </c>
      <c r="K28" s="2" t="s">
        <v>528</v>
      </c>
      <c r="L28" s="260">
        <f>1/(1-Taxes!$L$23)</f>
        <v>1.6152337606275415</v>
      </c>
      <c r="N28" s="260">
        <f>1/(1-Taxes!$L$20)</f>
        <v>1.5384615384615383</v>
      </c>
      <c r="O28" s="13" t="s">
        <v>839</v>
      </c>
    </row>
    <row r="29" spans="2:21">
      <c r="B29" s="480" t="s">
        <v>573</v>
      </c>
      <c r="C29" s="57">
        <f ca="1">($C16/365)*(C18+C19+C22)</f>
        <v>2008766.1831911947</v>
      </c>
      <c r="D29" s="57">
        <f ca="1">($D16/365)*(D18+D19+D22)</f>
        <v>1935363.117142143</v>
      </c>
      <c r="E29" s="57">
        <f ca="1">($D16/365)*(E18+E19+E22)</f>
        <v>130307.57524076011</v>
      </c>
      <c r="F29" s="57">
        <f ca="1">HLOOKUP($F$9,Taxes,21)</f>
        <v>1935363.117142143</v>
      </c>
      <c r="G29" s="266"/>
      <c r="I29" s="4">
        <v>13</v>
      </c>
      <c r="K29" s="13" t="s">
        <v>836</v>
      </c>
      <c r="L29" s="260">
        <f>1/(1-(Taxes!$L$23+('Control Panel'!$F$22*(1-Taxes!$L$23))))</f>
        <v>1.618533760655108</v>
      </c>
      <c r="N29" s="260">
        <f>1/(1-(Taxes!$L$20+('Control Panel'!$F$22*(1-Taxes!$L$20))))</f>
        <v>1.5416046891577946</v>
      </c>
      <c r="O29" s="13" t="s">
        <v>11</v>
      </c>
    </row>
    <row r="30" spans="2:21">
      <c r="B30" s="480" t="s">
        <v>574</v>
      </c>
      <c r="C30" s="57">
        <f ca="1">($C13+$C12*(1-$C13))*(C17-SUM(C18:C22)-$C15*$C14*C23)</f>
        <v>36425006.995739512</v>
      </c>
      <c r="D30" s="57">
        <f ca="1">($C13+$C12*(1-$C13))*(D17-SUM(D18:D22)-$C15*$C14*D23)</f>
        <v>35301114.843710415</v>
      </c>
      <c r="E30" s="57">
        <f ca="1">($C13+$C12*(1-$C13))*(E17-SUM(E18:E22)-$C15*$C14*E23)</f>
        <v>-42905732.437179312</v>
      </c>
      <c r="F30" s="57">
        <f ca="1">HLOOKUP($F$9,Taxes,22)</f>
        <v>35301114.843710415</v>
      </c>
      <c r="G30" s="266"/>
      <c r="I30" s="4">
        <v>14</v>
      </c>
      <c r="K30" s="2" t="s">
        <v>580</v>
      </c>
      <c r="L30" s="260">
        <f>L29-1</f>
        <v>0.61853376065510801</v>
      </c>
      <c r="N30" s="260">
        <f>N29-1</f>
        <v>0.54160468915779458</v>
      </c>
    </row>
    <row r="31" spans="2:21">
      <c r="B31" s="480" t="s">
        <v>575</v>
      </c>
      <c r="C31" s="57"/>
      <c r="D31" s="57"/>
      <c r="E31" s="57"/>
      <c r="F31" s="57"/>
      <c r="G31" s="266"/>
      <c r="Q31" s="55"/>
      <c r="R31" s="55"/>
    </row>
    <row r="32" spans="2:21">
      <c r="B32" s="617" t="s">
        <v>576</v>
      </c>
      <c r="C32" s="57">
        <f ca="1">(C29+($C16/365)*C30)/(1+($C16/365)*($C13+$C12*(1-$C13))*$C15*$C14)</f>
        <v>2110001.4465417089</v>
      </c>
      <c r="D32" s="57">
        <f ca="1">(D29+($C16/365)*D30)/(1+($C16/365)*($C13+$C12*(1-$C13))*$C15*$C14)</f>
        <v>2033475.0746460571</v>
      </c>
      <c r="E32" s="57">
        <f ca="1">(E29+($C16/365)*E30)/(1+($C16/365)*($C13+$C12*(1-$C13))*$C15*$C14)</f>
        <v>10994.081280769362</v>
      </c>
      <c r="F32" s="57">
        <f ca="1">HLOOKUP($F$9,Taxes,24)</f>
        <v>2033475.0746460571</v>
      </c>
      <c r="G32" s="266"/>
    </row>
    <row r="33" spans="2:14">
      <c r="B33" s="480" t="s">
        <v>577</v>
      </c>
      <c r="C33" s="57">
        <f ca="1">$C13*(C17-SUM(C18:C22)-$C15*$C14*(C23+C32))</f>
        <v>4542789.2713806462</v>
      </c>
      <c r="D33" s="57">
        <f ca="1">$C13*(D17-SUM(D18:D22)-$C15*$C14*(D23+D32))</f>
        <v>4402635.3386344211</v>
      </c>
      <c r="E33" s="57">
        <f ca="1">$C13*(E17-SUM(E18:E22)-$C15*$C14*(E23+E32))</f>
        <v>-5354024.3029321237</v>
      </c>
      <c r="F33" s="57">
        <f ca="1">HLOOKUP($F$9,Taxes,25)</f>
        <v>4402635.3386344211</v>
      </c>
      <c r="G33" s="266"/>
      <c r="L33" s="88"/>
      <c r="N33" s="88"/>
    </row>
    <row r="34" spans="2:14">
      <c r="B34" s="480" t="s">
        <v>578</v>
      </c>
      <c r="C34" s="57">
        <f ca="1">$C12*(C17-SUM(C18:C22)-$C15*$C14*(C23+C32)-C33)-C24-C25</f>
        <v>31862009.864518456</v>
      </c>
      <c r="D34" s="57">
        <f ca="1">$C12*(D17-SUM(D18:D22)-$C15*$C14*(D23+D32)-D33)-D24-D25</f>
        <v>30879004.551935673</v>
      </c>
      <c r="E34" s="57">
        <f ca="1">$C12*(E17-SUM(E18:E22)-$C15*$C14*(E23+E32)-E33)-E24-E25</f>
        <v>-37551813.426522672</v>
      </c>
      <c r="F34" s="57">
        <f ca="1">HLOOKUP($F$9,Taxes,26)</f>
        <v>30879004.551935673</v>
      </c>
      <c r="G34" s="266"/>
    </row>
    <row r="35" spans="2:14">
      <c r="B35" s="480" t="s">
        <v>579</v>
      </c>
      <c r="C35" s="167">
        <f ca="1">C34+C33+C25+C24</f>
        <v>36404799.135899104</v>
      </c>
      <c r="D35" s="1010">
        <f ca="1">D34+D33+D25+D24</f>
        <v>35281639.890570097</v>
      </c>
      <c r="E35" s="1007">
        <f ca="1">E34+E33+E25+E24</f>
        <v>-42905837.729454793</v>
      </c>
      <c r="F35" s="167">
        <f ca="1">HLOOKUP($F$9,Taxes,27)</f>
        <v>35281639.890570097</v>
      </c>
      <c r="G35" s="472"/>
      <c r="L35" s="86"/>
    </row>
    <row r="36" spans="2:14" ht="13.5" thickBot="1">
      <c r="B36" s="124"/>
      <c r="C36" s="87"/>
      <c r="D36" s="55"/>
      <c r="E36" s="55"/>
      <c r="F36" s="55"/>
      <c r="G36" s="472"/>
      <c r="N36" s="86"/>
    </row>
    <row r="37" spans="2:14" ht="13.5" thickTop="1">
      <c r="B37" s="124"/>
      <c r="C37" s="55"/>
      <c r="D37" s="55"/>
      <c r="E37" s="55"/>
      <c r="F37" s="55"/>
      <c r="G37" s="472"/>
      <c r="L37" s="86"/>
    </row>
    <row r="38" spans="2:14">
      <c r="B38" s="124" t="s">
        <v>669</v>
      </c>
      <c r="C38" s="57">
        <f ca="1">SUM('ROR-Model'!F936:G945)</f>
        <v>37095828.127140902</v>
      </c>
      <c r="D38" s="55"/>
      <c r="E38" s="55"/>
      <c r="F38" s="55"/>
      <c r="G38" s="472"/>
      <c r="L38" s="86"/>
      <c r="N38" s="86"/>
    </row>
    <row r="39" spans="2:14" ht="13.5" thickBot="1">
      <c r="B39" s="127" t="s">
        <v>670</v>
      </c>
      <c r="C39" s="474">
        <f ca="1">C35-C38</f>
        <v>-691028.9912417978</v>
      </c>
      <c r="D39" s="82"/>
      <c r="E39" s="82"/>
      <c r="F39" s="82"/>
      <c r="G39" s="476"/>
      <c r="L39" s="1169"/>
    </row>
    <row r="40" spans="2:14">
      <c r="B40" s="485" t="s">
        <v>597</v>
      </c>
      <c r="C40" s="486"/>
      <c r="D40" s="486"/>
      <c r="E40" s="489"/>
      <c r="F40" s="489"/>
      <c r="G40" s="255"/>
      <c r="N40" s="86"/>
    </row>
    <row r="41" spans="2:14">
      <c r="B41" s="124" t="s">
        <v>659</v>
      </c>
      <c r="C41" s="57">
        <f ca="1">'ROR-Model'!I1263</f>
        <v>1378528143.8902602</v>
      </c>
      <c r="D41" s="57">
        <f ca="1">'ROR-Model'!Q1263</f>
        <v>1333015317.4339263</v>
      </c>
      <c r="E41" s="266">
        <f ca="1">'ROR-Model'!T1263</f>
        <v>45269211.272332646</v>
      </c>
      <c r="F41" s="266">
        <f ca="1">HLOOKUP($F$9,Taxes,33)</f>
        <v>1333015317.4339263</v>
      </c>
      <c r="G41" s="255"/>
    </row>
    <row r="42" spans="2:14">
      <c r="B42" s="124" t="s">
        <v>660</v>
      </c>
      <c r="C42" s="423">
        <f ca="1">Report!I76</f>
        <v>6.8068171356910831E-2</v>
      </c>
      <c r="D42" s="423">
        <f ca="1">D43/D41</f>
        <v>6.8164211678045705E-2</v>
      </c>
      <c r="E42" s="304">
        <f ca="1">E43/E41</f>
        <v>1.0348192624646986</v>
      </c>
      <c r="F42" s="304">
        <f ca="1">HLOOKUP($F$9,Taxes,34)</f>
        <v>6.8164211678045705E-2</v>
      </c>
      <c r="G42" s="7"/>
    </row>
    <row r="43" spans="2:14">
      <c r="B43" s="124" t="s">
        <v>661</v>
      </c>
      <c r="C43" s="48">
        <f ca="1">+C41*C42</f>
        <v>93833889.91864647</v>
      </c>
      <c r="D43" s="48">
        <f ca="1">'ROR-Model'!W512-'ROR-Model'!W956</f>
        <v>90863938.267643452</v>
      </c>
      <c r="E43" s="48">
        <f ca="1">'ROR-Model'!T512-'ROR-Model'!T956</f>
        <v>46845451.821193889</v>
      </c>
      <c r="F43" s="443">
        <f ca="1">HLOOKUP($F$9,Taxes,35)</f>
        <v>90863938.267643452</v>
      </c>
      <c r="G43" s="7"/>
    </row>
    <row r="44" spans="2:14">
      <c r="B44" s="124"/>
      <c r="C44" s="55"/>
      <c r="D44" s="55"/>
      <c r="E44" s="125"/>
      <c r="F44" s="125"/>
      <c r="G44" s="255"/>
    </row>
    <row r="45" spans="2:14">
      <c r="B45" s="124" t="s">
        <v>659</v>
      </c>
      <c r="C45" s="57">
        <f ca="1">C41</f>
        <v>1378528143.8902602</v>
      </c>
      <c r="D45" s="57">
        <f ca="1">D41</f>
        <v>1333015317.4339263</v>
      </c>
      <c r="E45" s="266">
        <f ca="1">E41</f>
        <v>45269211.272332646</v>
      </c>
      <c r="F45" s="266">
        <f ca="1">HLOOKUP($F$9,Taxes,37)</f>
        <v>1333015317.4339263</v>
      </c>
      <c r="G45" s="7"/>
    </row>
    <row r="46" spans="2:14">
      <c r="B46" s="124" t="s">
        <v>662</v>
      </c>
      <c r="C46" s="423">
        <f>+'Capital Str'!$G$12</f>
        <v>2.5143908768321892E-2</v>
      </c>
      <c r="D46" s="423">
        <f>+'Capital Str'!$G$12</f>
        <v>2.5143908768321892E-2</v>
      </c>
      <c r="E46" s="304">
        <f>+'Capital Str'!$G$12</f>
        <v>2.5143908768321892E-2</v>
      </c>
      <c r="F46" s="304">
        <f>HLOOKUP($F$9,Taxes,38)</f>
        <v>2.5143908768321892E-2</v>
      </c>
      <c r="G46" s="7"/>
    </row>
    <row r="47" spans="2:14">
      <c r="B47" s="124" t="s">
        <v>663</v>
      </c>
      <c r="C47" s="48">
        <f ca="1">+C45*C46</f>
        <v>34661585.884540819</v>
      </c>
      <c r="D47" s="48">
        <f ca="1">+D45*D46</f>
        <v>33517215.52833429</v>
      </c>
      <c r="E47" s="443">
        <f ca="1">+E45*E46</f>
        <v>1138244.918245421</v>
      </c>
      <c r="F47" s="443">
        <f ca="1">HLOOKUP($F$9,Taxes,39)</f>
        <v>33517215.52833429</v>
      </c>
      <c r="G47" s="7"/>
    </row>
    <row r="48" spans="2:14">
      <c r="B48" s="124"/>
      <c r="C48" s="55"/>
      <c r="D48" s="55"/>
      <c r="E48" s="125"/>
      <c r="F48" s="125"/>
      <c r="G48" s="167"/>
    </row>
    <row r="49" spans="2:8">
      <c r="B49" s="124" t="s">
        <v>664</v>
      </c>
      <c r="C49" s="57">
        <f ca="1">+C43-C47</f>
        <v>59172304.034105651</v>
      </c>
      <c r="D49" s="57">
        <f ca="1">+D43-D47</f>
        <v>57346722.739309162</v>
      </c>
      <c r="E49" s="266">
        <f ca="1">+E43-E47</f>
        <v>45707206.902948469</v>
      </c>
      <c r="F49" s="266">
        <f ca="1">HLOOKUP($F$9,Taxes,41)</f>
        <v>57346722.739309162</v>
      </c>
    </row>
    <row r="50" spans="2:8">
      <c r="B50" s="124" t="s">
        <v>665</v>
      </c>
      <c r="C50" s="1171">
        <f>$L$27</f>
        <v>0.61523376062754154</v>
      </c>
      <c r="D50" s="1171">
        <f>$L$27</f>
        <v>0.61523376062754154</v>
      </c>
      <c r="E50" s="1171">
        <f>$L$27</f>
        <v>0.61523376062754154</v>
      </c>
      <c r="F50" s="1172">
        <f>HLOOKUP($F$9,Taxes,42)</f>
        <v>0.61523376062754154</v>
      </c>
      <c r="H50" s="1184"/>
    </row>
    <row r="51" spans="2:8" ht="13.5" thickBot="1">
      <c r="B51" s="127" t="s">
        <v>668</v>
      </c>
      <c r="C51" s="1170">
        <f ca="1">+C49*C50</f>
        <v>36404799.135899067</v>
      </c>
      <c r="D51" s="1170">
        <f ca="1">+D49*D50</f>
        <v>35281639.890570126</v>
      </c>
      <c r="E51" s="320">
        <f ca="1">+E49*E50</f>
        <v>28120616.790682111</v>
      </c>
      <c r="F51" s="320">
        <f ca="1">HLOOKUP($F$9,Taxes,43)</f>
        <v>35281639.890570126</v>
      </c>
    </row>
    <row r="52" spans="2:8" ht="13.5" thickBot="1">
      <c r="B52" s="487" t="s">
        <v>612</v>
      </c>
      <c r="C52" s="488"/>
      <c r="D52" s="488"/>
      <c r="E52" s="490"/>
      <c r="F52" s="490"/>
      <c r="H52" s="147"/>
    </row>
    <row r="53" spans="2:8">
      <c r="B53" s="522" t="s">
        <v>484</v>
      </c>
      <c r="C53" s="478">
        <f t="shared" ref="C53:C58" si="1">C17</f>
        <v>919337816.77999997</v>
      </c>
      <c r="D53" s="478">
        <f t="shared" ref="D53:E58" si="2">D17</f>
        <v>886796817.7207737</v>
      </c>
      <c r="E53" s="483">
        <f t="shared" si="2"/>
        <v>32364039.059226301</v>
      </c>
      <c r="F53" s="483">
        <f>HLOOKUP($F$9,Taxes,45)</f>
        <v>886796817.7207737</v>
      </c>
    </row>
    <row r="54" spans="2:8">
      <c r="B54" s="480" t="s">
        <v>468</v>
      </c>
      <c r="C54" s="57">
        <f t="shared" si="1"/>
        <v>555949684.56595278</v>
      </c>
      <c r="D54" s="57">
        <f t="shared" si="2"/>
        <v>536464433.88394201</v>
      </c>
      <c r="E54" s="266">
        <f t="shared" si="2"/>
        <v>19485250.6820109</v>
      </c>
      <c r="F54" s="266">
        <f>HLOOKUP($F$9,Taxes,46)</f>
        <v>536464433.88394201</v>
      </c>
    </row>
    <row r="55" spans="2:8">
      <c r="B55" s="480" t="s">
        <v>486</v>
      </c>
      <c r="C55" s="57">
        <f t="shared" ca="1" si="1"/>
        <v>144156667.12950161</v>
      </c>
      <c r="D55" s="57">
        <f ca="1">D19</f>
        <v>138143063.53718659</v>
      </c>
      <c r="E55" s="266">
        <f t="shared" ca="1" si="2"/>
        <v>6013603.5923150172</v>
      </c>
      <c r="F55" s="266">
        <f ca="1">HLOOKUP($F$9,Taxes,47)</f>
        <v>138143063.53718659</v>
      </c>
    </row>
    <row r="56" spans="2:8">
      <c r="B56" s="480" t="s">
        <v>613</v>
      </c>
      <c r="C56" s="57">
        <f t="shared" si="1"/>
        <v>66717826.210000008</v>
      </c>
      <c r="D56" s="57">
        <f t="shared" si="2"/>
        <v>64666716.701444604</v>
      </c>
      <c r="E56" s="266">
        <f t="shared" si="2"/>
        <v>64666716.701444604</v>
      </c>
      <c r="F56" s="266">
        <f>HLOOKUP($F$9,Taxes,48)</f>
        <v>64666716.701444604</v>
      </c>
    </row>
    <row r="57" spans="2:8">
      <c r="B57" s="480" t="s">
        <v>564</v>
      </c>
      <c r="C57" s="57">
        <f t="shared" si="1"/>
        <v>17107.560000000001</v>
      </c>
      <c r="D57" s="57">
        <f t="shared" si="2"/>
        <v>16505.36665036581</v>
      </c>
      <c r="E57" s="266">
        <f t="shared" si="2"/>
        <v>16505.36665036581</v>
      </c>
      <c r="F57" s="266">
        <f>HLOOKUP($F$9,Taxes,49)</f>
        <v>16505.36665036581</v>
      </c>
    </row>
    <row r="58" spans="2:8">
      <c r="B58" s="618" t="s">
        <v>614</v>
      </c>
      <c r="C58" s="57">
        <f t="shared" si="1"/>
        <v>22257842.259999998</v>
      </c>
      <c r="D58" s="57">
        <f t="shared" si="2"/>
        <v>21360520.07333659</v>
      </c>
      <c r="E58" s="266">
        <f t="shared" si="2"/>
        <v>21360520.07333659</v>
      </c>
      <c r="F58" s="266">
        <f>HLOOKUP($F$9,Taxes,50)</f>
        <v>21360520.07333659</v>
      </c>
    </row>
    <row r="59" spans="2:8">
      <c r="B59" s="480" t="s">
        <v>615</v>
      </c>
      <c r="C59" s="167">
        <f ca="1">C53-SUM(C54:C58)</f>
        <v>130238689.05454564</v>
      </c>
      <c r="D59" s="167">
        <f ca="1">D53-SUM(D54:D58)</f>
        <v>126145578.1582135</v>
      </c>
      <c r="E59" s="473">
        <f ca="1">E53-SUM(E54:E58)</f>
        <v>-79178557.356531173</v>
      </c>
      <c r="F59" s="473">
        <f ca="1">HLOOKUP($F$9,Taxes,51)</f>
        <v>126145578.1582135</v>
      </c>
    </row>
    <row r="60" spans="2:8">
      <c r="B60" s="480"/>
      <c r="C60" s="55"/>
      <c r="D60" s="167"/>
      <c r="E60" s="125"/>
      <c r="F60" s="125"/>
    </row>
    <row r="61" spans="2:8">
      <c r="B61" s="480" t="s">
        <v>730</v>
      </c>
      <c r="C61" s="57">
        <f ca="1">'ROR-Model'!I1263</f>
        <v>1378528143.8902602</v>
      </c>
      <c r="D61" s="57">
        <f ca="1">'ROR-Model'!M1263</f>
        <v>1333015317.4339263</v>
      </c>
      <c r="E61" s="266">
        <f ca="1">'ROR-Model'!T1263</f>
        <v>45269211.272332646</v>
      </c>
      <c r="F61" s="266">
        <f ca="1">HLOOKUP($F$9,Taxes,53)</f>
        <v>1333015317.4339263</v>
      </c>
    </row>
    <row r="62" spans="2:8">
      <c r="B62" s="618" t="s">
        <v>616</v>
      </c>
      <c r="C62" s="423">
        <f>C46</f>
        <v>2.5143908768321892E-2</v>
      </c>
      <c r="D62" s="423">
        <f>D46</f>
        <v>2.5143908768321892E-2</v>
      </c>
      <c r="E62" s="304">
        <f>E46</f>
        <v>2.5143908768321892E-2</v>
      </c>
      <c r="F62" s="304">
        <f>HLOOKUP($F$9,Taxes,54)</f>
        <v>2.5143908768321892E-2</v>
      </c>
    </row>
    <row r="63" spans="2:8">
      <c r="B63" s="619" t="s">
        <v>617</v>
      </c>
      <c r="C63" s="167">
        <f ca="1">C61*C62</f>
        <v>34661585.884540819</v>
      </c>
      <c r="D63" s="167">
        <f ca="1">D61*D62</f>
        <v>33517215.52833429</v>
      </c>
      <c r="E63" s="473">
        <f ca="1">E61*E62</f>
        <v>1138244.918245421</v>
      </c>
      <c r="F63" s="473">
        <f ca="1">HLOOKUP($F$9,Taxes,55)</f>
        <v>33517215.52833429</v>
      </c>
    </row>
    <row r="64" spans="2:8">
      <c r="B64" s="618"/>
      <c r="C64" s="55"/>
      <c r="D64" s="55"/>
      <c r="E64" s="125"/>
      <c r="F64" s="125"/>
    </row>
    <row r="65" spans="2:6">
      <c r="B65" s="619" t="s">
        <v>618</v>
      </c>
      <c r="C65" s="167">
        <f ca="1">C59-C63</f>
        <v>95577103.170004815</v>
      </c>
      <c r="D65" s="167">
        <f ca="1">D59-D63</f>
        <v>92628362.629879206</v>
      </c>
      <c r="E65" s="473">
        <f ca="1">E59-E63</f>
        <v>-80316802.274776593</v>
      </c>
      <c r="F65" s="473">
        <f ca="1">HLOOKUP($F$9,Taxes,57)</f>
        <v>92628362.629879206</v>
      </c>
    </row>
    <row r="66" spans="2:6">
      <c r="B66" s="618" t="s">
        <v>558</v>
      </c>
      <c r="C66" s="479">
        <f>$L$18</f>
        <v>4.7530099999999999E-2</v>
      </c>
      <c r="D66" s="479">
        <f>$L$18</f>
        <v>4.7530099999999999E-2</v>
      </c>
      <c r="E66" s="484">
        <f>$L$18</f>
        <v>4.7530099999999999E-2</v>
      </c>
      <c r="F66" s="484">
        <f>HLOOKUP($F$9,Taxes,58)</f>
        <v>4.7530099999999999E-2</v>
      </c>
    </row>
    <row r="67" spans="2:6">
      <c r="B67" s="480" t="s">
        <v>619</v>
      </c>
      <c r="C67" s="167">
        <f ca="1">C65*C66</f>
        <v>4542789.2713806462</v>
      </c>
      <c r="D67" s="167">
        <f ca="1">D65*D66</f>
        <v>4402635.3386344211</v>
      </c>
      <c r="E67" s="473">
        <f ca="1">E65*E66</f>
        <v>-3817465.6438003588</v>
      </c>
      <c r="F67" s="473">
        <f ca="1">HLOOKUP($F$9,Taxes,59)</f>
        <v>4402635.3386344211</v>
      </c>
    </row>
    <row r="68" spans="2:6">
      <c r="B68" s="124"/>
      <c r="C68" s="55"/>
      <c r="D68" s="55"/>
      <c r="E68" s="125"/>
      <c r="F68" s="125"/>
    </row>
    <row r="69" spans="2:6">
      <c r="B69" s="619" t="s">
        <v>620</v>
      </c>
      <c r="C69" s="167">
        <f ca="1">C65-C67-(C24+C25)/C12</f>
        <v>91034313.898624167</v>
      </c>
      <c r="D69" s="167">
        <f ca="1">D65-D67-(D24+D25)/D12</f>
        <v>88225727.29124479</v>
      </c>
      <c r="E69" s="473">
        <f ca="1">E65-E67-(E24+E25)/E12</f>
        <v>-76499336.63097623</v>
      </c>
      <c r="F69" s="473">
        <f ca="1">HLOOKUP($F$9,Taxes,61)</f>
        <v>88225727.29124479</v>
      </c>
    </row>
    <row r="70" spans="2:6">
      <c r="B70" s="618" t="s">
        <v>557</v>
      </c>
      <c r="C70" s="479">
        <f>$L$20</f>
        <v>0.35</v>
      </c>
      <c r="D70" s="479">
        <f>$L$20</f>
        <v>0.35</v>
      </c>
      <c r="E70" s="484">
        <f>$L$20</f>
        <v>0.35</v>
      </c>
      <c r="F70" s="484">
        <f>HLOOKUP($F$9,Taxes,62)</f>
        <v>0.35</v>
      </c>
    </row>
    <row r="71" spans="2:6">
      <c r="B71" s="480" t="s">
        <v>621</v>
      </c>
      <c r="C71" s="167">
        <f ca="1">C69*C70</f>
        <v>31862009.864518456</v>
      </c>
      <c r="D71" s="167">
        <f ca="1">D69*D70</f>
        <v>30879004.551935673</v>
      </c>
      <c r="E71" s="473">
        <f ca="1">E69*E70</f>
        <v>-26774767.820841677</v>
      </c>
      <c r="F71" s="473">
        <f ca="1">HLOOKUP($F$9,Taxes,63)</f>
        <v>30879004.551935673</v>
      </c>
    </row>
    <row r="72" spans="2:6">
      <c r="B72" s="124"/>
      <c r="C72" s="55"/>
      <c r="D72" s="55"/>
      <c r="E72" s="125"/>
      <c r="F72" s="125"/>
    </row>
    <row r="73" spans="2:6">
      <c r="B73" s="480" t="s">
        <v>593</v>
      </c>
      <c r="C73" s="57">
        <f t="shared" ref="C73:E74" si="3">C24</f>
        <v>0</v>
      </c>
      <c r="D73" s="57">
        <f t="shared" si="3"/>
        <v>0</v>
      </c>
      <c r="E73" s="266">
        <f t="shared" si="3"/>
        <v>0</v>
      </c>
      <c r="F73" s="266">
        <f>HLOOKUP($F$9,Taxes,65)</f>
        <v>0</v>
      </c>
    </row>
    <row r="74" spans="2:6">
      <c r="B74" s="618" t="s">
        <v>567</v>
      </c>
      <c r="C74" s="57">
        <f t="shared" si="3"/>
        <v>0</v>
      </c>
      <c r="D74" s="57">
        <f t="shared" si="3"/>
        <v>0</v>
      </c>
      <c r="E74" s="266">
        <f t="shared" si="3"/>
        <v>0</v>
      </c>
      <c r="F74" s="266">
        <f>HLOOKUP($F$9,Taxes,66)</f>
        <v>0</v>
      </c>
    </row>
    <row r="75" spans="2:6" ht="13.5" thickBot="1">
      <c r="B75" s="523" t="s">
        <v>622</v>
      </c>
      <c r="C75" s="105">
        <f ca="1">C74+C73+C71+C67</f>
        <v>36404799.135899104</v>
      </c>
      <c r="D75" s="1009">
        <f ca="1">D74+D73+D71+D67</f>
        <v>35281639.890570097</v>
      </c>
      <c r="E75" s="1008">
        <f ca="1">E74+E73+E71+E67</f>
        <v>-30592233.464642037</v>
      </c>
      <c r="F75" s="320">
        <f ca="1">HLOOKUP($F$9,Taxes,67)</f>
        <v>35281639.890570097</v>
      </c>
    </row>
  </sheetData>
  <mergeCells count="3">
    <mergeCell ref="J8:K8"/>
    <mergeCell ref="C4:D4"/>
    <mergeCell ref="J9:K9"/>
  </mergeCells>
  <phoneticPr fontId="0" type="noConversion"/>
  <printOptions horizontalCentered="1"/>
  <pageMargins left="0.75" right="0.75" top="1" bottom="1" header="0.5" footer="0.5"/>
  <pageSetup scale="66" firstPageNumber="3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BC282"/>
  <sheetViews>
    <sheetView topLeftCell="B19" workbookViewId="0">
      <selection activeCell="T180" sqref="T179:T180"/>
    </sheetView>
  </sheetViews>
  <sheetFormatPr defaultColWidth="9.140625" defaultRowHeight="12.75"/>
  <cols>
    <col min="1" max="1" width="7.42578125" style="2" hidden="1" customWidth="1"/>
    <col min="2" max="2" width="11.28515625" style="2" customWidth="1"/>
    <col min="3" max="3" width="8.85546875" style="2" customWidth="1"/>
    <col min="4" max="4" width="5.7109375" style="2" customWidth="1"/>
    <col min="5" max="5" width="17.42578125" style="2" customWidth="1"/>
    <col min="6" max="7" width="19.28515625" style="2" hidden="1" customWidth="1"/>
    <col min="8" max="14" width="15.140625" style="2" bestFit="1" customWidth="1"/>
    <col min="15" max="18" width="14" style="2" bestFit="1" customWidth="1"/>
    <col min="19" max="20" width="15.140625" style="2" bestFit="1" customWidth="1"/>
    <col min="21" max="21" width="1.42578125" style="2" customWidth="1"/>
    <col min="22" max="22" width="14.5703125" style="1245" bestFit="1" customWidth="1"/>
    <col min="23" max="23" width="4.7109375" style="2" customWidth="1"/>
    <col min="24" max="24" width="3.5703125" style="2" customWidth="1"/>
    <col min="25" max="25" width="20.28515625" style="4" bestFit="1" customWidth="1"/>
    <col min="26" max="26" width="21.5703125" style="4" bestFit="1" customWidth="1"/>
    <col min="27" max="27" width="21.5703125" style="1204" customWidth="1"/>
    <col min="28" max="29" width="20.7109375" style="2" bestFit="1" customWidth="1"/>
    <col min="30" max="30" width="18" style="85" bestFit="1" customWidth="1"/>
    <col min="31" max="31" width="7.85546875" style="2" customWidth="1"/>
    <col min="32" max="32" width="7.85546875" style="2" hidden="1" customWidth="1"/>
    <col min="33" max="33" width="22.42578125" style="2" customWidth="1"/>
    <col min="34" max="34" width="13.42578125" style="2" customWidth="1"/>
    <col min="35" max="36" width="5.7109375" style="2" customWidth="1"/>
    <col min="37" max="37" width="30.28515625" style="2" customWidth="1"/>
    <col min="38" max="38" width="14.28515625" style="2" bestFit="1" customWidth="1"/>
    <col min="39" max="39" width="20.42578125" style="2" customWidth="1"/>
    <col min="40" max="40" width="15.140625" style="2" bestFit="1" customWidth="1"/>
    <col min="41" max="41" width="26.5703125" style="2" customWidth="1"/>
    <col min="42" max="42" width="15" style="2" bestFit="1" customWidth="1"/>
    <col min="43" max="43" width="15.5703125" style="2" bestFit="1" customWidth="1"/>
    <col min="44" max="44" width="16" style="2" customWidth="1"/>
    <col min="45" max="45" width="8.42578125" style="2" customWidth="1"/>
    <col min="46" max="46" width="16.5703125" style="2" bestFit="1" customWidth="1"/>
    <col min="47" max="47" width="13.7109375" style="2" customWidth="1"/>
    <col min="48" max="48" width="16.5703125" style="2" customWidth="1"/>
    <col min="49" max="49" width="13.7109375" style="2" customWidth="1"/>
    <col min="50" max="50" width="13.85546875" style="2" customWidth="1"/>
    <col min="51" max="51" width="12" style="2" customWidth="1"/>
    <col min="52" max="62" width="5.7109375" style="2" customWidth="1"/>
    <col min="63" max="72" width="12.7109375" style="2" customWidth="1"/>
    <col min="73" max="94" width="5.7109375" style="2" customWidth="1"/>
    <col min="95" max="16384" width="9.140625" style="2"/>
  </cols>
  <sheetData>
    <row r="1" spans="1:41">
      <c r="B1" s="14" t="s">
        <v>876</v>
      </c>
      <c r="C1" s="121"/>
      <c r="D1" s="58"/>
      <c r="E1" s="58"/>
      <c r="F1" s="58"/>
      <c r="G1" s="58"/>
      <c r="AE1" s="8"/>
      <c r="AF1" s="8"/>
      <c r="AG1" s="8"/>
      <c r="AI1" s="121"/>
      <c r="AJ1" s="58"/>
      <c r="AK1" s="58"/>
      <c r="AL1" s="122"/>
      <c r="AM1" s="331"/>
      <c r="AN1" s="331"/>
    </row>
    <row r="2" spans="1:41">
      <c r="B2" s="14" t="str">
        <f>'Control Panel'!$B$1</f>
        <v>Dominion Energy</v>
      </c>
      <c r="C2" s="17"/>
      <c r="D2" s="17"/>
      <c r="E2" s="58"/>
      <c r="F2" s="58"/>
      <c r="G2" s="58"/>
      <c r="Y2"/>
      <c r="Z2"/>
      <c r="AA2"/>
      <c r="AB2"/>
      <c r="AE2" s="8"/>
      <c r="AF2" s="8"/>
      <c r="AG2" s="8"/>
      <c r="AH2" s="14" t="s">
        <v>876</v>
      </c>
      <c r="AI2" s="17"/>
      <c r="AJ2" s="17"/>
      <c r="AK2" s="58"/>
      <c r="AL2" s="1125" t="s">
        <v>784</v>
      </c>
      <c r="AM2" s="1125" t="s">
        <v>785</v>
      </c>
      <c r="AN2" s="1125" t="s">
        <v>539</v>
      </c>
      <c r="AO2" s="1124"/>
    </row>
    <row r="3" spans="1:41">
      <c r="B3" s="14" t="str">
        <f>'Control Panel'!$B$2</f>
        <v>Utah - Dec 2017 Adjusted Avg Results</v>
      </c>
      <c r="C3" s="17"/>
      <c r="D3" s="17"/>
      <c r="E3" s="243"/>
      <c r="F3" s="243"/>
      <c r="G3" s="24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1126"/>
      <c r="U3" s="5"/>
      <c r="V3" s="1207"/>
      <c r="Y3"/>
      <c r="Z3"/>
      <c r="AA3"/>
      <c r="AB3"/>
      <c r="AC3" s="5"/>
      <c r="AD3" s="628"/>
      <c r="AE3" s="8"/>
      <c r="AF3" s="8"/>
      <c r="AG3" s="8"/>
      <c r="AH3" s="14" t="str">
        <f>'Control Panel'!$B$1</f>
        <v>Dominion Energy</v>
      </c>
      <c r="AI3" s="17"/>
      <c r="AJ3" s="17"/>
      <c r="AK3" s="243"/>
      <c r="AL3" s="1126"/>
      <c r="AM3" s="1126"/>
      <c r="AN3" s="1126"/>
    </row>
    <row r="4" spans="1:41">
      <c r="B4" s="14" t="str">
        <f>'Control Panel'!$B$3</f>
        <v>12 Months Ended : Dec-2017</v>
      </c>
      <c r="C4" s="17"/>
      <c r="D4" s="17"/>
      <c r="E4" s="243"/>
      <c r="F4" s="243"/>
      <c r="G4" s="243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1126"/>
      <c r="U4" s="5"/>
      <c r="V4" s="1207"/>
      <c r="Y4"/>
      <c r="Z4"/>
      <c r="AA4"/>
      <c r="AB4"/>
      <c r="AC4" s="5"/>
      <c r="AD4" s="628" t="s">
        <v>623</v>
      </c>
      <c r="AE4" s="8"/>
      <c r="AF4" s="8"/>
      <c r="AG4" s="8"/>
      <c r="AH4" s="14" t="str">
        <f>'Control Panel'!$B$2</f>
        <v>Utah - Dec 2017 Adjusted Avg Results</v>
      </c>
      <c r="AI4" s="17"/>
      <c r="AJ4" s="17"/>
      <c r="AK4" s="243"/>
      <c r="AL4" s="1126"/>
      <c r="AM4" s="1126"/>
      <c r="AN4" s="1126"/>
    </row>
    <row r="5" spans="1:41">
      <c r="A5" s="47"/>
      <c r="B5" s="17"/>
      <c r="C5" s="17"/>
      <c r="D5" s="17"/>
      <c r="E5" s="17"/>
      <c r="F5" s="17"/>
      <c r="G5" s="17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1126"/>
      <c r="U5" s="5"/>
      <c r="V5" s="1207" t="s">
        <v>706</v>
      </c>
      <c r="Y5" s="5"/>
      <c r="Z5" s="5"/>
      <c r="AA5" s="1207"/>
      <c r="AB5" s="5"/>
      <c r="AC5" s="5"/>
      <c r="AD5" s="628" t="s">
        <v>842</v>
      </c>
      <c r="AE5" s="8"/>
      <c r="AF5" s="8"/>
      <c r="AG5" s="8"/>
      <c r="AH5" s="14" t="str">
        <f>'Control Panel'!$B$3</f>
        <v>12 Months Ended : Dec-2017</v>
      </c>
      <c r="AI5" s="17"/>
      <c r="AJ5" s="17"/>
      <c r="AK5" s="17"/>
      <c r="AL5" s="1126"/>
      <c r="AN5" s="1126"/>
    </row>
    <row r="6" spans="1:41">
      <c r="A6" s="156"/>
      <c r="B6" s="17"/>
      <c r="C6" s="17"/>
      <c r="D6" s="17"/>
      <c r="E6" s="17"/>
      <c r="F6" s="17"/>
      <c r="G6" s="17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1126"/>
      <c r="U6" s="5"/>
      <c r="V6" s="1207" t="s">
        <v>705</v>
      </c>
      <c r="Y6"/>
      <c r="Z6"/>
      <c r="AA6"/>
      <c r="AB6"/>
      <c r="AC6" s="5"/>
      <c r="AD6" s="628"/>
      <c r="AE6" s="8"/>
      <c r="AF6" s="8"/>
      <c r="AG6" s="8"/>
      <c r="AH6" s="17"/>
      <c r="AI6" s="17"/>
      <c r="AJ6" s="17"/>
      <c r="AK6" s="17"/>
      <c r="AL6" s="1126"/>
      <c r="AM6" s="1126" t="s">
        <v>706</v>
      </c>
      <c r="AN6" s="1126"/>
    </row>
    <row r="7" spans="1:41">
      <c r="A7" s="156"/>
      <c r="B7" s="130"/>
      <c r="C7" s="58"/>
      <c r="D7" s="58"/>
      <c r="E7" s="58"/>
      <c r="F7" s="58"/>
      <c r="G7" s="58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1126"/>
      <c r="U7" s="5"/>
      <c r="V7" s="1207" t="s">
        <v>820</v>
      </c>
      <c r="Y7" s="5"/>
      <c r="Z7" s="5"/>
      <c r="AA7" s="1207"/>
      <c r="AB7" s="5"/>
      <c r="AC7" s="5" t="s">
        <v>756</v>
      </c>
      <c r="AD7" s="628" t="s">
        <v>756</v>
      </c>
      <c r="AE7" s="8"/>
      <c r="AF7" s="8"/>
      <c r="AG7" s="8"/>
      <c r="AH7" s="130"/>
      <c r="AI7" s="58"/>
      <c r="AJ7" s="58"/>
      <c r="AK7" s="58"/>
      <c r="AL7" s="55"/>
      <c r="AM7" s="1126" t="s">
        <v>705</v>
      </c>
      <c r="AN7" s="1126" t="s">
        <v>706</v>
      </c>
    </row>
    <row r="8" spans="1:41" ht="13.5" customHeight="1" thickBot="1">
      <c r="A8" s="156"/>
      <c r="B8" s="130"/>
      <c r="C8" s="58"/>
      <c r="D8" s="58"/>
      <c r="E8" s="58"/>
      <c r="F8" s="58"/>
      <c r="G8" s="58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1126"/>
      <c r="U8" s="5"/>
      <c r="V8" s="22">
        <f>+T9</f>
        <v>43085</v>
      </c>
      <c r="X8" s="55"/>
      <c r="Y8" s="973" t="s">
        <v>1302</v>
      </c>
      <c r="Z8" s="973" t="s">
        <v>1303</v>
      </c>
      <c r="AA8" s="973" t="s">
        <v>1304</v>
      </c>
      <c r="AB8" s="973" t="s">
        <v>1305</v>
      </c>
      <c r="AC8" s="973" t="str">
        <f>+'Control Panel'!B27</f>
        <v>AVG RB DEC 2017</v>
      </c>
      <c r="AD8" s="628"/>
      <c r="AE8" s="244">
        <v>1</v>
      </c>
      <c r="AF8" s="244">
        <v>1</v>
      </c>
      <c r="AG8" s="55"/>
      <c r="AH8" s="130"/>
      <c r="AI8" s="58"/>
      <c r="AJ8" s="58"/>
      <c r="AK8" s="58"/>
      <c r="AL8" s="396" t="s">
        <v>325</v>
      </c>
      <c r="AM8" s="1126" t="s">
        <v>820</v>
      </c>
      <c r="AN8" s="396" t="s">
        <v>705</v>
      </c>
    </row>
    <row r="9" spans="1:41" ht="14.25" customHeight="1" thickBot="1">
      <c r="A9" s="156"/>
      <c r="B9" s="151" t="s">
        <v>828</v>
      </c>
      <c r="C9" s="152"/>
      <c r="D9" s="1415" t="s">
        <v>829</v>
      </c>
      <c r="E9" s="1415"/>
      <c r="F9" s="118"/>
      <c r="G9" s="118"/>
      <c r="H9" s="22">
        <f>+[13]XNV!H$8</f>
        <v>42725</v>
      </c>
      <c r="I9" s="22">
        <f>+[13]XNV!I$8</f>
        <v>42755</v>
      </c>
      <c r="J9" s="22">
        <f>+[13]XNV!J$8</f>
        <v>42785</v>
      </c>
      <c r="K9" s="22">
        <f>+[13]XNV!K$8</f>
        <v>42815</v>
      </c>
      <c r="L9" s="22">
        <f>+[13]XNV!L$8</f>
        <v>42845</v>
      </c>
      <c r="M9" s="22">
        <f>+[13]XNV!M$8</f>
        <v>42875</v>
      </c>
      <c r="N9" s="22">
        <f>+[13]XNV!N$8</f>
        <v>42905</v>
      </c>
      <c r="O9" s="22">
        <f>+[13]XNV!O$8</f>
        <v>42935</v>
      </c>
      <c r="P9" s="22">
        <f>+[13]XNV!P$8</f>
        <v>42965</v>
      </c>
      <c r="Q9" s="22">
        <f>+[13]XNV!Q$8</f>
        <v>42995</v>
      </c>
      <c r="R9" s="22">
        <f>+[13]XNV!R$8</f>
        <v>43025</v>
      </c>
      <c r="S9" s="22">
        <f>+[13]XNV!S$8</f>
        <v>43055</v>
      </c>
      <c r="T9" s="22">
        <f>+[13]XNV!$T$8</f>
        <v>43085</v>
      </c>
      <c r="U9" s="22"/>
      <c r="V9" s="22"/>
      <c r="Y9" s="22"/>
      <c r="Z9" s="22"/>
      <c r="AA9" s="22"/>
      <c r="AB9" s="22"/>
      <c r="AC9" s="22"/>
      <c r="AD9" s="629" t="s">
        <v>41</v>
      </c>
      <c r="AE9" s="244">
        <f>+AE8+1</f>
        <v>2</v>
      </c>
      <c r="AF9" s="244">
        <f>+AF8+1</f>
        <v>2</v>
      </c>
      <c r="AG9" s="55"/>
      <c r="AH9" s="151" t="s">
        <v>828</v>
      </c>
      <c r="AI9" s="152"/>
      <c r="AJ9" s="1415" t="s">
        <v>829</v>
      </c>
      <c r="AK9" s="1415"/>
      <c r="AL9" s="296">
        <f>'Control Panel'!F12</f>
        <v>43100</v>
      </c>
      <c r="AM9" s="296" t="str">
        <f>+'Control Panel'!B27</f>
        <v>AVG RB DEC 2017</v>
      </c>
      <c r="AN9" s="296" t="s">
        <v>41</v>
      </c>
    </row>
    <row r="10" spans="1:41">
      <c r="A10" s="168">
        <v>939</v>
      </c>
      <c r="B10" s="1418" t="s">
        <v>283</v>
      </c>
      <c r="C10" s="1418"/>
      <c r="D10" s="1418"/>
      <c r="E10" s="1418"/>
      <c r="F10" s="361"/>
      <c r="G10" s="361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1140"/>
      <c r="Y10" s="101"/>
      <c r="Z10" s="101"/>
      <c r="AA10" s="55"/>
      <c r="AB10" s="55"/>
      <c r="AC10" s="55"/>
      <c r="AD10" s="269"/>
      <c r="AE10" s="244">
        <v>3</v>
      </c>
      <c r="AF10" s="244">
        <v>3</v>
      </c>
      <c r="AG10" s="55"/>
      <c r="AH10" s="1418" t="s">
        <v>283</v>
      </c>
      <c r="AI10" s="1418"/>
      <c r="AJ10" s="1418"/>
      <c r="AK10" s="1418"/>
      <c r="AL10" s="55"/>
      <c r="AM10" s="55"/>
      <c r="AN10" s="55"/>
    </row>
    <row r="11" spans="1:41">
      <c r="A11" s="168">
        <f t="shared" ref="A11:A50" si="0">+A10+1</f>
        <v>940</v>
      </c>
      <c r="B11" s="130" t="s">
        <v>288</v>
      </c>
      <c r="C11" s="49"/>
      <c r="D11" s="49"/>
      <c r="E11" s="49"/>
      <c r="F11" s="49"/>
      <c r="G11" s="49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1125"/>
      <c r="U11" s="51"/>
      <c r="V11" s="1206"/>
      <c r="Y11" s="51"/>
      <c r="Z11" s="51"/>
      <c r="AA11" s="1206"/>
      <c r="AB11" s="51"/>
      <c r="AC11" s="51"/>
      <c r="AD11" s="630"/>
      <c r="AE11" s="244">
        <f t="shared" ref="AE11:AF46" si="1">+AE10+1</f>
        <v>4</v>
      </c>
      <c r="AF11" s="244">
        <f t="shared" si="1"/>
        <v>4</v>
      </c>
      <c r="AG11" s="55"/>
      <c r="AH11" s="130" t="s">
        <v>288</v>
      </c>
      <c r="AI11" s="49"/>
      <c r="AJ11" s="49"/>
      <c r="AK11" s="49"/>
      <c r="AL11" s="1125"/>
      <c r="AM11" s="1125"/>
      <c r="AN11" s="1125"/>
    </row>
    <row r="12" spans="1:41">
      <c r="A12" s="612">
        <f>+A11+1</f>
        <v>941</v>
      </c>
      <c r="B12" s="309" t="s">
        <v>284</v>
      </c>
      <c r="C12" s="309"/>
      <c r="D12" s="309"/>
      <c r="E12" s="309"/>
      <c r="F12" s="309"/>
      <c r="G12" s="309"/>
      <c r="H12" s="357"/>
      <c r="I12" s="357"/>
      <c r="J12" s="357"/>
      <c r="K12" s="357"/>
      <c r="L12" s="357"/>
      <c r="M12" s="357"/>
      <c r="N12" s="357"/>
      <c r="O12" s="357"/>
      <c r="P12" s="357"/>
      <c r="Q12" s="357"/>
      <c r="R12" s="357"/>
      <c r="S12" s="357"/>
      <c r="T12" s="357"/>
      <c r="U12" s="538"/>
      <c r="V12" s="722"/>
      <c r="Y12" s="722"/>
      <c r="Z12" s="722"/>
      <c r="AA12" s="357"/>
      <c r="AB12" s="357"/>
      <c r="AC12" s="357"/>
      <c r="AD12" s="631"/>
      <c r="AE12" s="244">
        <f t="shared" si="1"/>
        <v>5</v>
      </c>
      <c r="AF12" s="244">
        <f t="shared" si="1"/>
        <v>5</v>
      </c>
      <c r="AG12" s="55"/>
      <c r="AH12" s="537" t="s">
        <v>284</v>
      </c>
      <c r="AI12" s="537"/>
      <c r="AJ12" s="537"/>
      <c r="AK12" s="537"/>
      <c r="AL12" s="1125"/>
      <c r="AM12" s="1125"/>
      <c r="AN12" s="1125"/>
    </row>
    <row r="13" spans="1:41">
      <c r="A13" s="612">
        <f t="shared" si="0"/>
        <v>942</v>
      </c>
      <c r="B13" s="620"/>
      <c r="C13" s="309" t="s">
        <v>203</v>
      </c>
      <c r="D13" s="309"/>
      <c r="E13" s="309"/>
      <c r="F13" s="309"/>
      <c r="G13" s="309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1125"/>
      <c r="U13" s="51"/>
      <c r="V13" s="1206"/>
      <c r="Y13" s="51"/>
      <c r="Z13" s="51"/>
      <c r="AA13" s="1206"/>
      <c r="AB13" s="51"/>
      <c r="AC13" s="51"/>
      <c r="AD13" s="630"/>
      <c r="AE13" s="244">
        <f t="shared" si="1"/>
        <v>6</v>
      </c>
      <c r="AF13" s="244">
        <f t="shared" si="1"/>
        <v>6</v>
      </c>
      <c r="AG13" s="55"/>
      <c r="AH13" s="539"/>
      <c r="AI13" s="537" t="s">
        <v>203</v>
      </c>
      <c r="AJ13" s="537"/>
      <c r="AK13" s="537"/>
      <c r="AL13" s="1125"/>
      <c r="AM13" s="1125"/>
      <c r="AN13" s="1125"/>
    </row>
    <row r="14" spans="1:41">
      <c r="A14" s="612">
        <f t="shared" si="0"/>
        <v>943</v>
      </c>
      <c r="B14" s="309" t="s">
        <v>204</v>
      </c>
      <c r="C14" s="309" t="s">
        <v>205</v>
      </c>
      <c r="D14" s="309"/>
      <c r="E14" s="309"/>
      <c r="F14" s="309"/>
      <c r="G14" s="309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1125"/>
      <c r="U14" s="51"/>
      <c r="V14" s="1206"/>
      <c r="Y14" s="51"/>
      <c r="Z14" s="51"/>
      <c r="AA14" s="1206"/>
      <c r="AB14" s="51"/>
      <c r="AC14" s="51"/>
      <c r="AD14" s="630"/>
      <c r="AE14" s="244">
        <f t="shared" si="1"/>
        <v>7</v>
      </c>
      <c r="AF14" s="244">
        <f t="shared" si="1"/>
        <v>7</v>
      </c>
      <c r="AG14" s="55"/>
      <c r="AH14" s="537" t="s">
        <v>204</v>
      </c>
      <c r="AI14" s="537" t="s">
        <v>205</v>
      </c>
      <c r="AJ14" s="537"/>
      <c r="AK14" s="537"/>
      <c r="AL14" s="1125"/>
      <c r="AM14" s="1125"/>
      <c r="AN14" s="1125"/>
    </row>
    <row r="15" spans="1:41">
      <c r="A15" s="612">
        <f t="shared" si="0"/>
        <v>944</v>
      </c>
      <c r="B15" s="309"/>
      <c r="C15" s="309" t="s">
        <v>581</v>
      </c>
      <c r="D15" s="309"/>
      <c r="E15" s="309"/>
      <c r="F15" s="309"/>
      <c r="G15" s="309"/>
      <c r="H15" s="357">
        <f>+[13]XNV!H$17</f>
        <v>10883.08</v>
      </c>
      <c r="I15" s="357">
        <f>+[13]XNV!I$17</f>
        <v>10883.08</v>
      </c>
      <c r="J15" s="357">
        <f>+[13]XNV!J$17</f>
        <v>10883.08</v>
      </c>
      <c r="K15" s="357">
        <f>+[13]XNV!K$17</f>
        <v>10883.08</v>
      </c>
      <c r="L15" s="357">
        <f>+[13]XNV!L$17</f>
        <v>10883.08</v>
      </c>
      <c r="M15" s="357">
        <f>+[13]XNV!M$17</f>
        <v>10883.08</v>
      </c>
      <c r="N15" s="357">
        <f>+[13]XNV!N$17</f>
        <v>10883.08</v>
      </c>
      <c r="O15" s="357">
        <f>+[13]XNV!O$17</f>
        <v>10883.08</v>
      </c>
      <c r="P15" s="357">
        <f>+[13]XNV!P$17</f>
        <v>10883.08</v>
      </c>
      <c r="Q15" s="357">
        <f>+[13]XNV!Q$17</f>
        <v>10883.08</v>
      </c>
      <c r="R15" s="357">
        <f>+[13]XNV!R$17</f>
        <v>10883.08</v>
      </c>
      <c r="S15" s="357">
        <f>+[13]XNV!S$17</f>
        <v>10883.08</v>
      </c>
      <c r="T15" s="357">
        <f>+[13]XNV!$T$17</f>
        <v>10883.08</v>
      </c>
      <c r="U15" s="357"/>
      <c r="V15" s="584">
        <f>(SUM(I15:S15)+(0.5*T15)+(0.5*H15))/12</f>
        <v>10883.08</v>
      </c>
      <c r="Y15" s="584">
        <f>T15</f>
        <v>10883.08</v>
      </c>
      <c r="Z15" s="584">
        <f t="shared" ref="Z15:Z76" si="2">V15</f>
        <v>10883.08</v>
      </c>
      <c r="AA15" s="357">
        <f>V15</f>
        <v>10883.08</v>
      </c>
      <c r="AB15" s="357">
        <f>T15</f>
        <v>10883.08</v>
      </c>
      <c r="AC15" s="357">
        <f>HLOOKUP($AC$8,RateBaseScenarios,AE15,FALSE)</f>
        <v>10883.08</v>
      </c>
      <c r="AD15" s="632">
        <f>AC15-T15</f>
        <v>0</v>
      </c>
      <c r="AE15" s="244">
        <f t="shared" si="1"/>
        <v>8</v>
      </c>
      <c r="AF15" s="244">
        <v>3</v>
      </c>
      <c r="AG15" s="57">
        <v>0</v>
      </c>
      <c r="AH15" s="537"/>
      <c r="AI15" s="537" t="s">
        <v>581</v>
      </c>
      <c r="AJ15" s="537"/>
      <c r="AK15" s="537"/>
      <c r="AL15" s="538">
        <f>+T15</f>
        <v>10883.08</v>
      </c>
      <c r="AM15" s="12">
        <f>AC15</f>
        <v>10883.08</v>
      </c>
      <c r="AN15" s="12">
        <f>AM15-AL15</f>
        <v>0</v>
      </c>
      <c r="AO15" s="7">
        <f>+AL15-T15</f>
        <v>0</v>
      </c>
    </row>
    <row r="16" spans="1:41">
      <c r="A16" s="612">
        <f t="shared" si="0"/>
        <v>945</v>
      </c>
      <c r="B16" s="309"/>
      <c r="C16" s="309" t="s">
        <v>582</v>
      </c>
      <c r="D16" s="309"/>
      <c r="E16" s="309"/>
      <c r="F16" s="309"/>
      <c r="G16" s="309"/>
      <c r="H16" s="357">
        <f>+[13]XNV!H$18</f>
        <v>58742.880000000005</v>
      </c>
      <c r="I16" s="357">
        <f>+[13]XNV!I$18</f>
        <v>58742.880000000005</v>
      </c>
      <c r="J16" s="357">
        <f>+[13]XNV!J$18</f>
        <v>58742.880000000005</v>
      </c>
      <c r="K16" s="357">
        <f>+[13]XNV!K$18</f>
        <v>58742.880000000005</v>
      </c>
      <c r="L16" s="357">
        <f>+[13]XNV!L$18</f>
        <v>58742.880000000005</v>
      </c>
      <c r="M16" s="357">
        <f>+[13]XNV!M$18</f>
        <v>58742.880000000005</v>
      </c>
      <c r="N16" s="357">
        <f>+[13]XNV!N$18</f>
        <v>58742.880000000005</v>
      </c>
      <c r="O16" s="357">
        <f>+[13]XNV!O$18</f>
        <v>58742.880000000005</v>
      </c>
      <c r="P16" s="357">
        <f>+[13]XNV!P$18</f>
        <v>58742.880000000005</v>
      </c>
      <c r="Q16" s="357">
        <f>+[13]XNV!Q$18</f>
        <v>58742.880000000005</v>
      </c>
      <c r="R16" s="357">
        <f>+[13]XNV!R$18</f>
        <v>58742.880000000005</v>
      </c>
      <c r="S16" s="357">
        <f>+[13]XNV!S$18</f>
        <v>58742.880000000005</v>
      </c>
      <c r="T16" s="357">
        <f>+[13]XNV!$T$18</f>
        <v>58742.880000000005</v>
      </c>
      <c r="U16" s="357"/>
      <c r="V16" s="584">
        <f>(SUM(I16:S16)+(0.5*T16)+(0.5*H16))/12</f>
        <v>58742.880000000005</v>
      </c>
      <c r="Y16" s="584">
        <f>T16</f>
        <v>58742.880000000005</v>
      </c>
      <c r="Z16" s="584">
        <f>V16</f>
        <v>58742.880000000005</v>
      </c>
      <c r="AA16" s="357">
        <f>V16</f>
        <v>58742.880000000005</v>
      </c>
      <c r="AB16" s="357">
        <f>T16</f>
        <v>58742.880000000005</v>
      </c>
      <c r="AC16" s="357">
        <f t="shared" ref="AC16:AC78" si="3">HLOOKUP($AC$8,RateBaseScenarios,AE16,FALSE)</f>
        <v>58742.880000000005</v>
      </c>
      <c r="AD16" s="632">
        <f>AC16-T16</f>
        <v>0</v>
      </c>
      <c r="AE16" s="244">
        <f t="shared" si="1"/>
        <v>9</v>
      </c>
      <c r="AF16" s="244">
        <f t="shared" si="1"/>
        <v>4</v>
      </c>
      <c r="AG16" s="57">
        <v>0</v>
      </c>
      <c r="AH16" s="537"/>
      <c r="AI16" s="537" t="s">
        <v>582</v>
      </c>
      <c r="AJ16" s="537"/>
      <c r="AK16" s="537"/>
      <c r="AL16" s="538">
        <f>+T16</f>
        <v>58742.880000000005</v>
      </c>
      <c r="AM16" s="12">
        <f>AC16</f>
        <v>58742.880000000005</v>
      </c>
      <c r="AN16" s="12">
        <f>AM16-AL16</f>
        <v>0</v>
      </c>
      <c r="AO16" s="7">
        <f t="shared" ref="AO16:AO79" si="4">+AL16-T16</f>
        <v>0</v>
      </c>
    </row>
    <row r="17" spans="1:41">
      <c r="A17" s="612">
        <f t="shared" si="0"/>
        <v>946</v>
      </c>
      <c r="B17" s="58"/>
      <c r="C17" s="309"/>
      <c r="D17" s="309"/>
      <c r="E17" s="309"/>
      <c r="F17" s="309"/>
      <c r="G17" s="309"/>
      <c r="H17" s="622"/>
      <c r="I17" s="622"/>
      <c r="J17" s="622"/>
      <c r="K17" s="622"/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Y17" s="622"/>
      <c r="Z17" s="622"/>
      <c r="AA17" s="622"/>
      <c r="AB17" s="622"/>
      <c r="AC17" s="622">
        <f t="shared" si="3"/>
        <v>0</v>
      </c>
      <c r="AD17" s="633"/>
      <c r="AE17" s="244">
        <f t="shared" si="1"/>
        <v>10</v>
      </c>
      <c r="AF17" s="244">
        <f t="shared" si="1"/>
        <v>5</v>
      </c>
      <c r="AG17" s="57">
        <v>0</v>
      </c>
      <c r="AH17" s="58"/>
      <c r="AI17" s="537"/>
      <c r="AJ17" s="537"/>
      <c r="AK17" s="537"/>
      <c r="AL17" s="1125"/>
      <c r="AO17" s="7">
        <f t="shared" si="4"/>
        <v>0</v>
      </c>
    </row>
    <row r="18" spans="1:41">
      <c r="A18" s="612">
        <f t="shared" si="0"/>
        <v>947</v>
      </c>
      <c r="B18" s="309"/>
      <c r="C18" s="309" t="s">
        <v>206</v>
      </c>
      <c r="D18" s="309"/>
      <c r="E18" s="309"/>
      <c r="F18" s="309"/>
      <c r="G18" s="309"/>
      <c r="H18" s="357">
        <f>SUM(H15:H17)</f>
        <v>69625.960000000006</v>
      </c>
      <c r="I18" s="357">
        <f t="shared" ref="I18:T18" si="5">SUM(I15:I17)</f>
        <v>69625.960000000006</v>
      </c>
      <c r="J18" s="357">
        <f t="shared" si="5"/>
        <v>69625.960000000006</v>
      </c>
      <c r="K18" s="357">
        <f t="shared" si="5"/>
        <v>69625.960000000006</v>
      </c>
      <c r="L18" s="357">
        <f t="shared" si="5"/>
        <v>69625.960000000006</v>
      </c>
      <c r="M18" s="357">
        <f t="shared" si="5"/>
        <v>69625.960000000006</v>
      </c>
      <c r="N18" s="357">
        <f t="shared" si="5"/>
        <v>69625.960000000006</v>
      </c>
      <c r="O18" s="357">
        <f t="shared" si="5"/>
        <v>69625.960000000006</v>
      </c>
      <c r="P18" s="357">
        <f t="shared" si="5"/>
        <v>69625.960000000006</v>
      </c>
      <c r="Q18" s="357">
        <f t="shared" si="5"/>
        <v>69625.960000000006</v>
      </c>
      <c r="R18" s="357">
        <f t="shared" si="5"/>
        <v>69625.960000000006</v>
      </c>
      <c r="S18" s="357">
        <f t="shared" si="5"/>
        <v>69625.960000000006</v>
      </c>
      <c r="T18" s="357">
        <f t="shared" si="5"/>
        <v>69625.960000000006</v>
      </c>
      <c r="U18" s="357"/>
      <c r="V18" s="584">
        <f>SUM(V15:V16)</f>
        <v>69625.960000000006</v>
      </c>
      <c r="Y18" s="584">
        <f>T18</f>
        <v>69625.960000000006</v>
      </c>
      <c r="Z18" s="584">
        <f t="shared" si="2"/>
        <v>69625.960000000006</v>
      </c>
      <c r="AA18" s="357">
        <f>V18</f>
        <v>69625.960000000006</v>
      </c>
      <c r="AB18" s="357">
        <f>T18</f>
        <v>69625.960000000006</v>
      </c>
      <c r="AC18" s="357">
        <f t="shared" si="3"/>
        <v>69625.960000000006</v>
      </c>
      <c r="AD18" s="632">
        <f>SUM(AD15:AD17)</f>
        <v>0</v>
      </c>
      <c r="AE18" s="244">
        <f t="shared" si="1"/>
        <v>11</v>
      </c>
      <c r="AF18" s="244">
        <f t="shared" si="1"/>
        <v>6</v>
      </c>
      <c r="AG18" s="57">
        <v>0</v>
      </c>
      <c r="AH18" s="537"/>
      <c r="AI18" s="537" t="s">
        <v>206</v>
      </c>
      <c r="AJ18" s="537"/>
      <c r="AK18" s="537"/>
      <c r="AL18" s="538">
        <f>+T18</f>
        <v>69625.960000000006</v>
      </c>
      <c r="AM18" s="538">
        <f>+V18</f>
        <v>69625.960000000006</v>
      </c>
      <c r="AN18" s="12">
        <f>AM18-AL18</f>
        <v>0</v>
      </c>
      <c r="AO18" s="7">
        <f t="shared" si="4"/>
        <v>0</v>
      </c>
    </row>
    <row r="19" spans="1:41">
      <c r="A19" s="612">
        <f t="shared" si="0"/>
        <v>948</v>
      </c>
      <c r="B19" s="309"/>
      <c r="C19" s="309"/>
      <c r="D19" s="309"/>
      <c r="E19" s="309"/>
      <c r="F19" s="309"/>
      <c r="G19" s="309"/>
      <c r="AA19" s="2"/>
      <c r="AC19" s="2">
        <f t="shared" si="3"/>
        <v>0</v>
      </c>
      <c r="AE19" s="244">
        <f t="shared" si="1"/>
        <v>12</v>
      </c>
      <c r="AF19" s="244">
        <f t="shared" si="1"/>
        <v>7</v>
      </c>
      <c r="AG19" s="57">
        <v>0</v>
      </c>
      <c r="AH19" s="537"/>
      <c r="AI19" s="537"/>
      <c r="AJ19" s="537"/>
      <c r="AK19" s="537"/>
      <c r="AL19" s="1125"/>
      <c r="AO19" s="7">
        <f t="shared" si="4"/>
        <v>0</v>
      </c>
    </row>
    <row r="20" spans="1:41">
      <c r="A20" s="612">
        <f t="shared" si="0"/>
        <v>949</v>
      </c>
      <c r="B20" s="620"/>
      <c r="C20" s="309" t="s">
        <v>207</v>
      </c>
      <c r="D20" s="309"/>
      <c r="E20" s="309"/>
      <c r="F20" s="309"/>
      <c r="G20" s="309"/>
      <c r="AA20" s="2"/>
      <c r="AC20" s="2">
        <f t="shared" si="3"/>
        <v>0</v>
      </c>
      <c r="AE20" s="244">
        <f t="shared" si="1"/>
        <v>13</v>
      </c>
      <c r="AF20" s="244">
        <f t="shared" si="1"/>
        <v>8</v>
      </c>
      <c r="AG20" s="57">
        <v>0</v>
      </c>
      <c r="AH20" s="539"/>
      <c r="AI20" s="537" t="s">
        <v>207</v>
      </c>
      <c r="AJ20" s="537"/>
      <c r="AK20" s="537"/>
      <c r="AL20" s="1125"/>
      <c r="AO20" s="7">
        <f t="shared" si="4"/>
        <v>0</v>
      </c>
    </row>
    <row r="21" spans="1:41">
      <c r="A21" s="612">
        <f t="shared" si="0"/>
        <v>950</v>
      </c>
      <c r="B21" s="620" t="s">
        <v>208</v>
      </c>
      <c r="C21" s="309" t="s">
        <v>209</v>
      </c>
      <c r="D21" s="309"/>
      <c r="E21" s="309"/>
      <c r="F21" s="309"/>
      <c r="G21" s="309"/>
      <c r="H21" s="357">
        <f>+[13]XNV!H$23</f>
        <v>6266900.6900000004</v>
      </c>
      <c r="I21" s="357">
        <f>+[13]XNV!I$23</f>
        <v>6266900.6900000004</v>
      </c>
      <c r="J21" s="357">
        <f>+[13]XNV!J$23</f>
        <v>6266900.6900000004</v>
      </c>
      <c r="K21" s="357">
        <f>+[13]XNV!K$23</f>
        <v>6266900.6900000004</v>
      </c>
      <c r="L21" s="357">
        <f>+[13]XNV!L$23</f>
        <v>6266900.6900000004</v>
      </c>
      <c r="M21" s="357">
        <f>+[13]XNV!M$23</f>
        <v>6266900.6900000004</v>
      </c>
      <c r="N21" s="357">
        <f>+[13]XNV!N$23</f>
        <v>6266900.6900000004</v>
      </c>
      <c r="O21" s="357">
        <f>+[13]XNV!O$23</f>
        <v>6266900.6900000004</v>
      </c>
      <c r="P21" s="357">
        <f>+[13]XNV!P$23</f>
        <v>6266900.6900000004</v>
      </c>
      <c r="Q21" s="357">
        <f>+[13]XNV!Q$23</f>
        <v>6266900.6900000004</v>
      </c>
      <c r="R21" s="357">
        <f>+[13]XNV!R$23</f>
        <v>6266900.6900000004</v>
      </c>
      <c r="S21" s="357">
        <f>+[13]XNV!S$23</f>
        <v>6266900.6900000004</v>
      </c>
      <c r="T21" s="357">
        <f>+[13]XNV!$T$23</f>
        <v>6266900.6900000004</v>
      </c>
      <c r="U21" s="357"/>
      <c r="V21" s="584">
        <f>(SUM(I21:S21)+(0.5*T21)+(0.5*H21))/12</f>
        <v>6266900.6899999985</v>
      </c>
      <c r="Y21" s="584">
        <f>T21</f>
        <v>6266900.6900000004</v>
      </c>
      <c r="Z21" s="584">
        <f>V21</f>
        <v>6266900.6899999985</v>
      </c>
      <c r="AA21" s="357">
        <f t="shared" ref="AA21:AA27" si="6">V21</f>
        <v>6266900.6899999985</v>
      </c>
      <c r="AB21" s="357">
        <f t="shared" ref="AB21:AB27" si="7">T21</f>
        <v>6266900.6900000004</v>
      </c>
      <c r="AC21" s="357">
        <f t="shared" si="3"/>
        <v>6266900.6899999985</v>
      </c>
      <c r="AD21" s="632">
        <f t="shared" ref="AD21:AD27" si="8">AC21-T21</f>
        <v>0</v>
      </c>
      <c r="AE21" s="244">
        <f t="shared" si="1"/>
        <v>14</v>
      </c>
      <c r="AF21" s="244">
        <f t="shared" si="1"/>
        <v>9</v>
      </c>
      <c r="AG21" s="57">
        <v>0</v>
      </c>
      <c r="AH21" s="539" t="s">
        <v>208</v>
      </c>
      <c r="AI21" s="537" t="s">
        <v>209</v>
      </c>
      <c r="AJ21" s="537"/>
      <c r="AK21" s="537"/>
      <c r="AL21" s="538">
        <f t="shared" ref="AL21:AL27" si="9">+T21</f>
        <v>6266900.6900000004</v>
      </c>
      <c r="AM21" s="12">
        <f t="shared" ref="AM21:AM27" si="10">AC21</f>
        <v>6266900.6899999985</v>
      </c>
      <c r="AN21" s="12">
        <f t="shared" ref="AN21:AN27" si="11">AM21-AL21</f>
        <v>0</v>
      </c>
      <c r="AO21" s="7">
        <f t="shared" si="4"/>
        <v>0</v>
      </c>
    </row>
    <row r="22" spans="1:41">
      <c r="A22" s="612">
        <f t="shared" si="0"/>
        <v>951</v>
      </c>
      <c r="B22" s="620" t="s">
        <v>210</v>
      </c>
      <c r="C22" s="309" t="s">
        <v>211</v>
      </c>
      <c r="D22" s="309"/>
      <c r="E22" s="309"/>
      <c r="F22" s="309"/>
      <c r="G22" s="309"/>
      <c r="H22" s="357">
        <f>+[13]XNV!H$24</f>
        <v>1437567.99</v>
      </c>
      <c r="I22" s="357">
        <f>+[13]XNV!I$24</f>
        <v>1437567.99</v>
      </c>
      <c r="J22" s="357">
        <f>+[13]XNV!J$24</f>
        <v>1437567.99</v>
      </c>
      <c r="K22" s="357">
        <f>+[13]XNV!K$24</f>
        <v>1437567.99</v>
      </c>
      <c r="L22" s="357">
        <f>+[13]XNV!L$24</f>
        <v>1437567.99</v>
      </c>
      <c r="M22" s="357">
        <f>+[13]XNV!M$24</f>
        <v>1437567.99</v>
      </c>
      <c r="N22" s="357">
        <f>+[13]XNV!N$24</f>
        <v>1437567.99</v>
      </c>
      <c r="O22" s="357">
        <f>+[13]XNV!O$24</f>
        <v>1437567.99</v>
      </c>
      <c r="P22" s="357">
        <f>+[13]XNV!P$24</f>
        <v>1437567.99</v>
      </c>
      <c r="Q22" s="357">
        <f>+[13]XNV!Q$24</f>
        <v>1437567.99</v>
      </c>
      <c r="R22" s="357">
        <f>+[13]XNV!R$24</f>
        <v>1437567.99</v>
      </c>
      <c r="S22" s="357">
        <f>+[13]XNV!S$24</f>
        <v>1437567.99</v>
      </c>
      <c r="T22" s="357">
        <f>+[13]XNV!$T$24</f>
        <v>1437567.99</v>
      </c>
      <c r="U22" s="357"/>
      <c r="V22" s="584">
        <f t="shared" ref="V22:V27" si="12">(SUM(I22:S22)+(0.5*T22)+(0.5*H22))/12</f>
        <v>1437567.99</v>
      </c>
      <c r="Y22" s="584">
        <f t="shared" ref="Y22:Y27" si="13">T22</f>
        <v>1437567.99</v>
      </c>
      <c r="Z22" s="584">
        <f t="shared" si="2"/>
        <v>1437567.99</v>
      </c>
      <c r="AA22" s="357">
        <f t="shared" si="6"/>
        <v>1437567.99</v>
      </c>
      <c r="AB22" s="357">
        <f t="shared" si="7"/>
        <v>1437567.99</v>
      </c>
      <c r="AC22" s="357">
        <f t="shared" si="3"/>
        <v>1437567.99</v>
      </c>
      <c r="AD22" s="632">
        <f t="shared" si="8"/>
        <v>0</v>
      </c>
      <c r="AE22" s="244">
        <f t="shared" si="1"/>
        <v>15</v>
      </c>
      <c r="AF22" s="244">
        <f t="shared" si="1"/>
        <v>10</v>
      </c>
      <c r="AG22" s="57">
        <v>5239.4379166662693</v>
      </c>
      <c r="AH22" s="539" t="s">
        <v>210</v>
      </c>
      <c r="AI22" s="537" t="s">
        <v>211</v>
      </c>
      <c r="AJ22" s="537"/>
      <c r="AK22" s="537"/>
      <c r="AL22" s="538">
        <f t="shared" si="9"/>
        <v>1437567.99</v>
      </c>
      <c r="AM22" s="12">
        <f t="shared" si="10"/>
        <v>1437567.99</v>
      </c>
      <c r="AN22" s="12">
        <f t="shared" si="11"/>
        <v>0</v>
      </c>
      <c r="AO22" s="7">
        <f t="shared" si="4"/>
        <v>0</v>
      </c>
    </row>
    <row r="23" spans="1:41">
      <c r="A23" s="612">
        <f t="shared" si="0"/>
        <v>952</v>
      </c>
      <c r="B23" s="620" t="s">
        <v>212</v>
      </c>
      <c r="C23" s="309" t="s">
        <v>213</v>
      </c>
      <c r="D23" s="309"/>
      <c r="E23" s="309"/>
      <c r="F23" s="309"/>
      <c r="G23" s="309"/>
      <c r="H23" s="357">
        <f>+[13]XNV!H$25</f>
        <v>52175293.810000002</v>
      </c>
      <c r="I23" s="357">
        <f>+[13]XNV!I$25</f>
        <v>52175293.810000002</v>
      </c>
      <c r="J23" s="357">
        <f>+[13]XNV!J$25</f>
        <v>52175293.810000002</v>
      </c>
      <c r="K23" s="357">
        <f>+[13]XNV!K$25</f>
        <v>52175293.810000002</v>
      </c>
      <c r="L23" s="357">
        <f>+[13]XNV!L$25</f>
        <v>52175293.810000002</v>
      </c>
      <c r="M23" s="357">
        <f>+[13]XNV!M$25</f>
        <v>52175293.810000002</v>
      </c>
      <c r="N23" s="357">
        <f>+[13]XNV!N$25</f>
        <v>52175293.810000002</v>
      </c>
      <c r="O23" s="357">
        <f>+[13]XNV!O$25</f>
        <v>52175293.810000002</v>
      </c>
      <c r="P23" s="357">
        <f>+[13]XNV!P$25</f>
        <v>52175293.810000002</v>
      </c>
      <c r="Q23" s="357">
        <f>+[13]XNV!Q$25</f>
        <v>52175293.810000002</v>
      </c>
      <c r="R23" s="357">
        <f>+[13]XNV!R$25</f>
        <v>52175293.810000002</v>
      </c>
      <c r="S23" s="357">
        <f>+[13]XNV!S$25</f>
        <v>52175293.810000002</v>
      </c>
      <c r="T23" s="357">
        <f>+[13]XNV!$T$25</f>
        <v>52175293.810000002</v>
      </c>
      <c r="U23" s="357"/>
      <c r="V23" s="584">
        <f>(SUM(I23:S23)+(0.5*T23)+(0.5*H23))/12</f>
        <v>52175293.810000002</v>
      </c>
      <c r="Y23" s="584">
        <f t="shared" si="13"/>
        <v>52175293.810000002</v>
      </c>
      <c r="Z23" s="584">
        <f t="shared" si="2"/>
        <v>52175293.810000002</v>
      </c>
      <c r="AA23" s="357">
        <f t="shared" si="6"/>
        <v>52175293.810000002</v>
      </c>
      <c r="AB23" s="357">
        <f t="shared" si="7"/>
        <v>52175293.810000002</v>
      </c>
      <c r="AC23" s="357">
        <f t="shared" si="3"/>
        <v>52175293.810000002</v>
      </c>
      <c r="AD23" s="632">
        <f t="shared" si="8"/>
        <v>0</v>
      </c>
      <c r="AE23" s="244">
        <f t="shared" si="1"/>
        <v>16</v>
      </c>
      <c r="AF23" s="244">
        <f t="shared" si="1"/>
        <v>11</v>
      </c>
      <c r="AG23" s="57">
        <v>923815.10250002146</v>
      </c>
      <c r="AH23" s="539" t="s">
        <v>212</v>
      </c>
      <c r="AI23" s="537" t="s">
        <v>213</v>
      </c>
      <c r="AJ23" s="537"/>
      <c r="AK23" s="537"/>
      <c r="AL23" s="538">
        <f t="shared" si="9"/>
        <v>52175293.810000002</v>
      </c>
      <c r="AM23" s="12">
        <f t="shared" si="10"/>
        <v>52175293.810000002</v>
      </c>
      <c r="AN23" s="12">
        <f t="shared" si="11"/>
        <v>0</v>
      </c>
      <c r="AO23" s="7">
        <f t="shared" si="4"/>
        <v>0</v>
      </c>
    </row>
    <row r="24" spans="1:41">
      <c r="A24" s="612">
        <f t="shared" si="0"/>
        <v>953</v>
      </c>
      <c r="B24" s="620" t="s">
        <v>214</v>
      </c>
      <c r="C24" s="309" t="s">
        <v>215</v>
      </c>
      <c r="D24" s="309"/>
      <c r="E24" s="309"/>
      <c r="F24" s="309"/>
      <c r="G24" s="309"/>
      <c r="H24" s="357">
        <f>+[13]XNV!H$26</f>
        <v>17216356.050000001</v>
      </c>
      <c r="I24" s="357">
        <f>+[13]XNV!I$26</f>
        <v>17216356.050000001</v>
      </c>
      <c r="J24" s="357">
        <f>+[13]XNV!J$26</f>
        <v>17216356.050000001</v>
      </c>
      <c r="K24" s="357">
        <f>+[13]XNV!K$26</f>
        <v>17216356.050000001</v>
      </c>
      <c r="L24" s="357">
        <f>+[13]XNV!L$26</f>
        <v>17216356.050000001</v>
      </c>
      <c r="M24" s="357">
        <f>+[13]XNV!M$26</f>
        <v>17216356.050000001</v>
      </c>
      <c r="N24" s="357">
        <f>+[13]XNV!N$26</f>
        <v>17216356.050000001</v>
      </c>
      <c r="O24" s="357">
        <f>+[13]XNV!O$26</f>
        <v>17216356.050000001</v>
      </c>
      <c r="P24" s="357">
        <f>+[13]XNV!P$26</f>
        <v>17216356.050000001</v>
      </c>
      <c r="Q24" s="357">
        <f>+[13]XNV!Q$26</f>
        <v>17216356.050000001</v>
      </c>
      <c r="R24" s="357">
        <f>+[13]XNV!R$26</f>
        <v>17216356.050000001</v>
      </c>
      <c r="S24" s="357">
        <f>+[13]XNV!S$26</f>
        <v>17216356.050000001</v>
      </c>
      <c r="T24" s="357">
        <f>+[13]XNV!$T$26</f>
        <v>17216356.050000001</v>
      </c>
      <c r="U24" s="357"/>
      <c r="V24" s="584">
        <f t="shared" si="12"/>
        <v>17216356.050000004</v>
      </c>
      <c r="Y24" s="584">
        <f t="shared" si="13"/>
        <v>17216356.050000001</v>
      </c>
      <c r="Z24" s="584">
        <f t="shared" si="2"/>
        <v>17216356.050000004</v>
      </c>
      <c r="AA24" s="357">
        <f t="shared" si="6"/>
        <v>17216356.050000004</v>
      </c>
      <c r="AB24" s="357">
        <f t="shared" si="7"/>
        <v>17216356.050000001</v>
      </c>
      <c r="AC24" s="357">
        <f t="shared" si="3"/>
        <v>17216356.050000004</v>
      </c>
      <c r="AD24" s="632">
        <f t="shared" si="8"/>
        <v>0</v>
      </c>
      <c r="AE24" s="244">
        <f t="shared" si="1"/>
        <v>17</v>
      </c>
      <c r="AF24" s="244">
        <f t="shared" si="1"/>
        <v>12</v>
      </c>
      <c r="AG24" s="57">
        <v>274625.39208333194</v>
      </c>
      <c r="AH24" s="539" t="s">
        <v>214</v>
      </c>
      <c r="AI24" s="537" t="s">
        <v>215</v>
      </c>
      <c r="AJ24" s="537"/>
      <c r="AK24" s="537"/>
      <c r="AL24" s="538">
        <f t="shared" si="9"/>
        <v>17216356.050000001</v>
      </c>
      <c r="AM24" s="12">
        <f t="shared" si="10"/>
        <v>17216356.050000004</v>
      </c>
      <c r="AN24" s="12">
        <f t="shared" si="11"/>
        <v>0</v>
      </c>
      <c r="AO24" s="7">
        <f t="shared" si="4"/>
        <v>0</v>
      </c>
    </row>
    <row r="25" spans="1:41">
      <c r="A25" s="612">
        <f t="shared" si="0"/>
        <v>954</v>
      </c>
      <c r="B25" s="620" t="s">
        <v>216</v>
      </c>
      <c r="C25" s="309" t="s">
        <v>217</v>
      </c>
      <c r="D25" s="309"/>
      <c r="E25" s="309"/>
      <c r="F25" s="309"/>
      <c r="G25" s="309"/>
      <c r="H25" s="357">
        <f>+[13]XNV!H$27</f>
        <v>2693816.12</v>
      </c>
      <c r="I25" s="357">
        <f>+[13]XNV!I$27</f>
        <v>2693816.12</v>
      </c>
      <c r="J25" s="357">
        <f>+[13]XNV!J$27</f>
        <v>2693816.12</v>
      </c>
      <c r="K25" s="357">
        <f>+[13]XNV!K$27</f>
        <v>2693816.12</v>
      </c>
      <c r="L25" s="357">
        <f>+[13]XNV!L$27</f>
        <v>2693816.12</v>
      </c>
      <c r="M25" s="357">
        <f>+[13]XNV!M$27</f>
        <v>2693816.12</v>
      </c>
      <c r="N25" s="357">
        <f>+[13]XNV!N$27</f>
        <v>2693816.12</v>
      </c>
      <c r="O25" s="357">
        <f>+[13]XNV!O$27</f>
        <v>2693816.12</v>
      </c>
      <c r="P25" s="357">
        <f>+[13]XNV!P$27</f>
        <v>2693816.12</v>
      </c>
      <c r="Q25" s="357">
        <f>+[13]XNV!Q$27</f>
        <v>2693816.12</v>
      </c>
      <c r="R25" s="357">
        <f>+[13]XNV!R$27</f>
        <v>2693816.12</v>
      </c>
      <c r="S25" s="357">
        <f>+[13]XNV!S$27</f>
        <v>2693816.12</v>
      </c>
      <c r="T25" s="357">
        <f>+[13]XNV!$T$27</f>
        <v>2693816.12</v>
      </c>
      <c r="U25" s="357"/>
      <c r="V25" s="584">
        <f t="shared" si="12"/>
        <v>2693816.1200000006</v>
      </c>
      <c r="Y25" s="584">
        <f t="shared" si="13"/>
        <v>2693816.12</v>
      </c>
      <c r="Z25" s="584">
        <f t="shared" si="2"/>
        <v>2693816.1200000006</v>
      </c>
      <c r="AA25" s="357">
        <f t="shared" si="6"/>
        <v>2693816.1200000006</v>
      </c>
      <c r="AB25" s="357">
        <f t="shared" si="7"/>
        <v>2693816.12</v>
      </c>
      <c r="AC25" s="357">
        <f t="shared" si="3"/>
        <v>2693816.1200000006</v>
      </c>
      <c r="AD25" s="632">
        <f t="shared" si="8"/>
        <v>0</v>
      </c>
      <c r="AE25" s="244">
        <f t="shared" si="1"/>
        <v>18</v>
      </c>
      <c r="AF25" s="244">
        <f t="shared" si="1"/>
        <v>13</v>
      </c>
      <c r="AG25" s="57">
        <v>5745.5837499997579</v>
      </c>
      <c r="AH25" s="539" t="s">
        <v>216</v>
      </c>
      <c r="AI25" s="537" t="s">
        <v>217</v>
      </c>
      <c r="AJ25" s="537"/>
      <c r="AK25" s="537"/>
      <c r="AL25" s="538">
        <f t="shared" si="9"/>
        <v>2693816.12</v>
      </c>
      <c r="AM25" s="12">
        <f t="shared" si="10"/>
        <v>2693816.1200000006</v>
      </c>
      <c r="AN25" s="12">
        <f t="shared" si="11"/>
        <v>0</v>
      </c>
      <c r="AO25" s="7">
        <f t="shared" si="4"/>
        <v>0</v>
      </c>
    </row>
    <row r="26" spans="1:41">
      <c r="A26" s="612">
        <f t="shared" si="0"/>
        <v>955</v>
      </c>
      <c r="B26" s="620" t="s">
        <v>218</v>
      </c>
      <c r="C26" s="309" t="s">
        <v>219</v>
      </c>
      <c r="D26" s="309"/>
      <c r="E26" s="309"/>
      <c r="F26" s="309"/>
      <c r="G26" s="309"/>
      <c r="H26" s="357">
        <f>+[13]XNV!H$28</f>
        <v>57014.71</v>
      </c>
      <c r="I26" s="357">
        <f>+[13]XNV!I$28</f>
        <v>57014.71</v>
      </c>
      <c r="J26" s="357">
        <f>+[13]XNV!J$28</f>
        <v>57014.71</v>
      </c>
      <c r="K26" s="357">
        <f>+[13]XNV!K$28</f>
        <v>57014.71</v>
      </c>
      <c r="L26" s="357">
        <f>+[13]XNV!L$28</f>
        <v>57014.71</v>
      </c>
      <c r="M26" s="357">
        <f>+[13]XNV!M$28</f>
        <v>57014.71</v>
      </c>
      <c r="N26" s="357">
        <f>+[13]XNV!N$28</f>
        <v>57014.71</v>
      </c>
      <c r="O26" s="357">
        <f>+[13]XNV!O$28</f>
        <v>57014.71</v>
      </c>
      <c r="P26" s="357">
        <f>+[13]XNV!P$28</f>
        <v>57014.71</v>
      </c>
      <c r="Q26" s="357">
        <f>+[13]XNV!Q$28</f>
        <v>57014.71</v>
      </c>
      <c r="R26" s="357">
        <f>+[13]XNV!R$28</f>
        <v>57014.71</v>
      </c>
      <c r="S26" s="357">
        <f>+[13]XNV!S$28</f>
        <v>57014.71</v>
      </c>
      <c r="T26" s="357">
        <f>+[13]XNV!$T$28</f>
        <v>57014.71</v>
      </c>
      <c r="U26" s="357"/>
      <c r="V26" s="584">
        <f t="shared" si="12"/>
        <v>57014.71</v>
      </c>
      <c r="Y26" s="584">
        <f t="shared" si="13"/>
        <v>57014.71</v>
      </c>
      <c r="Z26" s="584">
        <f t="shared" si="2"/>
        <v>57014.71</v>
      </c>
      <c r="AA26" s="357">
        <f t="shared" si="6"/>
        <v>57014.71</v>
      </c>
      <c r="AB26" s="357">
        <f t="shared" si="7"/>
        <v>57014.71</v>
      </c>
      <c r="AC26" s="357">
        <f t="shared" si="3"/>
        <v>57014.71</v>
      </c>
      <c r="AD26" s="632">
        <f t="shared" si="8"/>
        <v>0</v>
      </c>
      <c r="AE26" s="244">
        <f t="shared" si="1"/>
        <v>19</v>
      </c>
      <c r="AF26" s="244">
        <f t="shared" si="1"/>
        <v>14</v>
      </c>
      <c r="AG26" s="57">
        <v>0</v>
      </c>
      <c r="AH26" s="539" t="s">
        <v>218</v>
      </c>
      <c r="AI26" s="537" t="s">
        <v>219</v>
      </c>
      <c r="AJ26" s="537"/>
      <c r="AK26" s="537"/>
      <c r="AL26" s="538">
        <f t="shared" si="9"/>
        <v>57014.71</v>
      </c>
      <c r="AM26" s="12">
        <f t="shared" si="10"/>
        <v>57014.71</v>
      </c>
      <c r="AN26" s="12">
        <f t="shared" si="11"/>
        <v>0</v>
      </c>
      <c r="AO26" s="7">
        <f t="shared" si="4"/>
        <v>0</v>
      </c>
    </row>
    <row r="27" spans="1:41">
      <c r="A27" s="612">
        <f t="shared" si="0"/>
        <v>956</v>
      </c>
      <c r="B27" s="309" t="s">
        <v>220</v>
      </c>
      <c r="C27" s="309" t="s">
        <v>221</v>
      </c>
      <c r="D27" s="309"/>
      <c r="E27" s="309"/>
      <c r="F27" s="309"/>
      <c r="G27" s="309"/>
      <c r="H27" s="357">
        <f>+[13]XNV!H$29</f>
        <v>121186.63</v>
      </c>
      <c r="I27" s="357">
        <f>+[13]XNV!I$29</f>
        <v>121186.63</v>
      </c>
      <c r="J27" s="357">
        <f>+[13]XNV!J$29</f>
        <v>121186.63</v>
      </c>
      <c r="K27" s="357">
        <f>+[13]XNV!K$29</f>
        <v>121186.63</v>
      </c>
      <c r="L27" s="357">
        <f>+[13]XNV!L$29</f>
        <v>121186.63</v>
      </c>
      <c r="M27" s="357">
        <f>+[13]XNV!M$29</f>
        <v>121186.63</v>
      </c>
      <c r="N27" s="357">
        <f>+[13]XNV!N$29</f>
        <v>121186.63</v>
      </c>
      <c r="O27" s="357">
        <f>+[13]XNV!O$29</f>
        <v>121186.63</v>
      </c>
      <c r="P27" s="357">
        <f>+[13]XNV!P$29</f>
        <v>121186.63</v>
      </c>
      <c r="Q27" s="357">
        <f>+[13]XNV!Q$29</f>
        <v>121186.63</v>
      </c>
      <c r="R27" s="357">
        <f>+[13]XNV!R$29</f>
        <v>121186.63</v>
      </c>
      <c r="S27" s="357">
        <f>+[13]XNV!S$29</f>
        <v>121186.63</v>
      </c>
      <c r="T27" s="357">
        <f>+[13]XNV!$T$29</f>
        <v>121186.63</v>
      </c>
      <c r="U27" s="357"/>
      <c r="V27" s="584">
        <f t="shared" si="12"/>
        <v>121186.62999999996</v>
      </c>
      <c r="Y27" s="584">
        <f t="shared" si="13"/>
        <v>121186.63</v>
      </c>
      <c r="Z27" s="584">
        <f t="shared" si="2"/>
        <v>121186.62999999996</v>
      </c>
      <c r="AA27" s="357">
        <f t="shared" si="6"/>
        <v>121186.62999999996</v>
      </c>
      <c r="AB27" s="357">
        <f t="shared" si="7"/>
        <v>121186.63</v>
      </c>
      <c r="AC27" s="357">
        <f t="shared" si="3"/>
        <v>121186.62999999996</v>
      </c>
      <c r="AD27" s="632">
        <f t="shared" si="8"/>
        <v>0</v>
      </c>
      <c r="AE27" s="244">
        <f t="shared" si="1"/>
        <v>20</v>
      </c>
      <c r="AF27" s="244">
        <f t="shared" si="1"/>
        <v>15</v>
      </c>
      <c r="AG27" s="57">
        <v>0</v>
      </c>
      <c r="AH27" s="537" t="s">
        <v>220</v>
      </c>
      <c r="AI27" s="537" t="s">
        <v>221</v>
      </c>
      <c r="AJ27" s="537"/>
      <c r="AK27" s="537"/>
      <c r="AL27" s="538">
        <f t="shared" si="9"/>
        <v>121186.63</v>
      </c>
      <c r="AM27" s="12">
        <f t="shared" si="10"/>
        <v>121186.62999999996</v>
      </c>
      <c r="AN27" s="12">
        <f t="shared" si="11"/>
        <v>0</v>
      </c>
      <c r="AO27" s="7">
        <f t="shared" si="4"/>
        <v>0</v>
      </c>
    </row>
    <row r="28" spans="1:41">
      <c r="A28" s="612">
        <f t="shared" si="0"/>
        <v>957</v>
      </c>
      <c r="B28" s="58"/>
      <c r="C28" s="309"/>
      <c r="D28" s="309"/>
      <c r="E28" s="309"/>
      <c r="F28" s="309"/>
      <c r="G28" s="309"/>
      <c r="H28" s="622"/>
      <c r="I28" s="622"/>
      <c r="J28" s="622"/>
      <c r="K28" s="622"/>
      <c r="L28" s="622"/>
      <c r="M28" s="622"/>
      <c r="N28" s="622"/>
      <c r="O28" s="622"/>
      <c r="P28" s="622"/>
      <c r="Q28" s="622"/>
      <c r="R28" s="622"/>
      <c r="S28" s="622"/>
      <c r="T28" s="622"/>
      <c r="U28" s="622"/>
      <c r="V28" s="622"/>
      <c r="Y28" s="622"/>
      <c r="Z28" s="622"/>
      <c r="AA28" s="622"/>
      <c r="AB28" s="622"/>
      <c r="AC28" s="622">
        <f t="shared" si="3"/>
        <v>0</v>
      </c>
      <c r="AD28" s="633"/>
      <c r="AE28" s="244">
        <f t="shared" si="1"/>
        <v>21</v>
      </c>
      <c r="AF28" s="244">
        <f t="shared" si="1"/>
        <v>16</v>
      </c>
      <c r="AG28" s="57">
        <v>0</v>
      </c>
      <c r="AH28" s="58"/>
      <c r="AI28" s="537"/>
      <c r="AJ28" s="537"/>
      <c r="AK28" s="537"/>
      <c r="AL28" s="1125"/>
      <c r="AO28" s="7">
        <f t="shared" si="4"/>
        <v>0</v>
      </c>
    </row>
    <row r="29" spans="1:41">
      <c r="A29" s="612">
        <f t="shared" si="0"/>
        <v>958</v>
      </c>
      <c r="B29" s="309"/>
      <c r="C29" s="309" t="s">
        <v>222</v>
      </c>
      <c r="D29" s="309"/>
      <c r="E29" s="309"/>
      <c r="F29" s="309"/>
      <c r="G29" s="309"/>
      <c r="H29" s="621">
        <f>SUM(H21:H27)</f>
        <v>79968136</v>
      </c>
      <c r="I29" s="621">
        <f t="shared" ref="I29:T29" si="14">SUM(I21:I27)</f>
        <v>79968136</v>
      </c>
      <c r="J29" s="621">
        <f t="shared" si="14"/>
        <v>79968136</v>
      </c>
      <c r="K29" s="621">
        <f t="shared" si="14"/>
        <v>79968136</v>
      </c>
      <c r="L29" s="621">
        <f t="shared" si="14"/>
        <v>79968136</v>
      </c>
      <c r="M29" s="621">
        <f t="shared" si="14"/>
        <v>79968136</v>
      </c>
      <c r="N29" s="621">
        <f t="shared" si="14"/>
        <v>79968136</v>
      </c>
      <c r="O29" s="621">
        <f t="shared" si="14"/>
        <v>79968136</v>
      </c>
      <c r="P29" s="621">
        <f t="shared" si="14"/>
        <v>79968136</v>
      </c>
      <c r="Q29" s="621">
        <f t="shared" si="14"/>
        <v>79968136</v>
      </c>
      <c r="R29" s="621">
        <f t="shared" si="14"/>
        <v>79968136</v>
      </c>
      <c r="S29" s="621">
        <f t="shared" si="14"/>
        <v>79968136</v>
      </c>
      <c r="T29" s="621">
        <f t="shared" si="14"/>
        <v>79968136</v>
      </c>
      <c r="U29" s="621"/>
      <c r="V29" s="621">
        <f>SUM(V21:V27)</f>
        <v>79968136</v>
      </c>
      <c r="Y29" s="621">
        <f>T29</f>
        <v>79968136</v>
      </c>
      <c r="Z29" s="621">
        <f t="shared" si="2"/>
        <v>79968136</v>
      </c>
      <c r="AA29" s="621">
        <f>V29</f>
        <v>79968136</v>
      </c>
      <c r="AB29" s="621">
        <f>T29</f>
        <v>79968136</v>
      </c>
      <c r="AC29" s="621">
        <f t="shared" si="3"/>
        <v>79968136</v>
      </c>
      <c r="AD29" s="634">
        <f>SUM(AD21:AD27)</f>
        <v>0</v>
      </c>
      <c r="AE29" s="244">
        <f t="shared" si="1"/>
        <v>22</v>
      </c>
      <c r="AF29" s="244">
        <f t="shared" si="1"/>
        <v>17</v>
      </c>
      <c r="AG29" s="57">
        <v>1209425.5162500194</v>
      </c>
      <c r="AH29" s="537"/>
      <c r="AI29" s="537" t="s">
        <v>222</v>
      </c>
      <c r="AJ29" s="537"/>
      <c r="AK29" s="537"/>
      <c r="AL29" s="538">
        <f>SUM(AL21:AL27)</f>
        <v>79968136</v>
      </c>
      <c r="AM29" s="538">
        <f>SUM(AM21:AM27)</f>
        <v>79968136</v>
      </c>
      <c r="AN29" s="538">
        <f>SUM(AN21:AN27)</f>
        <v>0</v>
      </c>
      <c r="AO29" s="7">
        <f t="shared" si="4"/>
        <v>0</v>
      </c>
    </row>
    <row r="30" spans="1:41">
      <c r="A30" s="612">
        <f t="shared" si="0"/>
        <v>959</v>
      </c>
      <c r="B30" s="309"/>
      <c r="C30" s="309"/>
      <c r="D30" s="309"/>
      <c r="E30" s="309"/>
      <c r="F30" s="309"/>
      <c r="G30" s="309"/>
      <c r="AA30" s="2"/>
      <c r="AC30" s="2">
        <f t="shared" si="3"/>
        <v>0</v>
      </c>
      <c r="AE30" s="244">
        <f t="shared" si="1"/>
        <v>23</v>
      </c>
      <c r="AF30" s="244">
        <f t="shared" si="1"/>
        <v>18</v>
      </c>
      <c r="AG30" s="57">
        <v>0</v>
      </c>
      <c r="AH30" s="537"/>
      <c r="AI30" s="537"/>
      <c r="AJ30" s="537"/>
      <c r="AK30" s="537"/>
      <c r="AL30" s="1125"/>
      <c r="AO30" s="7">
        <f t="shared" si="4"/>
        <v>0</v>
      </c>
    </row>
    <row r="31" spans="1:41">
      <c r="A31" s="612">
        <f t="shared" si="0"/>
        <v>960</v>
      </c>
      <c r="B31" s="309"/>
      <c r="C31" s="309" t="s">
        <v>223</v>
      </c>
      <c r="D31" s="309"/>
      <c r="E31" s="309"/>
      <c r="F31" s="309"/>
      <c r="G31" s="309"/>
      <c r="AA31" s="2"/>
      <c r="AC31" s="2">
        <f t="shared" si="3"/>
        <v>0</v>
      </c>
      <c r="AE31" s="244">
        <f t="shared" si="1"/>
        <v>24</v>
      </c>
      <c r="AF31" s="244">
        <f t="shared" si="1"/>
        <v>19</v>
      </c>
      <c r="AG31" s="57">
        <v>0</v>
      </c>
      <c r="AH31" s="537"/>
      <c r="AI31" s="537" t="s">
        <v>223</v>
      </c>
      <c r="AJ31" s="537"/>
      <c r="AK31" s="537"/>
      <c r="AL31" s="1125"/>
      <c r="AO31" s="7">
        <f t="shared" si="4"/>
        <v>0</v>
      </c>
    </row>
    <row r="32" spans="1:41">
      <c r="A32" s="612">
        <f t="shared" si="0"/>
        <v>961</v>
      </c>
      <c r="B32" s="309" t="s">
        <v>224</v>
      </c>
      <c r="C32" s="309" t="s">
        <v>209</v>
      </c>
      <c r="D32" s="309"/>
      <c r="E32" s="309"/>
      <c r="F32" s="309"/>
      <c r="G32" s="309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1125"/>
      <c r="U32" s="51"/>
      <c r="V32" s="1206"/>
      <c r="Y32" s="51"/>
      <c r="Z32" s="51"/>
      <c r="AA32" s="1206"/>
      <c r="AB32" s="51"/>
      <c r="AC32" s="51">
        <f t="shared" si="3"/>
        <v>0</v>
      </c>
      <c r="AD32" s="630"/>
      <c r="AE32" s="244">
        <f t="shared" si="1"/>
        <v>25</v>
      </c>
      <c r="AF32" s="244">
        <f t="shared" si="1"/>
        <v>20</v>
      </c>
      <c r="AG32" s="57">
        <v>0</v>
      </c>
      <c r="AH32" s="537" t="s">
        <v>224</v>
      </c>
      <c r="AI32" s="537" t="s">
        <v>209</v>
      </c>
      <c r="AJ32" s="537"/>
      <c r="AK32" s="537"/>
      <c r="AL32" s="1125"/>
      <c r="AO32" s="7">
        <f t="shared" si="4"/>
        <v>0</v>
      </c>
    </row>
    <row r="33" spans="1:41">
      <c r="A33" s="612">
        <f t="shared" si="0"/>
        <v>962</v>
      </c>
      <c r="B33" s="309"/>
      <c r="C33" s="309"/>
      <c r="D33" s="309" t="s">
        <v>24</v>
      </c>
      <c r="E33" s="309"/>
      <c r="F33" s="309"/>
      <c r="G33" s="309"/>
      <c r="H33" s="357">
        <f>+[13]XNV!H$35</f>
        <v>400188.28</v>
      </c>
      <c r="I33" s="357">
        <f>+[13]XNV!I$35</f>
        <v>400188.28</v>
      </c>
      <c r="J33" s="357">
        <f>+[13]XNV!J$35</f>
        <v>400188.28</v>
      </c>
      <c r="K33" s="357">
        <f>+[13]XNV!K$35</f>
        <v>400188.28</v>
      </c>
      <c r="L33" s="357">
        <f>+[13]XNV!L$35</f>
        <v>434507.8</v>
      </c>
      <c r="M33" s="357">
        <f>+[13]XNV!M$35</f>
        <v>434507.8</v>
      </c>
      <c r="N33" s="357">
        <f>+[13]XNV!N$35</f>
        <v>434507.8</v>
      </c>
      <c r="O33" s="357">
        <f>+[13]XNV!O$35</f>
        <v>434507.8</v>
      </c>
      <c r="P33" s="357">
        <f>+[13]XNV!P$35</f>
        <v>434507.8</v>
      </c>
      <c r="Q33" s="357">
        <f>+[13]XNV!Q$35</f>
        <v>434507.8</v>
      </c>
      <c r="R33" s="357">
        <f>+[13]XNV!R$35</f>
        <v>434507.8</v>
      </c>
      <c r="S33" s="357">
        <f>+[13]XNV!S$35</f>
        <v>434507.8</v>
      </c>
      <c r="T33" s="357">
        <f>+[13]XNV!$T$35</f>
        <v>434011.18</v>
      </c>
      <c r="U33" s="357"/>
      <c r="V33" s="584">
        <f>(SUM(I33:S33)+(0.5*T33)+(0.5*H33))/12</f>
        <v>424477.24749999988</v>
      </c>
      <c r="Y33" s="584">
        <f>T33</f>
        <v>434011.18</v>
      </c>
      <c r="Z33" s="584">
        <f t="shared" si="2"/>
        <v>424477.24749999988</v>
      </c>
      <c r="AA33" s="357">
        <f>V33</f>
        <v>424477.24749999988</v>
      </c>
      <c r="AB33" s="357">
        <f>T33</f>
        <v>434011.18</v>
      </c>
      <c r="AC33" s="357">
        <f t="shared" si="3"/>
        <v>424477.24749999988</v>
      </c>
      <c r="AD33" s="632">
        <f>AC33-T33</f>
        <v>-9533.9325000001118</v>
      </c>
      <c r="AE33" s="244">
        <f t="shared" si="1"/>
        <v>26</v>
      </c>
      <c r="AF33" s="244">
        <f t="shared" si="1"/>
        <v>21</v>
      </c>
      <c r="AG33" s="57">
        <v>-27652.10083333333</v>
      </c>
      <c r="AH33" s="537"/>
      <c r="AI33" s="537"/>
      <c r="AJ33" s="537" t="s">
        <v>24</v>
      </c>
      <c r="AK33" s="537"/>
      <c r="AL33" s="538">
        <f>+T33</f>
        <v>434011.18</v>
      </c>
      <c r="AM33" s="12">
        <f>AC33</f>
        <v>424477.24749999988</v>
      </c>
      <c r="AN33" s="12">
        <f>AM33-AL33</f>
        <v>-9533.9325000001118</v>
      </c>
      <c r="AO33" s="7">
        <f t="shared" si="4"/>
        <v>0</v>
      </c>
    </row>
    <row r="34" spans="1:41">
      <c r="A34" s="612">
        <f t="shared" si="0"/>
        <v>963</v>
      </c>
      <c r="B34" s="309"/>
      <c r="C34" s="309"/>
      <c r="D34" s="309" t="s">
        <v>13</v>
      </c>
      <c r="E34" s="309"/>
      <c r="F34" s="309"/>
      <c r="G34" s="309"/>
      <c r="H34" s="624">
        <f>+[13]XNV!H$36</f>
        <v>18477460.699999999</v>
      </c>
      <c r="I34" s="624">
        <f>+[13]XNV!I$36</f>
        <v>18477460.699999999</v>
      </c>
      <c r="J34" s="624">
        <f>+[13]XNV!J$36</f>
        <v>18477460.699999999</v>
      </c>
      <c r="K34" s="624">
        <f>+[13]XNV!K$36</f>
        <v>19326879.5</v>
      </c>
      <c r="L34" s="624">
        <f>+[13]XNV!L$36</f>
        <v>20027866.07</v>
      </c>
      <c r="M34" s="624">
        <f>+[13]XNV!M$36</f>
        <v>20028667.969999999</v>
      </c>
      <c r="N34" s="624">
        <f>+[13]XNV!N$36</f>
        <v>20028996.870000001</v>
      </c>
      <c r="O34" s="624">
        <f>+[13]XNV!O$36</f>
        <v>20028996.870000001</v>
      </c>
      <c r="P34" s="624">
        <f>+[13]XNV!P$36</f>
        <v>20034792.789999999</v>
      </c>
      <c r="Q34" s="624">
        <f>+[13]XNV!Q$36</f>
        <v>20034792.789999999</v>
      </c>
      <c r="R34" s="624">
        <f>+[13]XNV!R$36</f>
        <v>20034792.789999999</v>
      </c>
      <c r="S34" s="624">
        <f>+[13]XNV!S$36</f>
        <v>20036829.949999999</v>
      </c>
      <c r="T34" s="624">
        <f>+[13]XNV!$T$36</f>
        <v>20037679.300000001</v>
      </c>
      <c r="U34" s="624"/>
      <c r="V34" s="623">
        <f>(SUM(I34:S34)+(0.5*T34)+(0.5*H34))/12</f>
        <v>19649592.249999996</v>
      </c>
      <c r="Y34" s="623">
        <f>T34</f>
        <v>20037679.300000001</v>
      </c>
      <c r="Z34" s="623">
        <f t="shared" si="2"/>
        <v>19649592.249999996</v>
      </c>
      <c r="AA34" s="624">
        <f>V34</f>
        <v>19649592.249999996</v>
      </c>
      <c r="AB34" s="624">
        <f>T34</f>
        <v>20037679.300000001</v>
      </c>
      <c r="AC34" s="624">
        <f t="shared" si="3"/>
        <v>19649592.249999996</v>
      </c>
      <c r="AD34" s="635">
        <f>AC34-T34</f>
        <v>-388087.05000000447</v>
      </c>
      <c r="AE34" s="244">
        <f t="shared" si="1"/>
        <v>27</v>
      </c>
      <c r="AF34" s="244">
        <f t="shared" si="1"/>
        <v>22</v>
      </c>
      <c r="AG34" s="57">
        <v>-1314080.4041666687</v>
      </c>
      <c r="AH34" s="537"/>
      <c r="AI34" s="537"/>
      <c r="AJ34" s="537" t="s">
        <v>13</v>
      </c>
      <c r="AK34" s="537"/>
      <c r="AL34" s="538">
        <f>+T34</f>
        <v>20037679.300000001</v>
      </c>
      <c r="AM34" s="12">
        <f>AC34</f>
        <v>19649592.249999996</v>
      </c>
      <c r="AN34" s="12">
        <f>AM34-AL34</f>
        <v>-388087.05000000447</v>
      </c>
      <c r="AO34" s="7">
        <f t="shared" si="4"/>
        <v>0</v>
      </c>
    </row>
    <row r="35" spans="1:41">
      <c r="A35" s="612">
        <f t="shared" si="0"/>
        <v>964</v>
      </c>
      <c r="B35" s="309"/>
      <c r="C35" s="309"/>
      <c r="D35" s="309" t="s">
        <v>160</v>
      </c>
      <c r="E35" s="309"/>
      <c r="F35" s="309"/>
      <c r="G35" s="309"/>
      <c r="H35" s="57">
        <f>SUM(H33:H34)</f>
        <v>18877648.98</v>
      </c>
      <c r="I35" s="57">
        <f t="shared" ref="I35:T35" si="15">SUM(I33:I34)</f>
        <v>18877648.98</v>
      </c>
      <c r="J35" s="57">
        <f t="shared" si="15"/>
        <v>18877648.98</v>
      </c>
      <c r="K35" s="57">
        <f t="shared" si="15"/>
        <v>19727067.780000001</v>
      </c>
      <c r="L35" s="57">
        <f t="shared" si="15"/>
        <v>20462373.870000001</v>
      </c>
      <c r="M35" s="57">
        <f t="shared" si="15"/>
        <v>20463175.77</v>
      </c>
      <c r="N35" s="57">
        <f t="shared" si="15"/>
        <v>20463504.670000002</v>
      </c>
      <c r="O35" s="57">
        <f t="shared" si="15"/>
        <v>20463504.670000002</v>
      </c>
      <c r="P35" s="57">
        <f t="shared" si="15"/>
        <v>20469300.59</v>
      </c>
      <c r="Q35" s="57">
        <f t="shared" si="15"/>
        <v>20469300.59</v>
      </c>
      <c r="R35" s="57">
        <f t="shared" si="15"/>
        <v>20469300.59</v>
      </c>
      <c r="S35" s="57">
        <f t="shared" si="15"/>
        <v>20471337.75</v>
      </c>
      <c r="T35" s="57">
        <f t="shared" si="15"/>
        <v>20471690.48</v>
      </c>
      <c r="U35" s="57"/>
      <c r="V35" s="723">
        <f>SUM(V33:V34)</f>
        <v>20074069.497499995</v>
      </c>
      <c r="Y35" s="723">
        <f>T35</f>
        <v>20471690.48</v>
      </c>
      <c r="Z35" s="723">
        <f t="shared" si="2"/>
        <v>20074069.497499995</v>
      </c>
      <c r="AA35" s="57">
        <f>V35</f>
        <v>20074069.497499995</v>
      </c>
      <c r="AB35" s="57">
        <f>T35</f>
        <v>20471690.48</v>
      </c>
      <c r="AC35" s="57">
        <f t="shared" si="3"/>
        <v>20074069.497499995</v>
      </c>
      <c r="AD35" s="636">
        <f>SUM(AD33:AD34)</f>
        <v>-397620.98250000458</v>
      </c>
      <c r="AE35" s="244">
        <f t="shared" si="1"/>
        <v>28</v>
      </c>
      <c r="AF35" s="244">
        <f t="shared" si="1"/>
        <v>23</v>
      </c>
      <c r="AG35" s="57">
        <v>-1341732.505000002</v>
      </c>
      <c r="AH35" s="537"/>
      <c r="AI35" s="537"/>
      <c r="AJ35" s="537" t="s">
        <v>160</v>
      </c>
      <c r="AK35" s="537"/>
      <c r="AL35" s="538">
        <f>SUM(AL33:AL34)</f>
        <v>20471690.48</v>
      </c>
      <c r="AM35" s="538">
        <f t="shared" ref="AM35:AN35" si="16">SUM(AM33:AM34)</f>
        <v>20074069.497499995</v>
      </c>
      <c r="AN35" s="538">
        <f t="shared" si="16"/>
        <v>-397620.98250000458</v>
      </c>
      <c r="AO35" s="7">
        <f t="shared" si="4"/>
        <v>0</v>
      </c>
    </row>
    <row r="36" spans="1:41">
      <c r="A36" s="612">
        <f t="shared" si="0"/>
        <v>965</v>
      </c>
      <c r="B36" s="309"/>
      <c r="C36" s="309"/>
      <c r="D36" s="309"/>
      <c r="E36" s="309"/>
      <c r="F36" s="309"/>
      <c r="G36" s="309"/>
      <c r="AA36" s="2"/>
      <c r="AC36" s="2">
        <f t="shared" si="3"/>
        <v>0</v>
      </c>
      <c r="AE36" s="244">
        <f t="shared" si="1"/>
        <v>29</v>
      </c>
      <c r="AF36" s="244">
        <f t="shared" si="1"/>
        <v>24</v>
      </c>
      <c r="AG36" s="57">
        <v>0</v>
      </c>
      <c r="AH36" s="537"/>
      <c r="AI36" s="537"/>
      <c r="AJ36" s="537"/>
      <c r="AK36" s="537"/>
      <c r="AL36" s="538"/>
      <c r="AO36" s="7">
        <f t="shared" si="4"/>
        <v>0</v>
      </c>
    </row>
    <row r="37" spans="1:41">
      <c r="A37" s="612">
        <f t="shared" si="0"/>
        <v>966</v>
      </c>
      <c r="B37" s="309" t="s">
        <v>225</v>
      </c>
      <c r="C37" s="309" t="s">
        <v>226</v>
      </c>
      <c r="D37" s="309"/>
      <c r="E37" s="309"/>
      <c r="F37" s="309"/>
      <c r="G37" s="309"/>
      <c r="AA37" s="2"/>
      <c r="AC37" s="2">
        <f t="shared" si="3"/>
        <v>0</v>
      </c>
      <c r="AE37" s="244">
        <f t="shared" si="1"/>
        <v>30</v>
      </c>
      <c r="AF37" s="244">
        <f t="shared" si="1"/>
        <v>25</v>
      </c>
      <c r="AG37" s="57">
        <v>0</v>
      </c>
      <c r="AH37" s="537" t="s">
        <v>225</v>
      </c>
      <c r="AI37" s="537" t="s">
        <v>872</v>
      </c>
      <c r="AJ37" s="537"/>
      <c r="AK37" s="537"/>
      <c r="AL37" s="538"/>
      <c r="AO37" s="7">
        <f t="shared" si="4"/>
        <v>0</v>
      </c>
    </row>
    <row r="38" spans="1:41">
      <c r="A38" s="612">
        <f t="shared" si="0"/>
        <v>967</v>
      </c>
      <c r="B38" s="309"/>
      <c r="C38" s="309"/>
      <c r="D38" s="309" t="s">
        <v>24</v>
      </c>
      <c r="E38" s="309"/>
      <c r="F38" s="309"/>
      <c r="G38" s="309"/>
      <c r="H38" s="357">
        <f>[13]XNV!$H$40</f>
        <v>982959.23</v>
      </c>
      <c r="I38" s="357">
        <f>[13]XNV!$I$40</f>
        <v>982959.23</v>
      </c>
      <c r="J38" s="357">
        <f>[13]XNV!$J$40</f>
        <v>1006934.23</v>
      </c>
      <c r="K38" s="357">
        <f>[13]XNV!$K$40</f>
        <v>1006934.23</v>
      </c>
      <c r="L38" s="357">
        <f>[13]XNV!$L$40</f>
        <v>1006934.23</v>
      </c>
      <c r="M38" s="357">
        <f>[13]XNV!$M$40</f>
        <v>1006934.23</v>
      </c>
      <c r="N38" s="357">
        <f>[13]XNV!$N$40</f>
        <v>1006934.23</v>
      </c>
      <c r="O38" s="357">
        <f>[13]XNV!$O$40</f>
        <v>1006934.23</v>
      </c>
      <c r="P38" s="357">
        <f>[13]XNV!$P$40</f>
        <v>1006934.23</v>
      </c>
      <c r="Q38" s="357">
        <f>[13]XNV!$Q$40</f>
        <v>1006934.23</v>
      </c>
      <c r="R38" s="357">
        <f>[13]XNV!$R$40</f>
        <v>1006934.23</v>
      </c>
      <c r="S38" s="357">
        <f>[13]XNV!$S$40</f>
        <v>1006934.23</v>
      </c>
      <c r="T38" s="357">
        <f>[13]XNV!$T$40</f>
        <v>1004474.53</v>
      </c>
      <c r="U38" s="357"/>
      <c r="V38" s="584">
        <f>(SUM(I38:S38)+(0.5*T38)+(0.5*H38))/12</f>
        <v>1003834.8675000003</v>
      </c>
      <c r="Y38" s="584">
        <f>T38</f>
        <v>1004474.53</v>
      </c>
      <c r="Z38" s="584">
        <f t="shared" si="2"/>
        <v>1003834.8675000003</v>
      </c>
      <c r="AA38" s="357">
        <f>V38</f>
        <v>1003834.8675000003</v>
      </c>
      <c r="AB38" s="357">
        <f>T38</f>
        <v>1004474.53</v>
      </c>
      <c r="AC38" s="357">
        <f t="shared" si="3"/>
        <v>1003834.8675000003</v>
      </c>
      <c r="AD38" s="632">
        <f>AC38-T38</f>
        <v>-639.66249999974389</v>
      </c>
      <c r="AE38" s="244">
        <f t="shared" si="1"/>
        <v>31</v>
      </c>
      <c r="AF38" s="244">
        <f t="shared" si="1"/>
        <v>26</v>
      </c>
      <c r="AG38" s="57">
        <v>-134296.77374999982</v>
      </c>
      <c r="AH38" s="537"/>
      <c r="AI38" s="537"/>
      <c r="AJ38" s="537" t="s">
        <v>24</v>
      </c>
      <c r="AK38" s="537"/>
      <c r="AL38" s="538">
        <f>+T38</f>
        <v>1004474.53</v>
      </c>
      <c r="AM38" s="12">
        <f>AC38</f>
        <v>1003834.8675000003</v>
      </c>
      <c r="AN38" s="12">
        <f>AM38-AL38</f>
        <v>-639.66249999974389</v>
      </c>
      <c r="AO38" s="7">
        <f t="shared" si="4"/>
        <v>0</v>
      </c>
    </row>
    <row r="39" spans="1:41">
      <c r="A39" s="612">
        <f t="shared" si="0"/>
        <v>968</v>
      </c>
      <c r="B39" s="309"/>
      <c r="C39" s="309"/>
      <c r="D39" s="309" t="s">
        <v>13</v>
      </c>
      <c r="E39" s="309"/>
      <c r="F39" s="309"/>
      <c r="G39" s="309"/>
      <c r="H39" s="624">
        <f>[13]XNV!$H$41</f>
        <v>15717299.49</v>
      </c>
      <c r="I39" s="624">
        <f>[13]XNV!$I$41</f>
        <v>15717299.49</v>
      </c>
      <c r="J39" s="624">
        <f>[13]XNV!$J$41</f>
        <v>15963930.390000001</v>
      </c>
      <c r="K39" s="624">
        <f>[13]XNV!$K$41</f>
        <v>15376216.299999999</v>
      </c>
      <c r="L39" s="624">
        <f>[13]XNV!$L$41</f>
        <v>15404847.799999999</v>
      </c>
      <c r="M39" s="624">
        <f>[13]XNV!$M$41</f>
        <v>15421744.869999999</v>
      </c>
      <c r="N39" s="624">
        <f>[13]XNV!$N$41</f>
        <v>15421744.869999999</v>
      </c>
      <c r="O39" s="624">
        <f>[13]XNV!$O$41</f>
        <v>15421744.869999999</v>
      </c>
      <c r="P39" s="624">
        <f>[13]XNV!$P$41</f>
        <v>15420355.25</v>
      </c>
      <c r="Q39" s="624">
        <f>[13]XNV!$Q$41</f>
        <v>15420355.25</v>
      </c>
      <c r="R39" s="624">
        <f>[13]XNV!$R$41</f>
        <v>15410995.889999999</v>
      </c>
      <c r="S39" s="624">
        <f>[13]XNV!$S$41</f>
        <v>15512582.9</v>
      </c>
      <c r="T39" s="624">
        <f>[13]XNV!$T$41</f>
        <v>15501057.690000001</v>
      </c>
      <c r="U39" s="624"/>
      <c r="V39" s="623">
        <f>(SUM(I39:S39)+(0.5*T39)+(0.5*H39))/12</f>
        <v>15508416.372500001</v>
      </c>
      <c r="Y39" s="623">
        <f>T39</f>
        <v>15501057.690000001</v>
      </c>
      <c r="Z39" s="623">
        <f t="shared" si="2"/>
        <v>15508416.372500001</v>
      </c>
      <c r="AA39" s="624">
        <f>V39</f>
        <v>15508416.372500001</v>
      </c>
      <c r="AB39" s="624">
        <f>T39</f>
        <v>15501057.690000001</v>
      </c>
      <c r="AC39" s="624">
        <f t="shared" si="3"/>
        <v>15508416.372500001</v>
      </c>
      <c r="AD39" s="635">
        <f>AC39-T39</f>
        <v>7358.6824999991804</v>
      </c>
      <c r="AE39" s="244">
        <f t="shared" si="1"/>
        <v>32</v>
      </c>
      <c r="AF39" s="244">
        <f t="shared" si="1"/>
        <v>27</v>
      </c>
      <c r="AG39" s="57">
        <v>-7334.2620833320543</v>
      </c>
      <c r="AH39" s="537"/>
      <c r="AI39" s="537"/>
      <c r="AJ39" s="537" t="s">
        <v>13</v>
      </c>
      <c r="AK39" s="537"/>
      <c r="AL39" s="538">
        <f>+T39</f>
        <v>15501057.690000001</v>
      </c>
      <c r="AM39" s="12">
        <f>AC39</f>
        <v>15508416.372500001</v>
      </c>
      <c r="AN39" s="12">
        <f>AM39-AL39</f>
        <v>7358.6824999991804</v>
      </c>
      <c r="AO39" s="7">
        <f t="shared" si="4"/>
        <v>0</v>
      </c>
    </row>
    <row r="40" spans="1:41">
      <c r="A40" s="612">
        <f t="shared" si="0"/>
        <v>969</v>
      </c>
      <c r="B40" s="309"/>
      <c r="C40" s="309"/>
      <c r="D40" s="309" t="s">
        <v>160</v>
      </c>
      <c r="E40" s="309"/>
      <c r="F40" s="309"/>
      <c r="G40" s="309"/>
      <c r="H40" s="357">
        <f>SUM(H38:H39)</f>
        <v>16700258.720000001</v>
      </c>
      <c r="I40" s="357">
        <f t="shared" ref="I40:T40" si="17">SUM(I38:I39)</f>
        <v>16700258.720000001</v>
      </c>
      <c r="J40" s="357">
        <f t="shared" si="17"/>
        <v>16970864.620000001</v>
      </c>
      <c r="K40" s="357">
        <f t="shared" si="17"/>
        <v>16383150.529999999</v>
      </c>
      <c r="L40" s="357">
        <f t="shared" si="17"/>
        <v>16411782.029999999</v>
      </c>
      <c r="M40" s="357">
        <f t="shared" si="17"/>
        <v>16428679.1</v>
      </c>
      <c r="N40" s="357">
        <f t="shared" si="17"/>
        <v>16428679.1</v>
      </c>
      <c r="O40" s="357">
        <f t="shared" si="17"/>
        <v>16428679.1</v>
      </c>
      <c r="P40" s="357">
        <f t="shared" si="17"/>
        <v>16427289.48</v>
      </c>
      <c r="Q40" s="357">
        <f t="shared" si="17"/>
        <v>16427289.48</v>
      </c>
      <c r="R40" s="357">
        <f t="shared" si="17"/>
        <v>16417930.119999999</v>
      </c>
      <c r="S40" s="357">
        <f t="shared" si="17"/>
        <v>16519517.130000001</v>
      </c>
      <c r="T40" s="357">
        <f t="shared" si="17"/>
        <v>16505532.220000001</v>
      </c>
      <c r="U40" s="357"/>
      <c r="V40" s="584">
        <f>SUM(V38:V39)</f>
        <v>16512251.24</v>
      </c>
      <c r="Y40" s="584">
        <f>T40</f>
        <v>16505532.220000001</v>
      </c>
      <c r="Z40" s="584">
        <f t="shared" si="2"/>
        <v>16512251.24</v>
      </c>
      <c r="AA40" s="357">
        <f>V40</f>
        <v>16512251.24</v>
      </c>
      <c r="AB40" s="357">
        <f>T40</f>
        <v>16505532.220000001</v>
      </c>
      <c r="AC40" s="357">
        <f t="shared" si="3"/>
        <v>16512251.24</v>
      </c>
      <c r="AD40" s="632">
        <f>SUM(AD38:AD39)</f>
        <v>6719.0199999994365</v>
      </c>
      <c r="AE40" s="244">
        <f t="shared" si="1"/>
        <v>33</v>
      </c>
      <c r="AF40" s="244">
        <f t="shared" si="1"/>
        <v>28</v>
      </c>
      <c r="AG40" s="57">
        <v>-141631.03583333187</v>
      </c>
      <c r="AH40" s="537"/>
      <c r="AI40" s="537"/>
      <c r="AJ40" s="537" t="s">
        <v>160</v>
      </c>
      <c r="AK40" s="537"/>
      <c r="AL40" s="538">
        <f>SUM(AL38:AL39)</f>
        <v>16505532.220000001</v>
      </c>
      <c r="AM40" s="538">
        <f t="shared" ref="AM40:AN40" si="18">SUM(AM38:AM39)</f>
        <v>16512251.24</v>
      </c>
      <c r="AN40" s="538">
        <f t="shared" si="18"/>
        <v>6719.0199999994365</v>
      </c>
      <c r="AO40" s="7">
        <f t="shared" si="4"/>
        <v>0</v>
      </c>
    </row>
    <row r="41" spans="1:41">
      <c r="A41" s="612">
        <f t="shared" si="0"/>
        <v>970</v>
      </c>
      <c r="B41" s="309"/>
      <c r="C41" s="309"/>
      <c r="D41" s="309"/>
      <c r="E41" s="309"/>
      <c r="F41" s="309"/>
      <c r="G41" s="309"/>
      <c r="AA41" s="2"/>
      <c r="AC41" s="2">
        <f t="shared" si="3"/>
        <v>0</v>
      </c>
      <c r="AE41" s="244">
        <f t="shared" si="1"/>
        <v>34</v>
      </c>
      <c r="AF41" s="244">
        <f t="shared" si="1"/>
        <v>29</v>
      </c>
      <c r="AG41" s="57">
        <v>0</v>
      </c>
      <c r="AH41" s="537"/>
      <c r="AI41" s="537"/>
      <c r="AJ41" s="537"/>
      <c r="AK41" s="537"/>
      <c r="AL41" s="538"/>
      <c r="AO41" s="7">
        <f t="shared" si="4"/>
        <v>0</v>
      </c>
    </row>
    <row r="42" spans="1:41">
      <c r="A42" s="612">
        <f t="shared" si="0"/>
        <v>971</v>
      </c>
      <c r="B42" s="309" t="s">
        <v>230</v>
      </c>
      <c r="C42" s="309" t="s">
        <v>231</v>
      </c>
      <c r="D42" s="309"/>
      <c r="E42" s="309"/>
      <c r="F42" s="309"/>
      <c r="G42" s="309"/>
      <c r="AA42" s="2"/>
      <c r="AC42" s="2">
        <f t="shared" si="3"/>
        <v>0</v>
      </c>
      <c r="AE42" s="244">
        <f t="shared" si="1"/>
        <v>35</v>
      </c>
      <c r="AF42" s="244">
        <f t="shared" si="1"/>
        <v>30</v>
      </c>
      <c r="AG42" s="57">
        <v>0</v>
      </c>
      <c r="AH42" s="537" t="s">
        <v>230</v>
      </c>
      <c r="AI42" s="537" t="s">
        <v>231</v>
      </c>
      <c r="AJ42" s="537"/>
      <c r="AK42" s="537"/>
      <c r="AL42" s="538"/>
      <c r="AO42" s="7">
        <f t="shared" si="4"/>
        <v>0</v>
      </c>
    </row>
    <row r="43" spans="1:41">
      <c r="A43" s="612">
        <f t="shared" si="0"/>
        <v>972</v>
      </c>
      <c r="B43" s="309"/>
      <c r="C43" s="309"/>
      <c r="D43" s="309" t="s">
        <v>55</v>
      </c>
      <c r="E43" s="309"/>
      <c r="F43" s="309"/>
      <c r="G43" s="309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584"/>
      <c r="Y43" s="584"/>
      <c r="Z43" s="584"/>
      <c r="AA43" s="357"/>
      <c r="AB43" s="357"/>
      <c r="AC43" s="357">
        <f t="shared" si="3"/>
        <v>0</v>
      </c>
      <c r="AD43" s="632"/>
      <c r="AE43" s="244">
        <f t="shared" si="1"/>
        <v>36</v>
      </c>
      <c r="AF43" s="244">
        <f t="shared" si="1"/>
        <v>31</v>
      </c>
      <c r="AG43" s="57">
        <v>0</v>
      </c>
      <c r="AH43" s="537"/>
      <c r="AI43" s="537" t="s">
        <v>55</v>
      </c>
      <c r="AJ43" s="537"/>
      <c r="AK43" s="537"/>
      <c r="AL43" s="538"/>
      <c r="AO43" s="7">
        <f t="shared" si="4"/>
        <v>0</v>
      </c>
    </row>
    <row r="44" spans="1:41">
      <c r="A44" s="612">
        <f t="shared" si="0"/>
        <v>973</v>
      </c>
      <c r="B44" s="309"/>
      <c r="C44" s="309"/>
      <c r="D44" s="309" t="s">
        <v>521</v>
      </c>
      <c r="E44" s="309"/>
      <c r="F44" s="309"/>
      <c r="G44" s="309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584"/>
      <c r="Y44" s="584"/>
      <c r="Z44" s="584"/>
      <c r="AA44" s="357"/>
      <c r="AB44" s="357"/>
      <c r="AC44" s="357">
        <f t="shared" si="3"/>
        <v>0</v>
      </c>
      <c r="AD44" s="632"/>
      <c r="AE44" s="244">
        <f t="shared" si="1"/>
        <v>37</v>
      </c>
      <c r="AF44" s="244">
        <f t="shared" si="1"/>
        <v>32</v>
      </c>
      <c r="AG44" s="57">
        <v>0</v>
      </c>
      <c r="AH44" s="537"/>
      <c r="AI44" s="537" t="s">
        <v>521</v>
      </c>
      <c r="AJ44" s="537"/>
      <c r="AK44" s="537"/>
      <c r="AL44" s="538"/>
      <c r="AO44" s="7">
        <f t="shared" si="4"/>
        <v>0</v>
      </c>
    </row>
    <row r="45" spans="1:41">
      <c r="A45" s="612">
        <f t="shared" si="0"/>
        <v>974</v>
      </c>
      <c r="B45" s="309"/>
      <c r="C45" s="309"/>
      <c r="D45" s="309" t="s">
        <v>522</v>
      </c>
      <c r="E45" s="309"/>
      <c r="F45" s="309"/>
      <c r="G45" s="309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584"/>
      <c r="Y45" s="584"/>
      <c r="Z45" s="584"/>
      <c r="AA45" s="357"/>
      <c r="AB45" s="357"/>
      <c r="AC45" s="357">
        <f t="shared" si="3"/>
        <v>0</v>
      </c>
      <c r="AD45" s="632"/>
      <c r="AE45" s="244">
        <f t="shared" si="1"/>
        <v>38</v>
      </c>
      <c r="AF45" s="244">
        <f t="shared" si="1"/>
        <v>33</v>
      </c>
      <c r="AG45" s="57">
        <v>0</v>
      </c>
      <c r="AH45" s="537"/>
      <c r="AI45" s="537" t="s">
        <v>522</v>
      </c>
      <c r="AJ45" s="537"/>
      <c r="AK45" s="537"/>
      <c r="AL45" s="538"/>
      <c r="AO45" s="7">
        <f t="shared" si="4"/>
        <v>0</v>
      </c>
    </row>
    <row r="46" spans="1:41">
      <c r="A46" s="612">
        <f t="shared" si="0"/>
        <v>975</v>
      </c>
      <c r="B46" s="309"/>
      <c r="C46" s="309"/>
      <c r="D46" s="309" t="s">
        <v>523</v>
      </c>
      <c r="E46" s="309"/>
      <c r="F46" s="309"/>
      <c r="G46" s="309"/>
      <c r="H46" s="357">
        <f>+[13]XNV!H$48</f>
        <v>39044359.799999997</v>
      </c>
      <c r="I46" s="357">
        <f>+[13]XNV!I$48</f>
        <v>39090198.479999997</v>
      </c>
      <c r="J46" s="357">
        <f>+[13]XNV!J$48</f>
        <v>39250212.109999999</v>
      </c>
      <c r="K46" s="357">
        <f>+[13]XNV!K$48</f>
        <v>39192146.390000001</v>
      </c>
      <c r="L46" s="357">
        <f>+[13]XNV!L$48</f>
        <v>39229270.780000001</v>
      </c>
      <c r="M46" s="357">
        <f>+[13]XNV!M$48</f>
        <v>39231919.189999998</v>
      </c>
      <c r="N46" s="357">
        <f>+[13]XNV!N$48</f>
        <v>39235900.380000003</v>
      </c>
      <c r="O46" s="357">
        <f>+[13]XNV!O$48</f>
        <v>39238064.979999997</v>
      </c>
      <c r="P46" s="357">
        <f>+[13]XNV!P$48</f>
        <v>39357142.270000003</v>
      </c>
      <c r="Q46" s="357">
        <f>+[13]XNV!Q$48</f>
        <v>39357142.270000003</v>
      </c>
      <c r="R46" s="357">
        <f>+[13]XNV!R$48</f>
        <v>40238540.549999997</v>
      </c>
      <c r="S46" s="357">
        <f>+[13]XNV!S$48</f>
        <v>40419135.759999998</v>
      </c>
      <c r="T46" s="357">
        <f>+[13]XNV!$T$48</f>
        <v>41533025.009999998</v>
      </c>
      <c r="U46" s="357"/>
      <c r="V46" s="584">
        <f>(SUM(I46:S46)+(0.5*T46)+(0.5*H46))/12</f>
        <v>39510697.130416662</v>
      </c>
      <c r="Y46" s="584">
        <f>T46</f>
        <v>41533025.009999998</v>
      </c>
      <c r="Z46" s="584">
        <f t="shared" si="2"/>
        <v>39510697.130416662</v>
      </c>
      <c r="AA46" s="357">
        <f>V46</f>
        <v>39510697.130416662</v>
      </c>
      <c r="AB46" s="357">
        <f>T46</f>
        <v>41533025.009999998</v>
      </c>
      <c r="AC46" s="357">
        <f t="shared" si="3"/>
        <v>39510697.130416662</v>
      </c>
      <c r="AD46" s="632">
        <f>AC46-T46</f>
        <v>-2022327.8795833364</v>
      </c>
      <c r="AE46" s="244">
        <f t="shared" si="1"/>
        <v>39</v>
      </c>
      <c r="AF46" s="244">
        <f t="shared" si="1"/>
        <v>34</v>
      </c>
      <c r="AG46" s="57">
        <v>-894926.43583333865</v>
      </c>
      <c r="AH46" s="537"/>
      <c r="AI46" s="537" t="s">
        <v>523</v>
      </c>
      <c r="AJ46" s="537" t="s">
        <v>24</v>
      </c>
      <c r="AK46" s="537"/>
      <c r="AL46" s="538">
        <f>+T46</f>
        <v>41533025.009999998</v>
      </c>
      <c r="AM46" s="12">
        <f>AC46</f>
        <v>39510697.130416662</v>
      </c>
      <c r="AN46" s="12">
        <f>AM46-AL46</f>
        <v>-2022327.8795833364</v>
      </c>
      <c r="AO46" s="7">
        <f t="shared" si="4"/>
        <v>0</v>
      </c>
    </row>
    <row r="47" spans="1:41">
      <c r="A47" s="612">
        <f>+A46+1</f>
        <v>976</v>
      </c>
      <c r="B47" s="309"/>
      <c r="C47" s="309"/>
      <c r="D47" s="309" t="s">
        <v>524</v>
      </c>
      <c r="E47" s="309"/>
      <c r="F47" s="309"/>
      <c r="G47" s="309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584"/>
      <c r="Y47" s="584"/>
      <c r="Z47" s="584"/>
      <c r="AA47" s="357"/>
      <c r="AB47" s="357"/>
      <c r="AC47" s="357">
        <f t="shared" si="3"/>
        <v>0</v>
      </c>
      <c r="AD47" s="632"/>
      <c r="AE47" s="244">
        <f t="shared" ref="AE47:AE106" si="19">+AE46+1</f>
        <v>40</v>
      </c>
      <c r="AF47" s="244">
        <f t="shared" ref="AF47:AF106" si="20">+AF46+1</f>
        <v>35</v>
      </c>
      <c r="AG47" s="57">
        <v>0</v>
      </c>
      <c r="AH47" s="537"/>
      <c r="AI47" s="537" t="s">
        <v>524</v>
      </c>
      <c r="AJ47" s="537"/>
      <c r="AK47" s="537"/>
      <c r="AL47" s="538"/>
      <c r="AO47" s="7">
        <f t="shared" si="4"/>
        <v>0</v>
      </c>
    </row>
    <row r="48" spans="1:41">
      <c r="A48" s="612">
        <f t="shared" si="0"/>
        <v>977</v>
      </c>
      <c r="B48" s="309"/>
      <c r="C48" s="309"/>
      <c r="D48" s="309" t="s">
        <v>525</v>
      </c>
      <c r="E48" s="309"/>
      <c r="F48" s="309"/>
      <c r="G48" s="309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584"/>
      <c r="Y48" s="584"/>
      <c r="Z48" s="584"/>
      <c r="AA48" s="357"/>
      <c r="AB48" s="357"/>
      <c r="AC48" s="357">
        <f t="shared" si="3"/>
        <v>0</v>
      </c>
      <c r="AD48" s="632"/>
      <c r="AE48" s="244">
        <f t="shared" si="19"/>
        <v>41</v>
      </c>
      <c r="AF48" s="244">
        <f t="shared" si="20"/>
        <v>36</v>
      </c>
      <c r="AG48" s="57">
        <v>0</v>
      </c>
      <c r="AH48" s="537"/>
      <c r="AI48" s="537" t="s">
        <v>525</v>
      </c>
      <c r="AJ48" s="537"/>
      <c r="AK48" s="537"/>
      <c r="AL48" s="538"/>
      <c r="AO48" s="7">
        <f t="shared" si="4"/>
        <v>0</v>
      </c>
    </row>
    <row r="49" spans="1:41">
      <c r="A49" s="612">
        <f t="shared" si="0"/>
        <v>978</v>
      </c>
      <c r="B49" s="309"/>
      <c r="C49" s="309"/>
      <c r="D49" s="309" t="s">
        <v>526</v>
      </c>
      <c r="E49" s="309"/>
      <c r="F49" s="309"/>
      <c r="G49" s="309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584"/>
      <c r="Y49" s="584"/>
      <c r="Z49" s="584"/>
      <c r="AA49" s="357"/>
      <c r="AB49" s="357"/>
      <c r="AC49" s="357">
        <f t="shared" si="3"/>
        <v>0</v>
      </c>
      <c r="AD49" s="632"/>
      <c r="AE49" s="244">
        <f t="shared" si="19"/>
        <v>42</v>
      </c>
      <c r="AF49" s="244">
        <f t="shared" si="20"/>
        <v>37</v>
      </c>
      <c r="AG49" s="57">
        <v>0</v>
      </c>
      <c r="AH49" s="537"/>
      <c r="AI49" s="537" t="s">
        <v>526</v>
      </c>
      <c r="AJ49" s="537"/>
      <c r="AK49" s="537"/>
      <c r="AL49" s="538"/>
      <c r="AO49" s="7">
        <f t="shared" si="4"/>
        <v>0</v>
      </c>
    </row>
    <row r="50" spans="1:41">
      <c r="A50" s="612">
        <f t="shared" si="0"/>
        <v>979</v>
      </c>
      <c r="B50" s="309"/>
      <c r="C50" s="309"/>
      <c r="D50" s="309" t="s">
        <v>527</v>
      </c>
      <c r="E50" s="309"/>
      <c r="F50" s="309"/>
      <c r="G50" s="309"/>
      <c r="H50" s="624">
        <f>+[13]XNV!H$52</f>
        <v>1447530588.71</v>
      </c>
      <c r="I50" s="624">
        <f>+[13]XNV!I$52</f>
        <v>1449459876.51</v>
      </c>
      <c r="J50" s="624">
        <f>+[13]XNV!J$52</f>
        <v>1450999382.7700002</v>
      </c>
      <c r="K50" s="624">
        <f>+[13]XNV!K$52</f>
        <v>1461271901.6499999</v>
      </c>
      <c r="L50" s="624">
        <f>+[13]XNV!L$52</f>
        <v>1475408774.5599999</v>
      </c>
      <c r="M50" s="624">
        <f>+[13]XNV!M$52</f>
        <v>1476524363.8699999</v>
      </c>
      <c r="N50" s="624">
        <f>+[13]XNV!N$52</f>
        <v>1480318381.7299998</v>
      </c>
      <c r="O50" s="624">
        <f>+[13]XNV!O$52</f>
        <v>1480556610.52</v>
      </c>
      <c r="P50" s="624">
        <f>+[13]XNV!P$52</f>
        <v>1522276861.23</v>
      </c>
      <c r="Q50" s="624">
        <f>+[13]XNV!Q$52</f>
        <v>1523217908.1600001</v>
      </c>
      <c r="R50" s="624">
        <f>+[13]XNV!R$52</f>
        <v>1544971823.96</v>
      </c>
      <c r="S50" s="624">
        <f>+[13]XNV!S$52</f>
        <v>1549562102.5699999</v>
      </c>
      <c r="T50" s="624">
        <f>+[13]XNV!$T$52</f>
        <v>1555365511.3599999</v>
      </c>
      <c r="U50" s="624"/>
      <c r="V50" s="623">
        <f>(SUM(I50:S50)+(0.5*T50)+(0.5*H50))/12</f>
        <v>1493001336.4637499</v>
      </c>
      <c r="Y50" s="623">
        <f>T50</f>
        <v>1555365511.3599999</v>
      </c>
      <c r="Z50" s="623">
        <f t="shared" si="2"/>
        <v>1493001336.4637499</v>
      </c>
      <c r="AA50" s="624">
        <f>V50</f>
        <v>1493001336.4637499</v>
      </c>
      <c r="AB50" s="624">
        <f>T50</f>
        <v>1555365511.3599999</v>
      </c>
      <c r="AC50" s="624">
        <f t="shared" si="3"/>
        <v>1493001336.4637499</v>
      </c>
      <c r="AD50" s="635">
        <f>AC50-T50</f>
        <v>-62364174.89625001</v>
      </c>
      <c r="AE50" s="244">
        <f t="shared" si="19"/>
        <v>43</v>
      </c>
      <c r="AF50" s="244">
        <f t="shared" si="20"/>
        <v>38</v>
      </c>
      <c r="AG50" s="57">
        <v>-50963272.612500191</v>
      </c>
      <c r="AH50" s="537"/>
      <c r="AI50" s="537" t="s">
        <v>527</v>
      </c>
      <c r="AJ50" s="537"/>
      <c r="AK50" s="537"/>
      <c r="AL50" s="538">
        <f>+T50</f>
        <v>1555365511.3599999</v>
      </c>
      <c r="AM50" s="12">
        <f>AC50</f>
        <v>1493001336.4637499</v>
      </c>
      <c r="AN50" s="12">
        <f>AM50-AL50</f>
        <v>-62364174.89625001</v>
      </c>
      <c r="AO50" s="7">
        <f t="shared" si="4"/>
        <v>0</v>
      </c>
    </row>
    <row r="51" spans="1:41">
      <c r="A51" s="612">
        <f>+A50+1</f>
        <v>980</v>
      </c>
      <c r="B51" s="309"/>
      <c r="C51" s="309"/>
      <c r="D51" s="309" t="s">
        <v>160</v>
      </c>
      <c r="E51" s="309"/>
      <c r="F51" s="309"/>
      <c r="G51" s="309"/>
      <c r="H51" s="357">
        <f>SUM(H46:H50)</f>
        <v>1486574948.51</v>
      </c>
      <c r="I51" s="357">
        <f t="shared" ref="I51:T51" si="21">SUM(I46:I50)</f>
        <v>1488550074.99</v>
      </c>
      <c r="J51" s="357">
        <f t="shared" si="21"/>
        <v>1490249594.8800001</v>
      </c>
      <c r="K51" s="357">
        <f t="shared" si="21"/>
        <v>1500464048.04</v>
      </c>
      <c r="L51" s="357">
        <f t="shared" si="21"/>
        <v>1514638045.3399999</v>
      </c>
      <c r="M51" s="357">
        <f t="shared" si="21"/>
        <v>1515756283.0599999</v>
      </c>
      <c r="N51" s="357">
        <f t="shared" si="21"/>
        <v>1519554282.1099999</v>
      </c>
      <c r="O51" s="357">
        <f t="shared" si="21"/>
        <v>1519794675.5</v>
      </c>
      <c r="P51" s="357">
        <f t="shared" si="21"/>
        <v>1561634003.5</v>
      </c>
      <c r="Q51" s="357">
        <f t="shared" si="21"/>
        <v>1562575050.4300001</v>
      </c>
      <c r="R51" s="357">
        <f t="shared" si="21"/>
        <v>1585210364.51</v>
      </c>
      <c r="S51" s="357">
        <f t="shared" si="21"/>
        <v>1589981238.3299999</v>
      </c>
      <c r="T51" s="357">
        <f t="shared" si="21"/>
        <v>1596898536.3699999</v>
      </c>
      <c r="U51" s="357"/>
      <c r="V51" s="584">
        <f>SUM(V46:V50)</f>
        <v>1532512033.5941665</v>
      </c>
      <c r="Y51" s="584">
        <f>T51</f>
        <v>1596898536.3699999</v>
      </c>
      <c r="Z51" s="584">
        <f t="shared" si="2"/>
        <v>1532512033.5941665</v>
      </c>
      <c r="AA51" s="357">
        <f>V51</f>
        <v>1532512033.5941665</v>
      </c>
      <c r="AB51" s="357">
        <f>T51</f>
        <v>1596898536.3699999</v>
      </c>
      <c r="AC51" s="357">
        <f t="shared" si="3"/>
        <v>1532512033.5941665</v>
      </c>
      <c r="AD51" s="632">
        <f>AD50+AD46</f>
        <v>-64386502.775833346</v>
      </c>
      <c r="AE51" s="244">
        <f t="shared" si="19"/>
        <v>44</v>
      </c>
      <c r="AF51" s="244">
        <f t="shared" si="20"/>
        <v>39</v>
      </c>
      <c r="AG51" s="57">
        <v>-51858199.048333526</v>
      </c>
      <c r="AH51" s="537"/>
      <c r="AI51" s="537"/>
      <c r="AJ51" s="537" t="s">
        <v>160</v>
      </c>
      <c r="AK51" s="537"/>
      <c r="AL51" s="538">
        <f>+T51</f>
        <v>1596898536.3699999</v>
      </c>
      <c r="AM51" s="12">
        <f>AC51</f>
        <v>1532512033.5941665</v>
      </c>
      <c r="AN51" s="12">
        <f>AM51-AL51</f>
        <v>-64386502.775833368</v>
      </c>
      <c r="AO51" s="7">
        <f t="shared" si="4"/>
        <v>0</v>
      </c>
    </row>
    <row r="52" spans="1:41">
      <c r="A52" s="612">
        <f t="shared" ref="A52:A110" si="22">+A51+1</f>
        <v>981</v>
      </c>
      <c r="B52" s="309"/>
      <c r="C52" s="309"/>
      <c r="D52" s="309"/>
      <c r="E52" s="309"/>
      <c r="F52" s="309"/>
      <c r="G52" s="309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584"/>
      <c r="Y52" s="584"/>
      <c r="Z52" s="584"/>
      <c r="AA52" s="357"/>
      <c r="AB52" s="357"/>
      <c r="AC52" s="357">
        <f t="shared" si="3"/>
        <v>0</v>
      </c>
      <c r="AD52" s="632"/>
      <c r="AE52" s="244">
        <f t="shared" si="19"/>
        <v>45</v>
      </c>
      <c r="AF52" s="244">
        <f t="shared" si="20"/>
        <v>40</v>
      </c>
      <c r="AG52" s="57">
        <v>0</v>
      </c>
      <c r="AH52" s="537"/>
      <c r="AI52" s="537"/>
      <c r="AJ52" s="537"/>
      <c r="AK52" s="537"/>
      <c r="AL52" s="538"/>
      <c r="AO52" s="7">
        <f t="shared" si="4"/>
        <v>0</v>
      </c>
    </row>
    <row r="53" spans="1:41">
      <c r="A53" s="612">
        <f t="shared" si="22"/>
        <v>982</v>
      </c>
      <c r="B53" s="309" t="s">
        <v>232</v>
      </c>
      <c r="C53" s="309" t="s">
        <v>234</v>
      </c>
      <c r="D53" s="309"/>
      <c r="E53" s="309"/>
      <c r="F53" s="309"/>
      <c r="G53" s="309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584"/>
      <c r="Y53" s="584"/>
      <c r="Z53" s="584"/>
      <c r="AA53" s="357"/>
      <c r="AB53" s="357"/>
      <c r="AC53" s="357">
        <f t="shared" si="3"/>
        <v>0</v>
      </c>
      <c r="AD53" s="632"/>
      <c r="AE53" s="244">
        <f t="shared" si="19"/>
        <v>46</v>
      </c>
      <c r="AF53" s="244">
        <f t="shared" si="20"/>
        <v>41</v>
      </c>
      <c r="AG53" s="57">
        <v>0</v>
      </c>
      <c r="AH53" s="537" t="s">
        <v>232</v>
      </c>
      <c r="AI53" s="537" t="s">
        <v>234</v>
      </c>
      <c r="AJ53" s="537"/>
      <c r="AK53" s="537"/>
      <c r="AL53" s="538"/>
      <c r="AO53" s="7">
        <f t="shared" si="4"/>
        <v>0</v>
      </c>
    </row>
    <row r="54" spans="1:41">
      <c r="A54" s="612">
        <f t="shared" si="22"/>
        <v>983</v>
      </c>
      <c r="B54" s="309"/>
      <c r="C54" s="309"/>
      <c r="D54" s="309" t="s">
        <v>24</v>
      </c>
      <c r="E54" s="309"/>
      <c r="F54" s="309"/>
      <c r="G54" s="309"/>
      <c r="H54" s="357">
        <f>+[13]XNV!H$56</f>
        <v>0</v>
      </c>
      <c r="I54" s="357">
        <f>+[13]XNV!I$56</f>
        <v>0</v>
      </c>
      <c r="J54" s="357">
        <f>+[13]XNV!J$56</f>
        <v>0</v>
      </c>
      <c r="K54" s="357">
        <f>+[13]XNV!K$56</f>
        <v>0</v>
      </c>
      <c r="L54" s="357">
        <f>+[13]XNV!L$56</f>
        <v>0</v>
      </c>
      <c r="M54" s="357">
        <f>+[13]XNV!M$56</f>
        <v>0</v>
      </c>
      <c r="N54" s="357">
        <f>+[13]XNV!N$56</f>
        <v>0</v>
      </c>
      <c r="O54" s="357">
        <f>+[13]XNV!O$56</f>
        <v>0</v>
      </c>
      <c r="P54" s="357">
        <f>+[13]XNV!P$56</f>
        <v>0</v>
      </c>
      <c r="Q54" s="357">
        <f>+[13]XNV!Q$56</f>
        <v>0</v>
      </c>
      <c r="R54" s="357">
        <f>+[13]XNV!R$56</f>
        <v>0</v>
      </c>
      <c r="S54" s="357">
        <f>+[13]XNV!S$56</f>
        <v>0</v>
      </c>
      <c r="T54" s="357">
        <f>+[13]XNV!$T$56</f>
        <v>0</v>
      </c>
      <c r="U54" s="357"/>
      <c r="V54" s="584">
        <f>(SUM(I54:S54)+(0.5*T54)+(0.5*H54))/12</f>
        <v>0</v>
      </c>
      <c r="Y54" s="584"/>
      <c r="Z54" s="584"/>
      <c r="AA54" s="357"/>
      <c r="AB54" s="357"/>
      <c r="AC54" s="357">
        <f t="shared" si="3"/>
        <v>0</v>
      </c>
      <c r="AD54" s="632"/>
      <c r="AE54" s="244">
        <f t="shared" si="19"/>
        <v>47</v>
      </c>
      <c r="AF54" s="244">
        <f t="shared" si="20"/>
        <v>42</v>
      </c>
      <c r="AG54" s="57">
        <v>0</v>
      </c>
      <c r="AH54" s="537"/>
      <c r="AI54" s="537"/>
      <c r="AJ54" s="537" t="s">
        <v>24</v>
      </c>
      <c r="AK54" s="537"/>
      <c r="AL54" s="538">
        <f>+T54</f>
        <v>0</v>
      </c>
      <c r="AM54" s="12">
        <f>AC54</f>
        <v>0</v>
      </c>
      <c r="AN54" s="12">
        <f>AM54-AL54</f>
        <v>0</v>
      </c>
      <c r="AO54" s="7">
        <f t="shared" si="4"/>
        <v>0</v>
      </c>
    </row>
    <row r="55" spans="1:41">
      <c r="A55" s="612">
        <f t="shared" si="22"/>
        <v>984</v>
      </c>
      <c r="B55" s="309"/>
      <c r="C55" s="309"/>
      <c r="D55" s="309" t="s">
        <v>13</v>
      </c>
      <c r="E55" s="309"/>
      <c r="F55" s="309"/>
      <c r="G55" s="309"/>
      <c r="H55" s="624">
        <f>+[13]XNV!H$57</f>
        <v>18299037.550000001</v>
      </c>
      <c r="I55" s="624">
        <f>+[13]XNV!I$57</f>
        <v>18299037.550000001</v>
      </c>
      <c r="J55" s="624">
        <f>+[13]XNV!J$57</f>
        <v>18299037.550000001</v>
      </c>
      <c r="K55" s="624">
        <f>+[13]XNV!K$57</f>
        <v>14286566.039999999</v>
      </c>
      <c r="L55" s="624">
        <f>+[13]XNV!L$57</f>
        <v>14286566.039999999</v>
      </c>
      <c r="M55" s="624">
        <f>+[13]XNV!M$57</f>
        <v>14286566.039999999</v>
      </c>
      <c r="N55" s="624">
        <f>+[13]XNV!N$57</f>
        <v>14286566.039999999</v>
      </c>
      <c r="O55" s="624">
        <f>+[13]XNV!O$57</f>
        <v>14286566.039999999</v>
      </c>
      <c r="P55" s="624">
        <f>+[13]XNV!P$57</f>
        <v>14286566.039999999</v>
      </c>
      <c r="Q55" s="624">
        <f>+[13]XNV!Q$57</f>
        <v>14286566.039999999</v>
      </c>
      <c r="R55" s="624">
        <f>+[13]XNV!R$57</f>
        <v>14286566.039999999</v>
      </c>
      <c r="S55" s="624">
        <f>+[13]XNV!S$57</f>
        <v>14286566.039999999</v>
      </c>
      <c r="T55" s="624">
        <f>+[13]XNV!$T$57</f>
        <v>14286566.039999999</v>
      </c>
      <c r="U55" s="624"/>
      <c r="V55" s="623">
        <f>(SUM(I55:S55)+(0.5*T55)+(0.5*H55))/12</f>
        <v>15122497.60458333</v>
      </c>
      <c r="Y55" s="623">
        <f>T55</f>
        <v>14286566.039999999</v>
      </c>
      <c r="Z55" s="623">
        <f t="shared" si="2"/>
        <v>15122497.60458333</v>
      </c>
      <c r="AA55" s="624">
        <f>V55</f>
        <v>15122497.60458333</v>
      </c>
      <c r="AB55" s="624">
        <f>T55</f>
        <v>14286566.039999999</v>
      </c>
      <c r="AC55" s="624">
        <f t="shared" si="3"/>
        <v>15122497.60458333</v>
      </c>
      <c r="AD55" s="635">
        <f>AC55-T55</f>
        <v>835931.56458333135</v>
      </c>
      <c r="AE55" s="244">
        <f t="shared" si="19"/>
        <v>48</v>
      </c>
      <c r="AF55" s="244">
        <f t="shared" si="20"/>
        <v>43</v>
      </c>
      <c r="AG55" s="57">
        <v>-249398.59208333306</v>
      </c>
      <c r="AH55" s="537"/>
      <c r="AI55" s="537"/>
      <c r="AJ55" s="537" t="s">
        <v>13</v>
      </c>
      <c r="AK55" s="537"/>
      <c r="AL55" s="538">
        <f>+T55</f>
        <v>14286566.039999999</v>
      </c>
      <c r="AM55" s="12">
        <f>AC55</f>
        <v>15122497.60458333</v>
      </c>
      <c r="AN55" s="12">
        <f>AM55-AL55</f>
        <v>835931.56458333135</v>
      </c>
      <c r="AO55" s="7">
        <f t="shared" si="4"/>
        <v>0</v>
      </c>
    </row>
    <row r="56" spans="1:41">
      <c r="A56" s="612">
        <f t="shared" si="22"/>
        <v>985</v>
      </c>
      <c r="B56" s="309"/>
      <c r="C56" s="309"/>
      <c r="D56" s="309" t="s">
        <v>160</v>
      </c>
      <c r="E56" s="309"/>
      <c r="F56" s="309"/>
      <c r="G56" s="309"/>
      <c r="H56" s="357">
        <f>SUM(H54:H55)</f>
        <v>18299037.550000001</v>
      </c>
      <c r="I56" s="357">
        <f t="shared" ref="I56:T56" si="23">SUM(I54:I55)</f>
        <v>18299037.550000001</v>
      </c>
      <c r="J56" s="357">
        <f t="shared" si="23"/>
        <v>18299037.550000001</v>
      </c>
      <c r="K56" s="357">
        <f t="shared" si="23"/>
        <v>14286566.039999999</v>
      </c>
      <c r="L56" s="357">
        <f t="shared" si="23"/>
        <v>14286566.039999999</v>
      </c>
      <c r="M56" s="357">
        <f t="shared" si="23"/>
        <v>14286566.039999999</v>
      </c>
      <c r="N56" s="357">
        <f t="shared" si="23"/>
        <v>14286566.039999999</v>
      </c>
      <c r="O56" s="357">
        <f t="shared" si="23"/>
        <v>14286566.039999999</v>
      </c>
      <c r="P56" s="357">
        <f t="shared" si="23"/>
        <v>14286566.039999999</v>
      </c>
      <c r="Q56" s="357">
        <f t="shared" si="23"/>
        <v>14286566.039999999</v>
      </c>
      <c r="R56" s="357">
        <f t="shared" si="23"/>
        <v>14286566.039999999</v>
      </c>
      <c r="S56" s="357">
        <f t="shared" si="23"/>
        <v>14286566.039999999</v>
      </c>
      <c r="T56" s="357">
        <f t="shared" si="23"/>
        <v>14286566.039999999</v>
      </c>
      <c r="U56" s="357"/>
      <c r="V56" s="584">
        <f>SUM(V54:V55)</f>
        <v>15122497.60458333</v>
      </c>
      <c r="Y56" s="584">
        <f>T56</f>
        <v>14286566.039999999</v>
      </c>
      <c r="Z56" s="584">
        <f t="shared" si="2"/>
        <v>15122497.60458333</v>
      </c>
      <c r="AA56" s="357">
        <f>V56</f>
        <v>15122497.60458333</v>
      </c>
      <c r="AB56" s="357">
        <f>T56</f>
        <v>14286566.039999999</v>
      </c>
      <c r="AC56" s="357">
        <f t="shared" si="3"/>
        <v>15122497.60458333</v>
      </c>
      <c r="AD56" s="632">
        <f>SUM(AD54:AD55)</f>
        <v>835931.56458333135</v>
      </c>
      <c r="AE56" s="244">
        <f t="shared" si="19"/>
        <v>49</v>
      </c>
      <c r="AF56" s="244">
        <f t="shared" si="20"/>
        <v>44</v>
      </c>
      <c r="AG56" s="57">
        <v>-249398.59208333306</v>
      </c>
      <c r="AH56" s="537"/>
      <c r="AI56" s="537"/>
      <c r="AJ56" s="537" t="s">
        <v>160</v>
      </c>
      <c r="AK56" s="537"/>
      <c r="AL56" s="538">
        <f>+T56</f>
        <v>14286566.039999999</v>
      </c>
      <c r="AM56" s="12">
        <f>AC56</f>
        <v>15122497.60458333</v>
      </c>
      <c r="AN56" s="12">
        <f>AM56-AL56</f>
        <v>835931.56458333135</v>
      </c>
      <c r="AO56" s="7">
        <f t="shared" si="4"/>
        <v>0</v>
      </c>
    </row>
    <row r="57" spans="1:41">
      <c r="A57" s="612">
        <f t="shared" si="22"/>
        <v>986</v>
      </c>
      <c r="B57" s="309"/>
      <c r="C57" s="309"/>
      <c r="D57" s="309"/>
      <c r="E57" s="309"/>
      <c r="F57" s="309"/>
      <c r="G57" s="309"/>
      <c r="AA57" s="2"/>
      <c r="AC57" s="2">
        <f t="shared" si="3"/>
        <v>0</v>
      </c>
      <c r="AE57" s="244">
        <f t="shared" si="19"/>
        <v>50</v>
      </c>
      <c r="AF57" s="244">
        <f t="shared" si="20"/>
        <v>45</v>
      </c>
      <c r="AG57" s="57">
        <v>0</v>
      </c>
      <c r="AH57" s="537"/>
      <c r="AI57" s="537"/>
      <c r="AJ57" s="537"/>
      <c r="AK57" s="537"/>
      <c r="AL57" s="538"/>
      <c r="AO57" s="7">
        <f t="shared" si="4"/>
        <v>0</v>
      </c>
    </row>
    <row r="58" spans="1:41">
      <c r="A58" s="612">
        <f t="shared" si="22"/>
        <v>987</v>
      </c>
      <c r="B58" s="309" t="s">
        <v>235</v>
      </c>
      <c r="C58" s="309" t="s">
        <v>236</v>
      </c>
      <c r="D58" s="309"/>
      <c r="E58" s="309"/>
      <c r="F58" s="309"/>
      <c r="G58" s="309"/>
      <c r="AA58" s="2"/>
      <c r="AC58" s="2">
        <f t="shared" si="3"/>
        <v>0</v>
      </c>
      <c r="AE58" s="244">
        <f t="shared" si="19"/>
        <v>51</v>
      </c>
      <c r="AF58" s="244">
        <f t="shared" si="20"/>
        <v>46</v>
      </c>
      <c r="AG58" s="57">
        <v>0</v>
      </c>
      <c r="AH58" s="537" t="s">
        <v>235</v>
      </c>
      <c r="AI58" s="537" t="s">
        <v>236</v>
      </c>
      <c r="AJ58" s="537"/>
      <c r="AK58" s="537"/>
      <c r="AL58" s="538"/>
      <c r="AO58" s="7">
        <f t="shared" si="4"/>
        <v>0</v>
      </c>
    </row>
    <row r="59" spans="1:41">
      <c r="A59" s="612">
        <f t="shared" si="22"/>
        <v>988</v>
      </c>
      <c r="B59" s="309"/>
      <c r="C59" s="309"/>
      <c r="D59" s="309" t="s">
        <v>24</v>
      </c>
      <c r="E59" s="309"/>
      <c r="F59" s="309"/>
      <c r="G59" s="309"/>
      <c r="H59" s="357">
        <f>+[13]XNV!H$61</f>
        <v>7415821.6100000003</v>
      </c>
      <c r="I59" s="357">
        <f>+[13]XNV!I$61</f>
        <v>7415821.6100000003</v>
      </c>
      <c r="J59" s="357">
        <f>+[13]XNV!J$61</f>
        <v>7610196.4800000004</v>
      </c>
      <c r="K59" s="357">
        <f>+[13]XNV!K$61</f>
        <v>7652724.2199999997</v>
      </c>
      <c r="L59" s="357">
        <f>+[13]XNV!L$61</f>
        <v>7657526.3700000001</v>
      </c>
      <c r="M59" s="357">
        <f>+[13]XNV!M$61</f>
        <v>7657526.3700000001</v>
      </c>
      <c r="N59" s="357">
        <f>+[13]XNV!N$61</f>
        <v>7657526.3700000001</v>
      </c>
      <c r="O59" s="357">
        <f>+[13]XNV!O$61</f>
        <v>7657526.3700000001</v>
      </c>
      <c r="P59" s="357">
        <f>+[13]XNV!P$61</f>
        <v>7657082.8099999996</v>
      </c>
      <c r="Q59" s="357">
        <f>+[13]XNV!Q$61</f>
        <v>7657082.8099999996</v>
      </c>
      <c r="R59" s="357">
        <f>+[13]XNV!R$61</f>
        <v>7657082.8099999996</v>
      </c>
      <c r="S59" s="357">
        <f>+[13]XNV!S$61</f>
        <v>7657082.8099999996</v>
      </c>
      <c r="T59" s="357">
        <f>+[13]XNV!$T$61</f>
        <v>7646803.6600000001</v>
      </c>
      <c r="U59" s="357"/>
      <c r="V59" s="584">
        <f>(SUM(I59:S59)+(0.5*T59)+(0.5*H59))/12</f>
        <v>7622374.3054166669</v>
      </c>
      <c r="Y59" s="584">
        <f>T59</f>
        <v>7646803.6600000001</v>
      </c>
      <c r="Z59" s="584">
        <f t="shared" si="2"/>
        <v>7622374.3054166669</v>
      </c>
      <c r="AA59" s="357">
        <f>V59</f>
        <v>7622374.3054166669</v>
      </c>
      <c r="AB59" s="357">
        <f>T59</f>
        <v>7646803.6600000001</v>
      </c>
      <c r="AC59" s="357">
        <f t="shared" si="3"/>
        <v>7622374.3054166669</v>
      </c>
      <c r="AD59" s="632">
        <f>AC59-T59</f>
        <v>-24429.354583333246</v>
      </c>
      <c r="AE59" s="244">
        <f t="shared" si="19"/>
        <v>52</v>
      </c>
      <c r="AF59" s="244">
        <f t="shared" si="20"/>
        <v>47</v>
      </c>
      <c r="AG59" s="57">
        <v>-1233591.0141666662</v>
      </c>
      <c r="AH59" s="537"/>
      <c r="AI59" s="537"/>
      <c r="AJ59" s="537" t="s">
        <v>24</v>
      </c>
      <c r="AK59" s="537"/>
      <c r="AL59" s="538">
        <f>+T59</f>
        <v>7646803.6600000001</v>
      </c>
      <c r="AM59" s="12">
        <f>AC59</f>
        <v>7622374.3054166669</v>
      </c>
      <c r="AN59" s="12">
        <f>AM59-AL59</f>
        <v>-24429.354583333246</v>
      </c>
      <c r="AO59" s="7">
        <f t="shared" si="4"/>
        <v>0</v>
      </c>
    </row>
    <row r="60" spans="1:41">
      <c r="A60" s="612">
        <f t="shared" si="22"/>
        <v>989</v>
      </c>
      <c r="B60" s="309"/>
      <c r="C60" s="309"/>
      <c r="D60" s="309" t="s">
        <v>13</v>
      </c>
      <c r="E60" s="309"/>
      <c r="F60" s="309"/>
      <c r="G60" s="309"/>
      <c r="H60" s="624">
        <f>+[13]XNV!H$62</f>
        <v>93390624.239999995</v>
      </c>
      <c r="I60" s="624">
        <f>+[13]XNV!I$62</f>
        <v>94192625.209999993</v>
      </c>
      <c r="J60" s="624">
        <f>+[13]XNV!J$62</f>
        <v>95777520.839999989</v>
      </c>
      <c r="K60" s="624">
        <f>+[13]XNV!K$62</f>
        <v>96119085.320000008</v>
      </c>
      <c r="L60" s="624">
        <f>+[13]XNV!L$62</f>
        <v>96486034.219999999</v>
      </c>
      <c r="M60" s="624">
        <f>+[13]XNV!M$62</f>
        <v>96749881.659999996</v>
      </c>
      <c r="N60" s="624">
        <f>+[13]XNV!N$62</f>
        <v>96905219.439999998</v>
      </c>
      <c r="O60" s="624">
        <f>+[13]XNV!O$62</f>
        <v>96905219.439999998</v>
      </c>
      <c r="P60" s="624">
        <f>+[13]XNV!P$62</f>
        <v>97518669.980000004</v>
      </c>
      <c r="Q60" s="624">
        <f>+[13]XNV!Q$62</f>
        <v>97518669.980000004</v>
      </c>
      <c r="R60" s="624">
        <f>+[13]XNV!R$62</f>
        <v>98129123.530000001</v>
      </c>
      <c r="S60" s="624">
        <f>+[13]XNV!S$62</f>
        <v>100532052.25999999</v>
      </c>
      <c r="T60" s="624">
        <f>+[13]XNV!$T$62</f>
        <v>101237991.53</v>
      </c>
      <c r="U60" s="624"/>
      <c r="V60" s="623">
        <f>(SUM(I60:S60)+(0.5*T60)+(0.5*H60))/12</f>
        <v>97012367.48041667</v>
      </c>
      <c r="Y60" s="623">
        <f>T60</f>
        <v>101237991.53</v>
      </c>
      <c r="Z60" s="623">
        <f t="shared" si="2"/>
        <v>97012367.48041667</v>
      </c>
      <c r="AA60" s="624">
        <f>V60</f>
        <v>97012367.48041667</v>
      </c>
      <c r="AB60" s="624">
        <f>T60</f>
        <v>101237991.53</v>
      </c>
      <c r="AC60" s="624">
        <f t="shared" si="3"/>
        <v>97012367.48041667</v>
      </c>
      <c r="AD60" s="635">
        <f>AC60-T60</f>
        <v>-4225624.0495833308</v>
      </c>
      <c r="AE60" s="244">
        <f t="shared" si="19"/>
        <v>53</v>
      </c>
      <c r="AF60" s="244">
        <f t="shared" si="20"/>
        <v>48</v>
      </c>
      <c r="AG60" s="57">
        <v>-933290.67541667074</v>
      </c>
      <c r="AH60" s="537"/>
      <c r="AI60" s="537"/>
      <c r="AJ60" s="537" t="s">
        <v>13</v>
      </c>
      <c r="AK60" s="537"/>
      <c r="AL60" s="538">
        <f>+T60</f>
        <v>101237991.53</v>
      </c>
      <c r="AM60" s="12">
        <f>AC60</f>
        <v>97012367.48041667</v>
      </c>
      <c r="AN60" s="12">
        <f>AM60-AL60</f>
        <v>-4225624.0495833308</v>
      </c>
      <c r="AO60" s="7">
        <f t="shared" si="4"/>
        <v>0</v>
      </c>
    </row>
    <row r="61" spans="1:41">
      <c r="A61" s="612">
        <f t="shared" si="22"/>
        <v>990</v>
      </c>
      <c r="B61" s="309"/>
      <c r="C61" s="309"/>
      <c r="D61" s="309" t="s">
        <v>160</v>
      </c>
      <c r="E61" s="309"/>
      <c r="F61" s="309"/>
      <c r="G61" s="309"/>
      <c r="H61" s="357">
        <f>SUM(H59:H60)</f>
        <v>100806445.84999999</v>
      </c>
      <c r="I61" s="357">
        <f t="shared" ref="I61:T61" si="24">SUM(I59:I60)</f>
        <v>101608446.81999999</v>
      </c>
      <c r="J61" s="357">
        <f t="shared" si="24"/>
        <v>103387717.31999999</v>
      </c>
      <c r="K61" s="357">
        <f t="shared" si="24"/>
        <v>103771809.54000001</v>
      </c>
      <c r="L61" s="357">
        <f t="shared" si="24"/>
        <v>104143560.59</v>
      </c>
      <c r="M61" s="357">
        <f t="shared" si="24"/>
        <v>104407408.03</v>
      </c>
      <c r="N61" s="357">
        <f t="shared" si="24"/>
        <v>104562745.81</v>
      </c>
      <c r="O61" s="357">
        <f t="shared" si="24"/>
        <v>104562745.81</v>
      </c>
      <c r="P61" s="357">
        <f t="shared" si="24"/>
        <v>105175752.79000001</v>
      </c>
      <c r="Q61" s="357">
        <f t="shared" si="24"/>
        <v>105175752.79000001</v>
      </c>
      <c r="R61" s="357">
        <f t="shared" si="24"/>
        <v>105786206.34</v>
      </c>
      <c r="S61" s="357">
        <f t="shared" si="24"/>
        <v>108189135.06999999</v>
      </c>
      <c r="T61" s="357">
        <f t="shared" si="24"/>
        <v>108884795.19</v>
      </c>
      <c r="U61" s="357"/>
      <c r="V61" s="584">
        <f>SUM(V59:V60)</f>
        <v>104634741.78583334</v>
      </c>
      <c r="Y61" s="584">
        <f>T61</f>
        <v>108884795.19</v>
      </c>
      <c r="Z61" s="584">
        <f t="shared" si="2"/>
        <v>104634741.78583334</v>
      </c>
      <c r="AA61" s="357">
        <f>V61</f>
        <v>104634741.78583334</v>
      </c>
      <c r="AB61" s="357">
        <f>T61</f>
        <v>108884795.19</v>
      </c>
      <c r="AC61" s="357">
        <f t="shared" si="3"/>
        <v>104634741.78583334</v>
      </c>
      <c r="AD61" s="632">
        <f>SUM(AD59:AD60)</f>
        <v>-4250053.404166664</v>
      </c>
      <c r="AE61" s="244">
        <f t="shared" si="19"/>
        <v>54</v>
      </c>
      <c r="AF61" s="244">
        <f t="shared" si="20"/>
        <v>49</v>
      </c>
      <c r="AG61" s="57">
        <v>-2166881.6895833369</v>
      </c>
      <c r="AH61" s="537"/>
      <c r="AI61" s="537"/>
      <c r="AJ61" s="537" t="s">
        <v>160</v>
      </c>
      <c r="AK61" s="537"/>
      <c r="AL61" s="538">
        <f>+T61</f>
        <v>108884795.19</v>
      </c>
      <c r="AM61" s="12">
        <f>AC61</f>
        <v>104634741.78583334</v>
      </c>
      <c r="AN61" s="12">
        <f>AM61-AL61</f>
        <v>-4250053.4041666538</v>
      </c>
      <c r="AO61" s="7">
        <f t="shared" si="4"/>
        <v>0</v>
      </c>
    </row>
    <row r="62" spans="1:41">
      <c r="A62" s="612">
        <f t="shared" si="22"/>
        <v>991</v>
      </c>
      <c r="B62" s="309"/>
      <c r="C62" s="309"/>
      <c r="D62" s="309"/>
      <c r="E62" s="309"/>
      <c r="F62" s="309"/>
      <c r="G62" s="309"/>
      <c r="AA62" s="2"/>
      <c r="AC62" s="2">
        <f t="shared" si="3"/>
        <v>0</v>
      </c>
      <c r="AE62" s="244">
        <f t="shared" si="19"/>
        <v>55</v>
      </c>
      <c r="AF62" s="244">
        <f t="shared" si="20"/>
        <v>50</v>
      </c>
      <c r="AG62" s="57">
        <v>0</v>
      </c>
      <c r="AH62" s="537"/>
      <c r="AI62" s="537"/>
      <c r="AJ62" s="537"/>
      <c r="AK62" s="537"/>
      <c r="AL62" s="538"/>
      <c r="AO62" s="7">
        <f t="shared" si="4"/>
        <v>0</v>
      </c>
    </row>
    <row r="63" spans="1:41">
      <c r="A63" s="612">
        <f t="shared" si="22"/>
        <v>992</v>
      </c>
      <c r="B63" s="309" t="s">
        <v>237</v>
      </c>
      <c r="C63" s="309" t="s">
        <v>768</v>
      </c>
      <c r="D63" s="309"/>
      <c r="E63" s="309"/>
      <c r="F63" s="309"/>
      <c r="G63" s="309"/>
      <c r="AA63" s="2"/>
      <c r="AC63" s="2">
        <f t="shared" si="3"/>
        <v>0</v>
      </c>
      <c r="AE63" s="244">
        <f t="shared" si="19"/>
        <v>56</v>
      </c>
      <c r="AF63" s="244">
        <f t="shared" si="20"/>
        <v>51</v>
      </c>
      <c r="AG63" s="57">
        <v>0</v>
      </c>
      <c r="AH63" s="537" t="s">
        <v>237</v>
      </c>
      <c r="AI63" s="537" t="s">
        <v>768</v>
      </c>
      <c r="AJ63" s="537"/>
      <c r="AK63" s="537"/>
      <c r="AL63" s="538"/>
      <c r="AO63" s="7">
        <f t="shared" si="4"/>
        <v>0</v>
      </c>
    </row>
    <row r="64" spans="1:41">
      <c r="A64" s="612">
        <f t="shared" si="22"/>
        <v>993</v>
      </c>
      <c r="B64" s="309"/>
      <c r="C64" s="309"/>
      <c r="D64" s="309" t="s">
        <v>24</v>
      </c>
      <c r="E64" s="309"/>
      <c r="F64" s="309"/>
      <c r="G64" s="309"/>
      <c r="H64" s="357">
        <f>+[13]XNV!H$66</f>
        <v>18560613.77</v>
      </c>
      <c r="I64" s="357">
        <f>+[13]XNV!I$66</f>
        <v>18615215.960000001</v>
      </c>
      <c r="J64" s="357">
        <f>+[13]XNV!J$66</f>
        <v>18615281.229999997</v>
      </c>
      <c r="K64" s="357">
        <f>+[13]XNV!K$66</f>
        <v>18704577.069999997</v>
      </c>
      <c r="L64" s="357">
        <f>+[13]XNV!L$66</f>
        <v>18761099.129999999</v>
      </c>
      <c r="M64" s="357">
        <f>+[13]XNV!M$66</f>
        <v>18761510.43</v>
      </c>
      <c r="N64" s="357">
        <f>+[13]XNV!N$66</f>
        <v>18814962.66</v>
      </c>
      <c r="O64" s="357">
        <f>+[13]XNV!O$66</f>
        <v>18975847.969999999</v>
      </c>
      <c r="P64" s="357">
        <f>+[13]XNV!P$66</f>
        <v>19365906.030000001</v>
      </c>
      <c r="Q64" s="357">
        <f>+[13]XNV!Q$66</f>
        <v>19365906.029999997</v>
      </c>
      <c r="R64" s="357">
        <f>+[13]XNV!R$66</f>
        <v>20048852.029999997</v>
      </c>
      <c r="S64" s="357">
        <f>+[13]XNV!S$66</f>
        <v>20063771.109999999</v>
      </c>
      <c r="T64" s="357">
        <f>+[13]XNV!$T$66</f>
        <v>20117572.069999997</v>
      </c>
      <c r="U64" s="357"/>
      <c r="V64" s="584">
        <f>(SUM(I64:S64)+(0.5*T64)+(0.5*H64))/12</f>
        <v>19119335.214166664</v>
      </c>
      <c r="Y64" s="584">
        <f>T64</f>
        <v>20117572.069999997</v>
      </c>
      <c r="Z64" s="584">
        <f t="shared" si="2"/>
        <v>19119335.214166664</v>
      </c>
      <c r="AA64" s="357">
        <f>V64</f>
        <v>19119335.214166664</v>
      </c>
      <c r="AB64" s="357">
        <f>T64</f>
        <v>20117572.069999997</v>
      </c>
      <c r="AC64" s="357">
        <f t="shared" si="3"/>
        <v>19119335.214166664</v>
      </c>
      <c r="AD64" s="632">
        <f>AC64-T64</f>
        <v>-998236.85583333299</v>
      </c>
      <c r="AE64" s="244">
        <f t="shared" si="19"/>
        <v>57</v>
      </c>
      <c r="AF64" s="244">
        <f t="shared" si="20"/>
        <v>52</v>
      </c>
      <c r="AG64" s="57">
        <v>-962477.68875000067</v>
      </c>
      <c r="AH64" s="537"/>
      <c r="AI64" s="537"/>
      <c r="AJ64" s="537" t="s">
        <v>24</v>
      </c>
      <c r="AK64" s="537"/>
      <c r="AL64" s="538">
        <f>+T64</f>
        <v>20117572.069999997</v>
      </c>
      <c r="AM64" s="12">
        <f>AC64</f>
        <v>19119335.214166664</v>
      </c>
      <c r="AN64" s="12">
        <f>AM64-AL64</f>
        <v>-998236.85583333299</v>
      </c>
      <c r="AO64" s="7">
        <f t="shared" si="4"/>
        <v>0</v>
      </c>
    </row>
    <row r="65" spans="1:41">
      <c r="A65" s="612">
        <f t="shared" si="22"/>
        <v>994</v>
      </c>
      <c r="B65" s="309"/>
      <c r="C65" s="309"/>
      <c r="D65" s="309" t="s">
        <v>13</v>
      </c>
      <c r="E65" s="309"/>
      <c r="F65" s="309"/>
      <c r="G65" s="309"/>
      <c r="H65" s="624">
        <f>+[13]XNV!H$67</f>
        <v>372177276.20000005</v>
      </c>
      <c r="I65" s="624">
        <f>+[13]XNV!I$67</f>
        <v>375791949.81</v>
      </c>
      <c r="J65" s="624">
        <f>+[13]XNV!J$67</f>
        <v>375812269.87</v>
      </c>
      <c r="K65" s="624">
        <f>+[13]XNV!K$67</f>
        <v>381276386.12</v>
      </c>
      <c r="L65" s="624">
        <f>+[13]XNV!L$67</f>
        <v>382741454.23000002</v>
      </c>
      <c r="M65" s="624">
        <f>+[13]XNV!M$67</f>
        <v>383336380.83999997</v>
      </c>
      <c r="N65" s="624">
        <f>+[13]XNV!N$67</f>
        <v>384402788.77999997</v>
      </c>
      <c r="O65" s="624">
        <f>+[13]XNV!O$67</f>
        <v>385396869.39999998</v>
      </c>
      <c r="P65" s="624">
        <f>+[13]XNV!P$67</f>
        <v>386742438.70000005</v>
      </c>
      <c r="Q65" s="624">
        <f>+[13]XNV!Q$67</f>
        <v>386742438.70000005</v>
      </c>
      <c r="R65" s="624">
        <f>+[13]XNV!R$67</f>
        <v>388790955.36000001</v>
      </c>
      <c r="S65" s="624">
        <f>+[13]XNV!S$67</f>
        <v>390273497.38</v>
      </c>
      <c r="T65" s="624">
        <f>+[13]XNV!$T$67</f>
        <v>393312976.35000002</v>
      </c>
      <c r="U65" s="624"/>
      <c r="V65" s="623">
        <f>(SUM(I65:S65)+(0.5*T65)+(0.5*H65))/12</f>
        <v>383671046.28874999</v>
      </c>
      <c r="Y65" s="623">
        <f>T65</f>
        <v>393312976.35000002</v>
      </c>
      <c r="Z65" s="623">
        <f t="shared" si="2"/>
        <v>383671046.28874999</v>
      </c>
      <c r="AA65" s="624">
        <f>V65</f>
        <v>383671046.28874999</v>
      </c>
      <c r="AB65" s="624">
        <f>T65</f>
        <v>393312976.35000002</v>
      </c>
      <c r="AC65" s="624">
        <f t="shared" si="3"/>
        <v>383671046.28874999</v>
      </c>
      <c r="AD65" s="635">
        <f>AC65-T65</f>
        <v>-9641930.061250031</v>
      </c>
      <c r="AE65" s="244">
        <f t="shared" si="19"/>
        <v>58</v>
      </c>
      <c r="AF65" s="244">
        <f t="shared" si="20"/>
        <v>53</v>
      </c>
      <c r="AG65" s="57">
        <v>-5231149.1366665959</v>
      </c>
      <c r="AH65" s="537"/>
      <c r="AI65" s="537"/>
      <c r="AJ65" s="537" t="s">
        <v>13</v>
      </c>
      <c r="AK65" s="537"/>
      <c r="AL65" s="538">
        <f>+T65</f>
        <v>393312976.35000002</v>
      </c>
      <c r="AM65" s="12">
        <f>AC65</f>
        <v>383671046.28874999</v>
      </c>
      <c r="AN65" s="12">
        <f>AM65-AL65</f>
        <v>-9641930.061250031</v>
      </c>
      <c r="AO65" s="7">
        <f t="shared" si="4"/>
        <v>0</v>
      </c>
    </row>
    <row r="66" spans="1:41">
      <c r="A66" s="612">
        <f t="shared" si="22"/>
        <v>995</v>
      </c>
      <c r="B66" s="309"/>
      <c r="C66" s="309"/>
      <c r="D66" s="309" t="s">
        <v>160</v>
      </c>
      <c r="E66" s="309"/>
      <c r="F66" s="309"/>
      <c r="G66" s="309"/>
      <c r="H66" s="357">
        <f>SUM(H64:H65)</f>
        <v>390737889.97000003</v>
      </c>
      <c r="I66" s="357">
        <f t="shared" ref="I66:T66" si="25">SUM(I64:I65)</f>
        <v>394407165.76999998</v>
      </c>
      <c r="J66" s="357">
        <f t="shared" si="25"/>
        <v>394427551.10000002</v>
      </c>
      <c r="K66" s="357">
        <f t="shared" si="25"/>
        <v>399980963.19</v>
      </c>
      <c r="L66" s="357">
        <f t="shared" si="25"/>
        <v>401502553.36000001</v>
      </c>
      <c r="M66" s="357">
        <f t="shared" si="25"/>
        <v>402097891.26999998</v>
      </c>
      <c r="N66" s="357">
        <f t="shared" si="25"/>
        <v>403217751.44</v>
      </c>
      <c r="O66" s="357">
        <f t="shared" si="25"/>
        <v>404372717.37</v>
      </c>
      <c r="P66" s="357">
        <f t="shared" si="25"/>
        <v>406108344.73000002</v>
      </c>
      <c r="Q66" s="357">
        <f t="shared" si="25"/>
        <v>406108344.73000002</v>
      </c>
      <c r="R66" s="357">
        <f t="shared" si="25"/>
        <v>408839807.38999999</v>
      </c>
      <c r="S66" s="357">
        <f t="shared" si="25"/>
        <v>410337268.49000001</v>
      </c>
      <c r="T66" s="357">
        <f t="shared" si="25"/>
        <v>413430548.42000002</v>
      </c>
      <c r="U66" s="357"/>
      <c r="V66" s="584">
        <f>SUM(V64:V65)</f>
        <v>402790381.50291663</v>
      </c>
      <c r="Y66" s="584">
        <f>T66</f>
        <v>413430548.42000002</v>
      </c>
      <c r="Z66" s="584">
        <f t="shared" si="2"/>
        <v>402790381.50291663</v>
      </c>
      <c r="AA66" s="357">
        <f>V66</f>
        <v>402790381.50291663</v>
      </c>
      <c r="AB66" s="357">
        <f>T66</f>
        <v>413430548.42000002</v>
      </c>
      <c r="AC66" s="357">
        <f t="shared" si="3"/>
        <v>402790381.50291663</v>
      </c>
      <c r="AD66" s="632">
        <f>SUM(AD64:AD65)</f>
        <v>-10640166.917083364</v>
      </c>
      <c r="AE66" s="244">
        <f t="shared" si="19"/>
        <v>59</v>
      </c>
      <c r="AF66" s="244">
        <f t="shared" si="20"/>
        <v>54</v>
      </c>
      <c r="AG66" s="57">
        <v>-6193626.8254165966</v>
      </c>
      <c r="AH66" s="537"/>
      <c r="AI66" s="537"/>
      <c r="AJ66" s="537" t="s">
        <v>160</v>
      </c>
      <c r="AK66" s="537"/>
      <c r="AL66" s="538">
        <f>+T66</f>
        <v>413430548.42000002</v>
      </c>
      <c r="AM66" s="12">
        <f>AC66</f>
        <v>402790381.50291663</v>
      </c>
      <c r="AN66" s="12">
        <f>AM66-AL66</f>
        <v>-10640166.917083383</v>
      </c>
      <c r="AO66" s="7">
        <f t="shared" si="4"/>
        <v>0</v>
      </c>
    </row>
    <row r="67" spans="1:41">
      <c r="A67" s="612">
        <f t="shared" si="22"/>
        <v>996</v>
      </c>
      <c r="B67" s="309"/>
      <c r="C67" s="309"/>
      <c r="D67" s="309"/>
      <c r="E67" s="309"/>
      <c r="F67" s="309"/>
      <c r="G67" s="309"/>
      <c r="AA67" s="2"/>
      <c r="AC67" s="2">
        <f t="shared" si="3"/>
        <v>0</v>
      </c>
      <c r="AE67" s="244">
        <f t="shared" si="19"/>
        <v>60</v>
      </c>
      <c r="AF67" s="244">
        <f t="shared" si="20"/>
        <v>55</v>
      </c>
      <c r="AG67" s="57">
        <v>0</v>
      </c>
      <c r="AH67" s="537"/>
      <c r="AI67" s="537"/>
      <c r="AJ67" s="537"/>
      <c r="AK67" s="537"/>
      <c r="AL67" s="538"/>
      <c r="AO67" s="7">
        <f t="shared" si="4"/>
        <v>0</v>
      </c>
    </row>
    <row r="68" spans="1:41">
      <c r="A68" s="612">
        <f t="shared" si="22"/>
        <v>997</v>
      </c>
      <c r="B68" s="309" t="s">
        <v>238</v>
      </c>
      <c r="C68" s="309" t="s">
        <v>239</v>
      </c>
      <c r="D68" s="309"/>
      <c r="E68" s="309"/>
      <c r="F68" s="309"/>
      <c r="G68" s="309"/>
      <c r="AA68" s="2"/>
      <c r="AC68" s="2">
        <f t="shared" si="3"/>
        <v>0</v>
      </c>
      <c r="AE68" s="244">
        <f t="shared" si="19"/>
        <v>61</v>
      </c>
      <c r="AF68" s="244">
        <f t="shared" si="20"/>
        <v>56</v>
      </c>
      <c r="AG68" s="57">
        <v>0</v>
      </c>
      <c r="AH68" s="537" t="s">
        <v>238</v>
      </c>
      <c r="AI68" s="537" t="s">
        <v>239</v>
      </c>
      <c r="AJ68" s="537"/>
      <c r="AK68" s="537"/>
      <c r="AL68" s="538"/>
      <c r="AO68" s="7">
        <f t="shared" si="4"/>
        <v>0</v>
      </c>
    </row>
    <row r="69" spans="1:41">
      <c r="A69" s="612">
        <f t="shared" si="22"/>
        <v>998</v>
      </c>
      <c r="B69" s="309"/>
      <c r="C69" s="309"/>
      <c r="D69" s="309" t="s">
        <v>24</v>
      </c>
      <c r="E69" s="309"/>
      <c r="F69" s="309"/>
      <c r="G69" s="309"/>
      <c r="H69" s="357">
        <f>+[13]XNV!H$71</f>
        <v>9680436.6140000001</v>
      </c>
      <c r="I69" s="357">
        <f>+[13]XNV!I$71</f>
        <v>9728463.6699999999</v>
      </c>
      <c r="J69" s="357">
        <f>+[13]XNV!J$71</f>
        <v>9742610.5539999995</v>
      </c>
      <c r="K69" s="357">
        <f>+[13]XNV!K$71</f>
        <v>9790277.074000001</v>
      </c>
      <c r="L69" s="357">
        <f>+[13]XNV!L$71</f>
        <v>9815017.6140000001</v>
      </c>
      <c r="M69" s="357">
        <f>+[13]XNV!M$71</f>
        <v>9826048.4539999999</v>
      </c>
      <c r="N69" s="357">
        <f>+[13]XNV!N$71</f>
        <v>9804010.2139999997</v>
      </c>
      <c r="O69" s="357">
        <f>+[13]XNV!O$71</f>
        <v>9190454.1940000001</v>
      </c>
      <c r="P69" s="357">
        <f>+[13]XNV!P$71</f>
        <v>10744765.4</v>
      </c>
      <c r="Q69" s="357">
        <f>+[13]XNV!Q$71</f>
        <v>10737602.813999999</v>
      </c>
      <c r="R69" s="357">
        <f>+[13]XNV!R$71</f>
        <v>10421673.044</v>
      </c>
      <c r="S69" s="357">
        <f>+[13]XNV!S$71</f>
        <v>10438278.604</v>
      </c>
      <c r="T69" s="357">
        <f>+[13]XNV!$T$71</f>
        <v>10480480.653999999</v>
      </c>
      <c r="U69" s="357"/>
      <c r="V69" s="584">
        <f>(SUM(I69:S69)+(0.5*T69)+(0.5*H69))/12</f>
        <v>10026638.355833333</v>
      </c>
      <c r="Y69" s="584">
        <f>T69</f>
        <v>10480480.653999999</v>
      </c>
      <c r="Z69" s="584">
        <f t="shared" si="2"/>
        <v>10026638.355833333</v>
      </c>
      <c r="AA69" s="357">
        <f>V69</f>
        <v>10026638.355833333</v>
      </c>
      <c r="AB69" s="357">
        <f>T69</f>
        <v>10480480.653999999</v>
      </c>
      <c r="AC69" s="357">
        <f t="shared" si="3"/>
        <v>10026638.355833333</v>
      </c>
      <c r="AD69" s="632">
        <f>AC69-T69</f>
        <v>-453842.29816666618</v>
      </c>
      <c r="AE69" s="244">
        <f t="shared" si="19"/>
        <v>62</v>
      </c>
      <c r="AF69" s="244">
        <f t="shared" si="20"/>
        <v>57</v>
      </c>
      <c r="AG69" s="57">
        <v>-332098.96658333205</v>
      </c>
      <c r="AH69" s="537"/>
      <c r="AI69" s="537"/>
      <c r="AJ69" s="537" t="s">
        <v>24</v>
      </c>
      <c r="AK69" s="537"/>
      <c r="AL69" s="538">
        <f>+T69</f>
        <v>10480480.653999999</v>
      </c>
      <c r="AM69" s="12">
        <f>AC69</f>
        <v>10026638.355833333</v>
      </c>
      <c r="AN69" s="12">
        <f>AM69-AL69</f>
        <v>-453842.29816666618</v>
      </c>
      <c r="AO69" s="7">
        <f t="shared" si="4"/>
        <v>0</v>
      </c>
    </row>
    <row r="70" spans="1:41">
      <c r="A70" s="612">
        <f t="shared" si="22"/>
        <v>999</v>
      </c>
      <c r="B70" s="309"/>
      <c r="C70" s="309"/>
      <c r="D70" s="309" t="s">
        <v>13</v>
      </c>
      <c r="E70" s="309"/>
      <c r="F70" s="309"/>
      <c r="G70" s="309"/>
      <c r="H70" s="624">
        <f>+[13]XNV!H$72</f>
        <v>302623091.46600002</v>
      </c>
      <c r="I70" s="624">
        <f>+[13]XNV!I$72</f>
        <v>305777058.38</v>
      </c>
      <c r="J70" s="624">
        <f>+[13]XNV!J$72</f>
        <v>307526144.426</v>
      </c>
      <c r="K70" s="624">
        <f>+[13]XNV!K$72</f>
        <v>309189993.39600003</v>
      </c>
      <c r="L70" s="624">
        <f>+[13]XNV!L$72</f>
        <v>310696462.85599995</v>
      </c>
      <c r="M70" s="624">
        <f>+[13]XNV!M$72</f>
        <v>314409978.90600002</v>
      </c>
      <c r="N70" s="624">
        <f>+[13]XNV!N$72</f>
        <v>315385351.39600003</v>
      </c>
      <c r="O70" s="624">
        <f>+[13]XNV!O$72</f>
        <v>319532399.56599998</v>
      </c>
      <c r="P70" s="624">
        <f>+[13]XNV!P$72</f>
        <v>320756390.40000004</v>
      </c>
      <c r="Q70" s="624">
        <f>+[13]XNV!Q$72</f>
        <v>320596593.14600003</v>
      </c>
      <c r="R70" s="624">
        <f>+[13]XNV!R$72</f>
        <v>323928831.48599994</v>
      </c>
      <c r="S70" s="624">
        <f>+[13]XNV!S$72</f>
        <v>326833946.07600003</v>
      </c>
      <c r="T70" s="624">
        <f>+[13]XNV!$T$72</f>
        <v>331969358.31600004</v>
      </c>
      <c r="U70" s="624"/>
      <c r="V70" s="623">
        <f>(SUM(I70:S70)+(0.5*T70)+(0.5*H70))/12</f>
        <v>315994114.57708335</v>
      </c>
      <c r="Y70" s="623">
        <f>T70</f>
        <v>331969358.31600004</v>
      </c>
      <c r="Z70" s="623">
        <f t="shared" si="2"/>
        <v>315994114.57708335</v>
      </c>
      <c r="AA70" s="624">
        <f>V70</f>
        <v>315994114.57708335</v>
      </c>
      <c r="AB70" s="624">
        <f>T70</f>
        <v>331969358.31600004</v>
      </c>
      <c r="AC70" s="624">
        <f t="shared" si="3"/>
        <v>315994114.57708335</v>
      </c>
      <c r="AD70" s="635">
        <f>AC70-T70</f>
        <v>-15975243.738916695</v>
      </c>
      <c r="AE70" s="244">
        <f t="shared" si="19"/>
        <v>63</v>
      </c>
      <c r="AF70" s="244">
        <f t="shared" si="20"/>
        <v>58</v>
      </c>
      <c r="AG70" s="57">
        <v>-1803810.0100833476</v>
      </c>
      <c r="AH70" s="537"/>
      <c r="AI70" s="537"/>
      <c r="AJ70" s="537" t="s">
        <v>13</v>
      </c>
      <c r="AK70" s="537"/>
      <c r="AL70" s="538">
        <f>+T70</f>
        <v>331969358.31600004</v>
      </c>
      <c r="AM70" s="12">
        <f>AC70</f>
        <v>315994114.57708335</v>
      </c>
      <c r="AN70" s="12">
        <f>AM70-AL70</f>
        <v>-15975243.738916695</v>
      </c>
      <c r="AO70" s="7">
        <f t="shared" si="4"/>
        <v>0</v>
      </c>
    </row>
    <row r="71" spans="1:41">
      <c r="A71" s="612">
        <f t="shared" si="22"/>
        <v>1000</v>
      </c>
      <c r="B71" s="309"/>
      <c r="C71" s="309"/>
      <c r="D71" s="309" t="s">
        <v>160</v>
      </c>
      <c r="E71" s="309"/>
      <c r="F71" s="309"/>
      <c r="G71" s="309"/>
      <c r="H71" s="357">
        <f>SUM(H69:H70)</f>
        <v>312303528.08000004</v>
      </c>
      <c r="I71" s="357">
        <f t="shared" ref="I71:T71" si="26">SUM(I69:I70)</f>
        <v>315505522.05000001</v>
      </c>
      <c r="J71" s="357">
        <f t="shared" si="26"/>
        <v>317268754.98000002</v>
      </c>
      <c r="K71" s="357">
        <f t="shared" si="26"/>
        <v>318980270.47000003</v>
      </c>
      <c r="L71" s="357">
        <f t="shared" si="26"/>
        <v>320511480.46999997</v>
      </c>
      <c r="M71" s="357">
        <f t="shared" si="26"/>
        <v>324236027.36000001</v>
      </c>
      <c r="N71" s="357">
        <f t="shared" si="26"/>
        <v>325189361.61000001</v>
      </c>
      <c r="O71" s="357">
        <f t="shared" si="26"/>
        <v>328722853.75999999</v>
      </c>
      <c r="P71" s="357">
        <f t="shared" si="26"/>
        <v>331501155.80000001</v>
      </c>
      <c r="Q71" s="357">
        <f t="shared" si="26"/>
        <v>331334195.96000004</v>
      </c>
      <c r="R71" s="357">
        <f t="shared" si="26"/>
        <v>334350504.52999997</v>
      </c>
      <c r="S71" s="357">
        <f t="shared" si="26"/>
        <v>337272224.68000001</v>
      </c>
      <c r="T71" s="357">
        <f t="shared" si="26"/>
        <v>342449838.97000003</v>
      </c>
      <c r="U71" s="357"/>
      <c r="V71" s="584">
        <f>SUM(V69:V70)</f>
        <v>326020752.9329167</v>
      </c>
      <c r="Y71" s="584">
        <f>T71</f>
        <v>342449838.97000003</v>
      </c>
      <c r="Z71" s="584">
        <f t="shared" si="2"/>
        <v>326020752.9329167</v>
      </c>
      <c r="AA71" s="357">
        <f>V71</f>
        <v>326020752.9329167</v>
      </c>
      <c r="AB71" s="357">
        <f>T71</f>
        <v>342449838.97000003</v>
      </c>
      <c r="AC71" s="357">
        <f t="shared" si="3"/>
        <v>326020752.9329167</v>
      </c>
      <c r="AD71" s="632">
        <f>SUM(AD69:AD70)</f>
        <v>-16429086.037083361</v>
      </c>
      <c r="AE71" s="244">
        <f t="shared" si="19"/>
        <v>64</v>
      </c>
      <c r="AF71" s="244">
        <f t="shared" si="20"/>
        <v>59</v>
      </c>
      <c r="AG71" s="57">
        <v>-2135908.9766666796</v>
      </c>
      <c r="AH71" s="537"/>
      <c r="AI71" s="537"/>
      <c r="AJ71" s="537" t="s">
        <v>160</v>
      </c>
      <c r="AK71" s="537"/>
      <c r="AL71" s="538">
        <f>+T71</f>
        <v>342449838.97000003</v>
      </c>
      <c r="AM71" s="12">
        <f>AC71</f>
        <v>326020752.9329167</v>
      </c>
      <c r="AN71" s="12">
        <f>AM71-AL71</f>
        <v>-16429086.037083328</v>
      </c>
      <c r="AO71" s="7">
        <f t="shared" si="4"/>
        <v>0</v>
      </c>
    </row>
    <row r="72" spans="1:41">
      <c r="A72" s="612">
        <f t="shared" si="22"/>
        <v>1001</v>
      </c>
      <c r="B72" s="309"/>
      <c r="C72" s="309"/>
      <c r="D72" s="309"/>
      <c r="E72" s="309"/>
      <c r="F72" s="309"/>
      <c r="G72" s="309"/>
      <c r="AA72" s="2"/>
      <c r="AC72" s="2">
        <f t="shared" si="3"/>
        <v>0</v>
      </c>
      <c r="AE72" s="244">
        <f t="shared" si="19"/>
        <v>65</v>
      </c>
      <c r="AF72" s="244">
        <f t="shared" si="20"/>
        <v>60</v>
      </c>
      <c r="AG72" s="57">
        <v>0</v>
      </c>
      <c r="AH72" s="537"/>
      <c r="AI72" s="537"/>
      <c r="AJ72" s="537"/>
      <c r="AK72" s="537"/>
      <c r="AL72" s="538"/>
      <c r="AO72" s="7">
        <f t="shared" si="4"/>
        <v>0</v>
      </c>
    </row>
    <row r="73" spans="1:41">
      <c r="A73" s="612">
        <f t="shared" si="22"/>
        <v>1002</v>
      </c>
      <c r="B73" s="309" t="s">
        <v>240</v>
      </c>
      <c r="C73" s="309" t="s">
        <v>241</v>
      </c>
      <c r="D73" s="309"/>
      <c r="E73" s="309"/>
      <c r="F73" s="309"/>
      <c r="G73" s="309"/>
      <c r="AA73" s="2"/>
      <c r="AC73" s="2">
        <f t="shared" si="3"/>
        <v>0</v>
      </c>
      <c r="AE73" s="244">
        <f t="shared" si="19"/>
        <v>66</v>
      </c>
      <c r="AF73" s="244">
        <f t="shared" si="20"/>
        <v>61</v>
      </c>
      <c r="AG73" s="57">
        <v>0</v>
      </c>
      <c r="AH73" s="537" t="s">
        <v>240</v>
      </c>
      <c r="AI73" s="537" t="s">
        <v>241</v>
      </c>
      <c r="AJ73" s="537"/>
      <c r="AK73" s="537"/>
      <c r="AL73" s="538"/>
      <c r="AO73" s="7">
        <f t="shared" si="4"/>
        <v>0</v>
      </c>
    </row>
    <row r="74" spans="1:41">
      <c r="A74" s="612">
        <f t="shared" si="22"/>
        <v>1003</v>
      </c>
      <c r="B74" s="309"/>
      <c r="C74" s="309"/>
      <c r="D74" s="309" t="s">
        <v>24</v>
      </c>
      <c r="E74" s="309"/>
      <c r="F74" s="309"/>
      <c r="G74" s="309"/>
      <c r="H74" s="357">
        <f>+[13]XNV!H$76</f>
        <v>777059.48</v>
      </c>
      <c r="I74" s="357">
        <f>+[13]XNV!I$76</f>
        <v>776409.34</v>
      </c>
      <c r="J74" s="357">
        <f>+[13]XNV!J$76</f>
        <v>776300.98</v>
      </c>
      <c r="K74" s="357">
        <f>+[13]XNV!K$76</f>
        <v>772616.83</v>
      </c>
      <c r="L74" s="357">
        <f>+[13]XNV!L$76</f>
        <v>768390.8899999999</v>
      </c>
      <c r="M74" s="357">
        <f>+[13]XNV!M$76</f>
        <v>765194.35000000009</v>
      </c>
      <c r="N74" s="357">
        <f>+[13]XNV!N$76</f>
        <v>764869.28</v>
      </c>
      <c r="O74" s="357">
        <f>+[13]XNV!O$76</f>
        <v>763894.06</v>
      </c>
      <c r="P74" s="357">
        <f>+[13]XNV!P$76</f>
        <v>762593.77</v>
      </c>
      <c r="Q74" s="357">
        <f>+[13]XNV!Q$76</f>
        <v>761293.48</v>
      </c>
      <c r="R74" s="357">
        <f>+[13]XNV!R$76</f>
        <v>760372.44</v>
      </c>
      <c r="S74" s="357">
        <f>+[13]XNV!S$76</f>
        <v>759234.69</v>
      </c>
      <c r="T74" s="357">
        <f>+[13]XNV!$T$76</f>
        <v>759017.98</v>
      </c>
      <c r="U74" s="357"/>
      <c r="V74" s="584">
        <f>(SUM(I74:S74)+(0.5*T74)+(0.5*H74))/12</f>
        <v>766600.73666666669</v>
      </c>
      <c r="Y74" s="584">
        <f>T74</f>
        <v>759017.98</v>
      </c>
      <c r="Z74" s="584">
        <f t="shared" si="2"/>
        <v>766600.73666666669</v>
      </c>
      <c r="AA74" s="357">
        <f>V74</f>
        <v>766600.73666666669</v>
      </c>
      <c r="AB74" s="357">
        <f>T74</f>
        <v>759017.98</v>
      </c>
      <c r="AC74" s="357">
        <f t="shared" si="3"/>
        <v>766600.73666666669</v>
      </c>
      <c r="AD74" s="632">
        <f>AC74-T74</f>
        <v>7582.7566666667117</v>
      </c>
      <c r="AE74" s="244">
        <f t="shared" si="19"/>
        <v>67</v>
      </c>
      <c r="AF74" s="244">
        <f t="shared" si="20"/>
        <v>62</v>
      </c>
      <c r="AG74" s="57">
        <v>0.76000000024214387</v>
      </c>
      <c r="AH74" s="537"/>
      <c r="AI74" s="537"/>
      <c r="AJ74" s="537" t="s">
        <v>24</v>
      </c>
      <c r="AK74" s="537"/>
      <c r="AL74" s="538">
        <f>+T74</f>
        <v>759017.98</v>
      </c>
      <c r="AM74" s="12">
        <f>AC74</f>
        <v>766600.73666666669</v>
      </c>
      <c r="AN74" s="12">
        <f>AM74-AL74</f>
        <v>7582.7566666667117</v>
      </c>
      <c r="AO74" s="7">
        <f t="shared" si="4"/>
        <v>0</v>
      </c>
    </row>
    <row r="75" spans="1:41">
      <c r="A75" s="612">
        <f t="shared" si="22"/>
        <v>1004</v>
      </c>
      <c r="B75" s="309"/>
      <c r="C75" s="309"/>
      <c r="D75" s="309" t="s">
        <v>13</v>
      </c>
      <c r="E75" s="309"/>
      <c r="F75" s="309"/>
      <c r="G75" s="309"/>
      <c r="H75" s="624">
        <f>+[13]XNV!H$77</f>
        <v>13940732.08</v>
      </c>
      <c r="I75" s="624">
        <f>+[13]XNV!I$77</f>
        <v>13937991.460000001</v>
      </c>
      <c r="J75" s="624">
        <f>+[13]XNV!J$77</f>
        <v>13935872.579999998</v>
      </c>
      <c r="K75" s="624">
        <f>+[13]XNV!K$77</f>
        <v>13931237.049999999</v>
      </c>
      <c r="L75" s="624">
        <f>+[13]XNV!L$77</f>
        <v>13926092.819999998</v>
      </c>
      <c r="M75" s="624">
        <f>+[13]XNV!M$77</f>
        <v>13918862.92</v>
      </c>
      <c r="N75" s="624">
        <f>+[13]XNV!N$77</f>
        <v>13913305.380000001</v>
      </c>
      <c r="O75" s="624">
        <f>+[13]XNV!O$77</f>
        <v>13908129.359999999</v>
      </c>
      <c r="P75" s="624">
        <f>+[13]XNV!P$77</f>
        <v>13904015.25</v>
      </c>
      <c r="Q75" s="624">
        <f>+[13]XNV!Q$77</f>
        <v>13896899.809999999</v>
      </c>
      <c r="R75" s="624">
        <f>+[13]XNV!R$77</f>
        <v>13896899.810000001</v>
      </c>
      <c r="S75" s="624">
        <f>+[13]XNV!S$77</f>
        <v>13890048.42</v>
      </c>
      <c r="T75" s="624">
        <f>+[13]XNV!$T$77</f>
        <v>13889337.84</v>
      </c>
      <c r="U75" s="624"/>
      <c r="V75" s="623">
        <f>(SUM(I75:S75)+(0.5*T75)+(0.5*H75))/12</f>
        <v>13914532.484999998</v>
      </c>
      <c r="Y75" s="623">
        <f>T75</f>
        <v>13889337.84</v>
      </c>
      <c r="Z75" s="623">
        <f t="shared" si="2"/>
        <v>13914532.484999998</v>
      </c>
      <c r="AA75" s="624">
        <f>V75</f>
        <v>13914532.484999998</v>
      </c>
      <c r="AB75" s="624">
        <f>T75</f>
        <v>13889337.84</v>
      </c>
      <c r="AC75" s="624">
        <f t="shared" si="3"/>
        <v>13914532.484999998</v>
      </c>
      <c r="AD75" s="635">
        <f>AC75-T75</f>
        <v>25194.64499999769</v>
      </c>
      <c r="AE75" s="244">
        <f t="shared" si="19"/>
        <v>68</v>
      </c>
      <c r="AF75" s="244">
        <f t="shared" si="20"/>
        <v>63</v>
      </c>
      <c r="AG75" s="57">
        <v>1219.1429166663438</v>
      </c>
      <c r="AH75" s="537"/>
      <c r="AI75" s="537"/>
      <c r="AJ75" s="537" t="s">
        <v>13</v>
      </c>
      <c r="AK75" s="537"/>
      <c r="AL75" s="538">
        <f>+T75</f>
        <v>13889337.84</v>
      </c>
      <c r="AM75" s="12">
        <f>AC75</f>
        <v>13914532.484999998</v>
      </c>
      <c r="AN75" s="12">
        <f>AM75-AL75</f>
        <v>25194.64499999769</v>
      </c>
      <c r="AO75" s="7">
        <f t="shared" si="4"/>
        <v>0</v>
      </c>
    </row>
    <row r="76" spans="1:41">
      <c r="A76" s="612">
        <f t="shared" si="22"/>
        <v>1005</v>
      </c>
      <c r="B76" s="309"/>
      <c r="C76" s="309"/>
      <c r="D76" s="309" t="s">
        <v>160</v>
      </c>
      <c r="E76" s="309"/>
      <c r="F76" s="309"/>
      <c r="G76" s="309"/>
      <c r="H76" s="357">
        <f>SUM(H74:H75)</f>
        <v>14717791.560000001</v>
      </c>
      <c r="I76" s="357">
        <f t="shared" ref="I76:T76" si="27">SUM(I74:I75)</f>
        <v>14714400.800000001</v>
      </c>
      <c r="J76" s="357">
        <f t="shared" si="27"/>
        <v>14712173.559999999</v>
      </c>
      <c r="K76" s="357">
        <f t="shared" si="27"/>
        <v>14703853.879999999</v>
      </c>
      <c r="L76" s="357">
        <f t="shared" si="27"/>
        <v>14694483.709999999</v>
      </c>
      <c r="M76" s="357">
        <f t="shared" si="27"/>
        <v>14684057.27</v>
      </c>
      <c r="N76" s="357">
        <f t="shared" si="27"/>
        <v>14678174.66</v>
      </c>
      <c r="O76" s="357">
        <f t="shared" si="27"/>
        <v>14672023.42</v>
      </c>
      <c r="P76" s="357">
        <f t="shared" si="27"/>
        <v>14666609.02</v>
      </c>
      <c r="Q76" s="357">
        <f t="shared" si="27"/>
        <v>14658193.289999999</v>
      </c>
      <c r="R76" s="357">
        <f t="shared" si="27"/>
        <v>14657272.25</v>
      </c>
      <c r="S76" s="357">
        <f t="shared" si="27"/>
        <v>14649283.109999999</v>
      </c>
      <c r="T76" s="357">
        <f t="shared" si="27"/>
        <v>14648355.82</v>
      </c>
      <c r="U76" s="357"/>
      <c r="V76" s="584">
        <f>SUM(V74:V75)</f>
        <v>14681133.221666664</v>
      </c>
      <c r="Y76" s="584">
        <f>T76</f>
        <v>14648355.82</v>
      </c>
      <c r="Z76" s="584">
        <f t="shared" si="2"/>
        <v>14681133.221666664</v>
      </c>
      <c r="AA76" s="357">
        <f>V76</f>
        <v>14681133.221666664</v>
      </c>
      <c r="AB76" s="357">
        <f>T76</f>
        <v>14648355.82</v>
      </c>
      <c r="AC76" s="357">
        <f t="shared" si="3"/>
        <v>14681133.221666664</v>
      </c>
      <c r="AD76" s="632">
        <f>SUM(AD74:AD75)</f>
        <v>32777.401666664402</v>
      </c>
      <c r="AE76" s="244">
        <f t="shared" si="19"/>
        <v>69</v>
      </c>
      <c r="AF76" s="244">
        <f t="shared" si="20"/>
        <v>64</v>
      </c>
      <c r="AG76" s="57">
        <v>1219.902916666586</v>
      </c>
      <c r="AH76" s="537"/>
      <c r="AI76" s="537"/>
      <c r="AJ76" s="537" t="s">
        <v>160</v>
      </c>
      <c r="AK76" s="537"/>
      <c r="AL76" s="538">
        <f>+T76</f>
        <v>14648355.82</v>
      </c>
      <c r="AM76" s="12">
        <f>AC76</f>
        <v>14681133.221666664</v>
      </c>
      <c r="AN76" s="12">
        <f>AM76-AL76</f>
        <v>32777.401666663587</v>
      </c>
      <c r="AO76" s="7">
        <f t="shared" si="4"/>
        <v>0</v>
      </c>
    </row>
    <row r="77" spans="1:41">
      <c r="A77" s="612">
        <f t="shared" si="22"/>
        <v>1006</v>
      </c>
      <c r="B77" s="309"/>
      <c r="C77" s="309"/>
      <c r="D77" s="309"/>
      <c r="E77" s="309"/>
      <c r="F77" s="309"/>
      <c r="G77" s="309"/>
      <c r="AA77" s="2"/>
      <c r="AC77" s="2">
        <f t="shared" si="3"/>
        <v>0</v>
      </c>
      <c r="AE77" s="244">
        <f t="shared" si="19"/>
        <v>70</v>
      </c>
      <c r="AF77" s="244">
        <f t="shared" si="20"/>
        <v>65</v>
      </c>
      <c r="AG77" s="57">
        <v>0</v>
      </c>
      <c r="AH77" s="537"/>
      <c r="AI77" s="537"/>
      <c r="AJ77" s="537"/>
      <c r="AK77" s="537"/>
      <c r="AL77" s="538"/>
      <c r="AO77" s="7">
        <f t="shared" si="4"/>
        <v>0</v>
      </c>
    </row>
    <row r="78" spans="1:41">
      <c r="A78" s="612">
        <f t="shared" si="22"/>
        <v>1007</v>
      </c>
      <c r="B78" s="309" t="s">
        <v>242</v>
      </c>
      <c r="C78" s="309" t="s">
        <v>221</v>
      </c>
      <c r="D78" s="309"/>
      <c r="E78" s="309"/>
      <c r="F78" s="309"/>
      <c r="G78" s="309"/>
      <c r="AA78" s="2"/>
      <c r="AC78" s="2">
        <f t="shared" si="3"/>
        <v>0</v>
      </c>
      <c r="AE78" s="244">
        <f t="shared" si="19"/>
        <v>71</v>
      </c>
      <c r="AF78" s="244">
        <f t="shared" si="20"/>
        <v>66</v>
      </c>
      <c r="AG78" s="57">
        <v>0</v>
      </c>
      <c r="AH78" s="537" t="s">
        <v>242</v>
      </c>
      <c r="AI78" s="537" t="s">
        <v>221</v>
      </c>
      <c r="AJ78" s="537"/>
      <c r="AK78" s="537"/>
      <c r="AL78" s="538"/>
      <c r="AO78" s="7">
        <f t="shared" si="4"/>
        <v>0</v>
      </c>
    </row>
    <row r="79" spans="1:41">
      <c r="A79" s="612">
        <f t="shared" si="22"/>
        <v>1008</v>
      </c>
      <c r="B79" s="309"/>
      <c r="C79" s="309"/>
      <c r="D79" s="309" t="s">
        <v>24</v>
      </c>
      <c r="E79" s="309"/>
      <c r="F79" s="309"/>
      <c r="G79" s="309"/>
      <c r="H79" s="357">
        <f>+[13]XNV!H$81</f>
        <v>68977.440000000002</v>
      </c>
      <c r="I79" s="357">
        <f>+[13]XNV!I$81</f>
        <v>68977.440000000002</v>
      </c>
      <c r="J79" s="357">
        <f>+[13]XNV!J$81</f>
        <v>68977.440000000002</v>
      </c>
      <c r="K79" s="357">
        <f>+[13]XNV!K$81</f>
        <v>68977.440000000002</v>
      </c>
      <c r="L79" s="357">
        <f>+[13]XNV!L$81</f>
        <v>68977.440000000002</v>
      </c>
      <c r="M79" s="357">
        <f>+[13]XNV!M$81</f>
        <v>68977.440000000002</v>
      </c>
      <c r="N79" s="357">
        <f>+[13]XNV!N$81</f>
        <v>68977.440000000002</v>
      </c>
      <c r="O79" s="357">
        <f>+[13]XNV!O$81</f>
        <v>68977.440000000002</v>
      </c>
      <c r="P79" s="357">
        <f>+[13]XNV!P$81</f>
        <v>68977.440000000002</v>
      </c>
      <c r="Q79" s="357">
        <f>+[13]XNV!Q$81</f>
        <v>68977.440000000002</v>
      </c>
      <c r="R79" s="357">
        <f>+[13]XNV!R$81</f>
        <v>68977.440000000002</v>
      </c>
      <c r="S79" s="357">
        <f>+[13]XNV!S$81</f>
        <v>68977.440000000002</v>
      </c>
      <c r="T79" s="357">
        <f>+[13]XNV!$T$81</f>
        <v>68977.440000000002</v>
      </c>
      <c r="U79" s="357"/>
      <c r="V79" s="584">
        <f>(SUM(I79:S79)+(0.5*T79)+(0.5*H79))/12</f>
        <v>68977.439999999988</v>
      </c>
      <c r="Y79" s="584">
        <f>T79</f>
        <v>68977.440000000002</v>
      </c>
      <c r="Z79" s="584">
        <f t="shared" ref="Z79:Z138" si="28">V79</f>
        <v>68977.439999999988</v>
      </c>
      <c r="AA79" s="357">
        <f>V79</f>
        <v>68977.439999999988</v>
      </c>
      <c r="AB79" s="357">
        <f>T79</f>
        <v>68977.440000000002</v>
      </c>
      <c r="AC79" s="357">
        <f t="shared" ref="AC79:AC137" si="29">HLOOKUP($AC$8,RateBaseScenarios,AE79,FALSE)</f>
        <v>68977.439999999988</v>
      </c>
      <c r="AD79" s="632">
        <f>AC79-T79</f>
        <v>0</v>
      </c>
      <c r="AE79" s="244">
        <f t="shared" si="19"/>
        <v>72</v>
      </c>
      <c r="AF79" s="244">
        <f t="shared" si="20"/>
        <v>67</v>
      </c>
      <c r="AG79" s="57">
        <v>0</v>
      </c>
      <c r="AH79" s="537"/>
      <c r="AI79" s="537"/>
      <c r="AJ79" s="537" t="s">
        <v>24</v>
      </c>
      <c r="AK79" s="537"/>
      <c r="AL79" s="538">
        <f>+T79</f>
        <v>68977.440000000002</v>
      </c>
      <c r="AM79" s="12">
        <f>AC79</f>
        <v>68977.439999999988</v>
      </c>
      <c r="AN79" s="12">
        <f>AM79-AL79</f>
        <v>0</v>
      </c>
      <c r="AO79" s="7">
        <f t="shared" si="4"/>
        <v>0</v>
      </c>
    </row>
    <row r="80" spans="1:41">
      <c r="A80" s="612">
        <f t="shared" si="22"/>
        <v>1009</v>
      </c>
      <c r="B80" s="309"/>
      <c r="C80" s="309"/>
      <c r="D80" s="309" t="s">
        <v>13</v>
      </c>
      <c r="E80" s="309"/>
      <c r="F80" s="309"/>
      <c r="G80" s="309"/>
      <c r="H80" s="624">
        <f>+[13]XNV!H$82</f>
        <v>2231447.98</v>
      </c>
      <c r="I80" s="624">
        <f>+[13]XNV!I$82</f>
        <v>2231447.98</v>
      </c>
      <c r="J80" s="624">
        <f>+[13]XNV!J$82</f>
        <v>2236827.67</v>
      </c>
      <c r="K80" s="624">
        <f>+[13]XNV!K$82</f>
        <v>2237018.35</v>
      </c>
      <c r="L80" s="624">
        <f>+[13]XNV!L$82</f>
        <v>2237018.35</v>
      </c>
      <c r="M80" s="624">
        <f>+[13]XNV!M$82</f>
        <v>2237018.35</v>
      </c>
      <c r="N80" s="624">
        <f>+[13]XNV!N$82</f>
        <v>2237018.35</v>
      </c>
      <c r="O80" s="624">
        <f>+[13]XNV!O$82</f>
        <v>2237018.35</v>
      </c>
      <c r="P80" s="624">
        <f>+[13]XNV!P$82</f>
        <v>2237018.35</v>
      </c>
      <c r="Q80" s="624">
        <f>+[13]XNV!Q$82</f>
        <v>2237018.35</v>
      </c>
      <c r="R80" s="624">
        <f>+[13]XNV!R$82</f>
        <v>2237018.35</v>
      </c>
      <c r="S80" s="624">
        <f>+[13]XNV!S$82</f>
        <v>2237018.35</v>
      </c>
      <c r="T80" s="624">
        <f>+[13]XNV!$T$82</f>
        <v>2237018.35</v>
      </c>
      <c r="U80" s="624"/>
      <c r="V80" s="623">
        <f>(SUM(I80:S80)+(0.5*T80)+(0.5*H80))/12</f>
        <v>2236306.1637500003</v>
      </c>
      <c r="Y80" s="623">
        <f>T80</f>
        <v>2237018.35</v>
      </c>
      <c r="Z80" s="623">
        <f t="shared" si="28"/>
        <v>2236306.1637500003</v>
      </c>
      <c r="AA80" s="624">
        <f>V80</f>
        <v>2236306.1637500003</v>
      </c>
      <c r="AB80" s="624">
        <f>T80</f>
        <v>2237018.35</v>
      </c>
      <c r="AC80" s="624">
        <f t="shared" si="29"/>
        <v>2236306.1637500003</v>
      </c>
      <c r="AD80" s="635">
        <f>AC80-T80</f>
        <v>-712.18624999979511</v>
      </c>
      <c r="AE80" s="244">
        <f t="shared" si="19"/>
        <v>73</v>
      </c>
      <c r="AF80" s="244">
        <f t="shared" si="20"/>
        <v>68</v>
      </c>
      <c r="AG80" s="57">
        <v>322301.11791666655</v>
      </c>
      <c r="AH80" s="537"/>
      <c r="AI80" s="537"/>
      <c r="AJ80" s="537" t="s">
        <v>13</v>
      </c>
      <c r="AK80" s="537"/>
      <c r="AL80" s="538">
        <f>+T80</f>
        <v>2237018.35</v>
      </c>
      <c r="AM80" s="12">
        <f>AC80</f>
        <v>2236306.1637500003</v>
      </c>
      <c r="AN80" s="12">
        <f>AM80-AL80</f>
        <v>-712.18624999979511</v>
      </c>
      <c r="AO80" s="7">
        <f t="shared" ref="AO80:AO138" si="30">+AL80-T80</f>
        <v>0</v>
      </c>
    </row>
    <row r="81" spans="1:41">
      <c r="A81" s="612">
        <f t="shared" si="22"/>
        <v>1010</v>
      </c>
      <c r="B81" s="309"/>
      <c r="C81" s="309"/>
      <c r="D81" s="309" t="s">
        <v>160</v>
      </c>
      <c r="E81" s="309"/>
      <c r="F81" s="309"/>
      <c r="G81" s="309"/>
      <c r="H81" s="357">
        <f>SUM(H79:H80)</f>
        <v>2300425.42</v>
      </c>
      <c r="I81" s="357">
        <f t="shared" ref="I81:T81" si="31">SUM(I79:I80)</f>
        <v>2300425.42</v>
      </c>
      <c r="J81" s="357">
        <f t="shared" si="31"/>
        <v>2305805.11</v>
      </c>
      <c r="K81" s="357">
        <f t="shared" si="31"/>
        <v>2305995.79</v>
      </c>
      <c r="L81" s="357">
        <f t="shared" si="31"/>
        <v>2305995.79</v>
      </c>
      <c r="M81" s="357">
        <f t="shared" si="31"/>
        <v>2305995.79</v>
      </c>
      <c r="N81" s="357">
        <f t="shared" si="31"/>
        <v>2305995.79</v>
      </c>
      <c r="O81" s="357">
        <f t="shared" si="31"/>
        <v>2305995.79</v>
      </c>
      <c r="P81" s="357">
        <f t="shared" si="31"/>
        <v>2305995.79</v>
      </c>
      <c r="Q81" s="357">
        <f t="shared" si="31"/>
        <v>2305995.79</v>
      </c>
      <c r="R81" s="357">
        <f t="shared" si="31"/>
        <v>2305995.79</v>
      </c>
      <c r="S81" s="357">
        <f t="shared" si="31"/>
        <v>2305995.79</v>
      </c>
      <c r="T81" s="357">
        <f t="shared" si="31"/>
        <v>2305995.79</v>
      </c>
      <c r="U81" s="357"/>
      <c r="V81" s="584">
        <f>SUM(V79:V80)</f>
        <v>2305283.6037500002</v>
      </c>
      <c r="Y81" s="584">
        <f>T81</f>
        <v>2305995.79</v>
      </c>
      <c r="Z81" s="584">
        <f t="shared" si="28"/>
        <v>2305283.6037500002</v>
      </c>
      <c r="AA81" s="357">
        <f>V81</f>
        <v>2305283.6037500002</v>
      </c>
      <c r="AB81" s="357">
        <f>T81</f>
        <v>2305995.79</v>
      </c>
      <c r="AC81" s="357">
        <f t="shared" si="29"/>
        <v>2305283.6037500002</v>
      </c>
      <c r="AD81" s="632">
        <f>SUM(AD79:AD80)</f>
        <v>-712.18624999979511</v>
      </c>
      <c r="AE81" s="244">
        <f t="shared" si="19"/>
        <v>74</v>
      </c>
      <c r="AF81" s="244">
        <f t="shared" si="20"/>
        <v>69</v>
      </c>
      <c r="AG81" s="57">
        <v>322301.11791666655</v>
      </c>
      <c r="AH81" s="537"/>
      <c r="AI81" s="537"/>
      <c r="AJ81" s="537" t="s">
        <v>160</v>
      </c>
      <c r="AK81" s="537"/>
      <c r="AL81" s="538">
        <f>+T81</f>
        <v>2305995.79</v>
      </c>
      <c r="AM81" s="12">
        <f>AC81</f>
        <v>2305283.6037500002</v>
      </c>
      <c r="AN81" s="12">
        <f>AM81-AL81</f>
        <v>-712.18624999979511</v>
      </c>
      <c r="AO81" s="7">
        <f t="shared" si="30"/>
        <v>0</v>
      </c>
    </row>
    <row r="82" spans="1:41">
      <c r="A82" s="612">
        <f t="shared" si="22"/>
        <v>1011</v>
      </c>
      <c r="B82" s="309"/>
      <c r="C82" s="309"/>
      <c r="D82" s="309"/>
      <c r="E82" s="309"/>
      <c r="F82" s="309"/>
      <c r="G82" s="309"/>
      <c r="AA82" s="2"/>
      <c r="AC82" s="2">
        <f t="shared" si="29"/>
        <v>0</v>
      </c>
      <c r="AE82" s="244">
        <f t="shared" si="19"/>
        <v>75</v>
      </c>
      <c r="AF82" s="244">
        <f t="shared" si="20"/>
        <v>70</v>
      </c>
      <c r="AG82" s="57">
        <v>0</v>
      </c>
      <c r="AH82" s="537"/>
      <c r="AI82" s="537"/>
      <c r="AJ82" s="537"/>
      <c r="AK82" s="537"/>
      <c r="AL82" s="538"/>
      <c r="AO82" s="7">
        <f t="shared" si="30"/>
        <v>0</v>
      </c>
    </row>
    <row r="83" spans="1:41">
      <c r="A83" s="612" t="e">
        <f>+#REF!+1</f>
        <v>#REF!</v>
      </c>
      <c r="B83" s="309"/>
      <c r="C83" s="309" t="s">
        <v>243</v>
      </c>
      <c r="D83" s="309"/>
      <c r="E83" s="309"/>
      <c r="F83" s="309"/>
      <c r="G83" s="309"/>
      <c r="H83" s="357">
        <f>H81+H76+H71+H66+H61+H56+H51+H40+H35</f>
        <v>2361317974.6399999</v>
      </c>
      <c r="I83" s="357">
        <f t="shared" ref="I83:V83" si="32">I81+I76+I71+I66+I61+I56+I51+I40+I35</f>
        <v>2370962981.0999994</v>
      </c>
      <c r="J83" s="357">
        <f t="shared" si="32"/>
        <v>2376499148.0999999</v>
      </c>
      <c r="K83" s="357">
        <f t="shared" si="32"/>
        <v>2390603725.2600002</v>
      </c>
      <c r="L83" s="357">
        <f t="shared" si="32"/>
        <v>2408956841.1999998</v>
      </c>
      <c r="M83" s="357">
        <f t="shared" si="32"/>
        <v>2414666083.6899996</v>
      </c>
      <c r="N83" s="357">
        <f t="shared" si="32"/>
        <v>2420687061.23</v>
      </c>
      <c r="O83" s="357">
        <f t="shared" si="32"/>
        <v>2425609761.4599996</v>
      </c>
      <c r="P83" s="357">
        <f t="shared" si="32"/>
        <v>2472575017.7400002</v>
      </c>
      <c r="Q83" s="357">
        <f t="shared" si="32"/>
        <v>2473340689.0999999</v>
      </c>
      <c r="R83" s="357">
        <f t="shared" si="32"/>
        <v>2502323947.5599999</v>
      </c>
      <c r="S83" s="357">
        <f t="shared" si="32"/>
        <v>2514012566.3899999</v>
      </c>
      <c r="T83" s="357">
        <f t="shared" si="32"/>
        <v>2529881859.2999997</v>
      </c>
      <c r="U83" s="357"/>
      <c r="V83" s="357">
        <f t="shared" si="32"/>
        <v>2434653144.9833331</v>
      </c>
      <c r="Y83" s="584">
        <f>T83</f>
        <v>2529881859.2999997</v>
      </c>
      <c r="Z83" s="584">
        <f t="shared" si="28"/>
        <v>2434653144.9833331</v>
      </c>
      <c r="AA83" s="357">
        <f>V83</f>
        <v>2434653144.9833331</v>
      </c>
      <c r="AB83" s="357">
        <f>T83</f>
        <v>2529881859.2999997</v>
      </c>
      <c r="AC83" s="357">
        <f t="shared" si="29"/>
        <v>2434653144.9833331</v>
      </c>
      <c r="AD83" s="632">
        <f>AD81+AD76+AD71+AD66+AD61+AD56+AD51+AD40+AD35</f>
        <v>-95228714.316666752</v>
      </c>
      <c r="AE83" s="244">
        <f t="shared" si="19"/>
        <v>76</v>
      </c>
      <c r="AF83" s="244" t="e">
        <f>+#REF!+1</f>
        <v>#REF!</v>
      </c>
      <c r="AG83" s="57">
        <v>-63762675.068750136</v>
      </c>
      <c r="AH83" s="537"/>
      <c r="AI83" s="537" t="s">
        <v>243</v>
      </c>
      <c r="AJ83" s="537"/>
      <c r="AK83" s="537"/>
      <c r="AL83" s="538">
        <f>+T83</f>
        <v>2529881859.2999997</v>
      </c>
      <c r="AM83" s="12">
        <f>AC83</f>
        <v>2434653144.9833331</v>
      </c>
      <c r="AN83" s="12">
        <f>AM83-AL83</f>
        <v>-95228714.316666603</v>
      </c>
      <c r="AO83" s="7">
        <f t="shared" si="30"/>
        <v>0</v>
      </c>
    </row>
    <row r="84" spans="1:41">
      <c r="A84" s="612" t="e">
        <f t="shared" si="22"/>
        <v>#REF!</v>
      </c>
      <c r="B84" s="309"/>
      <c r="C84" s="309"/>
      <c r="D84" s="309"/>
      <c r="E84" s="309"/>
      <c r="F84" s="309"/>
      <c r="G84" s="309"/>
      <c r="AA84" s="2"/>
      <c r="AC84" s="2">
        <f t="shared" si="29"/>
        <v>0</v>
      </c>
      <c r="AE84" s="244">
        <f t="shared" si="19"/>
        <v>77</v>
      </c>
      <c r="AF84" s="244" t="e">
        <f t="shared" si="20"/>
        <v>#REF!</v>
      </c>
      <c r="AG84" s="57">
        <v>0</v>
      </c>
      <c r="AH84" s="537"/>
      <c r="AI84" s="537"/>
      <c r="AJ84" s="537"/>
      <c r="AK84" s="537"/>
      <c r="AL84" s="538"/>
      <c r="AO84" s="7">
        <f t="shared" si="30"/>
        <v>0</v>
      </c>
    </row>
    <row r="85" spans="1:41">
      <c r="A85" s="612" t="e">
        <f t="shared" si="22"/>
        <v>#REF!</v>
      </c>
      <c r="B85" s="515" t="s">
        <v>700</v>
      </c>
      <c r="C85" s="309"/>
      <c r="D85" s="309"/>
      <c r="E85" s="309"/>
      <c r="F85" s="309"/>
      <c r="G85" s="309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584"/>
      <c r="Y85" s="584"/>
      <c r="Z85" s="584"/>
      <c r="AA85" s="357"/>
      <c r="AB85" s="357"/>
      <c r="AC85" s="357">
        <f t="shared" si="29"/>
        <v>0</v>
      </c>
      <c r="AD85" s="632"/>
      <c r="AE85" s="244">
        <f t="shared" si="19"/>
        <v>78</v>
      </c>
      <c r="AF85" s="244" t="e">
        <f t="shared" si="20"/>
        <v>#REF!</v>
      </c>
      <c r="AG85" s="57">
        <v>0</v>
      </c>
      <c r="AH85" s="537"/>
      <c r="AI85" s="537"/>
      <c r="AJ85" s="537"/>
      <c r="AK85" s="537"/>
      <c r="AL85" s="538"/>
      <c r="AO85" s="7">
        <f t="shared" si="30"/>
        <v>0</v>
      </c>
    </row>
    <row r="86" spans="1:41">
      <c r="A86" s="612" t="e">
        <f t="shared" si="22"/>
        <v>#REF!</v>
      </c>
      <c r="B86" s="309" t="s">
        <v>244</v>
      </c>
      <c r="C86" s="309" t="s">
        <v>209</v>
      </c>
      <c r="D86" s="309"/>
      <c r="E86" s="309"/>
      <c r="F86" s="309"/>
      <c r="G86" s="309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584"/>
      <c r="Y86" s="584"/>
      <c r="Z86" s="584"/>
      <c r="AA86" s="357"/>
      <c r="AB86" s="357"/>
      <c r="AC86" s="357">
        <f t="shared" si="29"/>
        <v>0</v>
      </c>
      <c r="AD86" s="632"/>
      <c r="AE86" s="244">
        <f t="shared" si="19"/>
        <v>79</v>
      </c>
      <c r="AF86" s="244" t="e">
        <f t="shared" si="20"/>
        <v>#REF!</v>
      </c>
      <c r="AG86" s="57">
        <v>0</v>
      </c>
      <c r="AH86" s="537" t="s">
        <v>244</v>
      </c>
      <c r="AI86" s="537" t="s">
        <v>209</v>
      </c>
      <c r="AJ86" s="537"/>
      <c r="AK86" s="537"/>
      <c r="AL86" s="538"/>
      <c r="AO86" s="7">
        <f t="shared" si="30"/>
        <v>0</v>
      </c>
    </row>
    <row r="87" spans="1:41">
      <c r="A87" s="612" t="e">
        <f t="shared" si="22"/>
        <v>#REF!</v>
      </c>
      <c r="B87" s="309"/>
      <c r="C87" s="309"/>
      <c r="D87" s="309" t="s">
        <v>24</v>
      </c>
      <c r="E87" s="309"/>
      <c r="F87" s="309"/>
      <c r="G87" s="309"/>
      <c r="H87" s="357">
        <f>[13]XNV!H89</f>
        <v>11584.02</v>
      </c>
      <c r="I87" s="357">
        <f>[13]XNV!I89</f>
        <v>11584.02</v>
      </c>
      <c r="J87" s="357">
        <f>[13]XNV!J89</f>
        <v>11584.02</v>
      </c>
      <c r="K87" s="357">
        <f>[13]XNV!K89</f>
        <v>11584.02</v>
      </c>
      <c r="L87" s="357">
        <f>[13]XNV!L89</f>
        <v>11584.02</v>
      </c>
      <c r="M87" s="357">
        <f>[13]XNV!M89</f>
        <v>11584.02</v>
      </c>
      <c r="N87" s="357">
        <f>[13]XNV!N89</f>
        <v>11584.02</v>
      </c>
      <c r="O87" s="357">
        <f>[13]XNV!O89</f>
        <v>11584.02</v>
      </c>
      <c r="P87" s="357">
        <f>[13]XNV!P89</f>
        <v>11584.02</v>
      </c>
      <c r="Q87" s="357">
        <f>[13]XNV!Q89</f>
        <v>11584.02</v>
      </c>
      <c r="R87" s="357">
        <f>[13]XNV!R89</f>
        <v>11584.02</v>
      </c>
      <c r="S87" s="357">
        <f>[13]XNV!S89</f>
        <v>11584.02</v>
      </c>
      <c r="T87" s="357">
        <f>[13]XNV!T89</f>
        <v>11584.02</v>
      </c>
      <c r="U87" s="357"/>
      <c r="V87" s="584">
        <f>(SUM(I87:S87)+(0.5*T87)+(0.5*H87))/12</f>
        <v>11584.020000000004</v>
      </c>
      <c r="Y87" s="584">
        <f>T87</f>
        <v>11584.02</v>
      </c>
      <c r="Z87" s="584">
        <f t="shared" si="28"/>
        <v>11584.020000000004</v>
      </c>
      <c r="AA87" s="357">
        <f>V87</f>
        <v>11584.020000000004</v>
      </c>
      <c r="AB87" s="357">
        <f>T87</f>
        <v>11584.02</v>
      </c>
      <c r="AC87" s="357">
        <f t="shared" si="29"/>
        <v>11584.020000000004</v>
      </c>
      <c r="AD87" s="632">
        <f>AC87-T87</f>
        <v>0</v>
      </c>
      <c r="AE87" s="244">
        <f t="shared" si="19"/>
        <v>80</v>
      </c>
      <c r="AF87" s="244" t="e">
        <f t="shared" si="20"/>
        <v>#REF!</v>
      </c>
      <c r="AG87" s="57">
        <v>3793.9500000000025</v>
      </c>
      <c r="AH87" s="537"/>
      <c r="AI87" s="537"/>
      <c r="AJ87" s="537" t="s">
        <v>581</v>
      </c>
      <c r="AK87" s="537"/>
      <c r="AL87" s="538">
        <f>+T87</f>
        <v>11584.02</v>
      </c>
      <c r="AM87" s="12">
        <f>AC87</f>
        <v>11584.020000000004</v>
      </c>
      <c r="AN87" s="12">
        <f>AM87-AL87</f>
        <v>0</v>
      </c>
      <c r="AO87" s="7">
        <f t="shared" si="30"/>
        <v>0</v>
      </c>
    </row>
    <row r="88" spans="1:41">
      <c r="A88" s="612" t="e">
        <f t="shared" si="22"/>
        <v>#REF!</v>
      </c>
      <c r="B88" s="309"/>
      <c r="C88" s="309"/>
      <c r="D88" s="309" t="s">
        <v>13</v>
      </c>
      <c r="E88" s="309"/>
      <c r="F88" s="309"/>
      <c r="G88" s="309"/>
      <c r="H88" s="624">
        <f>[13]XNV!H90</f>
        <v>3775953.85</v>
      </c>
      <c r="I88" s="624">
        <f>[13]XNV!I90</f>
        <v>3775953.85</v>
      </c>
      <c r="J88" s="624">
        <f>[13]XNV!J90</f>
        <v>3775953.85</v>
      </c>
      <c r="K88" s="624">
        <f>[13]XNV!K90</f>
        <v>3775953.85</v>
      </c>
      <c r="L88" s="624">
        <f>[13]XNV!L90</f>
        <v>3775953.85</v>
      </c>
      <c r="M88" s="624">
        <f>[13]XNV!M90</f>
        <v>3775953.85</v>
      </c>
      <c r="N88" s="624">
        <f>[13]XNV!N90</f>
        <v>3775953.85</v>
      </c>
      <c r="O88" s="624">
        <f>[13]XNV!O90</f>
        <v>3775953.85</v>
      </c>
      <c r="P88" s="624">
        <f>[13]XNV!P90</f>
        <v>3775953.85</v>
      </c>
      <c r="Q88" s="624">
        <f>[13]XNV!Q90</f>
        <v>3775953.85</v>
      </c>
      <c r="R88" s="624">
        <f>[13]XNV!R90</f>
        <v>3775953.85</v>
      </c>
      <c r="S88" s="624">
        <f>[13]XNV!S90</f>
        <v>3775953.85</v>
      </c>
      <c r="T88" s="624">
        <f>[13]XNV!T90</f>
        <v>3775953.85</v>
      </c>
      <c r="U88" s="624"/>
      <c r="V88" s="623">
        <f>(SUM(I88:S88)+(0.5*T88)+(0.5*H88))/12</f>
        <v>3775953.85</v>
      </c>
      <c r="Y88" s="623">
        <f>T88</f>
        <v>3775953.85</v>
      </c>
      <c r="Z88" s="623">
        <f t="shared" si="28"/>
        <v>3775953.85</v>
      </c>
      <c r="AA88" s="624">
        <f>V88</f>
        <v>3775953.85</v>
      </c>
      <c r="AB88" s="624">
        <f>T88</f>
        <v>3775953.85</v>
      </c>
      <c r="AC88" s="624">
        <f t="shared" si="29"/>
        <v>3775953.85</v>
      </c>
      <c r="AD88" s="635">
        <f>AC88-T88</f>
        <v>0</v>
      </c>
      <c r="AE88" s="244">
        <f t="shared" si="19"/>
        <v>81</v>
      </c>
      <c r="AF88" s="244" t="e">
        <f t="shared" si="20"/>
        <v>#REF!</v>
      </c>
      <c r="AG88" s="57">
        <v>-251183.31041666726</v>
      </c>
      <c r="AH88" s="537"/>
      <c r="AI88" s="537"/>
      <c r="AJ88" s="537" t="s">
        <v>582</v>
      </c>
      <c r="AK88" s="537"/>
      <c r="AL88" s="538">
        <f>+T88</f>
        <v>3775953.85</v>
      </c>
      <c r="AM88" s="12">
        <f>AC88</f>
        <v>3775953.85</v>
      </c>
      <c r="AN88" s="12">
        <f>AM88-AL88</f>
        <v>0</v>
      </c>
      <c r="AO88" s="7">
        <f t="shared" si="30"/>
        <v>0</v>
      </c>
    </row>
    <row r="89" spans="1:41">
      <c r="A89" s="612" t="e">
        <f t="shared" si="22"/>
        <v>#REF!</v>
      </c>
      <c r="B89" s="309"/>
      <c r="C89" s="309"/>
      <c r="D89" s="309" t="s">
        <v>160</v>
      </c>
      <c r="E89" s="309"/>
      <c r="F89" s="309"/>
      <c r="G89" s="309"/>
      <c r="H89" s="357">
        <f>SUM(H87:H88)</f>
        <v>3787537.87</v>
      </c>
      <c r="I89" s="357">
        <f t="shared" ref="I89:T89" si="33">SUM(I87:I88)</f>
        <v>3787537.87</v>
      </c>
      <c r="J89" s="357">
        <f t="shared" si="33"/>
        <v>3787537.87</v>
      </c>
      <c r="K89" s="357">
        <f t="shared" si="33"/>
        <v>3787537.87</v>
      </c>
      <c r="L89" s="357">
        <f t="shared" si="33"/>
        <v>3787537.87</v>
      </c>
      <c r="M89" s="357">
        <f t="shared" si="33"/>
        <v>3787537.87</v>
      </c>
      <c r="N89" s="357">
        <f t="shared" si="33"/>
        <v>3787537.87</v>
      </c>
      <c r="O89" s="357">
        <f t="shared" si="33"/>
        <v>3787537.87</v>
      </c>
      <c r="P89" s="357">
        <f t="shared" si="33"/>
        <v>3787537.87</v>
      </c>
      <c r="Q89" s="357">
        <f t="shared" si="33"/>
        <v>3787537.87</v>
      </c>
      <c r="R89" s="357">
        <f t="shared" si="33"/>
        <v>3787537.87</v>
      </c>
      <c r="S89" s="357">
        <f t="shared" si="33"/>
        <v>3787537.87</v>
      </c>
      <c r="T89" s="357">
        <f t="shared" si="33"/>
        <v>3787537.87</v>
      </c>
      <c r="U89" s="357"/>
      <c r="V89" s="584">
        <f>SUM(V87:V88)</f>
        <v>3787537.87</v>
      </c>
      <c r="Y89" s="584">
        <f>T89</f>
        <v>3787537.87</v>
      </c>
      <c r="Z89" s="584">
        <f t="shared" si="28"/>
        <v>3787537.87</v>
      </c>
      <c r="AA89" s="357">
        <f>V89</f>
        <v>3787537.87</v>
      </c>
      <c r="AB89" s="357">
        <f>T89</f>
        <v>3787537.87</v>
      </c>
      <c r="AC89" s="357">
        <f t="shared" si="29"/>
        <v>3787537.87</v>
      </c>
      <c r="AD89" s="632">
        <f>AC89-T89</f>
        <v>0</v>
      </c>
      <c r="AE89" s="244">
        <f t="shared" si="19"/>
        <v>82</v>
      </c>
      <c r="AF89" s="244" t="e">
        <f t="shared" si="20"/>
        <v>#REF!</v>
      </c>
      <c r="AG89" s="57">
        <v>-247389.36041666707</v>
      </c>
      <c r="AH89" s="537"/>
      <c r="AI89" s="537"/>
      <c r="AJ89" s="537" t="s">
        <v>160</v>
      </c>
      <c r="AK89" s="537"/>
      <c r="AL89" s="538">
        <f>+T89</f>
        <v>3787537.87</v>
      </c>
      <c r="AM89" s="12">
        <f>AC89</f>
        <v>3787537.87</v>
      </c>
      <c r="AN89" s="12">
        <f>AM89-AL89</f>
        <v>0</v>
      </c>
      <c r="AO89" s="7">
        <f t="shared" si="30"/>
        <v>0</v>
      </c>
    </row>
    <row r="90" spans="1:41">
      <c r="A90" s="612" t="e">
        <f t="shared" si="22"/>
        <v>#REF!</v>
      </c>
      <c r="B90" s="309"/>
      <c r="C90" s="309"/>
      <c r="D90" s="309"/>
      <c r="E90" s="309"/>
      <c r="F90" s="309"/>
      <c r="G90" s="309"/>
      <c r="AA90" s="2"/>
      <c r="AC90" s="2">
        <f t="shared" si="29"/>
        <v>0</v>
      </c>
      <c r="AE90" s="244">
        <f t="shared" si="19"/>
        <v>83</v>
      </c>
      <c r="AF90" s="244" t="e">
        <f t="shared" si="20"/>
        <v>#REF!</v>
      </c>
      <c r="AG90" s="57">
        <v>0</v>
      </c>
      <c r="AH90" s="537"/>
      <c r="AI90" s="537"/>
      <c r="AJ90" s="537"/>
      <c r="AK90" s="537"/>
      <c r="AL90" s="538"/>
      <c r="AO90" s="7">
        <f t="shared" si="30"/>
        <v>0</v>
      </c>
    </row>
    <row r="91" spans="1:41">
      <c r="A91" s="612" t="e">
        <f t="shared" si="22"/>
        <v>#REF!</v>
      </c>
      <c r="B91" s="309" t="s">
        <v>245</v>
      </c>
      <c r="C91" s="309" t="s">
        <v>226</v>
      </c>
      <c r="D91" s="309"/>
      <c r="E91" s="309"/>
      <c r="F91" s="309"/>
      <c r="G91" s="309"/>
      <c r="AA91" s="2"/>
      <c r="AC91" s="2">
        <f t="shared" si="29"/>
        <v>0</v>
      </c>
      <c r="AE91" s="244">
        <f t="shared" si="19"/>
        <v>84</v>
      </c>
      <c r="AF91" s="244" t="e">
        <f t="shared" si="20"/>
        <v>#REF!</v>
      </c>
      <c r="AG91" s="57">
        <v>0</v>
      </c>
      <c r="AH91" s="537" t="s">
        <v>245</v>
      </c>
      <c r="AI91" s="537" t="s">
        <v>872</v>
      </c>
      <c r="AJ91" s="537"/>
      <c r="AK91" s="537"/>
      <c r="AL91" s="538"/>
      <c r="AO91" s="7">
        <f t="shared" si="30"/>
        <v>0</v>
      </c>
    </row>
    <row r="92" spans="1:41">
      <c r="A92" s="612" t="e">
        <f t="shared" si="22"/>
        <v>#REF!</v>
      </c>
      <c r="B92" s="309"/>
      <c r="C92" s="309"/>
      <c r="D92" s="309" t="s">
        <v>24</v>
      </c>
      <c r="E92" s="309"/>
      <c r="F92" s="309"/>
      <c r="G92" s="309"/>
      <c r="H92" s="357">
        <f>[13]XNV!H94</f>
        <v>1607117.2</v>
      </c>
      <c r="I92" s="357">
        <f>[13]XNV!I94</f>
        <v>1607117.2</v>
      </c>
      <c r="J92" s="357">
        <f>[13]XNV!J94</f>
        <v>1607117.2</v>
      </c>
      <c r="K92" s="357">
        <f>[13]XNV!K94</f>
        <v>1607117.2</v>
      </c>
      <c r="L92" s="357">
        <f>[13]XNV!L94</f>
        <v>1607117.2</v>
      </c>
      <c r="M92" s="357">
        <f>[13]XNV!M94</f>
        <v>1610054.2</v>
      </c>
      <c r="N92" s="357">
        <f>[13]XNV!N94</f>
        <v>1610054.2</v>
      </c>
      <c r="O92" s="357">
        <f>[13]XNV!O94</f>
        <v>1610054.2</v>
      </c>
      <c r="P92" s="357">
        <f>[13]XNV!P94</f>
        <v>1610054.2</v>
      </c>
      <c r="Q92" s="357">
        <f>[13]XNV!Q94</f>
        <v>1610054.2</v>
      </c>
      <c r="R92" s="357">
        <f>[13]XNV!R94</f>
        <v>1610054.2</v>
      </c>
      <c r="S92" s="357">
        <f>[13]XNV!S94</f>
        <v>1614630.2</v>
      </c>
      <c r="T92" s="357">
        <f>[13]XNV!T94</f>
        <v>1617860.54</v>
      </c>
      <c r="U92" s="357"/>
      <c r="V92" s="584">
        <f>(SUM(I92:S92)+(0.5*T92)+(0.5*H92))/12</f>
        <v>1609659.4224999996</v>
      </c>
      <c r="Y92" s="584">
        <f>T92</f>
        <v>1617860.54</v>
      </c>
      <c r="Z92" s="584">
        <f t="shared" si="28"/>
        <v>1609659.4224999996</v>
      </c>
      <c r="AA92" s="357">
        <f>V92</f>
        <v>1609659.4224999996</v>
      </c>
      <c r="AB92" s="357">
        <f>T92</f>
        <v>1617860.54</v>
      </c>
      <c r="AC92" s="357">
        <f t="shared" si="29"/>
        <v>1609659.4224999996</v>
      </c>
      <c r="AD92" s="632">
        <f>AC92-T92</f>
        <v>-8201.1175000004005</v>
      </c>
      <c r="AE92" s="244">
        <f t="shared" si="19"/>
        <v>85</v>
      </c>
      <c r="AF92" s="244" t="e">
        <f t="shared" si="20"/>
        <v>#REF!</v>
      </c>
      <c r="AG92" s="57">
        <v>0</v>
      </c>
      <c r="AH92" s="537"/>
      <c r="AI92" s="537"/>
      <c r="AJ92" s="537" t="s">
        <v>581</v>
      </c>
      <c r="AK92" s="537"/>
      <c r="AL92" s="538">
        <f>+T92</f>
        <v>1617860.54</v>
      </c>
      <c r="AM92" s="12">
        <f>AC92</f>
        <v>1609659.4224999996</v>
      </c>
      <c r="AN92" s="12">
        <f>AM92-AL92</f>
        <v>-8201.1175000004005</v>
      </c>
      <c r="AO92" s="7">
        <f t="shared" si="30"/>
        <v>0</v>
      </c>
    </row>
    <row r="93" spans="1:41">
      <c r="A93" s="612" t="e">
        <f t="shared" si="22"/>
        <v>#REF!</v>
      </c>
      <c r="B93" s="309"/>
      <c r="C93" s="309"/>
      <c r="D93" s="309" t="s">
        <v>13</v>
      </c>
      <c r="E93" s="309"/>
      <c r="F93" s="309"/>
      <c r="G93" s="309"/>
      <c r="H93" s="357">
        <f>[13]XNV!H95</f>
        <v>41645291.410000004</v>
      </c>
      <c r="I93" s="357">
        <f>[13]XNV!I95</f>
        <v>42582632.790000007</v>
      </c>
      <c r="J93" s="357">
        <f>[13]XNV!J95</f>
        <v>42648696.68999999</v>
      </c>
      <c r="K93" s="357">
        <f>[13]XNV!K95</f>
        <v>42696717.989999995</v>
      </c>
      <c r="L93" s="357">
        <f>[13]XNV!L95</f>
        <v>43235000.579999991</v>
      </c>
      <c r="M93" s="357">
        <f>[13]XNV!M95</f>
        <v>43485867.859999999</v>
      </c>
      <c r="N93" s="357">
        <f>[13]XNV!N95</f>
        <v>43277352.829999998</v>
      </c>
      <c r="O93" s="357">
        <f>[13]XNV!O95</f>
        <v>43268310.270000003</v>
      </c>
      <c r="P93" s="357">
        <f>[13]XNV!P95</f>
        <v>43449156.890000001</v>
      </c>
      <c r="Q93" s="357">
        <f>[13]XNV!Q95</f>
        <v>43449156.890000001</v>
      </c>
      <c r="R93" s="357">
        <f>[13]XNV!R95</f>
        <v>43497520.36999999</v>
      </c>
      <c r="S93" s="357">
        <f>[13]XNV!S95</f>
        <v>44011187.289999992</v>
      </c>
      <c r="T93" s="357">
        <f>[13]XNV!T95</f>
        <v>44053641.369999982</v>
      </c>
      <c r="U93" s="357"/>
      <c r="V93" s="584">
        <f>(SUM(I93:S93)+(0.5*T93)+(0.5*H93))/12</f>
        <v>43204255.569999993</v>
      </c>
      <c r="Y93" s="584">
        <f>T93</f>
        <v>44053641.369999982</v>
      </c>
      <c r="Z93" s="584">
        <f t="shared" si="28"/>
        <v>43204255.569999993</v>
      </c>
      <c r="AA93" s="357">
        <f>V93</f>
        <v>43204255.569999993</v>
      </c>
      <c r="AB93" s="357">
        <f>T93</f>
        <v>44053641.369999982</v>
      </c>
      <c r="AC93" s="357">
        <f t="shared" si="29"/>
        <v>43204255.569999993</v>
      </c>
      <c r="AD93" s="632">
        <f>AC93-T93</f>
        <v>-849385.79999998957</v>
      </c>
      <c r="AE93" s="244">
        <f t="shared" si="19"/>
        <v>86</v>
      </c>
      <c r="AF93" s="244" t="e">
        <f t="shared" si="20"/>
        <v>#REF!</v>
      </c>
      <c r="AG93" s="57">
        <v>1243046.616666669</v>
      </c>
      <c r="AH93" s="537"/>
      <c r="AI93" s="537"/>
      <c r="AJ93" s="537" t="s">
        <v>582</v>
      </c>
      <c r="AK93" s="537"/>
      <c r="AL93" s="538">
        <f>+T93</f>
        <v>44053641.369999982</v>
      </c>
      <c r="AM93" s="12">
        <f>AC93</f>
        <v>43204255.569999993</v>
      </c>
      <c r="AN93" s="12">
        <f>AM93-AL93</f>
        <v>-849385.79999998957</v>
      </c>
      <c r="AO93" s="7">
        <f t="shared" si="30"/>
        <v>0</v>
      </c>
    </row>
    <row r="94" spans="1:41">
      <c r="A94" s="612" t="e">
        <f t="shared" si="22"/>
        <v>#REF!</v>
      </c>
      <c r="B94" s="309"/>
      <c r="C94" s="309"/>
      <c r="D94" s="309" t="s">
        <v>584</v>
      </c>
      <c r="E94" s="309"/>
      <c r="F94" s="309"/>
      <c r="G94" s="309"/>
      <c r="H94" s="624">
        <f>[13]XNV!H96</f>
        <v>50926959.789999999</v>
      </c>
      <c r="I94" s="624">
        <f>[13]XNV!I96</f>
        <v>50944607.549999997</v>
      </c>
      <c r="J94" s="624">
        <f>[13]XNV!J96</f>
        <v>50965884.490000002</v>
      </c>
      <c r="K94" s="624">
        <f>[13]XNV!K96</f>
        <v>51041952.799999997</v>
      </c>
      <c r="L94" s="624">
        <f>[13]XNV!L96</f>
        <v>51041952.800000004</v>
      </c>
      <c r="M94" s="624">
        <f>[13]XNV!M96</f>
        <v>51041952.799999997</v>
      </c>
      <c r="N94" s="624">
        <f>[13]XNV!N96</f>
        <v>51079235.469999999</v>
      </c>
      <c r="O94" s="624">
        <f>[13]XNV!O96</f>
        <v>51013931.399999999</v>
      </c>
      <c r="P94" s="624">
        <f>[13]XNV!P96</f>
        <v>51014683.170000002</v>
      </c>
      <c r="Q94" s="624">
        <f>[13]XNV!Q96</f>
        <v>51014683.170000002</v>
      </c>
      <c r="R94" s="624">
        <f>[13]XNV!R96</f>
        <v>51014683.170000002</v>
      </c>
      <c r="S94" s="624">
        <f>[13]XNV!S96</f>
        <v>51071164.450000003</v>
      </c>
      <c r="T94" s="624">
        <f>[13]XNV!T96</f>
        <v>51076999.940000005</v>
      </c>
      <c r="U94" s="624"/>
      <c r="V94" s="623">
        <f>(SUM(I94:S94)+(0.5*T94)+(0.5*H94))/12</f>
        <v>51020559.261249997</v>
      </c>
      <c r="Y94" s="623">
        <f>T94</f>
        <v>51076999.940000005</v>
      </c>
      <c r="Z94" s="623">
        <f t="shared" si="28"/>
        <v>51020559.261249997</v>
      </c>
      <c r="AA94" s="624">
        <f>V94</f>
        <v>51020559.261249997</v>
      </c>
      <c r="AB94" s="624">
        <f>T94</f>
        <v>51076999.940000005</v>
      </c>
      <c r="AC94" s="624">
        <f t="shared" si="29"/>
        <v>51020559.261249997</v>
      </c>
      <c r="AD94" s="635">
        <f>AC94-T94</f>
        <v>-56440.678750008345</v>
      </c>
      <c r="AE94" s="244">
        <f t="shared" si="19"/>
        <v>87</v>
      </c>
      <c r="AF94" s="244" t="e">
        <f t="shared" si="20"/>
        <v>#REF!</v>
      </c>
      <c r="AG94" s="57">
        <v>-898441.75500001013</v>
      </c>
      <c r="AH94" s="537"/>
      <c r="AI94" s="537"/>
      <c r="AJ94" s="537" t="str">
        <f>D94</f>
        <v>General</v>
      </c>
      <c r="AK94" s="537"/>
      <c r="AL94" s="538">
        <f>+T94</f>
        <v>51076999.940000005</v>
      </c>
      <c r="AM94" s="12">
        <f>AC94</f>
        <v>51020559.261249997</v>
      </c>
      <c r="AN94" s="12">
        <f>AM94-AL94</f>
        <v>-56440.678750008345</v>
      </c>
      <c r="AO94" s="7">
        <f t="shared" si="30"/>
        <v>0</v>
      </c>
    </row>
    <row r="95" spans="1:41">
      <c r="A95" s="612" t="e">
        <f t="shared" si="22"/>
        <v>#REF!</v>
      </c>
      <c r="B95" s="309"/>
      <c r="C95" s="309"/>
      <c r="D95" s="309" t="s">
        <v>160</v>
      </c>
      <c r="E95" s="309"/>
      <c r="F95" s="309"/>
      <c r="G95" s="309"/>
      <c r="H95" s="357">
        <f>SUM(H92:H94)</f>
        <v>94179368.400000006</v>
      </c>
      <c r="I95" s="357">
        <f t="shared" ref="I95:T95" si="34">SUM(I92:I94)</f>
        <v>95134357.540000007</v>
      </c>
      <c r="J95" s="357">
        <f t="shared" si="34"/>
        <v>95221698.379999995</v>
      </c>
      <c r="K95" s="357">
        <f t="shared" si="34"/>
        <v>95345787.989999995</v>
      </c>
      <c r="L95" s="357">
        <f t="shared" si="34"/>
        <v>95884070.579999998</v>
      </c>
      <c r="M95" s="357">
        <f t="shared" si="34"/>
        <v>96137874.859999999</v>
      </c>
      <c r="N95" s="357">
        <f t="shared" si="34"/>
        <v>95966642.5</v>
      </c>
      <c r="O95" s="357">
        <f t="shared" si="34"/>
        <v>95892295.870000005</v>
      </c>
      <c r="P95" s="357">
        <f t="shared" si="34"/>
        <v>96073894.260000005</v>
      </c>
      <c r="Q95" s="357">
        <f t="shared" si="34"/>
        <v>96073894.260000005</v>
      </c>
      <c r="R95" s="357">
        <f t="shared" si="34"/>
        <v>96122257.739999995</v>
      </c>
      <c r="S95" s="357">
        <f t="shared" si="34"/>
        <v>96696981.939999998</v>
      </c>
      <c r="T95" s="357">
        <f t="shared" si="34"/>
        <v>96748501.849999994</v>
      </c>
      <c r="U95" s="357"/>
      <c r="V95" s="584">
        <f>SUM(V92:V94)</f>
        <v>95834474.253749996</v>
      </c>
      <c r="Y95" s="584">
        <f>SUM(Y92:Y94)</f>
        <v>96748501.849999994</v>
      </c>
      <c r="Z95" s="584">
        <f>SUM(Z92:Z94)</f>
        <v>95834474.253749996</v>
      </c>
      <c r="AA95" s="357">
        <f>SUM(AA92:AA94)</f>
        <v>95834474.253749996</v>
      </c>
      <c r="AB95" s="357">
        <f>SUM(AB92:AB94)</f>
        <v>96748501.849999994</v>
      </c>
      <c r="AC95" s="357">
        <f t="shared" si="29"/>
        <v>95834474.253749996</v>
      </c>
      <c r="AD95" s="632">
        <f>AC95-T95</f>
        <v>-914027.59624999762</v>
      </c>
      <c r="AE95" s="244">
        <f t="shared" si="19"/>
        <v>88</v>
      </c>
      <c r="AF95" s="244" t="e">
        <f t="shared" si="20"/>
        <v>#REF!</v>
      </c>
      <c r="AG95" s="57">
        <v>344604.86166665703</v>
      </c>
      <c r="AH95" s="537"/>
      <c r="AI95" s="537"/>
      <c r="AJ95" s="537" t="s">
        <v>160</v>
      </c>
      <c r="AK95" s="537"/>
      <c r="AL95" s="538">
        <f>+T95</f>
        <v>96748501.849999994</v>
      </c>
      <c r="AM95" s="12">
        <f>AC95</f>
        <v>95834474.253749996</v>
      </c>
      <c r="AN95" s="12">
        <f>AM95-AL95</f>
        <v>-914027.59624999762</v>
      </c>
      <c r="AO95" s="7">
        <f t="shared" si="30"/>
        <v>0</v>
      </c>
    </row>
    <row r="96" spans="1:41">
      <c r="A96" s="612" t="e">
        <f t="shared" si="22"/>
        <v>#REF!</v>
      </c>
      <c r="B96" s="309"/>
      <c r="C96" s="309"/>
      <c r="D96" s="309"/>
      <c r="E96" s="309"/>
      <c r="F96" s="309"/>
      <c r="G96" s="309"/>
      <c r="AA96" s="2"/>
      <c r="AC96" s="2">
        <f t="shared" si="29"/>
        <v>0</v>
      </c>
      <c r="AE96" s="244">
        <f t="shared" si="19"/>
        <v>89</v>
      </c>
      <c r="AF96" s="244" t="e">
        <f t="shared" si="20"/>
        <v>#REF!</v>
      </c>
      <c r="AG96" s="57">
        <v>0</v>
      </c>
      <c r="AH96" s="537"/>
      <c r="AI96" s="537"/>
      <c r="AJ96" s="537"/>
      <c r="AK96" s="537"/>
      <c r="AL96" s="538"/>
      <c r="AO96" s="7">
        <f t="shared" si="30"/>
        <v>0</v>
      </c>
    </row>
    <row r="97" spans="1:41">
      <c r="A97" s="612" t="e">
        <f t="shared" si="22"/>
        <v>#REF!</v>
      </c>
      <c r="B97" s="309" t="s">
        <v>246</v>
      </c>
      <c r="C97" s="309" t="s">
        <v>247</v>
      </c>
      <c r="D97" s="309"/>
      <c r="E97" s="309"/>
      <c r="F97" s="309"/>
      <c r="G97" s="309"/>
      <c r="AA97" s="2"/>
      <c r="AC97" s="2">
        <f t="shared" si="29"/>
        <v>0</v>
      </c>
      <c r="AE97" s="244">
        <f t="shared" si="19"/>
        <v>90</v>
      </c>
      <c r="AF97" s="244" t="e">
        <f t="shared" si="20"/>
        <v>#REF!</v>
      </c>
      <c r="AG97" s="57">
        <v>0</v>
      </c>
      <c r="AH97" s="537" t="s">
        <v>246</v>
      </c>
      <c r="AI97" s="537" t="s">
        <v>247</v>
      </c>
      <c r="AJ97" s="537"/>
      <c r="AK97" s="537"/>
      <c r="AL97" s="538"/>
      <c r="AO97" s="7">
        <f t="shared" si="30"/>
        <v>0</v>
      </c>
    </row>
    <row r="98" spans="1:41">
      <c r="A98" s="612" t="e">
        <f t="shared" si="22"/>
        <v>#REF!</v>
      </c>
      <c r="B98" s="309"/>
      <c r="C98" s="309"/>
      <c r="D98" s="309" t="s">
        <v>24</v>
      </c>
      <c r="E98" s="309"/>
      <c r="F98" s="309"/>
      <c r="G98" s="309"/>
      <c r="H98" s="357">
        <f>[13]XNV!H100</f>
        <v>180960.97999999998</v>
      </c>
      <c r="I98" s="357">
        <f>[13]XNV!I100</f>
        <v>180960.98</v>
      </c>
      <c r="J98" s="357">
        <f>[13]XNV!J100</f>
        <v>180960.97999999998</v>
      </c>
      <c r="K98" s="357">
        <f>[13]XNV!K100</f>
        <v>178421.97999999998</v>
      </c>
      <c r="L98" s="357">
        <f>[13]XNV!L100</f>
        <v>178421.98000000004</v>
      </c>
      <c r="M98" s="357">
        <f>[13]XNV!M100</f>
        <v>178421.97999999998</v>
      </c>
      <c r="N98" s="357">
        <f>[13]XNV!N100</f>
        <v>168421.97999999998</v>
      </c>
      <c r="O98" s="357">
        <f>[13]XNV!O100</f>
        <v>168421.97999999998</v>
      </c>
      <c r="P98" s="357">
        <f>[13]XNV!P100</f>
        <v>168421.98</v>
      </c>
      <c r="Q98" s="357">
        <f>[13]XNV!Q100</f>
        <v>168421.97999999998</v>
      </c>
      <c r="R98" s="357">
        <f>[13]XNV!R100</f>
        <v>168421.98000000004</v>
      </c>
      <c r="S98" s="357">
        <f>[13]XNV!S100</f>
        <v>168421.98000000004</v>
      </c>
      <c r="T98" s="357">
        <f>[13]XNV!T100</f>
        <v>147841.16000000003</v>
      </c>
      <c r="U98" s="357"/>
      <c r="V98" s="584">
        <f>(SUM(I98:S98)+(0.5*T98)+(0.5*H98))/12</f>
        <v>172676.73749999999</v>
      </c>
      <c r="Y98" s="584">
        <f>T98</f>
        <v>147841.16000000003</v>
      </c>
      <c r="Z98" s="584">
        <f t="shared" si="28"/>
        <v>172676.73749999999</v>
      </c>
      <c r="AA98" s="357">
        <f>V98</f>
        <v>172676.73749999999</v>
      </c>
      <c r="AB98" s="357">
        <f>T98</f>
        <v>147841.16000000003</v>
      </c>
      <c r="AC98" s="357">
        <f t="shared" si="29"/>
        <v>172676.73749999999</v>
      </c>
      <c r="AD98" s="632">
        <f>AC98-T98</f>
        <v>24835.577499999956</v>
      </c>
      <c r="AE98" s="244">
        <f t="shared" si="19"/>
        <v>91</v>
      </c>
      <c r="AF98" s="244" t="e">
        <f t="shared" si="20"/>
        <v>#REF!</v>
      </c>
      <c r="AG98" s="57">
        <v>-21539.822500000009</v>
      </c>
      <c r="AH98" s="537"/>
      <c r="AI98" s="537"/>
      <c r="AJ98" s="537" t="s">
        <v>581</v>
      </c>
      <c r="AK98" s="537"/>
      <c r="AL98" s="538">
        <f>+T98</f>
        <v>147841.16000000003</v>
      </c>
      <c r="AM98" s="12">
        <f>AC98</f>
        <v>172676.73749999999</v>
      </c>
      <c r="AN98" s="12">
        <f>AM98-AL98</f>
        <v>24835.577499999956</v>
      </c>
      <c r="AO98" s="7">
        <f t="shared" si="30"/>
        <v>0</v>
      </c>
    </row>
    <row r="99" spans="1:41">
      <c r="A99" s="612" t="e">
        <f t="shared" si="22"/>
        <v>#REF!</v>
      </c>
      <c r="B99" s="309"/>
      <c r="C99" s="309"/>
      <c r="D99" s="309" t="s">
        <v>13</v>
      </c>
      <c r="E99" s="309"/>
      <c r="F99" s="309"/>
      <c r="G99" s="309"/>
      <c r="H99" s="357">
        <f>[13]XNV!H101</f>
        <v>14434180.159999996</v>
      </c>
      <c r="I99" s="357">
        <f>[13]XNV!I101</f>
        <v>14453973.200000003</v>
      </c>
      <c r="J99" s="357">
        <f>[13]XNV!J101</f>
        <v>14601103.799999997</v>
      </c>
      <c r="K99" s="357">
        <f>[13]XNV!K101</f>
        <v>14177800.730000004</v>
      </c>
      <c r="L99" s="357">
        <f>[13]XNV!L101</f>
        <v>14243010.199999996</v>
      </c>
      <c r="M99" s="357">
        <f>[13]XNV!M101</f>
        <v>14372516.780000001</v>
      </c>
      <c r="N99" s="357">
        <f>[13]XNV!N101</f>
        <v>12787006.360000007</v>
      </c>
      <c r="O99" s="357">
        <f>[13]XNV!O101</f>
        <v>12948692.49000001</v>
      </c>
      <c r="P99" s="357">
        <f>[13]XNV!P101</f>
        <v>13047737.009999998</v>
      </c>
      <c r="Q99" s="357">
        <f>[13]XNV!Q101</f>
        <v>13047737.010000005</v>
      </c>
      <c r="R99" s="357">
        <f>[13]XNV!R101</f>
        <v>13423552.329999998</v>
      </c>
      <c r="S99" s="357">
        <f>[13]XNV!S101</f>
        <v>13581840.189999998</v>
      </c>
      <c r="T99" s="357">
        <f>[13]XNV!T101</f>
        <v>12701483.740000002</v>
      </c>
      <c r="U99" s="357"/>
      <c r="V99" s="584">
        <f>(SUM(I99:S99)+(0.5*T99)+(0.5*H99))/12</f>
        <v>13687733.504166668</v>
      </c>
      <c r="Y99" s="584">
        <f>T99</f>
        <v>12701483.740000002</v>
      </c>
      <c r="Z99" s="584">
        <f t="shared" si="28"/>
        <v>13687733.504166668</v>
      </c>
      <c r="AA99" s="357">
        <f>V99</f>
        <v>13687733.504166668</v>
      </c>
      <c r="AB99" s="357">
        <f>T99</f>
        <v>12701483.740000002</v>
      </c>
      <c r="AC99" s="357">
        <f t="shared" si="29"/>
        <v>13687733.504166668</v>
      </c>
      <c r="AD99" s="632">
        <f>AC99-T99</f>
        <v>986249.76416666619</v>
      </c>
      <c r="AE99" s="244">
        <f t="shared" si="19"/>
        <v>92</v>
      </c>
      <c r="AF99" s="244" t="e">
        <f t="shared" si="20"/>
        <v>#REF!</v>
      </c>
      <c r="AG99" s="57">
        <v>1649957.3104166612</v>
      </c>
      <c r="AH99" s="537"/>
      <c r="AI99" s="537"/>
      <c r="AJ99" s="537" t="s">
        <v>582</v>
      </c>
      <c r="AK99" s="537"/>
      <c r="AL99" s="538">
        <f>+T99</f>
        <v>12701483.740000002</v>
      </c>
      <c r="AM99" s="12">
        <f>AC99</f>
        <v>13687733.504166668</v>
      </c>
      <c r="AN99" s="12">
        <f>AM99-AL99</f>
        <v>986249.76416666619</v>
      </c>
      <c r="AO99" s="7">
        <f t="shared" si="30"/>
        <v>0</v>
      </c>
    </row>
    <row r="100" spans="1:41">
      <c r="A100" s="612" t="e">
        <f t="shared" si="22"/>
        <v>#REF!</v>
      </c>
      <c r="B100" s="309"/>
      <c r="C100" s="309"/>
      <c r="D100" s="309" t="s">
        <v>584</v>
      </c>
      <c r="E100" s="309"/>
      <c r="F100" s="309"/>
      <c r="G100" s="309"/>
      <c r="H100" s="624">
        <f>[13]XNV!H102</f>
        <v>61972563.670000002</v>
      </c>
      <c r="I100" s="624">
        <f>[13]XNV!I102</f>
        <v>44505532.539999999</v>
      </c>
      <c r="J100" s="624">
        <f>[13]XNV!J102</f>
        <v>44635858.590000004</v>
      </c>
      <c r="K100" s="624">
        <f>[13]XNV!K102</f>
        <v>42082261.390000001</v>
      </c>
      <c r="L100" s="624">
        <f>[13]XNV!L102</f>
        <v>42080453.480000004</v>
      </c>
      <c r="M100" s="624">
        <f>[13]XNV!M102</f>
        <v>42082261.390000001</v>
      </c>
      <c r="N100" s="624">
        <f>[13]XNV!N102</f>
        <v>39391714.5</v>
      </c>
      <c r="O100" s="624">
        <f>[13]XNV!O102</f>
        <v>39391644.739999995</v>
      </c>
      <c r="P100" s="624">
        <f>[13]XNV!P102</f>
        <v>39582500.490000002</v>
      </c>
      <c r="Q100" s="624">
        <f>[13]XNV!Q102</f>
        <v>39582500.489999995</v>
      </c>
      <c r="R100" s="624">
        <f>[13]XNV!R102</f>
        <v>39582500.490000002</v>
      </c>
      <c r="S100" s="624">
        <f>[13]XNV!S102</f>
        <v>39780195.620000005</v>
      </c>
      <c r="T100" s="624">
        <f>[13]XNV!T102</f>
        <v>39749385.780000001</v>
      </c>
      <c r="U100" s="624"/>
      <c r="V100" s="623">
        <f>(SUM(I100:S100)+(0.5*T100)+(0.5*H100))/12</f>
        <v>41963199.870416664</v>
      </c>
      <c r="Y100" s="623">
        <f>T100</f>
        <v>39749385.780000001</v>
      </c>
      <c r="Z100" s="623">
        <f t="shared" si="28"/>
        <v>41963199.870416664</v>
      </c>
      <c r="AA100" s="624">
        <f>V100</f>
        <v>41963199.870416664</v>
      </c>
      <c r="AB100" s="624">
        <f>T100</f>
        <v>39749385.780000001</v>
      </c>
      <c r="AC100" s="624">
        <f t="shared" si="29"/>
        <v>41963199.870416664</v>
      </c>
      <c r="AD100" s="635">
        <f>AC100-T100</f>
        <v>2213814.0904166624</v>
      </c>
      <c r="AE100" s="244">
        <f t="shared" si="19"/>
        <v>93</v>
      </c>
      <c r="AF100" s="244" t="e">
        <f t="shared" si="20"/>
        <v>#REF!</v>
      </c>
      <c r="AG100" s="57">
        <v>-827110.12958333641</v>
      </c>
      <c r="AH100" s="537"/>
      <c r="AI100" s="537"/>
      <c r="AJ100" s="537" t="s">
        <v>584</v>
      </c>
      <c r="AK100" s="537"/>
      <c r="AL100" s="538">
        <f>+T100</f>
        <v>39749385.780000001</v>
      </c>
      <c r="AM100" s="12">
        <f>AC100</f>
        <v>41963199.870416664</v>
      </c>
      <c r="AN100" s="12">
        <f>AM100-AL100</f>
        <v>2213814.0904166624</v>
      </c>
      <c r="AO100" s="7">
        <f t="shared" si="30"/>
        <v>0</v>
      </c>
    </row>
    <row r="101" spans="1:41">
      <c r="A101" s="612" t="e">
        <f t="shared" si="22"/>
        <v>#REF!</v>
      </c>
      <c r="B101" s="309"/>
      <c r="C101" s="309"/>
      <c r="D101" s="309" t="s">
        <v>160</v>
      </c>
      <c r="E101" s="309"/>
      <c r="F101" s="309"/>
      <c r="G101" s="309"/>
      <c r="H101" s="357">
        <f>SUM(H98:H100)</f>
        <v>76587704.810000002</v>
      </c>
      <c r="I101" s="357">
        <f t="shared" ref="I101:T101" si="35">SUM(I98:I100)</f>
        <v>59140466.719999999</v>
      </c>
      <c r="J101" s="357">
        <f t="shared" si="35"/>
        <v>59417923.370000005</v>
      </c>
      <c r="K101" s="357">
        <f t="shared" si="35"/>
        <v>56438484.100000009</v>
      </c>
      <c r="L101" s="357">
        <f t="shared" si="35"/>
        <v>56501885.659999996</v>
      </c>
      <c r="M101" s="357">
        <f t="shared" si="35"/>
        <v>56633200.150000006</v>
      </c>
      <c r="N101" s="357">
        <f t="shared" si="35"/>
        <v>52347142.840000004</v>
      </c>
      <c r="O101" s="357">
        <f t="shared" si="35"/>
        <v>52508759.210000008</v>
      </c>
      <c r="P101" s="357">
        <f t="shared" si="35"/>
        <v>52798659.480000004</v>
      </c>
      <c r="Q101" s="357">
        <f t="shared" si="35"/>
        <v>52798659.480000004</v>
      </c>
      <c r="R101" s="357">
        <f t="shared" si="35"/>
        <v>53174474.799999997</v>
      </c>
      <c r="S101" s="357">
        <f t="shared" si="35"/>
        <v>53530457.790000007</v>
      </c>
      <c r="T101" s="357">
        <f t="shared" si="35"/>
        <v>52598710.680000007</v>
      </c>
      <c r="U101" s="357"/>
      <c r="V101" s="584">
        <f>SUM(V98:V100)</f>
        <v>55823610.112083331</v>
      </c>
      <c r="Y101" s="584">
        <f>T101</f>
        <v>52598710.680000007</v>
      </c>
      <c r="Z101" s="584">
        <f t="shared" si="28"/>
        <v>55823610.112083331</v>
      </c>
      <c r="AA101" s="357">
        <f>V101</f>
        <v>55823610.112083331</v>
      </c>
      <c r="AB101" s="357">
        <f>T101</f>
        <v>52598710.680000007</v>
      </c>
      <c r="AC101" s="357">
        <f t="shared" si="29"/>
        <v>55823610.112083331</v>
      </c>
      <c r="AD101" s="632">
        <f>AC101-T101</f>
        <v>3224899.4320833236</v>
      </c>
      <c r="AE101" s="244">
        <f t="shared" si="19"/>
        <v>94</v>
      </c>
      <c r="AF101" s="244" t="e">
        <f t="shared" si="20"/>
        <v>#REF!</v>
      </c>
      <c r="AG101" s="57">
        <v>801307.35833332688</v>
      </c>
      <c r="AH101" s="537"/>
      <c r="AI101" s="537"/>
      <c r="AJ101" s="537" t="s">
        <v>160</v>
      </c>
      <c r="AK101" s="537"/>
      <c r="AL101" s="538">
        <f>+T101</f>
        <v>52598710.680000007</v>
      </c>
      <c r="AM101" s="12">
        <f>AC101</f>
        <v>55823610.112083331</v>
      </c>
      <c r="AN101" s="12">
        <f>AM101-AL101</f>
        <v>3224899.4320833236</v>
      </c>
      <c r="AO101" s="7">
        <f t="shared" si="30"/>
        <v>0</v>
      </c>
    </row>
    <row r="102" spans="1:41">
      <c r="A102" s="612" t="e">
        <f t="shared" si="22"/>
        <v>#REF!</v>
      </c>
      <c r="B102" s="309"/>
      <c r="C102" s="309"/>
      <c r="D102" s="309"/>
      <c r="E102" s="309"/>
      <c r="F102" s="309"/>
      <c r="G102" s="309"/>
      <c r="AA102" s="2"/>
      <c r="AC102" s="2">
        <f t="shared" si="29"/>
        <v>0</v>
      </c>
      <c r="AE102" s="244">
        <f t="shared" si="19"/>
        <v>95</v>
      </c>
      <c r="AF102" s="244" t="e">
        <f t="shared" si="20"/>
        <v>#REF!</v>
      </c>
      <c r="AG102" s="57">
        <v>0</v>
      </c>
      <c r="AH102" s="537"/>
      <c r="AI102" s="537"/>
      <c r="AJ102" s="537"/>
      <c r="AK102" s="537"/>
      <c r="AL102" s="538"/>
      <c r="AO102" s="7">
        <f t="shared" si="30"/>
        <v>0</v>
      </c>
    </row>
    <row r="103" spans="1:41">
      <c r="A103" s="612" t="e">
        <f t="shared" si="22"/>
        <v>#REF!</v>
      </c>
      <c r="B103" s="309" t="s">
        <v>248</v>
      </c>
      <c r="C103" s="309" t="s">
        <v>249</v>
      </c>
      <c r="D103" s="309"/>
      <c r="E103" s="309"/>
      <c r="F103" s="309"/>
      <c r="G103" s="309"/>
      <c r="AA103" s="2"/>
      <c r="AC103" s="2">
        <f t="shared" si="29"/>
        <v>0</v>
      </c>
      <c r="AE103" s="244">
        <f t="shared" si="19"/>
        <v>96</v>
      </c>
      <c r="AF103" s="244" t="e">
        <f t="shared" si="20"/>
        <v>#REF!</v>
      </c>
      <c r="AG103" s="57">
        <v>0</v>
      </c>
      <c r="AH103" s="537" t="s">
        <v>248</v>
      </c>
      <c r="AI103" s="537" t="s">
        <v>249</v>
      </c>
      <c r="AJ103" s="537"/>
      <c r="AK103" s="537"/>
      <c r="AL103" s="538"/>
      <c r="AO103" s="7">
        <f t="shared" si="30"/>
        <v>0</v>
      </c>
    </row>
    <row r="104" spans="1:41">
      <c r="A104" s="612" t="e">
        <f t="shared" si="22"/>
        <v>#REF!</v>
      </c>
      <c r="B104" s="309"/>
      <c r="C104" s="309"/>
      <c r="D104" s="309" t="s">
        <v>24</v>
      </c>
      <c r="E104" s="309"/>
      <c r="F104" s="309"/>
      <c r="G104" s="309"/>
      <c r="H104" s="357">
        <f>[13]XNV!H106</f>
        <v>2877562.6999999997</v>
      </c>
      <c r="I104" s="357">
        <f>[13]XNV!I106</f>
        <v>2845508.48</v>
      </c>
      <c r="J104" s="357">
        <f>[13]XNV!J106</f>
        <v>2806503.92</v>
      </c>
      <c r="K104" s="357">
        <f>[13]XNV!K106</f>
        <v>2806503.92</v>
      </c>
      <c r="L104" s="357">
        <f>[13]XNV!L106</f>
        <v>2806503.92</v>
      </c>
      <c r="M104" s="357">
        <f>[13]XNV!M106</f>
        <v>2806503.92</v>
      </c>
      <c r="N104" s="357">
        <f>[13]XNV!N106</f>
        <v>2806503.92</v>
      </c>
      <c r="O104" s="357">
        <f>[13]XNV!O106</f>
        <v>2806503.92</v>
      </c>
      <c r="P104" s="357">
        <f>[13]XNV!P106</f>
        <v>3015429.18</v>
      </c>
      <c r="Q104" s="357">
        <f>[13]XNV!Q106</f>
        <v>3008166.8099999996</v>
      </c>
      <c r="R104" s="357">
        <f>[13]XNV!R106</f>
        <v>2898242.9000000004</v>
      </c>
      <c r="S104" s="357">
        <f>[13]XNV!S106</f>
        <v>2956370.4299999997</v>
      </c>
      <c r="T104" s="357">
        <f>[13]XNV!T106</f>
        <v>2941469.68</v>
      </c>
      <c r="U104" s="357"/>
      <c r="V104" s="584">
        <f>(SUM(I104:S104)+(0.5*T104)+(0.5*H104))/12</f>
        <v>2872688.125833333</v>
      </c>
      <c r="Y104" s="584">
        <f>T104</f>
        <v>2941469.68</v>
      </c>
      <c r="Z104" s="584">
        <f t="shared" si="28"/>
        <v>2872688.125833333</v>
      </c>
      <c r="AA104" s="357">
        <f>V104</f>
        <v>2872688.125833333</v>
      </c>
      <c r="AB104" s="357">
        <f>T104</f>
        <v>2941469.68</v>
      </c>
      <c r="AC104" s="357">
        <f t="shared" si="29"/>
        <v>2872688.125833333</v>
      </c>
      <c r="AD104" s="632">
        <f>AC104-T104</f>
        <v>-68781.554166667163</v>
      </c>
      <c r="AE104" s="244">
        <f t="shared" si="19"/>
        <v>97</v>
      </c>
      <c r="AF104" s="244" t="e">
        <f t="shared" si="20"/>
        <v>#REF!</v>
      </c>
      <c r="AG104" s="57">
        <v>-74623.420833333163</v>
      </c>
      <c r="AH104" s="537"/>
      <c r="AI104" s="537"/>
      <c r="AJ104" s="537" t="s">
        <v>581</v>
      </c>
      <c r="AK104" s="537"/>
      <c r="AL104" s="538">
        <f>+T104</f>
        <v>2941469.68</v>
      </c>
      <c r="AM104" s="12">
        <f>AC104</f>
        <v>2872688.125833333</v>
      </c>
      <c r="AN104" s="12">
        <f>AM104-AL104</f>
        <v>-68781.554166667163</v>
      </c>
      <c r="AO104" s="7">
        <f t="shared" si="30"/>
        <v>0</v>
      </c>
    </row>
    <row r="105" spans="1:41">
      <c r="A105" s="612" t="e">
        <f t="shared" si="22"/>
        <v>#REF!</v>
      </c>
      <c r="B105" s="309"/>
      <c r="C105" s="309"/>
      <c r="D105" s="309" t="s">
        <v>13</v>
      </c>
      <c r="E105" s="309"/>
      <c r="F105" s="309"/>
      <c r="G105" s="309"/>
      <c r="H105" s="357">
        <f>[13]XNV!H107</f>
        <v>51124024.919999994</v>
      </c>
      <c r="I105" s="357">
        <f>[13]XNV!I107</f>
        <v>50349790.300000004</v>
      </c>
      <c r="J105" s="357">
        <f>[13]XNV!J107</f>
        <v>49393619.890000001</v>
      </c>
      <c r="K105" s="357">
        <f>[13]XNV!K107</f>
        <v>49443229.280000001</v>
      </c>
      <c r="L105" s="357">
        <f>[13]XNV!L107</f>
        <v>49443229.280000001</v>
      </c>
      <c r="M105" s="357">
        <f>[13]XNV!M107</f>
        <v>49607393.32</v>
      </c>
      <c r="N105" s="357">
        <f>[13]XNV!N107</f>
        <v>49793846</v>
      </c>
      <c r="O105" s="357">
        <f>[13]XNV!O107</f>
        <v>49828945.350000001</v>
      </c>
      <c r="P105" s="357">
        <f>[13]XNV!P107</f>
        <v>49437046.869999997</v>
      </c>
      <c r="Q105" s="357">
        <f>[13]XNV!Q107</f>
        <v>49508529.099999994</v>
      </c>
      <c r="R105" s="357">
        <f>[13]XNV!R107</f>
        <v>49744941.450000003</v>
      </c>
      <c r="S105" s="357">
        <f>[13]XNV!S107</f>
        <v>50397564.710000001</v>
      </c>
      <c r="T105" s="357">
        <f>[13]XNV!T107</f>
        <v>49990448.509999998</v>
      </c>
      <c r="U105" s="357"/>
      <c r="V105" s="584">
        <f>(SUM(I105:S105)+(0.5*T105)+(0.5*H105))/12</f>
        <v>49792114.355416663</v>
      </c>
      <c r="Y105" s="584">
        <f>T105</f>
        <v>49990448.509999998</v>
      </c>
      <c r="Z105" s="584">
        <f t="shared" si="28"/>
        <v>49792114.355416663</v>
      </c>
      <c r="AA105" s="357">
        <f>V105</f>
        <v>49792114.355416663</v>
      </c>
      <c r="AB105" s="357">
        <f>T105</f>
        <v>49990448.509999998</v>
      </c>
      <c r="AC105" s="357">
        <f t="shared" si="29"/>
        <v>49792114.355416663</v>
      </c>
      <c r="AD105" s="632">
        <f>AC105-T105</f>
        <v>-198334.15458333492</v>
      </c>
      <c r="AE105" s="244">
        <f t="shared" si="19"/>
        <v>98</v>
      </c>
      <c r="AF105" s="244" t="e">
        <f t="shared" si="20"/>
        <v>#REF!</v>
      </c>
      <c r="AG105" s="57">
        <v>-718557.95083332807</v>
      </c>
      <c r="AH105" s="537"/>
      <c r="AI105" s="537"/>
      <c r="AJ105" s="537" t="s">
        <v>582</v>
      </c>
      <c r="AK105" s="537"/>
      <c r="AL105" s="538">
        <f>+T105</f>
        <v>49990448.509999998</v>
      </c>
      <c r="AM105" s="12">
        <f>AC105</f>
        <v>49792114.355416663</v>
      </c>
      <c r="AN105" s="12">
        <f>AM105-AL105</f>
        <v>-198334.15458333492</v>
      </c>
      <c r="AO105" s="7">
        <f t="shared" si="30"/>
        <v>0</v>
      </c>
    </row>
    <row r="106" spans="1:41">
      <c r="A106" s="612" t="e">
        <f t="shared" si="22"/>
        <v>#REF!</v>
      </c>
      <c r="B106" s="309"/>
      <c r="C106" s="309"/>
      <c r="D106" s="309" t="s">
        <v>584</v>
      </c>
      <c r="E106" s="309"/>
      <c r="F106" s="309"/>
      <c r="G106" s="309"/>
      <c r="H106" s="624">
        <f>[13]XNV!H108</f>
        <v>0</v>
      </c>
      <c r="I106" s="624">
        <f>[13]XNV!I108</f>
        <v>0</v>
      </c>
      <c r="J106" s="624">
        <f>[13]XNV!J108</f>
        <v>0</v>
      </c>
      <c r="K106" s="624">
        <f>[13]XNV!K108</f>
        <v>0</v>
      </c>
      <c r="L106" s="624">
        <f>[13]XNV!L108</f>
        <v>0</v>
      </c>
      <c r="M106" s="624">
        <f>[13]XNV!M108</f>
        <v>0</v>
      </c>
      <c r="N106" s="624">
        <f>[13]XNV!N108</f>
        <v>0</v>
      </c>
      <c r="O106" s="624">
        <f>[13]XNV!O108</f>
        <v>0</v>
      </c>
      <c r="P106" s="624">
        <f>[13]XNV!P108</f>
        <v>0</v>
      </c>
      <c r="Q106" s="624">
        <f>[13]XNV!Q108</f>
        <v>0</v>
      </c>
      <c r="R106" s="624">
        <f>[13]XNV!R108</f>
        <v>0</v>
      </c>
      <c r="S106" s="624">
        <f>[13]XNV!S108</f>
        <v>0</v>
      </c>
      <c r="T106" s="624">
        <f>[13]XNV!T108</f>
        <v>0</v>
      </c>
      <c r="U106" s="624"/>
      <c r="V106" s="623">
        <f>(SUM(I106:S106)+(0.5*T106)+(0.5*H106))/12</f>
        <v>0</v>
      </c>
      <c r="Y106" s="623">
        <f>T106</f>
        <v>0</v>
      </c>
      <c r="Z106" s="623">
        <f t="shared" si="28"/>
        <v>0</v>
      </c>
      <c r="AA106" s="624">
        <f>V106</f>
        <v>0</v>
      </c>
      <c r="AB106" s="624">
        <f>T106</f>
        <v>0</v>
      </c>
      <c r="AC106" s="624">
        <f t="shared" si="29"/>
        <v>0</v>
      </c>
      <c r="AD106" s="635">
        <f>AC106-T106</f>
        <v>0</v>
      </c>
      <c r="AE106" s="244">
        <f t="shared" si="19"/>
        <v>99</v>
      </c>
      <c r="AF106" s="244" t="e">
        <f t="shared" si="20"/>
        <v>#REF!</v>
      </c>
      <c r="AG106" s="57">
        <v>0</v>
      </c>
      <c r="AH106" s="537"/>
      <c r="AI106" s="537"/>
      <c r="AJ106" s="537" t="s">
        <v>584</v>
      </c>
      <c r="AK106" s="537"/>
      <c r="AL106" s="538">
        <f>+T106</f>
        <v>0</v>
      </c>
      <c r="AM106" s="12">
        <f>AC106</f>
        <v>0</v>
      </c>
      <c r="AN106" s="12">
        <f>AM106-AL106</f>
        <v>0</v>
      </c>
      <c r="AO106" s="7">
        <f t="shared" si="30"/>
        <v>0</v>
      </c>
    </row>
    <row r="107" spans="1:41">
      <c r="A107" s="612" t="e">
        <f t="shared" si="22"/>
        <v>#REF!</v>
      </c>
      <c r="B107" s="309"/>
      <c r="C107" s="309"/>
      <c r="D107" s="309" t="s">
        <v>160</v>
      </c>
      <c r="E107" s="309"/>
      <c r="F107" s="309"/>
      <c r="G107" s="309"/>
      <c r="H107" s="357">
        <f>SUM(H104:H106)</f>
        <v>54001587.619999997</v>
      </c>
      <c r="I107" s="357">
        <f t="shared" ref="I107:T107" si="36">SUM(I104:I106)</f>
        <v>53195298.780000001</v>
      </c>
      <c r="J107" s="357">
        <f t="shared" si="36"/>
        <v>52200123.810000002</v>
      </c>
      <c r="K107" s="357">
        <f t="shared" si="36"/>
        <v>52249733.200000003</v>
      </c>
      <c r="L107" s="357">
        <f t="shared" si="36"/>
        <v>52249733.200000003</v>
      </c>
      <c r="M107" s="357">
        <f t="shared" si="36"/>
        <v>52413897.240000002</v>
      </c>
      <c r="N107" s="357">
        <f t="shared" si="36"/>
        <v>52600349.920000002</v>
      </c>
      <c r="O107" s="357">
        <f t="shared" si="36"/>
        <v>52635449.270000003</v>
      </c>
      <c r="P107" s="357">
        <f t="shared" si="36"/>
        <v>52452476.049999997</v>
      </c>
      <c r="Q107" s="357">
        <f t="shared" si="36"/>
        <v>52516695.909999996</v>
      </c>
      <c r="R107" s="357">
        <f t="shared" si="36"/>
        <v>52643184.350000001</v>
      </c>
      <c r="S107" s="357">
        <f t="shared" si="36"/>
        <v>53353935.140000001</v>
      </c>
      <c r="T107" s="357">
        <f t="shared" si="36"/>
        <v>52931918.189999998</v>
      </c>
      <c r="U107" s="357"/>
      <c r="V107" s="584">
        <f>(SUM(I107:S107)+(0.5*T107)+(0.5*H107))/12</f>
        <v>52664802.481249996</v>
      </c>
      <c r="Y107" s="584">
        <f>T107</f>
        <v>52931918.189999998</v>
      </c>
      <c r="Z107" s="584">
        <f t="shared" si="28"/>
        <v>52664802.481249996</v>
      </c>
      <c r="AA107" s="357">
        <f>V107</f>
        <v>52664802.481249996</v>
      </c>
      <c r="AB107" s="357">
        <f>T107</f>
        <v>52931918.189999998</v>
      </c>
      <c r="AC107" s="357">
        <f t="shared" si="29"/>
        <v>52664802.481249996</v>
      </c>
      <c r="AD107" s="632">
        <f>AC107-T107</f>
        <v>-267115.70875000209</v>
      </c>
      <c r="AE107" s="244">
        <f t="shared" ref="AE107:AE165" si="37">+AE106+1</f>
        <v>100</v>
      </c>
      <c r="AF107" s="244" t="e">
        <f t="shared" ref="AF107:AF165" si="38">+AF106+1</f>
        <v>#REF!</v>
      </c>
      <c r="AG107" s="57">
        <v>-793181.3716666624</v>
      </c>
      <c r="AH107" s="537"/>
      <c r="AI107" s="537"/>
      <c r="AJ107" s="537" t="s">
        <v>160</v>
      </c>
      <c r="AK107" s="537"/>
      <c r="AL107" s="538">
        <f>+T107</f>
        <v>52931918.189999998</v>
      </c>
      <c r="AM107" s="12">
        <f>AC107</f>
        <v>52664802.481249996</v>
      </c>
      <c r="AN107" s="12">
        <f>AM107-AL107</f>
        <v>-267115.70875000209</v>
      </c>
      <c r="AO107" s="7">
        <f t="shared" si="30"/>
        <v>0</v>
      </c>
    </row>
    <row r="108" spans="1:41">
      <c r="A108" s="612" t="e">
        <f t="shared" si="22"/>
        <v>#REF!</v>
      </c>
      <c r="B108" s="309"/>
      <c r="C108" s="309"/>
      <c r="D108" s="309"/>
      <c r="E108" s="309"/>
      <c r="F108" s="309"/>
      <c r="G108" s="309"/>
      <c r="AA108" s="2"/>
      <c r="AC108" s="2">
        <f t="shared" si="29"/>
        <v>0</v>
      </c>
      <c r="AE108" s="244">
        <f t="shared" si="37"/>
        <v>101</v>
      </c>
      <c r="AF108" s="244" t="e">
        <f t="shared" si="38"/>
        <v>#REF!</v>
      </c>
      <c r="AG108" s="57">
        <v>0</v>
      </c>
      <c r="AH108" s="537"/>
      <c r="AI108" s="537"/>
      <c r="AJ108" s="537"/>
      <c r="AK108" s="537"/>
      <c r="AL108" s="538"/>
      <c r="AO108" s="7">
        <f t="shared" si="30"/>
        <v>0</v>
      </c>
    </row>
    <row r="109" spans="1:41">
      <c r="A109" s="612" t="e">
        <f t="shared" si="22"/>
        <v>#REF!</v>
      </c>
      <c r="B109" s="309" t="s">
        <v>250</v>
      </c>
      <c r="C109" s="309" t="s">
        <v>251</v>
      </c>
      <c r="D109" s="309"/>
      <c r="E109" s="309"/>
      <c r="F109" s="309"/>
      <c r="G109" s="309"/>
      <c r="AA109" s="2"/>
      <c r="AC109" s="2">
        <f t="shared" si="29"/>
        <v>0</v>
      </c>
      <c r="AE109" s="244">
        <f t="shared" si="37"/>
        <v>102</v>
      </c>
      <c r="AF109" s="244" t="e">
        <f t="shared" si="38"/>
        <v>#REF!</v>
      </c>
      <c r="AG109" s="57">
        <v>0</v>
      </c>
      <c r="AH109" s="537" t="s">
        <v>250</v>
      </c>
      <c r="AI109" s="537" t="s">
        <v>251</v>
      </c>
      <c r="AJ109" s="537"/>
      <c r="AK109" s="537"/>
      <c r="AL109" s="538"/>
      <c r="AO109" s="7">
        <f t="shared" si="30"/>
        <v>0</v>
      </c>
    </row>
    <row r="110" spans="1:41">
      <c r="A110" s="612" t="e">
        <f t="shared" si="22"/>
        <v>#REF!</v>
      </c>
      <c r="B110" s="309"/>
      <c r="C110" s="309"/>
      <c r="D110" s="309" t="s">
        <v>24</v>
      </c>
      <c r="E110" s="309"/>
      <c r="F110" s="309"/>
      <c r="G110" s="309"/>
      <c r="H110" s="357">
        <f>[13]XNV!H112</f>
        <v>12371.89</v>
      </c>
      <c r="I110" s="357">
        <f>[13]XNV!I112</f>
        <v>12371.89</v>
      </c>
      <c r="J110" s="357">
        <f>[13]XNV!J112</f>
        <v>12371.89</v>
      </c>
      <c r="K110" s="357">
        <f>[13]XNV!K112</f>
        <v>12371.89</v>
      </c>
      <c r="L110" s="357">
        <f>[13]XNV!L112</f>
        <v>12371.89</v>
      </c>
      <c r="M110" s="357">
        <f>[13]XNV!M112</f>
        <v>12371.89</v>
      </c>
      <c r="N110" s="357">
        <f>[13]XNV!N112</f>
        <v>12371.89</v>
      </c>
      <c r="O110" s="357">
        <f>[13]XNV!O112</f>
        <v>12371.89</v>
      </c>
      <c r="P110" s="357">
        <f>[13]XNV!P112</f>
        <v>12371.89</v>
      </c>
      <c r="Q110" s="357">
        <f>[13]XNV!Q112</f>
        <v>12371.89</v>
      </c>
      <c r="R110" s="357">
        <f>[13]XNV!R112</f>
        <v>12371.89</v>
      </c>
      <c r="S110" s="357">
        <f>[13]XNV!S112</f>
        <v>12371.89</v>
      </c>
      <c r="T110" s="357">
        <f>[13]XNV!T112</f>
        <v>12371.89</v>
      </c>
      <c r="U110" s="357"/>
      <c r="V110" s="584">
        <f>(SUM(I110:S110)+(0.5*T110)+(0.5*H110))/12</f>
        <v>12371.89</v>
      </c>
      <c r="Y110" s="584">
        <f>T110</f>
        <v>12371.89</v>
      </c>
      <c r="Z110" s="584">
        <f t="shared" si="28"/>
        <v>12371.89</v>
      </c>
      <c r="AA110" s="357">
        <f>V110</f>
        <v>12371.89</v>
      </c>
      <c r="AB110" s="357">
        <f>T110</f>
        <v>12371.89</v>
      </c>
      <c r="AC110" s="357">
        <f t="shared" si="29"/>
        <v>12371.89</v>
      </c>
      <c r="AD110" s="632">
        <f>AC110-T110</f>
        <v>0</v>
      </c>
      <c r="AE110" s="244">
        <f t="shared" si="37"/>
        <v>103</v>
      </c>
      <c r="AF110" s="244" t="e">
        <f t="shared" si="38"/>
        <v>#REF!</v>
      </c>
      <c r="AG110" s="57">
        <v>0</v>
      </c>
      <c r="AH110" s="537"/>
      <c r="AI110" s="537"/>
      <c r="AJ110" s="537" t="s">
        <v>581</v>
      </c>
      <c r="AK110" s="537"/>
      <c r="AL110" s="538">
        <f>+T110</f>
        <v>12371.89</v>
      </c>
      <c r="AM110" s="12">
        <f>AC110</f>
        <v>12371.89</v>
      </c>
      <c r="AN110" s="12">
        <f>AM110-AL110</f>
        <v>0</v>
      </c>
      <c r="AO110" s="7">
        <f t="shared" si="30"/>
        <v>0</v>
      </c>
    </row>
    <row r="111" spans="1:41">
      <c r="A111" s="612" t="e">
        <f t="shared" ref="A111:A169" si="39">+A110+1</f>
        <v>#REF!</v>
      </c>
      <c r="B111" s="309"/>
      <c r="C111" s="309"/>
      <c r="D111" s="309" t="s">
        <v>13</v>
      </c>
      <c r="E111" s="309"/>
      <c r="F111" s="309"/>
      <c r="G111" s="309"/>
      <c r="H111" s="624">
        <f>[13]XNV!H113</f>
        <v>45026.020000000004</v>
      </c>
      <c r="I111" s="624">
        <f>[13]XNV!I113</f>
        <v>45026.020000000004</v>
      </c>
      <c r="J111" s="624">
        <f>[13]XNV!J113</f>
        <v>45026.020000000004</v>
      </c>
      <c r="K111" s="624">
        <f>[13]XNV!K113</f>
        <v>45026.020000000004</v>
      </c>
      <c r="L111" s="624">
        <f>[13]XNV!L113</f>
        <v>45026.020000000004</v>
      </c>
      <c r="M111" s="624">
        <f>[13]XNV!M113</f>
        <v>45026.020000000004</v>
      </c>
      <c r="N111" s="624">
        <f>[13]XNV!N113</f>
        <v>45026.020000000004</v>
      </c>
      <c r="O111" s="624">
        <f>[13]XNV!O113</f>
        <v>45026.020000000004</v>
      </c>
      <c r="P111" s="624">
        <f>[13]XNV!P113</f>
        <v>45026.020000000004</v>
      </c>
      <c r="Q111" s="624">
        <f>[13]XNV!Q113</f>
        <v>45026.020000000004</v>
      </c>
      <c r="R111" s="624">
        <f>[13]XNV!R113</f>
        <v>45026.020000000004</v>
      </c>
      <c r="S111" s="624">
        <f>[13]XNV!S113</f>
        <v>45026.020000000004</v>
      </c>
      <c r="T111" s="624">
        <f>[13]XNV!T113</f>
        <v>45026.020000000004</v>
      </c>
      <c r="U111" s="624"/>
      <c r="V111" s="623">
        <f>(SUM(I111:S111)+(0.5*T111)+(0.5*H111))/12</f>
        <v>45026.020000000011</v>
      </c>
      <c r="Y111" s="623">
        <f>T111</f>
        <v>45026.020000000004</v>
      </c>
      <c r="Z111" s="623">
        <f t="shared" si="28"/>
        <v>45026.020000000011</v>
      </c>
      <c r="AA111" s="624">
        <f>V111</f>
        <v>45026.020000000011</v>
      </c>
      <c r="AB111" s="624">
        <f>T111</f>
        <v>45026.020000000004</v>
      </c>
      <c r="AC111" s="624">
        <f t="shared" si="29"/>
        <v>45026.020000000011</v>
      </c>
      <c r="AD111" s="635">
        <f>AC111-T111</f>
        <v>0</v>
      </c>
      <c r="AE111" s="244">
        <f t="shared" si="37"/>
        <v>104</v>
      </c>
      <c r="AF111" s="244" t="e">
        <f t="shared" si="38"/>
        <v>#REF!</v>
      </c>
      <c r="AG111" s="57">
        <v>0</v>
      </c>
      <c r="AH111" s="537"/>
      <c r="AI111" s="537"/>
      <c r="AJ111" s="537" t="s">
        <v>582</v>
      </c>
      <c r="AK111" s="537"/>
      <c r="AL111" s="538">
        <f>+T111</f>
        <v>45026.020000000004</v>
      </c>
      <c r="AM111" s="12">
        <f>AC111</f>
        <v>45026.020000000011</v>
      </c>
      <c r="AN111" s="12">
        <f>AM111-AL111</f>
        <v>0</v>
      </c>
      <c r="AO111" s="7">
        <f t="shared" si="30"/>
        <v>0</v>
      </c>
    </row>
    <row r="112" spans="1:41">
      <c r="A112" s="612" t="e">
        <f t="shared" si="39"/>
        <v>#REF!</v>
      </c>
      <c r="B112" s="309"/>
      <c r="C112" s="309"/>
      <c r="D112" s="309" t="s">
        <v>160</v>
      </c>
      <c r="E112" s="309"/>
      <c r="F112" s="309"/>
      <c r="G112" s="309"/>
      <c r="H112" s="357">
        <f>SUM(H110:H111)</f>
        <v>57397.91</v>
      </c>
      <c r="I112" s="357">
        <f t="shared" ref="I112:T112" si="40">SUM(I110:I111)</f>
        <v>57397.91</v>
      </c>
      <c r="J112" s="357">
        <f t="shared" si="40"/>
        <v>57397.91</v>
      </c>
      <c r="K112" s="357">
        <f t="shared" si="40"/>
        <v>57397.91</v>
      </c>
      <c r="L112" s="357">
        <f t="shared" si="40"/>
        <v>57397.91</v>
      </c>
      <c r="M112" s="357">
        <f t="shared" si="40"/>
        <v>57397.91</v>
      </c>
      <c r="N112" s="357">
        <f t="shared" si="40"/>
        <v>57397.91</v>
      </c>
      <c r="O112" s="357">
        <f t="shared" si="40"/>
        <v>57397.91</v>
      </c>
      <c r="P112" s="357">
        <f t="shared" si="40"/>
        <v>57397.91</v>
      </c>
      <c r="Q112" s="357">
        <f t="shared" si="40"/>
        <v>57397.91</v>
      </c>
      <c r="R112" s="357">
        <f t="shared" si="40"/>
        <v>57397.91</v>
      </c>
      <c r="S112" s="357">
        <f t="shared" si="40"/>
        <v>57397.91</v>
      </c>
      <c r="T112" s="357">
        <f t="shared" si="40"/>
        <v>57397.91</v>
      </c>
      <c r="U112" s="357"/>
      <c r="V112" s="584">
        <f>SUM(V110:V111)</f>
        <v>57397.910000000011</v>
      </c>
      <c r="Y112" s="584">
        <f>T112</f>
        <v>57397.91</v>
      </c>
      <c r="Z112" s="584">
        <f t="shared" si="28"/>
        <v>57397.910000000011</v>
      </c>
      <c r="AA112" s="357">
        <f>V112</f>
        <v>57397.910000000011</v>
      </c>
      <c r="AB112" s="357">
        <f>T112</f>
        <v>57397.91</v>
      </c>
      <c r="AC112" s="357">
        <f t="shared" si="29"/>
        <v>57397.910000000011</v>
      </c>
      <c r="AD112" s="632">
        <f>AC112-T112</f>
        <v>0</v>
      </c>
      <c r="AE112" s="244">
        <f t="shared" si="37"/>
        <v>105</v>
      </c>
      <c r="AF112" s="244" t="e">
        <f t="shared" si="38"/>
        <v>#REF!</v>
      </c>
      <c r="AG112" s="57">
        <v>0</v>
      </c>
      <c r="AH112" s="537"/>
      <c r="AI112" s="537"/>
      <c r="AJ112" s="537" t="s">
        <v>160</v>
      </c>
      <c r="AK112" s="537"/>
      <c r="AL112" s="538">
        <f>+T112</f>
        <v>57397.91</v>
      </c>
      <c r="AM112" s="12">
        <f>AC112</f>
        <v>57397.910000000011</v>
      </c>
      <c r="AN112" s="12">
        <f>AM112-AL112</f>
        <v>0</v>
      </c>
      <c r="AO112" s="7">
        <f t="shared" si="30"/>
        <v>0</v>
      </c>
    </row>
    <row r="113" spans="1:41">
      <c r="A113" s="612" t="e">
        <f t="shared" si="39"/>
        <v>#REF!</v>
      </c>
      <c r="B113" s="309"/>
      <c r="C113" s="309"/>
      <c r="D113" s="309"/>
      <c r="E113" s="309"/>
      <c r="F113" s="309"/>
      <c r="G113" s="309"/>
      <c r="AA113" s="2"/>
      <c r="AC113" s="2">
        <f t="shared" si="29"/>
        <v>0</v>
      </c>
      <c r="AE113" s="244">
        <f t="shared" si="37"/>
        <v>106</v>
      </c>
      <c r="AF113" s="244" t="e">
        <f t="shared" si="38"/>
        <v>#REF!</v>
      </c>
      <c r="AG113" s="57">
        <v>0</v>
      </c>
      <c r="AH113" s="537"/>
      <c r="AI113" s="537"/>
      <c r="AJ113" s="537"/>
      <c r="AK113" s="537"/>
      <c r="AL113" s="538"/>
      <c r="AO113" s="7">
        <f t="shared" si="30"/>
        <v>0</v>
      </c>
    </row>
    <row r="114" spans="1:41">
      <c r="A114" s="612" t="e">
        <f t="shared" si="39"/>
        <v>#REF!</v>
      </c>
      <c r="B114" s="309" t="s">
        <v>252</v>
      </c>
      <c r="C114" s="309" t="s">
        <v>253</v>
      </c>
      <c r="D114" s="309"/>
      <c r="E114" s="309"/>
      <c r="F114" s="309"/>
      <c r="G114" s="309"/>
      <c r="AA114" s="2"/>
      <c r="AC114" s="2">
        <f t="shared" si="29"/>
        <v>0</v>
      </c>
      <c r="AE114" s="244">
        <f t="shared" si="37"/>
        <v>107</v>
      </c>
      <c r="AF114" s="244" t="e">
        <f t="shared" si="38"/>
        <v>#REF!</v>
      </c>
      <c r="AG114" s="57">
        <v>0</v>
      </c>
      <c r="AH114" s="537" t="s">
        <v>252</v>
      </c>
      <c r="AI114" s="537" t="s">
        <v>253</v>
      </c>
      <c r="AJ114" s="537"/>
      <c r="AK114" s="537"/>
      <c r="AL114" s="538"/>
      <c r="AO114" s="7">
        <f t="shared" si="30"/>
        <v>0</v>
      </c>
    </row>
    <row r="115" spans="1:41">
      <c r="A115" s="612" t="e">
        <f t="shared" si="39"/>
        <v>#REF!</v>
      </c>
      <c r="B115" s="309"/>
      <c r="C115" s="309"/>
      <c r="D115" s="309" t="s">
        <v>24</v>
      </c>
      <c r="E115" s="309"/>
      <c r="F115" s="309"/>
      <c r="G115" s="309"/>
      <c r="H115" s="357">
        <f>[13]XNV!H117</f>
        <v>2614218.66</v>
      </c>
      <c r="I115" s="357">
        <f>[13]XNV!I117</f>
        <v>2632043.1</v>
      </c>
      <c r="J115" s="357">
        <f>[13]XNV!J117</f>
        <v>2632683.1800000002</v>
      </c>
      <c r="K115" s="357">
        <f>[13]XNV!K117</f>
        <v>2622572.71</v>
      </c>
      <c r="L115" s="357">
        <f>[13]XNV!L117</f>
        <v>2622572.71</v>
      </c>
      <c r="M115" s="357">
        <f>[13]XNV!M117</f>
        <v>2625915.9700000002</v>
      </c>
      <c r="N115" s="357">
        <f>[13]XNV!N117</f>
        <v>2308319.5200000005</v>
      </c>
      <c r="O115" s="357">
        <f>[13]XNV!O117</f>
        <v>2320084.8800000004</v>
      </c>
      <c r="P115" s="357">
        <f>[13]XNV!P117</f>
        <v>2344115.19</v>
      </c>
      <c r="Q115" s="357">
        <f>[13]XNV!Q117</f>
        <v>2349815.1900000004</v>
      </c>
      <c r="R115" s="357">
        <f>[13]XNV!R117</f>
        <v>2371963.23</v>
      </c>
      <c r="S115" s="357">
        <f>[13]XNV!S117</f>
        <v>2391686.4</v>
      </c>
      <c r="T115" s="357">
        <f>[13]XNV!T117</f>
        <v>2395252.1300000004</v>
      </c>
      <c r="U115" s="357"/>
      <c r="V115" s="584">
        <f>(SUM(I115:S115)+(0.5*T115)+(0.5*H115))/12</f>
        <v>2477208.9562500003</v>
      </c>
      <c r="Y115" s="584">
        <f>T115</f>
        <v>2395252.1300000004</v>
      </c>
      <c r="Z115" s="584">
        <f t="shared" si="28"/>
        <v>2477208.9562500003</v>
      </c>
      <c r="AA115" s="357">
        <f>V115</f>
        <v>2477208.9562500003</v>
      </c>
      <c r="AB115" s="357">
        <f>T115</f>
        <v>2395252.1300000004</v>
      </c>
      <c r="AC115" s="357">
        <f t="shared" si="29"/>
        <v>2477208.9562500003</v>
      </c>
      <c r="AD115" s="632">
        <f>AC115-T115</f>
        <v>81956.826249999925</v>
      </c>
      <c r="AE115" s="244">
        <f t="shared" si="37"/>
        <v>108</v>
      </c>
      <c r="AF115" s="244" t="e">
        <f t="shared" si="38"/>
        <v>#REF!</v>
      </c>
      <c r="AG115" s="57">
        <v>-64580.444166666712</v>
      </c>
      <c r="AH115" s="537"/>
      <c r="AI115" s="537"/>
      <c r="AJ115" s="537" t="s">
        <v>581</v>
      </c>
      <c r="AK115" s="537"/>
      <c r="AL115" s="538">
        <f>+T115</f>
        <v>2395252.1300000004</v>
      </c>
      <c r="AM115" s="12">
        <f>AC115</f>
        <v>2477208.9562500003</v>
      </c>
      <c r="AN115" s="12">
        <f>AM115-AL115</f>
        <v>81956.826249999925</v>
      </c>
      <c r="AO115" s="7">
        <f t="shared" si="30"/>
        <v>0</v>
      </c>
    </row>
    <row r="116" spans="1:41">
      <c r="A116" s="612" t="e">
        <f t="shared" si="39"/>
        <v>#REF!</v>
      </c>
      <c r="B116" s="309"/>
      <c r="C116" s="309"/>
      <c r="D116" s="309" t="s">
        <v>13</v>
      </c>
      <c r="E116" s="309"/>
      <c r="F116" s="309"/>
      <c r="G116" s="309"/>
      <c r="H116" s="357">
        <f>[13]XNV!H118</f>
        <v>28776820.039999999</v>
      </c>
      <c r="I116" s="357">
        <f>[13]XNV!I118</f>
        <v>29024551.939999998</v>
      </c>
      <c r="J116" s="357">
        <f>[13]XNV!J118</f>
        <v>29043445.52</v>
      </c>
      <c r="K116" s="357">
        <f>[13]XNV!K118</f>
        <v>28724943.309999999</v>
      </c>
      <c r="L116" s="357">
        <f>[13]XNV!L118</f>
        <v>28932884.259999998</v>
      </c>
      <c r="M116" s="357">
        <f>[13]XNV!M118</f>
        <v>29099120.420000002</v>
      </c>
      <c r="N116" s="357">
        <f>[13]XNV!N118</f>
        <v>29452612.120000001</v>
      </c>
      <c r="O116" s="357">
        <f>[13]XNV!O118</f>
        <v>29635233.780000001</v>
      </c>
      <c r="P116" s="357">
        <f>[13]XNV!P118</f>
        <v>29872090.709999997</v>
      </c>
      <c r="Q116" s="357">
        <f>[13]XNV!Q118</f>
        <v>29900590.709999997</v>
      </c>
      <c r="R116" s="357">
        <f>[13]XNV!R118</f>
        <v>30145652.960000001</v>
      </c>
      <c r="S116" s="357">
        <f>[13]XNV!S118</f>
        <v>29040069.32</v>
      </c>
      <c r="T116" s="357">
        <f>[13]XNV!T118</f>
        <v>29287123.41</v>
      </c>
      <c r="U116" s="357"/>
      <c r="V116" s="584">
        <f>(SUM(I116:S116)+(0.5*T116)+(0.5*H116))/12</f>
        <v>29325263.897916663</v>
      </c>
      <c r="Y116" s="584">
        <f>T116</f>
        <v>29287123.41</v>
      </c>
      <c r="Z116" s="584">
        <f t="shared" si="28"/>
        <v>29325263.897916663</v>
      </c>
      <c r="AA116" s="357">
        <f>V116</f>
        <v>29325263.897916663</v>
      </c>
      <c r="AB116" s="357">
        <f>T116</f>
        <v>29287123.41</v>
      </c>
      <c r="AC116" s="357">
        <f t="shared" si="29"/>
        <v>29325263.897916663</v>
      </c>
      <c r="AD116" s="632">
        <f>AC116-T116</f>
        <v>38140.487916663289</v>
      </c>
      <c r="AE116" s="244">
        <f t="shared" si="37"/>
        <v>109</v>
      </c>
      <c r="AF116" s="244" t="e">
        <f t="shared" si="38"/>
        <v>#REF!</v>
      </c>
      <c r="AG116" s="57">
        <v>-1904880.1112500019</v>
      </c>
      <c r="AH116" s="537"/>
      <c r="AI116" s="537"/>
      <c r="AJ116" s="537" t="s">
        <v>582</v>
      </c>
      <c r="AK116" s="537"/>
      <c r="AL116" s="538">
        <f>+T116</f>
        <v>29287123.41</v>
      </c>
      <c r="AM116" s="12">
        <f>AC116</f>
        <v>29325263.897916663</v>
      </c>
      <c r="AN116" s="12">
        <f>AM116-AL116</f>
        <v>38140.487916663289</v>
      </c>
      <c r="AO116" s="7">
        <f t="shared" si="30"/>
        <v>0</v>
      </c>
    </row>
    <row r="117" spans="1:41">
      <c r="A117" s="612" t="e">
        <f t="shared" si="39"/>
        <v>#REF!</v>
      </c>
      <c r="B117" s="309"/>
      <c r="C117" s="309"/>
      <c r="D117" s="309" t="s">
        <v>584</v>
      </c>
      <c r="E117" s="309"/>
      <c r="F117" s="309"/>
      <c r="G117" s="309"/>
      <c r="H117" s="624">
        <f>[13]XNV!H119</f>
        <v>0</v>
      </c>
      <c r="I117" s="624">
        <f>[13]XNV!I119</f>
        <v>0</v>
      </c>
      <c r="J117" s="624">
        <f>[13]XNV!J119</f>
        <v>0</v>
      </c>
      <c r="K117" s="624">
        <f>[13]XNV!K119</f>
        <v>0</v>
      </c>
      <c r="L117" s="624">
        <f>[13]XNV!L119</f>
        <v>0</v>
      </c>
      <c r="M117" s="624">
        <f>[13]XNV!M119</f>
        <v>0</v>
      </c>
      <c r="N117" s="624">
        <f>[13]XNV!N119</f>
        <v>0</v>
      </c>
      <c r="O117" s="624">
        <f>[13]XNV!O119</f>
        <v>0</v>
      </c>
      <c r="P117" s="624">
        <f>[13]XNV!P119</f>
        <v>0</v>
      </c>
      <c r="Q117" s="624">
        <f>[13]XNV!Q119</f>
        <v>0</v>
      </c>
      <c r="R117" s="624">
        <f>[13]XNV!R119</f>
        <v>0</v>
      </c>
      <c r="S117" s="624">
        <f>[13]XNV!S119</f>
        <v>0</v>
      </c>
      <c r="T117" s="624">
        <f>[13]XNV!T119</f>
        <v>0</v>
      </c>
      <c r="U117" s="624"/>
      <c r="V117" s="623">
        <f>(SUM(I117:S117)+(0.5*T117)+(0.5*H117))/12</f>
        <v>0</v>
      </c>
      <c r="Y117" s="623">
        <f>T117</f>
        <v>0</v>
      </c>
      <c r="Z117" s="623">
        <f t="shared" si="28"/>
        <v>0</v>
      </c>
      <c r="AA117" s="624">
        <f>V117</f>
        <v>0</v>
      </c>
      <c r="AB117" s="624">
        <f>T117</f>
        <v>0</v>
      </c>
      <c r="AC117" s="624">
        <f t="shared" si="29"/>
        <v>0</v>
      </c>
      <c r="AD117" s="635">
        <f>AC117-T117</f>
        <v>0</v>
      </c>
      <c r="AE117" s="244">
        <f t="shared" si="37"/>
        <v>110</v>
      </c>
      <c r="AF117" s="244" t="e">
        <f t="shared" si="38"/>
        <v>#REF!</v>
      </c>
      <c r="AG117" s="57">
        <v>0</v>
      </c>
      <c r="AH117" s="537"/>
      <c r="AI117" s="537"/>
      <c r="AJ117" s="537" t="s">
        <v>584</v>
      </c>
      <c r="AK117" s="537"/>
      <c r="AL117" s="538">
        <f>+T117</f>
        <v>0</v>
      </c>
      <c r="AM117" s="12">
        <f>AC117</f>
        <v>0</v>
      </c>
      <c r="AN117" s="12">
        <f>AM117-AL117</f>
        <v>0</v>
      </c>
      <c r="AO117" s="7">
        <f t="shared" si="30"/>
        <v>0</v>
      </c>
    </row>
    <row r="118" spans="1:41">
      <c r="A118" s="612" t="e">
        <f t="shared" si="39"/>
        <v>#REF!</v>
      </c>
      <c r="B118" s="309"/>
      <c r="C118" s="309"/>
      <c r="D118" s="309" t="s">
        <v>160</v>
      </c>
      <c r="E118" s="309"/>
      <c r="F118" s="309"/>
      <c r="G118" s="309"/>
      <c r="H118" s="357">
        <f>SUM(H115:H117)</f>
        <v>31391038.699999999</v>
      </c>
      <c r="I118" s="357">
        <f t="shared" ref="I118:T118" si="41">SUM(I115:I117)</f>
        <v>31656595.039999999</v>
      </c>
      <c r="J118" s="357">
        <f t="shared" si="41"/>
        <v>31676128.699999999</v>
      </c>
      <c r="K118" s="357">
        <f t="shared" si="41"/>
        <v>31347516.02</v>
      </c>
      <c r="L118" s="357">
        <f t="shared" si="41"/>
        <v>31555456.969999999</v>
      </c>
      <c r="M118" s="357">
        <f t="shared" si="41"/>
        <v>31725036.390000001</v>
      </c>
      <c r="N118" s="357">
        <f t="shared" si="41"/>
        <v>31760931.640000001</v>
      </c>
      <c r="O118" s="357">
        <f t="shared" si="41"/>
        <v>31955318.66</v>
      </c>
      <c r="P118" s="357">
        <f t="shared" si="41"/>
        <v>32216205.899999999</v>
      </c>
      <c r="Q118" s="357">
        <f t="shared" si="41"/>
        <v>32250405.899999999</v>
      </c>
      <c r="R118" s="357">
        <f t="shared" si="41"/>
        <v>32517616.190000001</v>
      </c>
      <c r="S118" s="357">
        <f t="shared" si="41"/>
        <v>31431755.719999999</v>
      </c>
      <c r="T118" s="357">
        <f t="shared" si="41"/>
        <v>31682375.539999999</v>
      </c>
      <c r="U118" s="357"/>
      <c r="V118" s="584">
        <f>SUM(V115:V117)</f>
        <v>31802472.854166664</v>
      </c>
      <c r="Y118" s="584">
        <f>T118</f>
        <v>31682375.539999999</v>
      </c>
      <c r="Z118" s="584">
        <f t="shared" si="28"/>
        <v>31802472.854166664</v>
      </c>
      <c r="AA118" s="357">
        <f>V118</f>
        <v>31802472.854166664</v>
      </c>
      <c r="AB118" s="357">
        <f>T118</f>
        <v>31682375.539999999</v>
      </c>
      <c r="AC118" s="357">
        <f t="shared" si="29"/>
        <v>31802472.854166664</v>
      </c>
      <c r="AD118" s="632">
        <f>AC118-T118</f>
        <v>120097.31416666508</v>
      </c>
      <c r="AE118" s="244">
        <f t="shared" si="37"/>
        <v>111</v>
      </c>
      <c r="AF118" s="244" t="e">
        <f t="shared" si="38"/>
        <v>#REF!</v>
      </c>
      <c r="AG118" s="57">
        <v>-1969460.555416666</v>
      </c>
      <c r="AH118" s="537"/>
      <c r="AI118" s="537"/>
      <c r="AJ118" s="537" t="s">
        <v>160</v>
      </c>
      <c r="AK118" s="537"/>
      <c r="AL118" s="538">
        <f>+T118</f>
        <v>31682375.539999999</v>
      </c>
      <c r="AM118" s="12">
        <f>AC118</f>
        <v>31802472.854166664</v>
      </c>
      <c r="AN118" s="12">
        <f>AM118-AL118</f>
        <v>120097.31416666508</v>
      </c>
      <c r="AO118" s="7">
        <f t="shared" si="30"/>
        <v>0</v>
      </c>
    </row>
    <row r="119" spans="1:41">
      <c r="A119" s="612" t="e">
        <f t="shared" si="39"/>
        <v>#REF!</v>
      </c>
      <c r="B119" s="309"/>
      <c r="C119" s="309"/>
      <c r="D119" s="309"/>
      <c r="E119" s="309"/>
      <c r="F119" s="309"/>
      <c r="G119" s="309"/>
      <c r="AA119" s="2"/>
      <c r="AC119" s="2">
        <f t="shared" si="29"/>
        <v>0</v>
      </c>
      <c r="AE119" s="244">
        <f t="shared" si="37"/>
        <v>112</v>
      </c>
      <c r="AF119" s="244" t="e">
        <f t="shared" si="38"/>
        <v>#REF!</v>
      </c>
      <c r="AG119" s="57">
        <v>0</v>
      </c>
      <c r="AH119" s="537"/>
      <c r="AI119" s="537"/>
      <c r="AJ119" s="537"/>
      <c r="AK119" s="537"/>
      <c r="AL119" s="538"/>
      <c r="AO119" s="7">
        <f t="shared" si="30"/>
        <v>0</v>
      </c>
    </row>
    <row r="120" spans="1:41">
      <c r="A120" s="612" t="e">
        <f t="shared" si="39"/>
        <v>#REF!</v>
      </c>
      <c r="B120" s="309" t="s">
        <v>254</v>
      </c>
      <c r="C120" s="309" t="s">
        <v>255</v>
      </c>
      <c r="D120" s="309"/>
      <c r="E120" s="309"/>
      <c r="F120" s="309"/>
      <c r="G120" s="309"/>
      <c r="AA120" s="2"/>
      <c r="AC120" s="2">
        <f t="shared" si="29"/>
        <v>0</v>
      </c>
      <c r="AE120" s="244">
        <f t="shared" si="37"/>
        <v>113</v>
      </c>
      <c r="AF120" s="244" t="e">
        <f t="shared" si="38"/>
        <v>#REF!</v>
      </c>
      <c r="AG120" s="57">
        <v>0</v>
      </c>
      <c r="AH120" s="537" t="s">
        <v>254</v>
      </c>
      <c r="AI120" s="537" t="s">
        <v>255</v>
      </c>
      <c r="AJ120" s="537"/>
      <c r="AK120" s="537"/>
      <c r="AL120" s="538"/>
      <c r="AO120" s="7">
        <f t="shared" si="30"/>
        <v>0</v>
      </c>
    </row>
    <row r="121" spans="1:41">
      <c r="A121" s="612" t="e">
        <f t="shared" si="39"/>
        <v>#REF!</v>
      </c>
      <c r="B121" s="309"/>
      <c r="C121" s="309"/>
      <c r="D121" s="309" t="s">
        <v>24</v>
      </c>
      <c r="E121" s="309"/>
      <c r="F121" s="309"/>
      <c r="G121" s="309"/>
      <c r="H121" s="357">
        <f>[13]XNV!H123</f>
        <v>0</v>
      </c>
      <c r="I121" s="357">
        <f>[13]XNV!I123</f>
        <v>0</v>
      </c>
      <c r="J121" s="357">
        <f>[13]XNV!J123</f>
        <v>0</v>
      </c>
      <c r="K121" s="357">
        <f>[13]XNV!K123</f>
        <v>0</v>
      </c>
      <c r="L121" s="357">
        <f>[13]XNV!L123</f>
        <v>0</v>
      </c>
      <c r="M121" s="357">
        <f>[13]XNV!M123</f>
        <v>0</v>
      </c>
      <c r="N121" s="357">
        <f>[13]XNV!N123</f>
        <v>0</v>
      </c>
      <c r="O121" s="357">
        <f>[13]XNV!O123</f>
        <v>0</v>
      </c>
      <c r="P121" s="357">
        <f>[13]XNV!P123</f>
        <v>0</v>
      </c>
      <c r="Q121" s="357">
        <f>[13]XNV!Q123</f>
        <v>0</v>
      </c>
      <c r="R121" s="357">
        <f>[13]XNV!R123</f>
        <v>0</v>
      </c>
      <c r="S121" s="357">
        <f>[13]XNV!S123</f>
        <v>0</v>
      </c>
      <c r="T121" s="357">
        <f>[13]XNV!T123</f>
        <v>0</v>
      </c>
      <c r="U121" s="357"/>
      <c r="V121" s="584">
        <f>(SUM(I121:S121)+(0.5*T121)+(0.5*H121))/12</f>
        <v>0</v>
      </c>
      <c r="Y121" s="584">
        <f>T121</f>
        <v>0</v>
      </c>
      <c r="Z121" s="584">
        <f t="shared" si="28"/>
        <v>0</v>
      </c>
      <c r="AA121" s="357">
        <f>V121</f>
        <v>0</v>
      </c>
      <c r="AB121" s="357">
        <f>T121</f>
        <v>0</v>
      </c>
      <c r="AC121" s="357">
        <f t="shared" si="29"/>
        <v>0</v>
      </c>
      <c r="AD121" s="632">
        <f>AC121-T121</f>
        <v>0</v>
      </c>
      <c r="AE121" s="244">
        <f t="shared" si="37"/>
        <v>114</v>
      </c>
      <c r="AF121" s="244" t="e">
        <f t="shared" si="38"/>
        <v>#REF!</v>
      </c>
      <c r="AG121" s="57">
        <v>0</v>
      </c>
      <c r="AH121" s="537"/>
      <c r="AI121" s="537"/>
      <c r="AJ121" s="537" t="s">
        <v>581</v>
      </c>
      <c r="AK121" s="537"/>
      <c r="AL121" s="538">
        <f>+T121</f>
        <v>0</v>
      </c>
      <c r="AM121" s="12">
        <f>AC121</f>
        <v>0</v>
      </c>
      <c r="AN121" s="12">
        <f>AM121-AL121</f>
        <v>0</v>
      </c>
      <c r="AO121" s="7">
        <f t="shared" si="30"/>
        <v>0</v>
      </c>
    </row>
    <row r="122" spans="1:41">
      <c r="A122" s="612" t="e">
        <f t="shared" si="39"/>
        <v>#REF!</v>
      </c>
      <c r="B122" s="309"/>
      <c r="C122" s="309"/>
      <c r="D122" s="309" t="s">
        <v>13</v>
      </c>
      <c r="E122" s="309"/>
      <c r="F122" s="309"/>
      <c r="G122" s="309"/>
      <c r="H122" s="357">
        <f>[13]XNV!H124</f>
        <v>61117.83</v>
      </c>
      <c r="I122" s="357">
        <f>[13]XNV!I124</f>
        <v>61117.83</v>
      </c>
      <c r="J122" s="357">
        <f>[13]XNV!J124</f>
        <v>61117.83</v>
      </c>
      <c r="K122" s="357">
        <f>[13]XNV!K124</f>
        <v>61117.83</v>
      </c>
      <c r="L122" s="357">
        <f>[13]XNV!L124</f>
        <v>61117.83</v>
      </c>
      <c r="M122" s="357">
        <f>[13]XNV!M124</f>
        <v>61117.83</v>
      </c>
      <c r="N122" s="357">
        <f>[13]XNV!N124</f>
        <v>61117.83</v>
      </c>
      <c r="O122" s="357">
        <f>[13]XNV!O124</f>
        <v>61117.83</v>
      </c>
      <c r="P122" s="357">
        <f>[13]XNV!P124</f>
        <v>61117.83</v>
      </c>
      <c r="Q122" s="357">
        <f>[13]XNV!Q124</f>
        <v>61117.83</v>
      </c>
      <c r="R122" s="357">
        <f>[13]XNV!R124</f>
        <v>61117.83</v>
      </c>
      <c r="S122" s="357">
        <f>[13]XNV!S124</f>
        <v>61117.83</v>
      </c>
      <c r="T122" s="357">
        <f>[13]XNV!T124</f>
        <v>61117.83</v>
      </c>
      <c r="U122" s="357"/>
      <c r="V122" s="584">
        <f>(SUM(I122:S122)+(0.5*T122)+(0.5*H122))/12</f>
        <v>61117.830000000009</v>
      </c>
      <c r="Y122" s="584">
        <f>T122</f>
        <v>61117.83</v>
      </c>
      <c r="Z122" s="584">
        <f t="shared" si="28"/>
        <v>61117.830000000009</v>
      </c>
      <c r="AA122" s="357">
        <f>V122</f>
        <v>61117.830000000009</v>
      </c>
      <c r="AB122" s="357">
        <f>T122</f>
        <v>61117.83</v>
      </c>
      <c r="AC122" s="357">
        <f t="shared" si="29"/>
        <v>61117.830000000009</v>
      </c>
      <c r="AD122" s="632">
        <f>AC122-T122</f>
        <v>0</v>
      </c>
      <c r="AE122" s="244">
        <f t="shared" si="37"/>
        <v>115</v>
      </c>
      <c r="AF122" s="244" t="e">
        <f t="shared" si="38"/>
        <v>#REF!</v>
      </c>
      <c r="AG122" s="57">
        <v>0</v>
      </c>
      <c r="AH122" s="537"/>
      <c r="AI122" s="537"/>
      <c r="AJ122" s="537" t="s">
        <v>582</v>
      </c>
      <c r="AK122" s="537"/>
      <c r="AL122" s="538">
        <f>+T122</f>
        <v>61117.83</v>
      </c>
      <c r="AM122" s="12">
        <f>AC122</f>
        <v>61117.830000000009</v>
      </c>
      <c r="AN122" s="12">
        <f>AM122-AL122</f>
        <v>0</v>
      </c>
      <c r="AO122" s="7">
        <f t="shared" si="30"/>
        <v>0</v>
      </c>
    </row>
    <row r="123" spans="1:41">
      <c r="A123" s="612" t="e">
        <f t="shared" si="39"/>
        <v>#REF!</v>
      </c>
      <c r="B123" s="309"/>
      <c r="C123" s="309"/>
      <c r="D123" s="309" t="s">
        <v>584</v>
      </c>
      <c r="E123" s="309"/>
      <c r="F123" s="309"/>
      <c r="G123" s="309"/>
      <c r="H123" s="624">
        <f>[13]XNV!H125</f>
        <v>0</v>
      </c>
      <c r="I123" s="624">
        <f>[13]XNV!I125</f>
        <v>0</v>
      </c>
      <c r="J123" s="624">
        <f>[13]XNV!J125</f>
        <v>0</v>
      </c>
      <c r="K123" s="624">
        <f>[13]XNV!K125</f>
        <v>0</v>
      </c>
      <c r="L123" s="624">
        <f>[13]XNV!L125</f>
        <v>0</v>
      </c>
      <c r="M123" s="624">
        <f>[13]XNV!M125</f>
        <v>0</v>
      </c>
      <c r="N123" s="624">
        <f>[13]XNV!N125</f>
        <v>0</v>
      </c>
      <c r="O123" s="624">
        <f>[13]XNV!O125</f>
        <v>0</v>
      </c>
      <c r="P123" s="624">
        <f>[13]XNV!P125</f>
        <v>0</v>
      </c>
      <c r="Q123" s="624">
        <f>[13]XNV!Q125</f>
        <v>0</v>
      </c>
      <c r="R123" s="624">
        <f>[13]XNV!R125</f>
        <v>0</v>
      </c>
      <c r="S123" s="624">
        <f>[13]XNV!S125</f>
        <v>0</v>
      </c>
      <c r="T123" s="624">
        <f>[13]XNV!T125</f>
        <v>0</v>
      </c>
      <c r="U123" s="624"/>
      <c r="V123" s="623">
        <f>(SUM(I123:S123)+(0.5*T123)+(0.5*H123))/12</f>
        <v>0</v>
      </c>
      <c r="Y123" s="623">
        <f>T123</f>
        <v>0</v>
      </c>
      <c r="Z123" s="623">
        <f t="shared" si="28"/>
        <v>0</v>
      </c>
      <c r="AA123" s="624">
        <f>V123</f>
        <v>0</v>
      </c>
      <c r="AB123" s="624">
        <f>T123</f>
        <v>0</v>
      </c>
      <c r="AC123" s="624">
        <f t="shared" si="29"/>
        <v>0</v>
      </c>
      <c r="AD123" s="635">
        <f>AC123-T123</f>
        <v>0</v>
      </c>
      <c r="AE123" s="244">
        <f t="shared" si="37"/>
        <v>116</v>
      </c>
      <c r="AF123" s="244" t="e">
        <f t="shared" si="38"/>
        <v>#REF!</v>
      </c>
      <c r="AG123" s="57">
        <v>0</v>
      </c>
      <c r="AH123" s="537"/>
      <c r="AI123" s="537"/>
      <c r="AJ123" s="537" t="s">
        <v>584</v>
      </c>
      <c r="AK123" s="537"/>
      <c r="AL123" s="538">
        <v>0</v>
      </c>
      <c r="AM123" s="12">
        <f>AC123</f>
        <v>0</v>
      </c>
      <c r="AN123" s="12">
        <f>AM123-AL123</f>
        <v>0</v>
      </c>
      <c r="AO123" s="7">
        <f t="shared" si="30"/>
        <v>0</v>
      </c>
    </row>
    <row r="124" spans="1:41">
      <c r="A124" s="612" t="e">
        <f t="shared" si="39"/>
        <v>#REF!</v>
      </c>
      <c r="B124" s="309"/>
      <c r="C124" s="309"/>
      <c r="D124" s="309" t="s">
        <v>160</v>
      </c>
      <c r="E124" s="309"/>
      <c r="F124" s="309"/>
      <c r="G124" s="309"/>
      <c r="H124" s="357">
        <f>SUM(H121:H123)</f>
        <v>61117.83</v>
      </c>
      <c r="I124" s="357">
        <f t="shared" ref="I124:T124" si="42">SUM(I121:I123)</f>
        <v>61117.83</v>
      </c>
      <c r="J124" s="357">
        <f t="shared" si="42"/>
        <v>61117.83</v>
      </c>
      <c r="K124" s="357">
        <f t="shared" si="42"/>
        <v>61117.83</v>
      </c>
      <c r="L124" s="357">
        <f t="shared" si="42"/>
        <v>61117.83</v>
      </c>
      <c r="M124" s="357">
        <f t="shared" si="42"/>
        <v>61117.83</v>
      </c>
      <c r="N124" s="357">
        <f t="shared" si="42"/>
        <v>61117.83</v>
      </c>
      <c r="O124" s="357">
        <f t="shared" si="42"/>
        <v>61117.83</v>
      </c>
      <c r="P124" s="357">
        <f t="shared" si="42"/>
        <v>61117.83</v>
      </c>
      <c r="Q124" s="357">
        <f t="shared" si="42"/>
        <v>61117.83</v>
      </c>
      <c r="R124" s="357">
        <f t="shared" si="42"/>
        <v>61117.83</v>
      </c>
      <c r="S124" s="357">
        <f t="shared" si="42"/>
        <v>61117.83</v>
      </c>
      <c r="T124" s="357">
        <f t="shared" si="42"/>
        <v>61117.83</v>
      </c>
      <c r="U124" s="357"/>
      <c r="V124" s="584">
        <f>SUM(V121:V123)</f>
        <v>61117.830000000009</v>
      </c>
      <c r="Y124" s="584">
        <f>T124</f>
        <v>61117.83</v>
      </c>
      <c r="Z124" s="584">
        <f t="shared" si="28"/>
        <v>61117.830000000009</v>
      </c>
      <c r="AA124" s="357">
        <f>V124</f>
        <v>61117.830000000009</v>
      </c>
      <c r="AB124" s="357">
        <f>T124</f>
        <v>61117.83</v>
      </c>
      <c r="AC124" s="357">
        <f t="shared" si="29"/>
        <v>61117.830000000009</v>
      </c>
      <c r="AD124" s="632">
        <f>AC124-T124</f>
        <v>0</v>
      </c>
      <c r="AE124" s="244">
        <f t="shared" si="37"/>
        <v>117</v>
      </c>
      <c r="AF124" s="244" t="e">
        <f t="shared" si="38"/>
        <v>#REF!</v>
      </c>
      <c r="AG124" s="57">
        <v>0</v>
      </c>
      <c r="AH124" s="537"/>
      <c r="AI124" s="537"/>
      <c r="AJ124" s="537" t="s">
        <v>160</v>
      </c>
      <c r="AK124" s="537"/>
      <c r="AL124" s="538">
        <f>+T124</f>
        <v>61117.83</v>
      </c>
      <c r="AM124" s="12">
        <f>AC124</f>
        <v>61117.830000000009</v>
      </c>
      <c r="AN124" s="12">
        <f>AM124-AL124</f>
        <v>0</v>
      </c>
      <c r="AO124" s="7">
        <f t="shared" si="30"/>
        <v>0</v>
      </c>
    </row>
    <row r="125" spans="1:41">
      <c r="A125" s="612" t="e">
        <f t="shared" si="39"/>
        <v>#REF!</v>
      </c>
      <c r="B125" s="309"/>
      <c r="C125" s="309"/>
      <c r="D125" s="309"/>
      <c r="E125" s="309"/>
      <c r="F125" s="309"/>
      <c r="G125" s="309"/>
      <c r="AA125" s="2"/>
      <c r="AC125" s="2">
        <f t="shared" si="29"/>
        <v>0</v>
      </c>
      <c r="AE125" s="244">
        <f t="shared" si="37"/>
        <v>118</v>
      </c>
      <c r="AF125" s="244" t="e">
        <f t="shared" si="38"/>
        <v>#REF!</v>
      </c>
      <c r="AG125" s="57">
        <v>0</v>
      </c>
      <c r="AH125" s="537"/>
      <c r="AI125" s="537"/>
      <c r="AJ125" s="537"/>
      <c r="AK125" s="537"/>
      <c r="AL125" s="538"/>
      <c r="AO125" s="7">
        <f t="shared" si="30"/>
        <v>0</v>
      </c>
    </row>
    <row r="126" spans="1:41">
      <c r="A126" s="612" t="e">
        <f t="shared" si="39"/>
        <v>#REF!</v>
      </c>
      <c r="B126" s="309" t="s">
        <v>256</v>
      </c>
      <c r="C126" s="309" t="s">
        <v>257</v>
      </c>
      <c r="D126" s="309"/>
      <c r="E126" s="309"/>
      <c r="F126" s="309"/>
      <c r="G126" s="309"/>
      <c r="AA126" s="2"/>
      <c r="AC126" s="2">
        <f t="shared" si="29"/>
        <v>0</v>
      </c>
      <c r="AE126" s="244">
        <f t="shared" si="37"/>
        <v>119</v>
      </c>
      <c r="AF126" s="244" t="e">
        <f t="shared" si="38"/>
        <v>#REF!</v>
      </c>
      <c r="AG126" s="57">
        <v>0</v>
      </c>
      <c r="AH126" s="537" t="s">
        <v>256</v>
      </c>
      <c r="AI126" s="537" t="s">
        <v>257</v>
      </c>
      <c r="AJ126" s="537"/>
      <c r="AK126" s="537"/>
      <c r="AL126" s="538"/>
      <c r="AO126" s="7">
        <f t="shared" si="30"/>
        <v>0</v>
      </c>
    </row>
    <row r="127" spans="1:41">
      <c r="A127" s="612" t="e">
        <f t="shared" si="39"/>
        <v>#REF!</v>
      </c>
      <c r="B127" s="309"/>
      <c r="C127" s="309"/>
      <c r="D127" s="309" t="s">
        <v>24</v>
      </c>
      <c r="E127" s="309"/>
      <c r="F127" s="309"/>
      <c r="G127" s="309"/>
      <c r="H127" s="357">
        <f>[13]XNV!H129</f>
        <v>974544.97000000009</v>
      </c>
      <c r="I127" s="357">
        <f>[13]XNV!I129</f>
        <v>971291.14</v>
      </c>
      <c r="J127" s="357">
        <f>[13]XNV!J129</f>
        <v>971291.14</v>
      </c>
      <c r="K127" s="357">
        <f>[13]XNV!K129</f>
        <v>971291.14</v>
      </c>
      <c r="L127" s="357">
        <f>[13]XNV!L129</f>
        <v>971291.14</v>
      </c>
      <c r="M127" s="357">
        <f>[13]XNV!M129</f>
        <v>971291.14</v>
      </c>
      <c r="N127" s="357">
        <f>[13]XNV!N129</f>
        <v>963408.25999999989</v>
      </c>
      <c r="O127" s="357">
        <f>[13]XNV!O129</f>
        <v>965413.25999999989</v>
      </c>
      <c r="P127" s="357">
        <f>[13]XNV!P129</f>
        <v>965413.26</v>
      </c>
      <c r="Q127" s="357">
        <f>[13]XNV!Q129</f>
        <v>962910.48999999987</v>
      </c>
      <c r="R127" s="357">
        <f>[13]XNV!R129</f>
        <v>1074376.01</v>
      </c>
      <c r="S127" s="357">
        <f>[13]XNV!S129</f>
        <v>1042804.6900000001</v>
      </c>
      <c r="T127" s="357">
        <f>[13]XNV!T129</f>
        <v>1042453.89</v>
      </c>
      <c r="U127" s="357"/>
      <c r="V127" s="584">
        <f>(SUM(I127:S127)+(0.5*T127)+(0.5*H127))/12</f>
        <v>986606.75833333319</v>
      </c>
      <c r="Y127" s="584">
        <f t="shared" ref="Y127:Y135" si="43">T127</f>
        <v>1042453.89</v>
      </c>
      <c r="Z127" s="584">
        <f t="shared" si="28"/>
        <v>986606.75833333319</v>
      </c>
      <c r="AA127" s="357">
        <f t="shared" ref="AA127:AA135" si="44">V127</f>
        <v>986606.75833333319</v>
      </c>
      <c r="AB127" s="357">
        <f t="shared" ref="AB127:AB135" si="45">T127</f>
        <v>1042453.89</v>
      </c>
      <c r="AC127" s="357">
        <f t="shared" si="29"/>
        <v>986606.75833333319</v>
      </c>
      <c r="AD127" s="632">
        <f>AC127-T127</f>
        <v>-55847.131666666828</v>
      </c>
      <c r="AE127" s="244">
        <f t="shared" si="37"/>
        <v>120</v>
      </c>
      <c r="AF127" s="244" t="e">
        <f t="shared" si="38"/>
        <v>#REF!</v>
      </c>
      <c r="AG127" s="57">
        <v>-115290.82374999986</v>
      </c>
      <c r="AH127" s="537"/>
      <c r="AI127" s="537"/>
      <c r="AJ127" s="537" t="s">
        <v>581</v>
      </c>
      <c r="AK127" s="537"/>
      <c r="AL127" s="538">
        <f>+T127</f>
        <v>1042453.89</v>
      </c>
      <c r="AM127" s="12">
        <f>AC127</f>
        <v>986606.75833333319</v>
      </c>
      <c r="AN127" s="12">
        <f>AM127-AL127</f>
        <v>-55847.131666666828</v>
      </c>
      <c r="AO127" s="7">
        <f t="shared" si="30"/>
        <v>0</v>
      </c>
    </row>
    <row r="128" spans="1:41">
      <c r="A128" s="612" t="e">
        <f t="shared" si="39"/>
        <v>#REF!</v>
      </c>
      <c r="B128" s="309"/>
      <c r="C128" s="309"/>
      <c r="D128" s="309" t="s">
        <v>13</v>
      </c>
      <c r="E128" s="309"/>
      <c r="F128" s="309"/>
      <c r="G128" s="309"/>
      <c r="H128" s="357">
        <f>[13]XNV!H130</f>
        <v>11282614.43</v>
      </c>
      <c r="I128" s="357">
        <f>[13]XNV!I130</f>
        <v>11282614.43</v>
      </c>
      <c r="J128" s="357">
        <f>[13]XNV!J130</f>
        <v>11198223.01</v>
      </c>
      <c r="K128" s="357">
        <f>[13]XNV!K130</f>
        <v>11193609.779999999</v>
      </c>
      <c r="L128" s="357">
        <f>[13]XNV!L130</f>
        <v>11189596.859999999</v>
      </c>
      <c r="M128" s="357">
        <f>[13]XNV!M130</f>
        <v>11189596.859999999</v>
      </c>
      <c r="N128" s="357">
        <f>[13]XNV!N130</f>
        <v>11180863.27</v>
      </c>
      <c r="O128" s="357">
        <f>[13]XNV!O130</f>
        <v>11180863.27</v>
      </c>
      <c r="P128" s="357">
        <f>[13]XNV!P130</f>
        <v>11036358.32</v>
      </c>
      <c r="Q128" s="357">
        <f>[13]XNV!Q130</f>
        <v>11036358.32</v>
      </c>
      <c r="R128" s="357">
        <f>[13]XNV!R130</f>
        <v>11036358.32</v>
      </c>
      <c r="S128" s="357">
        <f>[13]XNV!S130</f>
        <v>11036358.32</v>
      </c>
      <c r="T128" s="357">
        <f>[13]XNV!T130</f>
        <v>11060442.789999999</v>
      </c>
      <c r="U128" s="357"/>
      <c r="V128" s="584">
        <f>(SUM(I128:S128)+(0.5*T128)+(0.5*H128))/12</f>
        <v>11144360.78083333</v>
      </c>
      <c r="Y128" s="584">
        <f t="shared" si="43"/>
        <v>11060442.789999999</v>
      </c>
      <c r="Z128" s="584">
        <f t="shared" si="28"/>
        <v>11144360.78083333</v>
      </c>
      <c r="AA128" s="357">
        <f t="shared" si="44"/>
        <v>11144360.78083333</v>
      </c>
      <c r="AB128" s="357">
        <f t="shared" si="45"/>
        <v>11060442.789999999</v>
      </c>
      <c r="AC128" s="357">
        <f t="shared" si="29"/>
        <v>11144360.78083333</v>
      </c>
      <c r="AD128" s="632">
        <f>AC128-T128</f>
        <v>83917.990833330899</v>
      </c>
      <c r="AE128" s="244">
        <f t="shared" si="37"/>
        <v>121</v>
      </c>
      <c r="AF128" s="244" t="e">
        <f t="shared" si="38"/>
        <v>#REF!</v>
      </c>
      <c r="AG128" s="57">
        <v>-35777.456666668877</v>
      </c>
      <c r="AH128" s="537"/>
      <c r="AI128" s="537"/>
      <c r="AJ128" s="537" t="s">
        <v>582</v>
      </c>
      <c r="AK128" s="537"/>
      <c r="AL128" s="538">
        <f>+T128</f>
        <v>11060442.789999999</v>
      </c>
      <c r="AM128" s="12">
        <f>AC128</f>
        <v>11144360.78083333</v>
      </c>
      <c r="AN128" s="12">
        <f>AM128-AL128</f>
        <v>83917.990833330899</v>
      </c>
      <c r="AO128" s="7">
        <f t="shared" si="30"/>
        <v>0</v>
      </c>
    </row>
    <row r="129" spans="1:41">
      <c r="A129" s="612" t="e">
        <f t="shared" si="39"/>
        <v>#REF!</v>
      </c>
      <c r="B129" s="309"/>
      <c r="C129" s="309"/>
      <c r="D129" s="309" t="s">
        <v>584</v>
      </c>
      <c r="E129" s="309"/>
      <c r="F129" s="309"/>
      <c r="G129" s="309"/>
      <c r="H129" s="624">
        <f>[13]XNV!H131</f>
        <v>0</v>
      </c>
      <c r="I129" s="624">
        <f>[13]XNV!I131</f>
        <v>0</v>
      </c>
      <c r="J129" s="624">
        <f>[13]XNV!J131</f>
        <v>0</v>
      </c>
      <c r="K129" s="624">
        <f>[13]XNV!K131</f>
        <v>0</v>
      </c>
      <c r="L129" s="624">
        <f>[13]XNV!L131</f>
        <v>0</v>
      </c>
      <c r="M129" s="624">
        <f>[13]XNV!M131</f>
        <v>0</v>
      </c>
      <c r="N129" s="624">
        <f>[13]XNV!N131</f>
        <v>0</v>
      </c>
      <c r="O129" s="624">
        <f>[13]XNV!O131</f>
        <v>0</v>
      </c>
      <c r="P129" s="624">
        <f>[13]XNV!P131</f>
        <v>0</v>
      </c>
      <c r="Q129" s="624">
        <f>[13]XNV!Q131</f>
        <v>0</v>
      </c>
      <c r="R129" s="624">
        <f>[13]XNV!R131</f>
        <v>0</v>
      </c>
      <c r="S129" s="624">
        <f>[13]XNV!S131</f>
        <v>0</v>
      </c>
      <c r="T129" s="624">
        <f>[13]XNV!T131</f>
        <v>0</v>
      </c>
      <c r="U129" s="624"/>
      <c r="V129" s="623">
        <f>(SUM(I129:S129)+(0.5*T129)+(0.5*H129))/12</f>
        <v>0</v>
      </c>
      <c r="Y129" s="623">
        <f t="shared" si="43"/>
        <v>0</v>
      </c>
      <c r="Z129" s="623">
        <f t="shared" si="28"/>
        <v>0</v>
      </c>
      <c r="AA129" s="624">
        <f t="shared" si="44"/>
        <v>0</v>
      </c>
      <c r="AB129" s="624">
        <f t="shared" si="45"/>
        <v>0</v>
      </c>
      <c r="AC129" s="624">
        <f t="shared" si="29"/>
        <v>0</v>
      </c>
      <c r="AD129" s="635">
        <f>AC129-T129</f>
        <v>0</v>
      </c>
      <c r="AE129" s="244">
        <f t="shared" si="37"/>
        <v>122</v>
      </c>
      <c r="AF129" s="244" t="e">
        <f t="shared" si="38"/>
        <v>#REF!</v>
      </c>
      <c r="AG129" s="57">
        <v>0</v>
      </c>
      <c r="AH129" s="537"/>
      <c r="AI129" s="537"/>
      <c r="AJ129" s="537" t="s">
        <v>584</v>
      </c>
      <c r="AK129" s="537"/>
      <c r="AL129" s="538">
        <f>+T129</f>
        <v>0</v>
      </c>
      <c r="AM129" s="12">
        <f>AC129</f>
        <v>0</v>
      </c>
      <c r="AN129" s="12">
        <f>AM129-AL129</f>
        <v>0</v>
      </c>
      <c r="AO129" s="7">
        <f t="shared" si="30"/>
        <v>0</v>
      </c>
    </row>
    <row r="130" spans="1:41">
      <c r="A130" s="612" t="e">
        <f t="shared" si="39"/>
        <v>#REF!</v>
      </c>
      <c r="B130" s="309"/>
      <c r="C130" s="309"/>
      <c r="D130" s="309" t="s">
        <v>160</v>
      </c>
      <c r="E130" s="309"/>
      <c r="F130" s="309"/>
      <c r="G130" s="309"/>
      <c r="H130" s="357">
        <f>SUM(H127:H129)</f>
        <v>12257159.4</v>
      </c>
      <c r="I130" s="357">
        <f t="shared" ref="I130:T130" si="46">SUM(I127:I129)</f>
        <v>12253905.57</v>
      </c>
      <c r="J130" s="357">
        <f t="shared" si="46"/>
        <v>12169514.15</v>
      </c>
      <c r="K130" s="357">
        <f t="shared" si="46"/>
        <v>12164900.92</v>
      </c>
      <c r="L130" s="357">
        <f t="shared" si="46"/>
        <v>12160888</v>
      </c>
      <c r="M130" s="357">
        <f t="shared" si="46"/>
        <v>12160888</v>
      </c>
      <c r="N130" s="357">
        <f t="shared" si="46"/>
        <v>12144271.529999999</v>
      </c>
      <c r="O130" s="357">
        <f t="shared" si="46"/>
        <v>12146276.529999999</v>
      </c>
      <c r="P130" s="357">
        <f t="shared" si="46"/>
        <v>12001771.58</v>
      </c>
      <c r="Q130" s="357">
        <f t="shared" si="46"/>
        <v>11999268.810000001</v>
      </c>
      <c r="R130" s="357">
        <f t="shared" si="46"/>
        <v>12110734.33</v>
      </c>
      <c r="S130" s="357">
        <f t="shared" si="46"/>
        <v>12079163.01</v>
      </c>
      <c r="T130" s="357">
        <f t="shared" si="46"/>
        <v>12102896.68</v>
      </c>
      <c r="U130" s="357"/>
      <c r="V130" s="584">
        <f>SUM(V127:V129)</f>
        <v>12130967.539166663</v>
      </c>
      <c r="Y130" s="584">
        <f t="shared" si="43"/>
        <v>12102896.68</v>
      </c>
      <c r="Z130" s="584">
        <f t="shared" si="28"/>
        <v>12130967.539166663</v>
      </c>
      <c r="AA130" s="357">
        <f t="shared" si="44"/>
        <v>12130967.539166663</v>
      </c>
      <c r="AB130" s="357">
        <f t="shared" si="45"/>
        <v>12102896.68</v>
      </c>
      <c r="AC130" s="357">
        <f t="shared" si="29"/>
        <v>12130967.539166663</v>
      </c>
      <c r="AD130" s="632">
        <f>AC130-T130</f>
        <v>28070.85916666314</v>
      </c>
      <c r="AE130" s="244">
        <f t="shared" si="37"/>
        <v>123</v>
      </c>
      <c r="AF130" s="244" t="e">
        <f t="shared" si="38"/>
        <v>#REF!</v>
      </c>
      <c r="AG130" s="57">
        <v>-151068.28041666932</v>
      </c>
      <c r="AH130" s="537"/>
      <c r="AI130" s="537"/>
      <c r="AJ130" s="537" t="s">
        <v>160</v>
      </c>
      <c r="AK130" s="537"/>
      <c r="AL130" s="538">
        <f>+T130</f>
        <v>12102896.68</v>
      </c>
      <c r="AM130" s="12">
        <f>AC130</f>
        <v>12130967.539166663</v>
      </c>
      <c r="AN130" s="12">
        <f>AM130-AL130</f>
        <v>28070.85916666314</v>
      </c>
      <c r="AO130" s="7">
        <f t="shared" si="30"/>
        <v>0</v>
      </c>
    </row>
    <row r="131" spans="1:41">
      <c r="A131" s="612" t="e">
        <f t="shared" si="39"/>
        <v>#REF!</v>
      </c>
      <c r="B131" s="309"/>
      <c r="C131" s="309"/>
      <c r="D131" s="309"/>
      <c r="E131" s="309"/>
      <c r="F131" s="309"/>
      <c r="G131" s="309"/>
      <c r="Y131" s="4">
        <f t="shared" si="43"/>
        <v>0</v>
      </c>
      <c r="Z131" s="4">
        <f t="shared" si="28"/>
        <v>0</v>
      </c>
      <c r="AA131" s="2">
        <f t="shared" si="44"/>
        <v>0</v>
      </c>
      <c r="AB131" s="2">
        <f t="shared" si="45"/>
        <v>0</v>
      </c>
      <c r="AC131" s="2">
        <f t="shared" si="29"/>
        <v>0</v>
      </c>
      <c r="AE131" s="244">
        <f t="shared" si="37"/>
        <v>124</v>
      </c>
      <c r="AF131" s="244" t="e">
        <f t="shared" si="38"/>
        <v>#REF!</v>
      </c>
      <c r="AG131" s="57">
        <v>0</v>
      </c>
      <c r="AH131" s="537"/>
      <c r="AI131" s="537"/>
      <c r="AJ131" s="537"/>
      <c r="AK131" s="537"/>
      <c r="AL131" s="538"/>
      <c r="AO131" s="7">
        <f t="shared" si="30"/>
        <v>0</v>
      </c>
    </row>
    <row r="132" spans="1:41">
      <c r="A132" s="612" t="e">
        <f t="shared" si="39"/>
        <v>#REF!</v>
      </c>
      <c r="B132" s="309" t="s">
        <v>258</v>
      </c>
      <c r="C132" s="309" t="s">
        <v>259</v>
      </c>
      <c r="D132" s="309"/>
      <c r="E132" s="309"/>
      <c r="F132" s="309"/>
      <c r="G132" s="309"/>
      <c r="Y132" s="4">
        <f t="shared" si="43"/>
        <v>0</v>
      </c>
      <c r="Z132" s="4">
        <f t="shared" si="28"/>
        <v>0</v>
      </c>
      <c r="AA132" s="2">
        <f t="shared" si="44"/>
        <v>0</v>
      </c>
      <c r="AB132" s="2">
        <f t="shared" si="45"/>
        <v>0</v>
      </c>
      <c r="AC132" s="2">
        <f t="shared" si="29"/>
        <v>0</v>
      </c>
      <c r="AE132" s="244">
        <f t="shared" si="37"/>
        <v>125</v>
      </c>
      <c r="AF132" s="244" t="e">
        <f t="shared" si="38"/>
        <v>#REF!</v>
      </c>
      <c r="AG132" s="57">
        <v>0</v>
      </c>
      <c r="AH132" s="537" t="s">
        <v>258</v>
      </c>
      <c r="AI132" s="537" t="s">
        <v>259</v>
      </c>
      <c r="AJ132" s="537"/>
      <c r="AK132" s="537"/>
      <c r="AL132" s="538"/>
      <c r="AO132" s="7">
        <f t="shared" si="30"/>
        <v>0</v>
      </c>
    </row>
    <row r="133" spans="1:41">
      <c r="A133" s="612" t="e">
        <f t="shared" si="39"/>
        <v>#REF!</v>
      </c>
      <c r="B133" s="309"/>
      <c r="C133" s="309"/>
      <c r="D133" s="309" t="s">
        <v>24</v>
      </c>
      <c r="E133" s="309"/>
      <c r="F133" s="309"/>
      <c r="G133" s="309"/>
      <c r="H133" s="357">
        <f>[13]XNV!H135</f>
        <v>49809.3100000001</v>
      </c>
      <c r="I133" s="357">
        <f>[13]XNV!I135</f>
        <v>49809.31</v>
      </c>
      <c r="J133" s="357">
        <f>[13]XNV!J135</f>
        <v>49809.3100000001</v>
      </c>
      <c r="K133" s="357">
        <f>[13]XNV!K135</f>
        <v>49809.3100000001</v>
      </c>
      <c r="L133" s="357">
        <f>[13]XNV!L135</f>
        <v>91573.830000000075</v>
      </c>
      <c r="M133" s="357">
        <f>[13]XNV!M135</f>
        <v>98853.000000000276</v>
      </c>
      <c r="N133" s="357">
        <f>[13]XNV!N135</f>
        <v>98857.010000000286</v>
      </c>
      <c r="O133" s="357">
        <f>[13]XNV!O135</f>
        <v>100365.69000000022</v>
      </c>
      <c r="P133" s="357">
        <f>[13]XNV!P135</f>
        <v>100365.69</v>
      </c>
      <c r="Q133" s="357">
        <f>[13]XNV!Q135</f>
        <v>100365.69000000022</v>
      </c>
      <c r="R133" s="357">
        <f>[13]XNV!R135</f>
        <v>100471.28000000026</v>
      </c>
      <c r="S133" s="357">
        <f>[13]XNV!S135</f>
        <v>100471.28000000026</v>
      </c>
      <c r="T133" s="357">
        <f>[13]XNV!T135</f>
        <v>100471.2800000003</v>
      </c>
      <c r="U133" s="357"/>
      <c r="V133" s="584">
        <f>(SUM(I133:S133)+(0.5*T133)+(0.5*H133))/12</f>
        <v>84657.641250000161</v>
      </c>
      <c r="Y133" s="584">
        <f t="shared" si="43"/>
        <v>100471.2800000003</v>
      </c>
      <c r="Z133" s="584">
        <f t="shared" si="28"/>
        <v>84657.641250000161</v>
      </c>
      <c r="AA133" s="357">
        <f t="shared" si="44"/>
        <v>84657.641250000161</v>
      </c>
      <c r="AB133" s="357">
        <f t="shared" si="45"/>
        <v>100471.2800000003</v>
      </c>
      <c r="AC133" s="357">
        <f t="shared" si="29"/>
        <v>84657.641250000161</v>
      </c>
      <c r="AD133" s="632">
        <f>AC133-T133</f>
        <v>-15813.638750000144</v>
      </c>
      <c r="AE133" s="244">
        <f t="shared" si="37"/>
        <v>126</v>
      </c>
      <c r="AF133" s="244" t="e">
        <f t="shared" si="38"/>
        <v>#REF!</v>
      </c>
      <c r="AG133" s="57">
        <v>45643.757500000298</v>
      </c>
      <c r="AH133" s="537"/>
      <c r="AI133" s="537"/>
      <c r="AJ133" s="537" t="s">
        <v>581</v>
      </c>
      <c r="AK133" s="537"/>
      <c r="AL133" s="538">
        <f>+T133</f>
        <v>100471.2800000003</v>
      </c>
      <c r="AM133" s="12">
        <f>AC133</f>
        <v>84657.641250000161</v>
      </c>
      <c r="AN133" s="12">
        <f>AM133-AL133</f>
        <v>-15813.638750000144</v>
      </c>
      <c r="AO133" s="7">
        <f t="shared" si="30"/>
        <v>0</v>
      </c>
    </row>
    <row r="134" spans="1:41">
      <c r="A134" s="612" t="e">
        <f t="shared" si="39"/>
        <v>#REF!</v>
      </c>
      <c r="B134" s="309"/>
      <c r="C134" s="309"/>
      <c r="D134" s="309" t="s">
        <v>13</v>
      </c>
      <c r="E134" s="309"/>
      <c r="F134" s="309"/>
      <c r="G134" s="309"/>
      <c r="H134" s="624">
        <f>[13]XNV!H136</f>
        <v>15675305.119999999</v>
      </c>
      <c r="I134" s="624">
        <f>[13]XNV!I136</f>
        <v>15675305.119999999</v>
      </c>
      <c r="J134" s="624">
        <f>[13]XNV!J136</f>
        <v>15763113.449999999</v>
      </c>
      <c r="K134" s="624">
        <f>[13]XNV!K136</f>
        <v>15652531.799999999</v>
      </c>
      <c r="L134" s="624">
        <f>[13]XNV!L136</f>
        <v>15705182.18</v>
      </c>
      <c r="M134" s="624">
        <f>[13]XNV!M136</f>
        <v>15715937.99</v>
      </c>
      <c r="N134" s="624">
        <f>[13]XNV!N136</f>
        <v>14315009.34</v>
      </c>
      <c r="O134" s="624">
        <f>[13]XNV!O136</f>
        <v>14334407.17</v>
      </c>
      <c r="P134" s="624">
        <f>[13]XNV!P136</f>
        <v>14370288.33</v>
      </c>
      <c r="Q134" s="624">
        <f>[13]XNV!Q136</f>
        <v>14370288.33</v>
      </c>
      <c r="R134" s="624">
        <f>[13]XNV!R136</f>
        <v>14839806.489999998</v>
      </c>
      <c r="S134" s="624">
        <f>[13]XNV!S136</f>
        <v>15146610.449999999</v>
      </c>
      <c r="T134" s="624">
        <f>[13]XNV!T136</f>
        <v>15148750.27</v>
      </c>
      <c r="U134" s="624"/>
      <c r="V134" s="623">
        <f>(SUM(I134:S134)+(0.5*T134)+(0.5*H134))/12</f>
        <v>15108375.695416667</v>
      </c>
      <c r="Y134" s="623">
        <f t="shared" si="43"/>
        <v>15148750.27</v>
      </c>
      <c r="Z134" s="623">
        <f t="shared" si="28"/>
        <v>15108375.695416667</v>
      </c>
      <c r="AA134" s="624">
        <f t="shared" si="44"/>
        <v>15108375.695416667</v>
      </c>
      <c r="AB134" s="624">
        <f t="shared" si="45"/>
        <v>15148750.27</v>
      </c>
      <c r="AC134" s="624">
        <f t="shared" si="29"/>
        <v>15108375.695416667</v>
      </c>
      <c r="AD134" s="635">
        <f>AC134-T134</f>
        <v>-40374.574583332986</v>
      </c>
      <c r="AE134" s="244">
        <f t="shared" si="37"/>
        <v>127</v>
      </c>
      <c r="AF134" s="244" t="e">
        <f t="shared" si="38"/>
        <v>#REF!</v>
      </c>
      <c r="AG134" s="57">
        <v>5757580.4083333351</v>
      </c>
      <c r="AH134" s="537"/>
      <c r="AI134" s="537"/>
      <c r="AJ134" s="537" t="s">
        <v>582</v>
      </c>
      <c r="AK134" s="537"/>
      <c r="AL134" s="538">
        <f>+T134</f>
        <v>15148750.27</v>
      </c>
      <c r="AM134" s="12">
        <f>AC134</f>
        <v>15108375.695416667</v>
      </c>
      <c r="AN134" s="12">
        <f>AM134-AL134</f>
        <v>-40374.574583332986</v>
      </c>
      <c r="AO134" s="7">
        <f t="shared" si="30"/>
        <v>0</v>
      </c>
    </row>
    <row r="135" spans="1:41">
      <c r="A135" s="612" t="e">
        <f t="shared" si="39"/>
        <v>#REF!</v>
      </c>
      <c r="B135" s="309"/>
      <c r="C135" s="309"/>
      <c r="D135" s="309" t="s">
        <v>160</v>
      </c>
      <c r="E135" s="309"/>
      <c r="F135" s="309"/>
      <c r="G135" s="309"/>
      <c r="H135" s="357">
        <f>SUM(H133:H134)</f>
        <v>15725114.43</v>
      </c>
      <c r="I135" s="357">
        <f t="shared" ref="I135:T135" si="47">SUM(I133:I134)</f>
        <v>15725114.43</v>
      </c>
      <c r="J135" s="357">
        <f t="shared" si="47"/>
        <v>15812922.76</v>
      </c>
      <c r="K135" s="357">
        <f t="shared" si="47"/>
        <v>15702341.109999999</v>
      </c>
      <c r="L135" s="357">
        <f t="shared" si="47"/>
        <v>15796756.01</v>
      </c>
      <c r="M135" s="357">
        <f t="shared" si="47"/>
        <v>15814790.99</v>
      </c>
      <c r="N135" s="357">
        <f t="shared" si="47"/>
        <v>14413866.35</v>
      </c>
      <c r="O135" s="357">
        <f t="shared" si="47"/>
        <v>14434772.859999999</v>
      </c>
      <c r="P135" s="357">
        <f t="shared" si="47"/>
        <v>14470654.02</v>
      </c>
      <c r="Q135" s="357">
        <f t="shared" si="47"/>
        <v>14470654.02</v>
      </c>
      <c r="R135" s="357">
        <f t="shared" si="47"/>
        <v>14940277.77</v>
      </c>
      <c r="S135" s="357">
        <f t="shared" si="47"/>
        <v>15247081.73</v>
      </c>
      <c r="T135" s="357">
        <f t="shared" si="47"/>
        <v>15249221.550000001</v>
      </c>
      <c r="U135" s="357"/>
      <c r="V135" s="584">
        <f>SUM(V133:V134)</f>
        <v>15193033.336666666</v>
      </c>
      <c r="Y135" s="584">
        <f t="shared" si="43"/>
        <v>15249221.550000001</v>
      </c>
      <c r="Z135" s="584">
        <f t="shared" si="28"/>
        <v>15193033.336666666</v>
      </c>
      <c r="AA135" s="357">
        <f t="shared" si="44"/>
        <v>15193033.336666666</v>
      </c>
      <c r="AB135" s="357">
        <f t="shared" si="45"/>
        <v>15249221.550000001</v>
      </c>
      <c r="AC135" s="357">
        <f t="shared" si="29"/>
        <v>15193033.336666666</v>
      </c>
      <c r="AD135" s="632">
        <f>AC135-T135</f>
        <v>-56188.213333334774</v>
      </c>
      <c r="AE135" s="244">
        <f t="shared" si="37"/>
        <v>128</v>
      </c>
      <c r="AF135" s="244" t="e">
        <f t="shared" si="38"/>
        <v>#REF!</v>
      </c>
      <c r="AG135" s="57">
        <v>5803224.1658333344</v>
      </c>
      <c r="AH135" s="537"/>
      <c r="AI135" s="537"/>
      <c r="AJ135" s="537" t="s">
        <v>160</v>
      </c>
      <c r="AK135" s="537"/>
      <c r="AL135" s="538">
        <f>+T135</f>
        <v>15249221.550000001</v>
      </c>
      <c r="AM135" s="12">
        <f>AC135</f>
        <v>15193033.336666666</v>
      </c>
      <c r="AN135" s="12">
        <f>AM135-AL135</f>
        <v>-56188.213333334774</v>
      </c>
      <c r="AO135" s="7">
        <f t="shared" si="30"/>
        <v>0</v>
      </c>
    </row>
    <row r="136" spans="1:41">
      <c r="A136" s="612" t="e">
        <f t="shared" si="39"/>
        <v>#REF!</v>
      </c>
      <c r="B136" s="309"/>
      <c r="C136" s="309"/>
      <c r="D136" s="309"/>
      <c r="E136" s="309"/>
      <c r="F136" s="309"/>
      <c r="G136" s="309"/>
      <c r="AA136" s="2"/>
      <c r="AC136" s="2">
        <f t="shared" si="29"/>
        <v>0</v>
      </c>
      <c r="AE136" s="244">
        <f t="shared" si="37"/>
        <v>129</v>
      </c>
      <c r="AF136" s="244" t="e">
        <f t="shared" si="38"/>
        <v>#REF!</v>
      </c>
      <c r="AG136" s="57">
        <v>0</v>
      </c>
      <c r="AH136" s="537"/>
      <c r="AI136" s="537"/>
      <c r="AJ136" s="537"/>
      <c r="AK136" s="537"/>
      <c r="AL136" s="538"/>
      <c r="AO136" s="7">
        <f t="shared" si="30"/>
        <v>0</v>
      </c>
    </row>
    <row r="137" spans="1:41">
      <c r="A137" s="612" t="e">
        <f t="shared" si="39"/>
        <v>#REF!</v>
      </c>
      <c r="B137" s="309" t="s">
        <v>260</v>
      </c>
      <c r="C137" s="309" t="s">
        <v>261</v>
      </c>
      <c r="D137" s="309"/>
      <c r="E137" s="309"/>
      <c r="F137" s="309"/>
      <c r="G137" s="309"/>
      <c r="AA137" s="2"/>
      <c r="AC137" s="2">
        <f t="shared" si="29"/>
        <v>0</v>
      </c>
      <c r="AE137" s="244">
        <f t="shared" si="37"/>
        <v>130</v>
      </c>
      <c r="AF137" s="244" t="e">
        <f t="shared" si="38"/>
        <v>#REF!</v>
      </c>
      <c r="AG137" s="57">
        <v>0</v>
      </c>
      <c r="AH137" s="537" t="s">
        <v>260</v>
      </c>
      <c r="AI137" s="537" t="s">
        <v>261</v>
      </c>
      <c r="AJ137" s="537"/>
      <c r="AK137" s="537"/>
      <c r="AL137" s="538"/>
      <c r="AO137" s="7">
        <f t="shared" si="30"/>
        <v>0</v>
      </c>
    </row>
    <row r="138" spans="1:41">
      <c r="A138" s="612" t="e">
        <f t="shared" si="39"/>
        <v>#REF!</v>
      </c>
      <c r="B138" s="309"/>
      <c r="C138" s="309"/>
      <c r="D138" s="309" t="s">
        <v>24</v>
      </c>
      <c r="E138" s="309"/>
      <c r="F138" s="309"/>
      <c r="G138" s="309"/>
      <c r="H138" s="357">
        <f>[13]XNV!H140</f>
        <v>3863.92</v>
      </c>
      <c r="I138" s="357">
        <f>[13]XNV!I140</f>
        <v>3863.92</v>
      </c>
      <c r="J138" s="357">
        <f>[13]XNV!J140</f>
        <v>3863.92</v>
      </c>
      <c r="K138" s="357">
        <f>[13]XNV!K140</f>
        <v>3863.92</v>
      </c>
      <c r="L138" s="357">
        <f>[13]XNV!L140</f>
        <v>3863.92</v>
      </c>
      <c r="M138" s="357">
        <f>[13]XNV!M140</f>
        <v>3863.92</v>
      </c>
      <c r="N138" s="357">
        <f>[13]XNV!N140</f>
        <v>3863.92</v>
      </c>
      <c r="O138" s="357">
        <f>[13]XNV!O140</f>
        <v>3863.92</v>
      </c>
      <c r="P138" s="357">
        <f>[13]XNV!P140</f>
        <v>3863.92</v>
      </c>
      <c r="Q138" s="357">
        <f>[13]XNV!Q140</f>
        <v>3863.92</v>
      </c>
      <c r="R138" s="357">
        <f>[13]XNV!R140</f>
        <v>3863.92</v>
      </c>
      <c r="S138" s="357">
        <f>[13]XNV!S140</f>
        <v>3863.92</v>
      </c>
      <c r="T138" s="357">
        <f>[13]XNV!T140</f>
        <v>3863.92</v>
      </c>
      <c r="U138" s="357"/>
      <c r="V138" s="584">
        <f>(SUM(I138:S138)+(0.5*T138)+(0.5*H138))/12</f>
        <v>3863.9199999999987</v>
      </c>
      <c r="Y138" s="584">
        <f>T138</f>
        <v>3863.92</v>
      </c>
      <c r="Z138" s="584">
        <f t="shared" si="28"/>
        <v>3863.9199999999987</v>
      </c>
      <c r="AA138" s="357">
        <f>V138</f>
        <v>3863.9199999999987</v>
      </c>
      <c r="AB138" s="357">
        <f>T138</f>
        <v>3863.92</v>
      </c>
      <c r="AC138" s="357">
        <f t="shared" ref="AC138:AC203" si="48">HLOOKUP($AC$8,RateBaseScenarios,AE138,FALSE)</f>
        <v>3863.9199999999987</v>
      </c>
      <c r="AD138" s="632">
        <f>AC138-T138</f>
        <v>0</v>
      </c>
      <c r="AE138" s="244">
        <f t="shared" si="37"/>
        <v>131</v>
      </c>
      <c r="AF138" s="244" t="e">
        <f t="shared" si="38"/>
        <v>#REF!</v>
      </c>
      <c r="AG138" s="57">
        <v>-2736.9433333333336</v>
      </c>
      <c r="AH138" s="537"/>
      <c r="AI138" s="537"/>
      <c r="AJ138" s="537" t="s">
        <v>581</v>
      </c>
      <c r="AK138" s="537"/>
      <c r="AL138" s="538">
        <f>+T138</f>
        <v>3863.92</v>
      </c>
      <c r="AM138" s="12">
        <f>AC138</f>
        <v>3863.9199999999987</v>
      </c>
      <c r="AN138" s="12">
        <f>AM138-AL138</f>
        <v>0</v>
      </c>
      <c r="AO138" s="7">
        <f t="shared" si="30"/>
        <v>0</v>
      </c>
    </row>
    <row r="139" spans="1:41">
      <c r="A139" s="612" t="e">
        <f t="shared" si="39"/>
        <v>#REF!</v>
      </c>
      <c r="B139" s="309"/>
      <c r="C139" s="309"/>
      <c r="D139" s="309" t="s">
        <v>13</v>
      </c>
      <c r="E139" s="309"/>
      <c r="F139" s="309"/>
      <c r="G139" s="309"/>
      <c r="H139" s="357">
        <f>[13]XNV!H141</f>
        <v>325391.74000000005</v>
      </c>
      <c r="I139" s="357">
        <f>[13]XNV!I141</f>
        <v>325391.74000000005</v>
      </c>
      <c r="J139" s="357">
        <f>[13]XNV!J141</f>
        <v>325391.74000000005</v>
      </c>
      <c r="K139" s="357">
        <f>[13]XNV!K141</f>
        <v>328910.55000000005</v>
      </c>
      <c r="L139" s="357">
        <f>[13]XNV!L141</f>
        <v>328910.55000000005</v>
      </c>
      <c r="M139" s="357">
        <f>[13]XNV!M141</f>
        <v>328910.55000000005</v>
      </c>
      <c r="N139" s="357">
        <f>[13]XNV!N141</f>
        <v>325277.08</v>
      </c>
      <c r="O139" s="357">
        <f>[13]XNV!O141</f>
        <v>325277.08</v>
      </c>
      <c r="P139" s="357">
        <f>[13]XNV!P141</f>
        <v>325277.08</v>
      </c>
      <c r="Q139" s="357">
        <f>[13]XNV!Q141</f>
        <v>325277.08</v>
      </c>
      <c r="R139" s="357">
        <f>[13]XNV!R141</f>
        <v>322484.51</v>
      </c>
      <c r="S139" s="357">
        <f>[13]XNV!S141</f>
        <v>322484.51</v>
      </c>
      <c r="T139" s="357">
        <f>[13]XNV!T141</f>
        <v>322484.51</v>
      </c>
      <c r="U139" s="357"/>
      <c r="V139" s="584">
        <f>(SUM(I139:S139)+(0.5*T139)+(0.5*H139))/12</f>
        <v>325627.54958333331</v>
      </c>
      <c r="Y139" s="584">
        <f>T139</f>
        <v>322484.51</v>
      </c>
      <c r="Z139" s="584">
        <f>V139</f>
        <v>325627.54958333331</v>
      </c>
      <c r="AA139" s="357">
        <f>V139</f>
        <v>325627.54958333331</v>
      </c>
      <c r="AB139" s="357">
        <f>T139</f>
        <v>322484.51</v>
      </c>
      <c r="AC139" s="357">
        <f t="shared" si="48"/>
        <v>325627.54958333331</v>
      </c>
      <c r="AD139" s="632">
        <f>AC139-T139</f>
        <v>3143.0395833333023</v>
      </c>
      <c r="AE139" s="244">
        <f t="shared" si="37"/>
        <v>132</v>
      </c>
      <c r="AF139" s="244" t="e">
        <f t="shared" si="38"/>
        <v>#REF!</v>
      </c>
      <c r="AG139" s="57">
        <v>-57224.493749999965</v>
      </c>
      <c r="AH139" s="537"/>
      <c r="AI139" s="537"/>
      <c r="AJ139" s="537" t="s">
        <v>582</v>
      </c>
      <c r="AK139" s="537"/>
      <c r="AL139" s="538">
        <f>+T139</f>
        <v>322484.51</v>
      </c>
      <c r="AM139" s="12">
        <f>AC139</f>
        <v>325627.54958333331</v>
      </c>
      <c r="AN139" s="12">
        <f>AM139-AL139</f>
        <v>3143.0395833333023</v>
      </c>
      <c r="AO139" s="7">
        <f t="shared" ref="AO139:AO204" si="49">+AL139-T139</f>
        <v>0</v>
      </c>
    </row>
    <row r="140" spans="1:41">
      <c r="A140" s="612" t="e">
        <f t="shared" si="39"/>
        <v>#REF!</v>
      </c>
      <c r="B140" s="309"/>
      <c r="C140" s="309"/>
      <c r="D140" s="309" t="s">
        <v>584</v>
      </c>
      <c r="E140" s="309"/>
      <c r="F140" s="309"/>
      <c r="G140" s="309"/>
      <c r="H140" s="624">
        <f>[13]XNV!H142</f>
        <v>0</v>
      </c>
      <c r="I140" s="624">
        <f>[13]XNV!I142</f>
        <v>0</v>
      </c>
      <c r="J140" s="624">
        <f>[13]XNV!J142</f>
        <v>0</v>
      </c>
      <c r="K140" s="624">
        <f>[13]XNV!K142</f>
        <v>0</v>
      </c>
      <c r="L140" s="624">
        <f>[13]XNV!L142</f>
        <v>0</v>
      </c>
      <c r="M140" s="624">
        <f>[13]XNV!M142</f>
        <v>0</v>
      </c>
      <c r="N140" s="624">
        <f>[13]XNV!N142</f>
        <v>0</v>
      </c>
      <c r="O140" s="624">
        <f>[13]XNV!O142</f>
        <v>0</v>
      </c>
      <c r="P140" s="624">
        <f>[13]XNV!P142</f>
        <v>0</v>
      </c>
      <c r="Q140" s="624">
        <f>[13]XNV!Q142</f>
        <v>0</v>
      </c>
      <c r="R140" s="624">
        <f>[13]XNV!R142</f>
        <v>0</v>
      </c>
      <c r="S140" s="624">
        <f>[13]XNV!S142</f>
        <v>0</v>
      </c>
      <c r="T140" s="624">
        <f>[13]XNV!T142</f>
        <v>0</v>
      </c>
      <c r="U140" s="624"/>
      <c r="V140" s="623">
        <f>(SUM(I140:S140)+(0.5*T140)+(0.5*H140))/12</f>
        <v>0</v>
      </c>
      <c r="Y140" s="623">
        <f>T140</f>
        <v>0</v>
      </c>
      <c r="Z140" s="623">
        <f>V140</f>
        <v>0</v>
      </c>
      <c r="AA140" s="624">
        <f>V140</f>
        <v>0</v>
      </c>
      <c r="AB140" s="624">
        <f>T140</f>
        <v>0</v>
      </c>
      <c r="AC140" s="624">
        <f t="shared" si="48"/>
        <v>0</v>
      </c>
      <c r="AD140" s="635">
        <f>AC140-T140</f>
        <v>0</v>
      </c>
      <c r="AE140" s="244">
        <f t="shared" si="37"/>
        <v>133</v>
      </c>
      <c r="AF140" s="244" t="e">
        <f t="shared" si="38"/>
        <v>#REF!</v>
      </c>
      <c r="AG140" s="57">
        <v>0</v>
      </c>
      <c r="AH140" s="537"/>
      <c r="AI140" s="537"/>
      <c r="AJ140" s="537" t="s">
        <v>584</v>
      </c>
      <c r="AK140" s="537"/>
      <c r="AL140" s="538">
        <f>+T140</f>
        <v>0</v>
      </c>
      <c r="AM140" s="12">
        <f>AC140</f>
        <v>0</v>
      </c>
      <c r="AN140" s="12">
        <f>AM140-AL140</f>
        <v>0</v>
      </c>
      <c r="AO140" s="7">
        <f t="shared" si="49"/>
        <v>0</v>
      </c>
    </row>
    <row r="141" spans="1:41">
      <c r="A141" s="612" t="e">
        <f t="shared" si="39"/>
        <v>#REF!</v>
      </c>
      <c r="B141" s="309"/>
      <c r="C141" s="309"/>
      <c r="D141" s="309" t="s">
        <v>160</v>
      </c>
      <c r="E141" s="309"/>
      <c r="F141" s="309"/>
      <c r="G141" s="309"/>
      <c r="H141" s="357">
        <f>SUM(H138:H140)</f>
        <v>329255.66000000003</v>
      </c>
      <c r="I141" s="357">
        <f t="shared" ref="I141:T141" si="50">SUM(I138:I140)</f>
        <v>329255.66000000003</v>
      </c>
      <c r="J141" s="357">
        <f t="shared" si="50"/>
        <v>329255.66000000003</v>
      </c>
      <c r="K141" s="357">
        <f t="shared" si="50"/>
        <v>332774.47000000003</v>
      </c>
      <c r="L141" s="357">
        <f t="shared" si="50"/>
        <v>332774.47000000003</v>
      </c>
      <c r="M141" s="357">
        <f t="shared" si="50"/>
        <v>332774.47000000003</v>
      </c>
      <c r="N141" s="357">
        <f t="shared" si="50"/>
        <v>329141</v>
      </c>
      <c r="O141" s="357">
        <f t="shared" si="50"/>
        <v>329141</v>
      </c>
      <c r="P141" s="357">
        <f t="shared" si="50"/>
        <v>329141</v>
      </c>
      <c r="Q141" s="357">
        <f t="shared" si="50"/>
        <v>329141</v>
      </c>
      <c r="R141" s="357">
        <f t="shared" si="50"/>
        <v>326348.43</v>
      </c>
      <c r="S141" s="357">
        <f t="shared" si="50"/>
        <v>326348.43</v>
      </c>
      <c r="T141" s="357">
        <f t="shared" si="50"/>
        <v>326348.43</v>
      </c>
      <c r="U141" s="357"/>
      <c r="V141" s="584">
        <f>SUM(V138:V140)</f>
        <v>329491.4695833333</v>
      </c>
      <c r="Y141" s="584">
        <f>T141</f>
        <v>326348.43</v>
      </c>
      <c r="Z141" s="584">
        <f>V141</f>
        <v>329491.4695833333</v>
      </c>
      <c r="AA141" s="357">
        <f>V141</f>
        <v>329491.4695833333</v>
      </c>
      <c r="AB141" s="357">
        <f>T141</f>
        <v>326348.43</v>
      </c>
      <c r="AC141" s="357">
        <f t="shared" si="48"/>
        <v>329491.4695833333</v>
      </c>
      <c r="AD141" s="632">
        <f>AC141-T141</f>
        <v>3143.0395833333023</v>
      </c>
      <c r="AE141" s="244">
        <f t="shared" si="37"/>
        <v>134</v>
      </c>
      <c r="AF141" s="244" t="e">
        <f t="shared" si="38"/>
        <v>#REF!</v>
      </c>
      <c r="AG141" s="57">
        <v>-59961.437083333323</v>
      </c>
      <c r="AH141" s="537"/>
      <c r="AI141" s="537"/>
      <c r="AJ141" s="537" t="s">
        <v>160</v>
      </c>
      <c r="AK141" s="537"/>
      <c r="AL141" s="538">
        <f>+T141</f>
        <v>326348.43</v>
      </c>
      <c r="AM141" s="12">
        <f>AC141</f>
        <v>329491.4695833333</v>
      </c>
      <c r="AN141" s="12">
        <f>AM141-AL141</f>
        <v>3143.0395833333023</v>
      </c>
      <c r="AO141" s="7">
        <f t="shared" si="49"/>
        <v>0</v>
      </c>
    </row>
    <row r="142" spans="1:41">
      <c r="A142" s="612" t="e">
        <f t="shared" si="39"/>
        <v>#REF!</v>
      </c>
      <c r="B142" s="58"/>
      <c r="C142" s="309"/>
      <c r="D142" s="309"/>
      <c r="E142" s="309"/>
      <c r="F142" s="309"/>
      <c r="G142" s="309"/>
      <c r="AA142" s="2"/>
      <c r="AC142" s="2">
        <f t="shared" si="48"/>
        <v>0</v>
      </c>
      <c r="AE142" s="244">
        <f t="shared" si="37"/>
        <v>135</v>
      </c>
      <c r="AF142" s="244" t="e">
        <f t="shared" si="38"/>
        <v>#REF!</v>
      </c>
      <c r="AG142" s="57">
        <v>0</v>
      </c>
      <c r="AH142" s="58"/>
      <c r="AI142" s="537"/>
      <c r="AJ142" s="537"/>
      <c r="AK142" s="537"/>
      <c r="AL142" s="538"/>
      <c r="AO142" s="7">
        <f t="shared" si="49"/>
        <v>0</v>
      </c>
    </row>
    <row r="143" spans="1:41">
      <c r="A143" s="612" t="e">
        <f>+#REF!+1</f>
        <v>#REF!</v>
      </c>
      <c r="B143" s="309"/>
      <c r="C143" s="309" t="s">
        <v>262</v>
      </c>
      <c r="D143" s="309"/>
      <c r="E143" s="309"/>
      <c r="F143" s="309"/>
      <c r="G143" s="309"/>
      <c r="H143" s="357">
        <f>H141+H135+H130+H124+H118+H112+H107+H101+H95+H89</f>
        <v>288377282.63</v>
      </c>
      <c r="I143" s="357">
        <f t="shared" ref="I143:T143" si="51">I141+I135+I130+I124+I118+I112+I107+I101+I95+I89</f>
        <v>271341047.35000002</v>
      </c>
      <c r="J143" s="357">
        <f t="shared" si="51"/>
        <v>270733620.44</v>
      </c>
      <c r="K143" s="357">
        <f t="shared" si="51"/>
        <v>267487591.42000002</v>
      </c>
      <c r="L143" s="357">
        <f t="shared" si="51"/>
        <v>268387618.5</v>
      </c>
      <c r="M143" s="357">
        <f t="shared" si="51"/>
        <v>269124515.71000004</v>
      </c>
      <c r="N143" s="357">
        <f t="shared" si="51"/>
        <v>263468399.38999999</v>
      </c>
      <c r="O143" s="357">
        <f t="shared" si="51"/>
        <v>263808067.01000002</v>
      </c>
      <c r="P143" s="357">
        <f t="shared" si="51"/>
        <v>264248855.89999998</v>
      </c>
      <c r="Q143" s="357">
        <f t="shared" si="51"/>
        <v>264344772.99000001</v>
      </c>
      <c r="R143" s="357">
        <f t="shared" si="51"/>
        <v>265740947.22000003</v>
      </c>
      <c r="S143" s="357">
        <f t="shared" si="51"/>
        <v>266571777.37</v>
      </c>
      <c r="T143" s="357">
        <f t="shared" si="51"/>
        <v>265546026.53</v>
      </c>
      <c r="U143" s="357"/>
      <c r="V143" s="584">
        <f>V141+V135+V130+V124+V118+V112+V107+V101+V95+V89</f>
        <v>267684905.65666667</v>
      </c>
      <c r="Y143" s="584">
        <f>Y141+Y135+Y130+Y124+Y118+Y112+Y107+Y101+Y95+Y89</f>
        <v>265546026.53</v>
      </c>
      <c r="Z143" s="584">
        <f>Z141+Z135+Z130+Z124+Z118+Z112+Z107+Z101+Z95+Z89</f>
        <v>267684905.65666667</v>
      </c>
      <c r="AA143" s="584">
        <f>AA141+AA135+AA130+AA124+AA118+AA112+AA107+AA101+AA95+AA89</f>
        <v>267684905.65666667</v>
      </c>
      <c r="AB143" s="584">
        <f>AB141+AB135+AB130+AB124+AB118+AB112+AB107+AB101+AB95+AB89</f>
        <v>265546026.53</v>
      </c>
      <c r="AC143" s="357">
        <f t="shared" si="48"/>
        <v>267684905.65666667</v>
      </c>
      <c r="AD143" s="632">
        <f>AC143-T143</f>
        <v>2138879.1266666651</v>
      </c>
      <c r="AE143" s="244">
        <f t="shared" si="37"/>
        <v>136</v>
      </c>
      <c r="AF143" s="244" t="e">
        <f>+#REF!+1</f>
        <v>#REF!</v>
      </c>
      <c r="AG143" s="57">
        <v>3720438.714166671</v>
      </c>
      <c r="AH143" s="537"/>
      <c r="AI143" s="537" t="s">
        <v>262</v>
      </c>
      <c r="AJ143" s="537"/>
      <c r="AK143" s="537"/>
      <c r="AL143" s="538">
        <f>+T143</f>
        <v>265546026.53</v>
      </c>
      <c r="AM143" s="12">
        <f>AC143</f>
        <v>267684905.65666667</v>
      </c>
      <c r="AN143" s="12">
        <f>AM143-AL143</f>
        <v>2138879.1266666651</v>
      </c>
      <c r="AO143" s="7">
        <f t="shared" si="49"/>
        <v>0</v>
      </c>
    </row>
    <row r="144" spans="1:41">
      <c r="A144" s="612" t="e">
        <f t="shared" si="39"/>
        <v>#REF!</v>
      </c>
      <c r="B144" s="570"/>
      <c r="C144" s="309"/>
      <c r="D144" s="309"/>
      <c r="AA144" s="2"/>
      <c r="AC144" s="2">
        <f t="shared" si="48"/>
        <v>0</v>
      </c>
      <c r="AE144" s="244">
        <f t="shared" si="37"/>
        <v>137</v>
      </c>
      <c r="AF144" s="244" t="e">
        <f t="shared" si="38"/>
        <v>#REF!</v>
      </c>
      <c r="AG144" s="57">
        <v>0</v>
      </c>
      <c r="AH144" s="542"/>
      <c r="AI144" s="180"/>
      <c r="AJ144" s="537"/>
      <c r="AK144" s="537"/>
      <c r="AL144" s="538"/>
      <c r="AO144" s="7">
        <f t="shared" si="49"/>
        <v>0</v>
      </c>
    </row>
    <row r="145" spans="1:41">
      <c r="A145" s="612" t="e">
        <f t="shared" si="39"/>
        <v>#REF!</v>
      </c>
      <c r="B145" s="392">
        <v>101</v>
      </c>
      <c r="C145" s="309" t="s">
        <v>648</v>
      </c>
      <c r="D145" s="309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584"/>
      <c r="Y145" s="584"/>
      <c r="Z145" s="584"/>
      <c r="AA145" s="357"/>
      <c r="AB145" s="357"/>
      <c r="AC145" s="357">
        <f t="shared" si="48"/>
        <v>0</v>
      </c>
      <c r="AD145" s="632"/>
      <c r="AE145" s="244">
        <f t="shared" si="37"/>
        <v>138</v>
      </c>
      <c r="AF145" s="244" t="e">
        <f t="shared" si="38"/>
        <v>#REF!</v>
      </c>
      <c r="AG145" s="57">
        <v>0</v>
      </c>
      <c r="AH145" s="542"/>
      <c r="AI145" s="180"/>
      <c r="AJ145" s="537"/>
      <c r="AK145" s="537"/>
      <c r="AL145" s="538"/>
      <c r="AO145" s="7">
        <f t="shared" si="49"/>
        <v>0</v>
      </c>
    </row>
    <row r="146" spans="1:41">
      <c r="A146" s="612" t="e">
        <f t="shared" si="39"/>
        <v>#REF!</v>
      </c>
      <c r="B146" s="392"/>
      <c r="C146" s="309"/>
      <c r="D146" s="309" t="s">
        <v>427</v>
      </c>
      <c r="H146" s="323">
        <f t="shared" ref="H146:T146" si="52">H29</f>
        <v>79968136</v>
      </c>
      <c r="I146" s="323">
        <f t="shared" si="52"/>
        <v>79968136</v>
      </c>
      <c r="J146" s="323">
        <f t="shared" si="52"/>
        <v>79968136</v>
      </c>
      <c r="K146" s="323">
        <f t="shared" si="52"/>
        <v>79968136</v>
      </c>
      <c r="L146" s="323">
        <f t="shared" si="52"/>
        <v>79968136</v>
      </c>
      <c r="M146" s="323">
        <f t="shared" si="52"/>
        <v>79968136</v>
      </c>
      <c r="N146" s="323">
        <f t="shared" si="52"/>
        <v>79968136</v>
      </c>
      <c r="O146" s="323">
        <f t="shared" si="52"/>
        <v>79968136</v>
      </c>
      <c r="P146" s="323">
        <f t="shared" si="52"/>
        <v>79968136</v>
      </c>
      <c r="Q146" s="323">
        <f t="shared" si="52"/>
        <v>79968136</v>
      </c>
      <c r="R146" s="323">
        <f t="shared" si="52"/>
        <v>79968136</v>
      </c>
      <c r="S146" s="323">
        <f t="shared" si="52"/>
        <v>79968136</v>
      </c>
      <c r="T146" s="323">
        <f t="shared" si="52"/>
        <v>79968136</v>
      </c>
      <c r="U146" s="323"/>
      <c r="V146" s="513">
        <f>(SUM(I146:S146)+(0.5*T146)+(0.5*H146))/12</f>
        <v>79968136</v>
      </c>
      <c r="Y146" s="513">
        <f>Y29</f>
        <v>79968136</v>
      </c>
      <c r="Z146" s="513">
        <f>Z29</f>
        <v>79968136</v>
      </c>
      <c r="AA146" s="323">
        <f>AA29</f>
        <v>79968136</v>
      </c>
      <c r="AB146" s="323">
        <f>AB29</f>
        <v>79968136</v>
      </c>
      <c r="AC146" s="323">
        <f t="shared" si="48"/>
        <v>79968136</v>
      </c>
      <c r="AD146" s="637">
        <f>AC146-T146</f>
        <v>0</v>
      </c>
      <c r="AE146" s="244">
        <f t="shared" si="37"/>
        <v>139</v>
      </c>
      <c r="AF146" s="244" t="e">
        <f t="shared" si="38"/>
        <v>#REF!</v>
      </c>
      <c r="AG146" s="57">
        <v>1209425.5162500143</v>
      </c>
      <c r="AH146" s="542" t="s">
        <v>191</v>
      </c>
      <c r="AI146" s="537"/>
      <c r="AJ146" s="537" t="s">
        <v>427</v>
      </c>
      <c r="AK146" s="537"/>
      <c r="AL146" s="538">
        <f>+T146</f>
        <v>79968136</v>
      </c>
      <c r="AM146" s="12">
        <f>AC146</f>
        <v>79968136</v>
      </c>
      <c r="AN146" s="12">
        <f>AM146-AL146</f>
        <v>0</v>
      </c>
      <c r="AO146" s="7">
        <f t="shared" si="49"/>
        <v>0</v>
      </c>
    </row>
    <row r="147" spans="1:41">
      <c r="A147" s="612" t="e">
        <f t="shared" si="39"/>
        <v>#REF!</v>
      </c>
      <c r="B147" s="392"/>
      <c r="C147" s="309"/>
      <c r="D147" s="309" t="s">
        <v>581</v>
      </c>
      <c r="H147" s="323">
        <f>H15+H33+H38+H46+H54+H59+H64+H69+H74+H79</f>
        <v>76941299.304000005</v>
      </c>
      <c r="I147" s="323">
        <f t="shared" ref="I147:T147" si="53">I15+I33+I38+I46+I54+I59+I64+I69+I74+I79</f>
        <v>77089117.090000004</v>
      </c>
      <c r="J147" s="323">
        <f t="shared" si="53"/>
        <v>77481584.384000003</v>
      </c>
      <c r="K147" s="323">
        <f t="shared" si="53"/>
        <v>77599324.613999993</v>
      </c>
      <c r="L147" s="323">
        <f t="shared" si="53"/>
        <v>77752607.334000006</v>
      </c>
      <c r="M147" s="323">
        <f t="shared" si="53"/>
        <v>77763501.343999982</v>
      </c>
      <c r="N147" s="323">
        <f t="shared" si="53"/>
        <v>77798571.453999996</v>
      </c>
      <c r="O147" s="323">
        <f t="shared" si="53"/>
        <v>77347090.123999998</v>
      </c>
      <c r="P147" s="323">
        <f t="shared" si="53"/>
        <v>79408792.829999998</v>
      </c>
      <c r="Q147" s="323">
        <f t="shared" si="53"/>
        <v>79400329.953999996</v>
      </c>
      <c r="R147" s="323">
        <f t="shared" si="53"/>
        <v>80647823.423999995</v>
      </c>
      <c r="S147" s="323">
        <f t="shared" si="53"/>
        <v>80858805.523999989</v>
      </c>
      <c r="T147" s="323">
        <f t="shared" si="53"/>
        <v>82055245.603999987</v>
      </c>
      <c r="U147" s="323"/>
      <c r="V147" s="513">
        <f>(SUM(I147:S147)+(0.5*T147)+(0.5*H147))/12</f>
        <v>78553818.377499998</v>
      </c>
      <c r="Y147" s="323">
        <f t="shared" ref="Y147:AB147" si="54">Y15+Y33+Y38+Y46+Y54+Y59+Y64+Y69+Y74+Y79</f>
        <v>82055245.603999987</v>
      </c>
      <c r="Z147" s="323">
        <f t="shared" si="54"/>
        <v>78553818.377499998</v>
      </c>
      <c r="AA147" s="323">
        <f t="shared" si="54"/>
        <v>78553818.377499998</v>
      </c>
      <c r="AB147" s="323">
        <f t="shared" si="54"/>
        <v>82055245.603999987</v>
      </c>
      <c r="AC147" s="323">
        <f t="shared" si="48"/>
        <v>78553818.377499998</v>
      </c>
      <c r="AD147" s="637">
        <f>AC147-T147</f>
        <v>-3501427.2264999896</v>
      </c>
      <c r="AE147" s="244">
        <f t="shared" si="37"/>
        <v>140</v>
      </c>
      <c r="AF147" s="244" t="e">
        <f t="shared" si="38"/>
        <v>#REF!</v>
      </c>
      <c r="AG147" s="57">
        <v>-3585042.2199166715</v>
      </c>
      <c r="AH147" s="542"/>
      <c r="AI147" s="537"/>
      <c r="AJ147" s="537" t="s">
        <v>581</v>
      </c>
      <c r="AK147" s="537"/>
      <c r="AL147" s="538">
        <f>+T147</f>
        <v>82055245.603999987</v>
      </c>
      <c r="AM147" s="12">
        <f>AC147</f>
        <v>78553818.377499998</v>
      </c>
      <c r="AN147" s="12">
        <f>AM147-AL147</f>
        <v>-3501427.2264999896</v>
      </c>
      <c r="AO147" s="7">
        <f t="shared" si="49"/>
        <v>0</v>
      </c>
    </row>
    <row r="148" spans="1:41">
      <c r="A148" s="612" t="e">
        <f t="shared" si="39"/>
        <v>#REF!</v>
      </c>
      <c r="B148" s="392"/>
      <c r="C148" s="309"/>
      <c r="D148" s="309" t="s">
        <v>582</v>
      </c>
      <c r="H148" s="323">
        <f>H16+H34+H39+H50+H55+H60+H65+H70+H75+H80</f>
        <v>2284446301.296</v>
      </c>
      <c r="I148" s="323">
        <f t="shared" ref="I148:T148" si="55">I16+I34+I39+I50+I55+I60+I65+I70+I75+I80</f>
        <v>2293943489.9699998</v>
      </c>
      <c r="J148" s="323">
        <f t="shared" si="55"/>
        <v>2299087189.6760001</v>
      </c>
      <c r="K148" s="323">
        <f t="shared" si="55"/>
        <v>2313074026.6059999</v>
      </c>
      <c r="L148" s="323">
        <f t="shared" si="55"/>
        <v>2331273859.8260002</v>
      </c>
      <c r="M148" s="323">
        <f t="shared" si="55"/>
        <v>2336972208.3059998</v>
      </c>
      <c r="N148" s="323">
        <f t="shared" si="55"/>
        <v>2342958115.7359996</v>
      </c>
      <c r="O148" s="323">
        <f t="shared" si="55"/>
        <v>2348332297.296</v>
      </c>
      <c r="P148" s="323">
        <f t="shared" si="55"/>
        <v>2393235850.8699999</v>
      </c>
      <c r="Q148" s="323">
        <f t="shared" si="55"/>
        <v>2394009985.1059999</v>
      </c>
      <c r="R148" s="323">
        <f t="shared" si="55"/>
        <v>2421745750.0959997</v>
      </c>
      <c r="S148" s="323">
        <f t="shared" si="55"/>
        <v>2433223386.8260002</v>
      </c>
      <c r="T148" s="323">
        <f t="shared" si="55"/>
        <v>2447896239.6560001</v>
      </c>
      <c r="U148" s="323"/>
      <c r="V148" s="513">
        <f>(SUM(I148:S148)+(0.5*T148)+(0.5*H148))/12</f>
        <v>2356168952.5658331</v>
      </c>
      <c r="Y148" s="323">
        <f t="shared" ref="Y148:AB148" si="56">Y16+Y34+Y39+Y50+Y55+Y60+Y65+Y70+Y75+Y80</f>
        <v>2447896239.6560001</v>
      </c>
      <c r="Z148" s="323">
        <f t="shared" si="56"/>
        <v>2356168952.5658336</v>
      </c>
      <c r="AA148" s="323">
        <f t="shared" si="56"/>
        <v>2356168952.5658336</v>
      </c>
      <c r="AB148" s="323">
        <f t="shared" si="56"/>
        <v>2447896239.6560001</v>
      </c>
      <c r="AC148" s="323">
        <f t="shared" si="48"/>
        <v>2356168952.5658336</v>
      </c>
      <c r="AD148" s="637">
        <f>AC148-T148</f>
        <v>-91727287.090166569</v>
      </c>
      <c r="AE148" s="244">
        <f t="shared" si="37"/>
        <v>141</v>
      </c>
      <c r="AF148" s="244" t="e">
        <f t="shared" si="38"/>
        <v>#REF!</v>
      </c>
      <c r="AG148" s="57">
        <v>-60177632.848833561</v>
      </c>
      <c r="AH148" s="542"/>
      <c r="AI148" s="537"/>
      <c r="AJ148" s="537" t="s">
        <v>582</v>
      </c>
      <c r="AK148" s="537"/>
      <c r="AL148" s="538">
        <f>+T148</f>
        <v>2447896239.6560001</v>
      </c>
      <c r="AM148" s="12">
        <f>AC148</f>
        <v>2356168952.5658336</v>
      </c>
      <c r="AN148" s="12">
        <f>AM148-AL148</f>
        <v>-91727287.090166569</v>
      </c>
      <c r="AO148" s="7">
        <f t="shared" si="49"/>
        <v>0</v>
      </c>
    </row>
    <row r="149" spans="1:41">
      <c r="A149" s="612" t="e">
        <f t="shared" si="39"/>
        <v>#REF!</v>
      </c>
      <c r="B149" s="392"/>
      <c r="C149" s="309"/>
      <c r="D149" s="309" t="s">
        <v>584</v>
      </c>
      <c r="H149" s="323">
        <f>H143</f>
        <v>288377282.63</v>
      </c>
      <c r="I149" s="323">
        <f t="shared" ref="I149:T149" si="57">I143</f>
        <v>271341047.35000002</v>
      </c>
      <c r="J149" s="323">
        <f t="shared" si="57"/>
        <v>270733620.44</v>
      </c>
      <c r="K149" s="323">
        <f t="shared" si="57"/>
        <v>267487591.42000002</v>
      </c>
      <c r="L149" s="323">
        <f t="shared" si="57"/>
        <v>268387618.5</v>
      </c>
      <c r="M149" s="323">
        <f t="shared" si="57"/>
        <v>269124515.71000004</v>
      </c>
      <c r="N149" s="323">
        <f t="shared" si="57"/>
        <v>263468399.38999999</v>
      </c>
      <c r="O149" s="323">
        <f t="shared" si="57"/>
        <v>263808067.01000002</v>
      </c>
      <c r="P149" s="323">
        <f t="shared" si="57"/>
        <v>264248855.89999998</v>
      </c>
      <c r="Q149" s="323">
        <f t="shared" si="57"/>
        <v>264344772.99000001</v>
      </c>
      <c r="R149" s="323">
        <f t="shared" si="57"/>
        <v>265740947.22000003</v>
      </c>
      <c r="S149" s="323">
        <f t="shared" si="57"/>
        <v>266571777.37</v>
      </c>
      <c r="T149" s="323">
        <f t="shared" si="57"/>
        <v>265546026.53</v>
      </c>
      <c r="U149" s="323"/>
      <c r="V149" s="513">
        <f>(SUM(I149:S149)+(0.5*T149)+(0.5*H149))/12</f>
        <v>267684905.65666667</v>
      </c>
      <c r="Y149" s="513">
        <f>Y143</f>
        <v>265546026.53</v>
      </c>
      <c r="Z149" s="513">
        <f>Z143</f>
        <v>267684905.65666667</v>
      </c>
      <c r="AA149" s="323">
        <f>AA143</f>
        <v>267684905.65666667</v>
      </c>
      <c r="AB149" s="323">
        <f>AB143</f>
        <v>265546026.53</v>
      </c>
      <c r="AC149" s="323">
        <f t="shared" si="48"/>
        <v>267684905.65666667</v>
      </c>
      <c r="AD149" s="643">
        <f>AC149-T149</f>
        <v>2138879.1266666651</v>
      </c>
      <c r="AE149" s="244">
        <f t="shared" si="37"/>
        <v>142</v>
      </c>
      <c r="AF149" s="244" t="e">
        <f t="shared" si="38"/>
        <v>#REF!</v>
      </c>
      <c r="AG149" s="57">
        <v>3720438.714166671</v>
      </c>
      <c r="AH149" s="542"/>
      <c r="AI149" s="537"/>
      <c r="AJ149" s="537" t="s">
        <v>584</v>
      </c>
      <c r="AK149" s="537"/>
      <c r="AL149" s="538">
        <f>+T149</f>
        <v>265546026.53</v>
      </c>
      <c r="AM149" s="427">
        <f>AC149</f>
        <v>267684905.65666667</v>
      </c>
      <c r="AN149" s="427">
        <f>AM149-AL149</f>
        <v>2138879.1266666651</v>
      </c>
      <c r="AO149" s="7">
        <f t="shared" si="49"/>
        <v>0</v>
      </c>
    </row>
    <row r="150" spans="1:41">
      <c r="A150" s="612" t="e">
        <f t="shared" si="39"/>
        <v>#REF!</v>
      </c>
      <c r="B150" s="392"/>
      <c r="C150" s="309"/>
      <c r="D150" s="309" t="s">
        <v>648</v>
      </c>
      <c r="H150" s="388">
        <f>SUM(H146:H149)</f>
        <v>2729733019.23</v>
      </c>
      <c r="I150" s="388">
        <f t="shared" ref="I150:T150" si="58">SUM(I146:I149)</f>
        <v>2722341790.4099998</v>
      </c>
      <c r="J150" s="388">
        <f t="shared" si="58"/>
        <v>2727270530.5</v>
      </c>
      <c r="K150" s="388">
        <f t="shared" si="58"/>
        <v>2738129078.6399999</v>
      </c>
      <c r="L150" s="388">
        <f t="shared" si="58"/>
        <v>2757382221.6600003</v>
      </c>
      <c r="M150" s="388">
        <f t="shared" si="58"/>
        <v>2763828361.3599997</v>
      </c>
      <c r="N150" s="388">
        <f t="shared" si="58"/>
        <v>2764193222.5799994</v>
      </c>
      <c r="O150" s="388">
        <f t="shared" si="58"/>
        <v>2769455590.4300003</v>
      </c>
      <c r="P150" s="388">
        <f t="shared" si="58"/>
        <v>2816861635.5999999</v>
      </c>
      <c r="Q150" s="388">
        <f t="shared" si="58"/>
        <v>2817723224.0500002</v>
      </c>
      <c r="R150" s="388">
        <f t="shared" si="58"/>
        <v>2848102656.7399998</v>
      </c>
      <c r="S150" s="388">
        <f t="shared" si="58"/>
        <v>2860622105.7200003</v>
      </c>
      <c r="T150" s="388">
        <f t="shared" si="58"/>
        <v>2875465647.7900004</v>
      </c>
      <c r="U150" s="388"/>
      <c r="V150" s="625">
        <f>(SUM(I150:S150)+(0.5*T150)+(0.5*H150))/12</f>
        <v>2782375812.6000004</v>
      </c>
      <c r="Y150" s="625">
        <f>SUM(Y146:Y149)</f>
        <v>2875465647.7900004</v>
      </c>
      <c r="Z150" s="625">
        <f>SUM(Z146:Z149)</f>
        <v>2782375812.6000004</v>
      </c>
      <c r="AA150" s="388">
        <f>SUM(AA146:AA149)</f>
        <v>2782375812.6000004</v>
      </c>
      <c r="AB150" s="388">
        <f>SUM(AB146:AB149)</f>
        <v>2875465647.7900004</v>
      </c>
      <c r="AC150" s="388">
        <f t="shared" si="48"/>
        <v>2782375812.6000004</v>
      </c>
      <c r="AD150" s="637">
        <f>AC150-T150</f>
        <v>-93089835.190000057</v>
      </c>
      <c r="AE150" s="244">
        <f t="shared" si="37"/>
        <v>143</v>
      </c>
      <c r="AF150" s="244" t="e">
        <f t="shared" si="38"/>
        <v>#REF!</v>
      </c>
      <c r="AG150" s="57">
        <v>-58832810.838333368</v>
      </c>
      <c r="AH150" s="542"/>
      <c r="AI150" s="537"/>
      <c r="AJ150" s="180" t="s">
        <v>648</v>
      </c>
      <c r="AK150" s="537"/>
      <c r="AL150" s="543">
        <f>SUM(AL146:AL149)</f>
        <v>2875465647.7900004</v>
      </c>
      <c r="AM150" s="12">
        <f>AC150</f>
        <v>2782375812.6000004</v>
      </c>
      <c r="AN150" s="12">
        <f>AM150-AL150</f>
        <v>-93089835.190000057</v>
      </c>
      <c r="AO150" s="7">
        <f t="shared" si="49"/>
        <v>0</v>
      </c>
    </row>
    <row r="151" spans="1:41">
      <c r="A151" s="612" t="e">
        <f t="shared" si="39"/>
        <v>#REF!</v>
      </c>
      <c r="B151" s="392"/>
      <c r="C151" s="309"/>
      <c r="D151" s="309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V151" s="250"/>
      <c r="AA151" s="2"/>
      <c r="AC151" s="2">
        <f t="shared" si="48"/>
        <v>0</v>
      </c>
      <c r="AE151" s="244">
        <f t="shared" si="37"/>
        <v>144</v>
      </c>
      <c r="AF151" s="244" t="e">
        <f t="shared" si="38"/>
        <v>#REF!</v>
      </c>
      <c r="AG151" s="57">
        <v>0</v>
      </c>
      <c r="AH151" s="542"/>
      <c r="AI151" s="537"/>
      <c r="AJ151" s="537"/>
      <c r="AK151" s="537"/>
      <c r="AL151" s="538"/>
      <c r="AO151" s="7">
        <f t="shared" si="49"/>
        <v>0</v>
      </c>
    </row>
    <row r="152" spans="1:41">
      <c r="A152" s="612" t="e">
        <f t="shared" si="39"/>
        <v>#REF!</v>
      </c>
      <c r="B152" s="392">
        <v>105</v>
      </c>
      <c r="C152" s="309" t="s">
        <v>285</v>
      </c>
      <c r="D152" s="309"/>
      <c r="H152" s="7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AA152" s="2"/>
      <c r="AC152" s="2">
        <f t="shared" si="48"/>
        <v>0</v>
      </c>
      <c r="AE152" s="244">
        <f t="shared" si="37"/>
        <v>145</v>
      </c>
      <c r="AF152" s="244" t="e">
        <f t="shared" si="38"/>
        <v>#REF!</v>
      </c>
      <c r="AG152" s="57">
        <v>0</v>
      </c>
      <c r="AH152" s="542">
        <v>105</v>
      </c>
      <c r="AI152" s="537" t="s">
        <v>285</v>
      </c>
      <c r="AJ152" s="537"/>
      <c r="AK152" s="537"/>
      <c r="AL152" s="538"/>
      <c r="AO152" s="7">
        <f t="shared" si="49"/>
        <v>0</v>
      </c>
    </row>
    <row r="153" spans="1:41">
      <c r="A153" s="612" t="e">
        <f t="shared" si="39"/>
        <v>#REF!</v>
      </c>
      <c r="B153" s="392"/>
      <c r="C153" s="309"/>
      <c r="D153" s="309" t="s">
        <v>582</v>
      </c>
      <c r="H153" s="357">
        <f>[13]XNV!H155</f>
        <v>5036.83</v>
      </c>
      <c r="I153" s="357">
        <f>[13]XNV!I155</f>
        <v>5036.83</v>
      </c>
      <c r="J153" s="357">
        <f>[13]XNV!J155</f>
        <v>5036.83</v>
      </c>
      <c r="K153" s="357">
        <f>[13]XNV!K155</f>
        <v>5036.83</v>
      </c>
      <c r="L153" s="357">
        <f>[13]XNV!L155</f>
        <v>5036.83</v>
      </c>
      <c r="M153" s="357">
        <f>[13]XNV!M155</f>
        <v>5036.83</v>
      </c>
      <c r="N153" s="357">
        <f>[13]XNV!N155</f>
        <v>5036.83</v>
      </c>
      <c r="O153" s="357">
        <f>[13]XNV!O155</f>
        <v>5036.83</v>
      </c>
      <c r="P153" s="357">
        <f>[13]XNV!P155</f>
        <v>5036.83</v>
      </c>
      <c r="Q153" s="357">
        <f>[13]XNV!Q155</f>
        <v>5036.83</v>
      </c>
      <c r="R153" s="357">
        <f>[13]XNV!R155</f>
        <v>5036.83</v>
      </c>
      <c r="S153" s="357">
        <f>[13]XNV!S155</f>
        <v>5036.83</v>
      </c>
      <c r="T153" s="357">
        <f>[13]XNV!T155</f>
        <v>5036.83</v>
      </c>
      <c r="U153" s="357"/>
      <c r="V153" s="584">
        <f>(SUM(I153:S153)+(0.5*T153)+(0.5*H153))/12</f>
        <v>5036.8300000000008</v>
      </c>
      <c r="Y153" s="584">
        <f>T153</f>
        <v>5036.83</v>
      </c>
      <c r="Z153" s="584">
        <f>V153</f>
        <v>5036.8300000000008</v>
      </c>
      <c r="AA153" s="357">
        <f>V153</f>
        <v>5036.8300000000008</v>
      </c>
      <c r="AB153" s="357">
        <f>T153</f>
        <v>5036.83</v>
      </c>
      <c r="AC153" s="357">
        <f t="shared" si="48"/>
        <v>5036.8300000000008</v>
      </c>
      <c r="AD153" s="632">
        <f>AC153-T153</f>
        <v>0</v>
      </c>
      <c r="AE153" s="244">
        <f t="shared" si="37"/>
        <v>146</v>
      </c>
      <c r="AF153" s="244" t="e">
        <f t="shared" si="38"/>
        <v>#REF!</v>
      </c>
      <c r="AG153" s="57">
        <v>0</v>
      </c>
      <c r="AH153" s="542"/>
      <c r="AI153" s="537"/>
      <c r="AJ153" s="537" t="s">
        <v>582</v>
      </c>
      <c r="AK153" s="537"/>
      <c r="AL153" s="538">
        <f>+T153</f>
        <v>5036.83</v>
      </c>
      <c r="AM153" s="427">
        <f>AC153</f>
        <v>5036.8300000000008</v>
      </c>
      <c r="AN153" s="427">
        <f>AM153-AL153</f>
        <v>0</v>
      </c>
      <c r="AO153" s="7">
        <f t="shared" si="49"/>
        <v>0</v>
      </c>
    </row>
    <row r="154" spans="1:41">
      <c r="A154" s="612" t="e">
        <f t="shared" si="39"/>
        <v>#REF!</v>
      </c>
      <c r="B154" s="392"/>
      <c r="C154" s="309"/>
      <c r="D154" s="309" t="s">
        <v>160</v>
      </c>
      <c r="H154" s="388">
        <f>SUM(H153)</f>
        <v>5036.83</v>
      </c>
      <c r="I154" s="388">
        <f t="shared" ref="I154:T154" si="59">SUM(I153)</f>
        <v>5036.83</v>
      </c>
      <c r="J154" s="388">
        <f t="shared" si="59"/>
        <v>5036.83</v>
      </c>
      <c r="K154" s="388">
        <f t="shared" si="59"/>
        <v>5036.83</v>
      </c>
      <c r="L154" s="388">
        <f t="shared" si="59"/>
        <v>5036.83</v>
      </c>
      <c r="M154" s="388">
        <f t="shared" si="59"/>
        <v>5036.83</v>
      </c>
      <c r="N154" s="388">
        <f t="shared" si="59"/>
        <v>5036.83</v>
      </c>
      <c r="O154" s="388">
        <f t="shared" si="59"/>
        <v>5036.83</v>
      </c>
      <c r="P154" s="388">
        <f t="shared" si="59"/>
        <v>5036.83</v>
      </c>
      <c r="Q154" s="388">
        <f t="shared" si="59"/>
        <v>5036.83</v>
      </c>
      <c r="R154" s="388">
        <f t="shared" si="59"/>
        <v>5036.83</v>
      </c>
      <c r="S154" s="388">
        <f t="shared" si="59"/>
        <v>5036.83</v>
      </c>
      <c r="T154" s="388">
        <f t="shared" si="59"/>
        <v>5036.83</v>
      </c>
      <c r="U154" s="388"/>
      <c r="V154" s="625">
        <f>(SUM(I154:S154)+(0.5*T154)+(0.5*H154))/12</f>
        <v>5036.8300000000008</v>
      </c>
      <c r="Y154" s="625">
        <f>T154</f>
        <v>5036.83</v>
      </c>
      <c r="Z154" s="625">
        <f>V154</f>
        <v>5036.8300000000008</v>
      </c>
      <c r="AA154" s="388">
        <f>V154</f>
        <v>5036.8300000000008</v>
      </c>
      <c r="AB154" s="388">
        <f>T154</f>
        <v>5036.83</v>
      </c>
      <c r="AC154" s="388">
        <f t="shared" si="48"/>
        <v>5036.8300000000008</v>
      </c>
      <c r="AD154" s="638">
        <f>AC154-T154</f>
        <v>0</v>
      </c>
      <c r="AE154" s="244">
        <f t="shared" si="37"/>
        <v>147</v>
      </c>
      <c r="AF154" s="244" t="e">
        <f t="shared" si="38"/>
        <v>#REF!</v>
      </c>
      <c r="AG154" s="57">
        <v>0</v>
      </c>
      <c r="AH154" s="542"/>
      <c r="AI154" s="537"/>
      <c r="AJ154" s="537" t="s">
        <v>160</v>
      </c>
      <c r="AK154" s="537"/>
      <c r="AL154" s="543">
        <f>SUM(AL153)</f>
        <v>5036.83</v>
      </c>
      <c r="AM154" s="12">
        <f>AC154</f>
        <v>5036.8300000000008</v>
      </c>
      <c r="AN154" s="12">
        <f>AM154-AL154</f>
        <v>0</v>
      </c>
      <c r="AO154" s="7">
        <f t="shared" si="49"/>
        <v>0</v>
      </c>
    </row>
    <row r="155" spans="1:41">
      <c r="A155" s="612" t="e">
        <f t="shared" si="39"/>
        <v>#REF!</v>
      </c>
      <c r="B155" s="392"/>
      <c r="C155" s="309"/>
      <c r="D155" s="309"/>
      <c r="AA155" s="2"/>
      <c r="AC155" s="2">
        <f t="shared" si="48"/>
        <v>0</v>
      </c>
      <c r="AE155" s="244">
        <f t="shared" si="37"/>
        <v>148</v>
      </c>
      <c r="AF155" s="244" t="e">
        <f t="shared" si="38"/>
        <v>#REF!</v>
      </c>
      <c r="AG155" s="57">
        <v>0</v>
      </c>
      <c r="AH155" s="542"/>
      <c r="AI155" s="537"/>
      <c r="AJ155" s="537"/>
      <c r="AK155" s="537"/>
      <c r="AL155" s="538"/>
      <c r="AO155" s="7">
        <f t="shared" si="49"/>
        <v>0</v>
      </c>
    </row>
    <row r="156" spans="1:41">
      <c r="A156" s="612" t="e">
        <f t="shared" si="39"/>
        <v>#REF!</v>
      </c>
      <c r="B156" s="392">
        <v>106</v>
      </c>
      <c r="C156" s="309" t="s">
        <v>1071</v>
      </c>
      <c r="D156" s="309"/>
      <c r="AA156" s="2"/>
      <c r="AC156" s="2">
        <f t="shared" si="48"/>
        <v>0</v>
      </c>
      <c r="AE156" s="244">
        <f t="shared" si="37"/>
        <v>149</v>
      </c>
      <c r="AF156" s="244" t="e">
        <f t="shared" si="38"/>
        <v>#REF!</v>
      </c>
      <c r="AG156" s="57">
        <v>0</v>
      </c>
      <c r="AH156" s="542">
        <v>106</v>
      </c>
      <c r="AI156" s="309" t="s">
        <v>649</v>
      </c>
      <c r="AJ156" s="537"/>
      <c r="AK156" s="537"/>
      <c r="AL156" s="538"/>
      <c r="AO156" s="7">
        <f t="shared" si="49"/>
        <v>0</v>
      </c>
    </row>
    <row r="157" spans="1:41">
      <c r="A157" s="612" t="e">
        <f t="shared" si="39"/>
        <v>#REF!</v>
      </c>
      <c r="B157" s="392"/>
      <c r="C157" s="309"/>
      <c r="D157" s="309" t="s">
        <v>427</v>
      </c>
      <c r="H157" s="357">
        <f>[13]XNV!H159</f>
        <v>0</v>
      </c>
      <c r="I157" s="357">
        <f>[13]XNV!I159</f>
        <v>0</v>
      </c>
      <c r="J157" s="357">
        <f>[13]XNV!J159</f>
        <v>0</v>
      </c>
      <c r="K157" s="357">
        <f>[13]XNV!K159</f>
        <v>0</v>
      </c>
      <c r="L157" s="357">
        <f>[13]XNV!L159</f>
        <v>0</v>
      </c>
      <c r="M157" s="357">
        <f>[13]XNV!M159</f>
        <v>0</v>
      </c>
      <c r="N157" s="357">
        <f>[13]XNV!N159</f>
        <v>0</v>
      </c>
      <c r="O157" s="357">
        <f>[13]XNV!O159</f>
        <v>0</v>
      </c>
      <c r="P157" s="357">
        <f>[13]XNV!P159</f>
        <v>0</v>
      </c>
      <c r="Q157" s="357">
        <f>[13]XNV!Q159</f>
        <v>0</v>
      </c>
      <c r="R157" s="357">
        <f>[13]XNV!R159</f>
        <v>0</v>
      </c>
      <c r="S157" s="357">
        <f>[13]XNV!S159</f>
        <v>0</v>
      </c>
      <c r="T157" s="357">
        <f>[13]XNV!T159</f>
        <v>0</v>
      </c>
      <c r="U157" s="357"/>
      <c r="V157" s="584">
        <f>(SUM(I157:S157)+(0.5*T157)+(0.5*H157))/12</f>
        <v>0</v>
      </c>
      <c r="Y157" s="584">
        <f>T157</f>
        <v>0</v>
      </c>
      <c r="Z157" s="584">
        <f>V157</f>
        <v>0</v>
      </c>
      <c r="AA157" s="357">
        <f>V157</f>
        <v>0</v>
      </c>
      <c r="AB157" s="357">
        <f>T157</f>
        <v>0</v>
      </c>
      <c r="AC157" s="357">
        <f t="shared" si="48"/>
        <v>0</v>
      </c>
      <c r="AD157" s="632">
        <f>AC157-T157</f>
        <v>0</v>
      </c>
      <c r="AE157" s="244">
        <f t="shared" si="37"/>
        <v>150</v>
      </c>
      <c r="AF157" s="244" t="e">
        <f t="shared" si="38"/>
        <v>#REF!</v>
      </c>
      <c r="AG157" s="57">
        <v>0</v>
      </c>
      <c r="AH157" s="542"/>
      <c r="AI157" s="537"/>
      <c r="AJ157" s="537" t="s">
        <v>427</v>
      </c>
      <c r="AK157" s="537"/>
      <c r="AL157" s="538">
        <f>+T157</f>
        <v>0</v>
      </c>
      <c r="AM157" s="12">
        <f>AC157</f>
        <v>0</v>
      </c>
      <c r="AN157" s="12">
        <f>AM157-AL157</f>
        <v>0</v>
      </c>
      <c r="AO157" s="7">
        <f t="shared" si="49"/>
        <v>0</v>
      </c>
    </row>
    <row r="158" spans="1:41">
      <c r="A158" s="612" t="e">
        <f t="shared" si="39"/>
        <v>#REF!</v>
      </c>
      <c r="B158" s="392"/>
      <c r="C158" s="309"/>
      <c r="D158" s="309" t="s">
        <v>581</v>
      </c>
      <c r="H158" s="357">
        <f>[13]XNV!H160</f>
        <v>155755.46</v>
      </c>
      <c r="I158" s="357">
        <f>[13]XNV!I160</f>
        <v>118669.23</v>
      </c>
      <c r="J158" s="357">
        <f>[13]XNV!J160</f>
        <v>41327.620000000003</v>
      </c>
      <c r="K158" s="357">
        <f>[13]XNV!K160</f>
        <v>109182.78</v>
      </c>
      <c r="L158" s="357">
        <f>[13]XNV!L160</f>
        <v>276963.56</v>
      </c>
      <c r="M158" s="357">
        <f>[13]XNV!M160</f>
        <v>950180.8</v>
      </c>
      <c r="N158" s="357">
        <f>[13]XNV!N160</f>
        <v>1588249.67</v>
      </c>
      <c r="O158" s="357">
        <f>[13]XNV!O160</f>
        <v>1993330.3800000001</v>
      </c>
      <c r="P158" s="357">
        <f>[13]XNV!P160</f>
        <v>2239100.69</v>
      </c>
      <c r="Q158" s="357">
        <f>[13]XNV!Q160</f>
        <v>2600183.6800000002</v>
      </c>
      <c r="R158" s="357">
        <f>[13]XNV!R160</f>
        <v>1576770.89</v>
      </c>
      <c r="S158" s="357">
        <f>[13]XNV!S160</f>
        <v>1675193.15</v>
      </c>
      <c r="T158" s="357">
        <f>[13]XNV!T160</f>
        <v>710920.69000000006</v>
      </c>
      <c r="U158" s="357"/>
      <c r="V158" s="584">
        <f>(SUM(I158:S158)+(0.5*T158)+(0.5*H158))/12</f>
        <v>1133540.8770833334</v>
      </c>
      <c r="Y158" s="584">
        <f>T158</f>
        <v>710920.69000000006</v>
      </c>
      <c r="Z158" s="584">
        <f>V158</f>
        <v>1133540.8770833334</v>
      </c>
      <c r="AA158" s="357">
        <f>V158</f>
        <v>1133540.8770833334</v>
      </c>
      <c r="AB158" s="357">
        <f>T158</f>
        <v>710920.69000000006</v>
      </c>
      <c r="AC158" s="357">
        <f t="shared" si="48"/>
        <v>1133540.8770833334</v>
      </c>
      <c r="AD158" s="632">
        <f>AC158-T158</f>
        <v>422620.18708333338</v>
      </c>
      <c r="AE158" s="244">
        <f t="shared" si="37"/>
        <v>151</v>
      </c>
      <c r="AF158" s="244" t="e">
        <f t="shared" si="38"/>
        <v>#REF!</v>
      </c>
      <c r="AG158" s="57">
        <v>153652.13958333328</v>
      </c>
      <c r="AH158" s="542"/>
      <c r="AI158" s="537"/>
      <c r="AJ158" s="537" t="s">
        <v>581</v>
      </c>
      <c r="AK158" s="537"/>
      <c r="AL158" s="538">
        <f>+T158</f>
        <v>710920.69000000006</v>
      </c>
      <c r="AM158" s="12">
        <f>AC158</f>
        <v>1133540.8770833334</v>
      </c>
      <c r="AN158" s="12">
        <f>AM158-AL158</f>
        <v>422620.18708333338</v>
      </c>
      <c r="AO158" s="7">
        <f t="shared" si="49"/>
        <v>0</v>
      </c>
    </row>
    <row r="159" spans="1:41">
      <c r="A159" s="612" t="e">
        <f t="shared" si="39"/>
        <v>#REF!</v>
      </c>
      <c r="B159" s="392"/>
      <c r="C159" s="309"/>
      <c r="D159" s="309" t="s">
        <v>582</v>
      </c>
      <c r="H159" s="357">
        <f>[13]XNV!H161</f>
        <v>19167111.399999999</v>
      </c>
      <c r="I159" s="357">
        <f>[13]XNV!I161</f>
        <v>11100303.43</v>
      </c>
      <c r="J159" s="357">
        <f>[13]XNV!J161</f>
        <v>16627548.82</v>
      </c>
      <c r="K159" s="357">
        <f>[13]XNV!K161</f>
        <v>7179101.2120000003</v>
      </c>
      <c r="L159" s="357">
        <f>[13]XNV!L161</f>
        <v>6777010.3099999996</v>
      </c>
      <c r="M159" s="357">
        <f>[13]XNV!M161</f>
        <v>9121644.75</v>
      </c>
      <c r="N159" s="357">
        <f>[13]XNV!N161</f>
        <v>9719600.2219999917</v>
      </c>
      <c r="O159" s="357">
        <f>[13]XNV!O161</f>
        <v>12826474.791999988</v>
      </c>
      <c r="P159" s="357">
        <f>[13]XNV!P161</f>
        <v>9308466.1199999992</v>
      </c>
      <c r="Q159" s="357">
        <f>[13]XNV!Q161</f>
        <v>27287883.300000001</v>
      </c>
      <c r="R159" s="357">
        <f>[13]XNV!R161</f>
        <v>13704256.67</v>
      </c>
      <c r="S159" s="357">
        <f>[13]XNV!S161</f>
        <v>12449806.57</v>
      </c>
      <c r="T159" s="357">
        <f>[13]XNV!T161</f>
        <v>22418304.782000002</v>
      </c>
      <c r="U159" s="357"/>
      <c r="V159" s="584">
        <f>(SUM(I159:S159)+(0.5*T159)+(0.5*H159))/12</f>
        <v>13074567.023916664</v>
      </c>
      <c r="Y159" s="584">
        <f>T159</f>
        <v>22418304.782000002</v>
      </c>
      <c r="Z159" s="584">
        <f>V159</f>
        <v>13074567.023916664</v>
      </c>
      <c r="AA159" s="357">
        <f>V159</f>
        <v>13074567.023916664</v>
      </c>
      <c r="AB159" s="357">
        <f>T159</f>
        <v>22418304.782000002</v>
      </c>
      <c r="AC159" s="357">
        <f t="shared" si="48"/>
        <v>13074567.023916664</v>
      </c>
      <c r="AD159" s="632">
        <f>AC159-T159</f>
        <v>-9343737.7580833379</v>
      </c>
      <c r="AE159" s="244">
        <f t="shared" si="37"/>
        <v>152</v>
      </c>
      <c r="AF159" s="244" t="e">
        <f t="shared" si="38"/>
        <v>#REF!</v>
      </c>
      <c r="AG159" s="57">
        <v>-5127067.2633333337</v>
      </c>
      <c r="AH159" s="542"/>
      <c r="AI159" s="537"/>
      <c r="AJ159" s="537" t="s">
        <v>582</v>
      </c>
      <c r="AK159" s="537"/>
      <c r="AL159" s="538">
        <f>+T159</f>
        <v>22418304.782000002</v>
      </c>
      <c r="AM159" s="12">
        <f>AC159</f>
        <v>13074567.023916664</v>
      </c>
      <c r="AN159" s="12">
        <f>AM159-AL159</f>
        <v>-9343737.7580833379</v>
      </c>
      <c r="AO159" s="7">
        <f t="shared" si="49"/>
        <v>0</v>
      </c>
    </row>
    <row r="160" spans="1:41">
      <c r="A160" s="612" t="e">
        <f t="shared" si="39"/>
        <v>#REF!</v>
      </c>
      <c r="B160" s="392"/>
      <c r="C160" s="309"/>
      <c r="D160" s="309" t="s">
        <v>584</v>
      </c>
      <c r="H160" s="357">
        <f>[13]XNV!H162</f>
        <v>1995407.03</v>
      </c>
      <c r="I160" s="357">
        <f>[13]XNV!I162</f>
        <v>1050953.3899999999</v>
      </c>
      <c r="J160" s="357">
        <f>[13]XNV!J162</f>
        <v>1490322.23</v>
      </c>
      <c r="K160" s="357">
        <f>[13]XNV!K162</f>
        <v>462115.64999999997</v>
      </c>
      <c r="L160" s="357">
        <f>[13]XNV!L162</f>
        <v>471060.27</v>
      </c>
      <c r="M160" s="357">
        <f>[13]XNV!M162</f>
        <v>1131562.3699999994</v>
      </c>
      <c r="N160" s="357">
        <f>[13]XNV!N162</f>
        <v>1107897.0900000001</v>
      </c>
      <c r="O160" s="357">
        <f>[13]XNV!O162</f>
        <v>1200519.75</v>
      </c>
      <c r="P160" s="357">
        <f>[13]XNV!P162</f>
        <v>1438369</v>
      </c>
      <c r="Q160" s="357">
        <f>[13]XNV!Q162</f>
        <v>2628142.71</v>
      </c>
      <c r="R160" s="357">
        <f>[13]XNV!R162</f>
        <v>1389351.33</v>
      </c>
      <c r="S160" s="357">
        <f>[13]XNV!S162</f>
        <v>1062030.31</v>
      </c>
      <c r="T160" s="357">
        <f>[13]XNV!T162</f>
        <v>3618205.25</v>
      </c>
      <c r="U160" s="357"/>
      <c r="V160" s="584">
        <f>(SUM(I160:S160)+(0.5*T160)+(0.5*H160))/12</f>
        <v>1353260.8533333333</v>
      </c>
      <c r="Y160" s="584">
        <f>T160</f>
        <v>3618205.25</v>
      </c>
      <c r="Z160" s="584">
        <f>V160</f>
        <v>1353260.8533333333</v>
      </c>
      <c r="AA160" s="357">
        <f>V160</f>
        <v>1353260.8533333333</v>
      </c>
      <c r="AB160" s="357">
        <f>T160</f>
        <v>3618205.25</v>
      </c>
      <c r="AC160" s="357">
        <f t="shared" si="48"/>
        <v>1353260.8533333333</v>
      </c>
      <c r="AD160" s="632">
        <f>AC160-T160</f>
        <v>-2264944.3966666665</v>
      </c>
      <c r="AE160" s="244">
        <f t="shared" si="37"/>
        <v>153</v>
      </c>
      <c r="AF160" s="244" t="e">
        <f t="shared" si="38"/>
        <v>#REF!</v>
      </c>
      <c r="AG160" s="57">
        <v>566482.32333333348</v>
      </c>
      <c r="AH160" s="542"/>
      <c r="AI160" s="537"/>
      <c r="AJ160" s="537" t="s">
        <v>584</v>
      </c>
      <c r="AK160" s="537"/>
      <c r="AL160" s="538">
        <f>+T160</f>
        <v>3618205.25</v>
      </c>
      <c r="AM160" s="427">
        <f>AC160</f>
        <v>1353260.8533333333</v>
      </c>
      <c r="AN160" s="427">
        <f>AM160-AL160</f>
        <v>-2264944.3966666665</v>
      </c>
      <c r="AO160" s="7">
        <f t="shared" si="49"/>
        <v>0</v>
      </c>
    </row>
    <row r="161" spans="1:41">
      <c r="A161" s="612" t="e">
        <f t="shared" si="39"/>
        <v>#REF!</v>
      </c>
      <c r="B161" s="392"/>
      <c r="C161" s="309"/>
      <c r="D161" s="309" t="s">
        <v>160</v>
      </c>
      <c r="H161" s="388">
        <f>SUM(H157:H160)</f>
        <v>21318273.890000001</v>
      </c>
      <c r="I161" s="388">
        <f t="shared" ref="I161:T161" si="60">SUM(I157:I160)</f>
        <v>12269926.050000001</v>
      </c>
      <c r="J161" s="388">
        <f t="shared" si="60"/>
        <v>18159198.669999998</v>
      </c>
      <c r="K161" s="388">
        <f t="shared" si="60"/>
        <v>7750399.6420000009</v>
      </c>
      <c r="L161" s="388">
        <f t="shared" si="60"/>
        <v>7525034.1399999987</v>
      </c>
      <c r="M161" s="388">
        <f t="shared" si="60"/>
        <v>11203387.92</v>
      </c>
      <c r="N161" s="388">
        <f t="shared" si="60"/>
        <v>12415746.981999991</v>
      </c>
      <c r="O161" s="388">
        <f t="shared" si="60"/>
        <v>16020324.921999989</v>
      </c>
      <c r="P161" s="388">
        <f t="shared" si="60"/>
        <v>12985935.809999999</v>
      </c>
      <c r="Q161" s="388">
        <f t="shared" si="60"/>
        <v>32516209.690000001</v>
      </c>
      <c r="R161" s="388">
        <f t="shared" si="60"/>
        <v>16670378.890000001</v>
      </c>
      <c r="S161" s="388">
        <f t="shared" si="60"/>
        <v>15187030.030000001</v>
      </c>
      <c r="T161" s="388">
        <f t="shared" si="60"/>
        <v>26747430.722000003</v>
      </c>
      <c r="U161" s="388"/>
      <c r="V161" s="625">
        <f>(SUM(I161:S161)+(0.5*T161)+(0.5*H161))/12</f>
        <v>15561368.754333332</v>
      </c>
      <c r="Y161" s="625">
        <f>T161</f>
        <v>26747430.722000003</v>
      </c>
      <c r="Z161" s="625">
        <f>V161</f>
        <v>15561368.754333332</v>
      </c>
      <c r="AA161" s="388">
        <f>V161</f>
        <v>15561368.754333332</v>
      </c>
      <c r="AB161" s="388">
        <f>T161</f>
        <v>26747430.722000003</v>
      </c>
      <c r="AC161" s="388">
        <f t="shared" si="48"/>
        <v>15561368.754333332</v>
      </c>
      <c r="AD161" s="638">
        <f>AC161-T161</f>
        <v>-11186061.967666671</v>
      </c>
      <c r="AE161" s="244">
        <f t="shared" si="37"/>
        <v>154</v>
      </c>
      <c r="AF161" s="244" t="e">
        <f t="shared" si="38"/>
        <v>#REF!</v>
      </c>
      <c r="AG161" s="57">
        <v>-4406932.800416667</v>
      </c>
      <c r="AH161" s="542"/>
      <c r="AI161" s="537"/>
      <c r="AJ161" s="537" t="s">
        <v>160</v>
      </c>
      <c r="AK161" s="537"/>
      <c r="AL161" s="543">
        <f>SUM(AL157:AL160)</f>
        <v>26747430.722000003</v>
      </c>
      <c r="AM161" s="12">
        <f>AC161</f>
        <v>15561368.754333332</v>
      </c>
      <c r="AN161" s="12">
        <f>AM161-AL161</f>
        <v>-11186061.967666671</v>
      </c>
      <c r="AO161" s="7">
        <f t="shared" si="49"/>
        <v>0</v>
      </c>
    </row>
    <row r="162" spans="1:41">
      <c r="A162" s="612" t="e">
        <f t="shared" si="39"/>
        <v>#REF!</v>
      </c>
      <c r="B162" s="392"/>
      <c r="C162" s="309"/>
      <c r="D162" s="309"/>
      <c r="AA162" s="2"/>
      <c r="AC162" s="2">
        <f t="shared" si="48"/>
        <v>0</v>
      </c>
      <c r="AE162" s="244">
        <f t="shared" si="37"/>
        <v>155</v>
      </c>
      <c r="AF162" s="244" t="e">
        <f t="shared" si="38"/>
        <v>#REF!</v>
      </c>
      <c r="AG162" s="57">
        <v>0</v>
      </c>
      <c r="AH162" s="542"/>
      <c r="AI162" s="537"/>
      <c r="AJ162" s="537"/>
      <c r="AK162" s="537"/>
      <c r="AL162" s="538"/>
      <c r="AO162" s="7">
        <f t="shared" si="49"/>
        <v>0</v>
      </c>
    </row>
    <row r="163" spans="1:41">
      <c r="A163" s="612" t="e">
        <f t="shared" si="39"/>
        <v>#REF!</v>
      </c>
      <c r="B163" s="392">
        <v>108</v>
      </c>
      <c r="C163" s="309" t="s">
        <v>650</v>
      </c>
      <c r="D163" s="309"/>
      <c r="S163"/>
      <c r="AA163" s="2"/>
      <c r="AC163" s="2">
        <f t="shared" si="48"/>
        <v>0</v>
      </c>
      <c r="AE163" s="244">
        <f t="shared" si="37"/>
        <v>156</v>
      </c>
      <c r="AF163" s="244" t="e">
        <f t="shared" si="38"/>
        <v>#REF!</v>
      </c>
      <c r="AG163" s="57">
        <v>0</v>
      </c>
      <c r="AH163" s="542">
        <v>108</v>
      </c>
      <c r="AI163" s="309" t="s">
        <v>874</v>
      </c>
      <c r="AJ163" s="537"/>
      <c r="AK163" s="537"/>
      <c r="AL163" s="538"/>
      <c r="AO163" s="7">
        <f t="shared" si="49"/>
        <v>0</v>
      </c>
    </row>
    <row r="164" spans="1:41">
      <c r="A164" s="612" t="e">
        <f t="shared" si="39"/>
        <v>#REF!</v>
      </c>
      <c r="B164" s="392"/>
      <c r="C164" s="309"/>
      <c r="D164" s="309" t="s">
        <v>427</v>
      </c>
      <c r="H164" s="357">
        <f>[13]XNV!H166</f>
        <v>-68927265.530000001</v>
      </c>
      <c r="I164" s="357">
        <f>[13]XNV!I166</f>
        <v>-68992546.739999995</v>
      </c>
      <c r="J164" s="357">
        <f>[13]XNV!J166</f>
        <v>-69047109.870000005</v>
      </c>
      <c r="K164" s="357">
        <f>[13]XNV!K166</f>
        <v>-69092261.780000001</v>
      </c>
      <c r="L164" s="357">
        <f>[13]XNV!L166</f>
        <v>-69148875.269999996</v>
      </c>
      <c r="M164" s="357">
        <f>[13]XNV!M166</f>
        <v>-69202397.180000007</v>
      </c>
      <c r="N164" s="357">
        <f>[13]XNV!N166</f>
        <v>-69256660.719999999</v>
      </c>
      <c r="O164" s="357">
        <f>[13]XNV!O166</f>
        <v>-69314119.849999994</v>
      </c>
      <c r="P164" s="357">
        <f>[13]XNV!P166</f>
        <v>-69367366.510000005</v>
      </c>
      <c r="Q164" s="357">
        <f>[13]XNV!Q166</f>
        <v>-69417627.430000007</v>
      </c>
      <c r="R164" s="357">
        <f>[13]XNV!R166</f>
        <v>-69469195</v>
      </c>
      <c r="S164" s="357">
        <f>[13]XNV!S166</f>
        <v>-69536528.439999998</v>
      </c>
      <c r="T164" s="357">
        <f>[13]XNV!T166</f>
        <v>-69576718.010000005</v>
      </c>
      <c r="U164" s="357"/>
      <c r="V164" s="584">
        <f>(SUM(I164:S164)+(0.5*T164)+(0.5*H164))/12</f>
        <v>-69258056.713333353</v>
      </c>
      <c r="Y164" s="584">
        <f>T164</f>
        <v>-69576718.010000005</v>
      </c>
      <c r="Z164" s="584">
        <f>V164</f>
        <v>-69258056.713333353</v>
      </c>
      <c r="AA164" s="357">
        <f>V164</f>
        <v>-69258056.713333353</v>
      </c>
      <c r="AB164" s="357">
        <f>T164</f>
        <v>-69576718.010000005</v>
      </c>
      <c r="AC164" s="357">
        <f t="shared" si="48"/>
        <v>-69258056.713333353</v>
      </c>
      <c r="AD164" s="632">
        <f>AC164-T164</f>
        <v>318661.29666665196</v>
      </c>
      <c r="AE164" s="244">
        <f t="shared" si="37"/>
        <v>157</v>
      </c>
      <c r="AF164" s="244" t="e">
        <f t="shared" si="38"/>
        <v>#REF!</v>
      </c>
      <c r="AG164" s="57">
        <v>-878477.78875000775</v>
      </c>
      <c r="AH164" s="542"/>
      <c r="AI164" s="537"/>
      <c r="AJ164" s="537" t="s">
        <v>427</v>
      </c>
      <c r="AK164" s="537"/>
      <c r="AL164" s="538">
        <f>+T164</f>
        <v>-69576718.010000005</v>
      </c>
      <c r="AM164" s="12">
        <f>AC164</f>
        <v>-69258056.713333353</v>
      </c>
      <c r="AN164" s="12">
        <f>AM164-AL164</f>
        <v>318661.29666665196</v>
      </c>
      <c r="AO164" s="7">
        <f t="shared" si="49"/>
        <v>0</v>
      </c>
    </row>
    <row r="165" spans="1:41">
      <c r="A165" s="612" t="e">
        <f t="shared" si="39"/>
        <v>#REF!</v>
      </c>
      <c r="B165" s="392"/>
      <c r="C165" s="360"/>
      <c r="D165" s="360" t="s">
        <v>581</v>
      </c>
      <c r="H165" s="357">
        <f>[13]XNV!H167</f>
        <v>-21431368.719999999</v>
      </c>
      <c r="I165" s="357">
        <f>[13]XNV!I167</f>
        <v>-21551340.98</v>
      </c>
      <c r="J165" s="357">
        <f>[13]XNV!J167</f>
        <v>-21565256.16</v>
      </c>
      <c r="K165" s="357">
        <f>[13]XNV!K167</f>
        <v>-21440799.239999998</v>
      </c>
      <c r="L165" s="357">
        <f>[13]XNV!L167</f>
        <v>-21574450.350000001</v>
      </c>
      <c r="M165" s="357">
        <f>[13]XNV!M167</f>
        <v>-21691853.879999999</v>
      </c>
      <c r="N165" s="357">
        <f>[13]XNV!N167</f>
        <v>-21221477.809999999</v>
      </c>
      <c r="O165" s="357">
        <f>[13]XNV!O167</f>
        <v>-20757179.850000001</v>
      </c>
      <c r="P165" s="357">
        <f>[13]XNV!P167</f>
        <v>-20797669.989999998</v>
      </c>
      <c r="Q165" s="357">
        <f>[13]XNV!Q167</f>
        <v>-20888278.25</v>
      </c>
      <c r="R165" s="357">
        <f>[13]XNV!R167</f>
        <v>-20504051.219999999</v>
      </c>
      <c r="S165" s="357">
        <f>[13]XNV!S167</f>
        <v>-19646767.719999999</v>
      </c>
      <c r="T165" s="357">
        <f>[13]XNV!T167</f>
        <v>-27333445.210000001</v>
      </c>
      <c r="U165" s="357"/>
      <c r="V165" s="584">
        <f>(SUM(I165:S165)+(0.5*T165)+(0.5*H165))/12</f>
        <v>-21335127.701249998</v>
      </c>
      <c r="Y165" s="584">
        <f>T165</f>
        <v>-27333445.210000001</v>
      </c>
      <c r="Z165" s="584">
        <f>V165</f>
        <v>-21335127.701249998</v>
      </c>
      <c r="AA165" s="357">
        <f>V165</f>
        <v>-21335127.701249998</v>
      </c>
      <c r="AB165" s="357">
        <f>T165</f>
        <v>-27333445.210000001</v>
      </c>
      <c r="AC165" s="357">
        <f t="shared" si="48"/>
        <v>-21335127.701249998</v>
      </c>
      <c r="AD165" s="632">
        <f>AC165-T165</f>
        <v>5998317.5087500028</v>
      </c>
      <c r="AE165" s="244">
        <f t="shared" si="37"/>
        <v>158</v>
      </c>
      <c r="AF165" s="244" t="e">
        <f t="shared" si="38"/>
        <v>#REF!</v>
      </c>
      <c r="AG165" s="57">
        <v>691381.94208333269</v>
      </c>
      <c r="AH165" s="542"/>
      <c r="AI165" s="544"/>
      <c r="AJ165" s="544" t="s">
        <v>581</v>
      </c>
      <c r="AK165" s="537"/>
      <c r="AL165" s="538">
        <f>+T165</f>
        <v>-27333445.210000001</v>
      </c>
      <c r="AM165" s="12">
        <f>AC165</f>
        <v>-21335127.701249998</v>
      </c>
      <c r="AN165" s="12">
        <f>AM165-AL165</f>
        <v>5998317.5087500028</v>
      </c>
      <c r="AO165" s="7">
        <f t="shared" si="49"/>
        <v>0</v>
      </c>
    </row>
    <row r="166" spans="1:41">
      <c r="A166" s="612" t="e">
        <f t="shared" si="39"/>
        <v>#REF!</v>
      </c>
      <c r="B166" s="392"/>
      <c r="C166" s="309"/>
      <c r="D166" s="360" t="s">
        <v>582</v>
      </c>
      <c r="H166" s="357">
        <f>[13]XNV!H168</f>
        <v>-490365351.56999999</v>
      </c>
      <c r="I166" s="357">
        <f>[13]XNV!I168</f>
        <v>-493315380.68000001</v>
      </c>
      <c r="J166" s="357">
        <f>[13]XNV!J168</f>
        <v>-495628361.25999999</v>
      </c>
      <c r="K166" s="357">
        <f>[13]XNV!K168</f>
        <v>-493969005.87</v>
      </c>
      <c r="L166" s="357">
        <f>[13]XNV!L168</f>
        <v>-497252232.76999998</v>
      </c>
      <c r="M166" s="357">
        <f>[13]XNV!M168</f>
        <v>-500051378.44</v>
      </c>
      <c r="N166" s="357">
        <f>[13]XNV!N168</f>
        <v>-503340730.22000003</v>
      </c>
      <c r="O166" s="357">
        <f>[13]XNV!O168</f>
        <v>-506346697.06999999</v>
      </c>
      <c r="P166" s="357">
        <f>[13]XNV!P168</f>
        <v>-509573960.37</v>
      </c>
      <c r="Q166" s="357">
        <f>[13]XNV!Q168</f>
        <v>-513389129.88</v>
      </c>
      <c r="R166" s="357">
        <f>[13]XNV!R168</f>
        <v>-516209152.38</v>
      </c>
      <c r="S166" s="357">
        <f>[13]XNV!S168</f>
        <v>-519918311.72000003</v>
      </c>
      <c r="T166" s="357">
        <f>[13]XNV!T168</f>
        <v>-512951843.95999998</v>
      </c>
      <c r="U166" s="357"/>
      <c r="V166" s="584">
        <f>(SUM(I166:S166)+(0.5*T166)+(0.5*H166))/12</f>
        <v>-504221078.20208329</v>
      </c>
      <c r="Y166" s="584">
        <f>T166</f>
        <v>-512951843.95999998</v>
      </c>
      <c r="Z166" s="584">
        <f>V166</f>
        <v>-504221078.20208329</v>
      </c>
      <c r="AA166" s="357">
        <f>V166</f>
        <v>-504221078.20208329</v>
      </c>
      <c r="AB166" s="357">
        <f>T166</f>
        <v>-512951843.95999998</v>
      </c>
      <c r="AC166" s="357">
        <f t="shared" si="48"/>
        <v>-504221078.20208329</v>
      </c>
      <c r="AD166" s="632">
        <f>AC166-T166</f>
        <v>8730765.7579166889</v>
      </c>
      <c r="AE166" s="244">
        <f t="shared" ref="AE166:AE236" si="61">+AE165+1</f>
        <v>159</v>
      </c>
      <c r="AF166" s="244" t="e">
        <f t="shared" ref="AF166:AF236" si="62">+AF165+1</f>
        <v>#REF!</v>
      </c>
      <c r="AG166" s="57">
        <v>6647600.3374999166</v>
      </c>
      <c r="AH166" s="542"/>
      <c r="AI166" s="537"/>
      <c r="AJ166" s="544" t="s">
        <v>582</v>
      </c>
      <c r="AK166" s="537"/>
      <c r="AL166" s="538">
        <f>+T166</f>
        <v>-512951843.95999998</v>
      </c>
      <c r="AM166" s="12">
        <f>AC166</f>
        <v>-504221078.20208329</v>
      </c>
      <c r="AN166" s="12">
        <f>AM166-AL166</f>
        <v>8730765.7579166889</v>
      </c>
      <c r="AO166" s="7">
        <f t="shared" si="49"/>
        <v>0</v>
      </c>
    </row>
    <row r="167" spans="1:41">
      <c r="A167" s="612" t="e">
        <f t="shared" si="39"/>
        <v>#REF!</v>
      </c>
      <c r="B167" s="392"/>
      <c r="C167" s="309"/>
      <c r="D167" s="309" t="s">
        <v>584</v>
      </c>
      <c r="H167" s="357">
        <f>[13]XNV!H169</f>
        <v>-149721236.30000001</v>
      </c>
      <c r="I167" s="357">
        <f>[13]XNV!I169</f>
        <v>-132419416.83</v>
      </c>
      <c r="J167" s="357">
        <f>[13]XNV!J169</f>
        <v>-132602402.33</v>
      </c>
      <c r="K167" s="357">
        <f>[13]XNV!K169</f>
        <v>-129688646.31</v>
      </c>
      <c r="L167" s="357">
        <f>[13]XNV!L169</f>
        <v>-130830172.95999999</v>
      </c>
      <c r="M167" s="357">
        <f>[13]XNV!M169</f>
        <v>-132007188.29000001</v>
      </c>
      <c r="N167" s="357">
        <f>[13]XNV!N169</f>
        <v>-126638206.45</v>
      </c>
      <c r="O167" s="357">
        <f>[13]XNV!O169</f>
        <v>-127752212.18000001</v>
      </c>
      <c r="P167" s="357">
        <f>[13]XNV!P169</f>
        <v>-127774055.2</v>
      </c>
      <c r="Q167" s="357">
        <f>[13]XNV!Q169</f>
        <v>-128657090.75</v>
      </c>
      <c r="R167" s="357">
        <f>[13]XNV!R169</f>
        <v>-129446678.20999999</v>
      </c>
      <c r="S167" s="357">
        <f>[13]XNV!S169</f>
        <v>-129034361.31999999</v>
      </c>
      <c r="T167" s="357">
        <f>[13]XNV!T169</f>
        <v>-128844639.09999999</v>
      </c>
      <c r="U167" s="357"/>
      <c r="V167" s="584">
        <f>(SUM(I167:S167)+(0.5*T167)+(0.5*H167))/12</f>
        <v>-130511114.04416668</v>
      </c>
      <c r="Y167" s="584">
        <f>T167</f>
        <v>-128844639.09999999</v>
      </c>
      <c r="Z167" s="584">
        <f>V167</f>
        <v>-130511114.04416668</v>
      </c>
      <c r="AA167" s="357">
        <f>V167</f>
        <v>-130511114.04416668</v>
      </c>
      <c r="AB167" s="357">
        <f>T167</f>
        <v>-128844639.09999999</v>
      </c>
      <c r="AC167" s="357">
        <f t="shared" si="48"/>
        <v>-130511114.04416668</v>
      </c>
      <c r="AD167" s="632">
        <f>AC167-T167</f>
        <v>-1666474.9441666901</v>
      </c>
      <c r="AE167" s="244">
        <f t="shared" si="61"/>
        <v>160</v>
      </c>
      <c r="AF167" s="244" t="e">
        <f t="shared" si="62"/>
        <v>#REF!</v>
      </c>
      <c r="AG167" s="57">
        <v>-4716338.4020833522</v>
      </c>
      <c r="AH167" s="542"/>
      <c r="AI167" s="537"/>
      <c r="AJ167" s="537" t="s">
        <v>584</v>
      </c>
      <c r="AK167" s="537"/>
      <c r="AL167" s="538">
        <f>+T167</f>
        <v>-128844639.09999999</v>
      </c>
      <c r="AM167" s="12">
        <f>AC167</f>
        <v>-130511114.04416668</v>
      </c>
      <c r="AN167" s="12">
        <f>AM167-AL167</f>
        <v>-1666474.9441666901</v>
      </c>
      <c r="AO167" s="7">
        <f t="shared" si="49"/>
        <v>0</v>
      </c>
    </row>
    <row r="168" spans="1:41">
      <c r="A168" s="612" t="e">
        <f t="shared" si="39"/>
        <v>#REF!</v>
      </c>
      <c r="B168" s="392"/>
      <c r="C168" s="309"/>
      <c r="D168" s="309" t="s">
        <v>160</v>
      </c>
      <c r="H168" s="388">
        <f>SUM(H164:H167)</f>
        <v>-730445222.11999989</v>
      </c>
      <c r="I168" s="388">
        <f t="shared" ref="I168:R168" si="63">SUM(I164:I167)</f>
        <v>-716278685.23000002</v>
      </c>
      <c r="J168" s="388">
        <f t="shared" si="63"/>
        <v>-718843129.62</v>
      </c>
      <c r="K168" s="388">
        <f t="shared" si="63"/>
        <v>-714190713.20000005</v>
      </c>
      <c r="L168" s="388">
        <f t="shared" si="63"/>
        <v>-718805731.35000002</v>
      </c>
      <c r="M168" s="388">
        <f t="shared" si="63"/>
        <v>-722952817.78999996</v>
      </c>
      <c r="N168" s="388">
        <f t="shared" si="63"/>
        <v>-720457075.20000005</v>
      </c>
      <c r="O168" s="388">
        <f t="shared" si="63"/>
        <v>-724170208.95000005</v>
      </c>
      <c r="P168" s="388">
        <f t="shared" si="63"/>
        <v>-727513052.07000005</v>
      </c>
      <c r="Q168" s="388">
        <f t="shared" si="63"/>
        <v>-732352126.30999994</v>
      </c>
      <c r="R168" s="388">
        <f t="shared" si="63"/>
        <v>-735629076.81000006</v>
      </c>
      <c r="S168" s="388">
        <f t="shared" ref="S168:T168" si="64">SUM(S164:S167)</f>
        <v>-738135969.20000005</v>
      </c>
      <c r="T168" s="388">
        <f t="shared" si="64"/>
        <v>-738706646.27999997</v>
      </c>
      <c r="U168" s="388"/>
      <c r="V168" s="625">
        <f>(SUM(I168:S168)+(0.5*T168)+(0.5*H168))/12</f>
        <v>-725325376.66083336</v>
      </c>
      <c r="Y168" s="625">
        <f>T168</f>
        <v>-738706646.27999997</v>
      </c>
      <c r="Z168" s="625">
        <f>V168</f>
        <v>-725325376.66083336</v>
      </c>
      <c r="AA168" s="388">
        <f>V168</f>
        <v>-725325376.66083336</v>
      </c>
      <c r="AB168" s="388">
        <f>T168</f>
        <v>-738706646.27999997</v>
      </c>
      <c r="AC168" s="388">
        <f t="shared" si="48"/>
        <v>-725325376.66083336</v>
      </c>
      <c r="AD168" s="638">
        <f>AC168-T168</f>
        <v>13381269.619166613</v>
      </c>
      <c r="AE168" s="244">
        <f t="shared" si="61"/>
        <v>161</v>
      </c>
      <c r="AF168" s="244" t="e">
        <f t="shared" si="62"/>
        <v>#REF!</v>
      </c>
      <c r="AG168" s="57">
        <v>1744166.0887498856</v>
      </c>
      <c r="AH168" s="542"/>
      <c r="AI168" s="537"/>
      <c r="AJ168" s="537" t="s">
        <v>160</v>
      </c>
      <c r="AK168" s="537"/>
      <c r="AL168" s="538">
        <f>SUM(AL164:AL167)</f>
        <v>-738706646.27999997</v>
      </c>
      <c r="AM168" s="12">
        <f>AC168</f>
        <v>-725325376.66083336</v>
      </c>
      <c r="AN168" s="12">
        <f>AM168-AL168</f>
        <v>13381269.619166613</v>
      </c>
      <c r="AO168" s="7">
        <f t="shared" si="49"/>
        <v>0</v>
      </c>
    </row>
    <row r="169" spans="1:41">
      <c r="A169" s="612" t="e">
        <f t="shared" si="39"/>
        <v>#REF!</v>
      </c>
      <c r="B169" s="392"/>
      <c r="C169" s="309"/>
      <c r="D169" s="309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AA169" s="2"/>
      <c r="AC169" s="2">
        <f t="shared" si="48"/>
        <v>0</v>
      </c>
      <c r="AE169" s="244">
        <f t="shared" si="61"/>
        <v>162</v>
      </c>
      <c r="AF169" s="244" t="e">
        <f t="shared" si="62"/>
        <v>#REF!</v>
      </c>
      <c r="AG169" s="57">
        <v>0</v>
      </c>
      <c r="AH169" s="542"/>
      <c r="AI169" s="537"/>
      <c r="AJ169" s="537"/>
      <c r="AK169" s="537"/>
      <c r="AL169" s="538"/>
      <c r="AO169" s="7">
        <f t="shared" si="49"/>
        <v>0</v>
      </c>
    </row>
    <row r="170" spans="1:41">
      <c r="A170" s="612" t="e">
        <f t="shared" ref="A170:A240" si="65">+A169+1</f>
        <v>#REF!</v>
      </c>
      <c r="B170" s="392">
        <v>111</v>
      </c>
      <c r="C170" s="309" t="s">
        <v>286</v>
      </c>
      <c r="D170" s="309"/>
      <c r="AA170" s="2"/>
      <c r="AC170" s="2">
        <f t="shared" si="48"/>
        <v>0</v>
      </c>
      <c r="AE170" s="244">
        <f t="shared" si="61"/>
        <v>163</v>
      </c>
      <c r="AF170" s="244" t="e">
        <f t="shared" si="62"/>
        <v>#REF!</v>
      </c>
      <c r="AG170" s="57">
        <v>0</v>
      </c>
      <c r="AH170" s="542">
        <v>111</v>
      </c>
      <c r="AI170" s="309" t="s">
        <v>286</v>
      </c>
      <c r="AJ170" s="537"/>
      <c r="AK170" s="537"/>
      <c r="AL170" s="538"/>
      <c r="AO170" s="7">
        <f t="shared" si="49"/>
        <v>0</v>
      </c>
    </row>
    <row r="171" spans="1:41">
      <c r="A171" s="612" t="e">
        <f t="shared" si="65"/>
        <v>#REF!</v>
      </c>
      <c r="B171" s="570"/>
      <c r="C171" s="309"/>
      <c r="D171" s="309" t="s">
        <v>427</v>
      </c>
      <c r="H171" s="357">
        <f>[13]XNV!H173</f>
        <v>-6133169.1100000003</v>
      </c>
      <c r="I171" s="357">
        <f>[13]XNV!I173</f>
        <v>-6134870.6200000001</v>
      </c>
      <c r="J171" s="357">
        <f>[13]XNV!J173</f>
        <v>-6136325.9799999995</v>
      </c>
      <c r="K171" s="357">
        <f>[13]XNV!K173</f>
        <v>-6137515.3499999996</v>
      </c>
      <c r="L171" s="357">
        <f>[13]XNV!L173</f>
        <v>-6139006.6299999999</v>
      </c>
      <c r="M171" s="357">
        <f>[13]XNV!M173</f>
        <v>-6140416.4799999995</v>
      </c>
      <c r="N171" s="357">
        <f>[13]XNV!N173</f>
        <v>-6141845.8700000001</v>
      </c>
      <c r="O171" s="357">
        <f>[13]XNV!O173</f>
        <v>-6143359.4199999999</v>
      </c>
      <c r="P171" s="357">
        <f>[13]XNV!P173</f>
        <v>-6144762.0199999996</v>
      </c>
      <c r="Q171" s="357">
        <f>[13]XNV!Q173</f>
        <v>-6146085.96</v>
      </c>
      <c r="R171" s="357">
        <f>[13]XNV!R173</f>
        <v>-6147444.3300000001</v>
      </c>
      <c r="S171" s="357">
        <f>[13]XNV!S173</f>
        <v>-6149218</v>
      </c>
      <c r="T171" s="357">
        <f>[13]XNV!T173</f>
        <v>-6150276.6600000001</v>
      </c>
      <c r="U171" s="357"/>
      <c r="V171" s="584">
        <f>(SUM(I171:S171)+(0.5*T171)+(0.5*H171))/12</f>
        <v>-6141881.1287500001</v>
      </c>
      <c r="Y171" s="584">
        <f>T171</f>
        <v>-6150276.6600000001</v>
      </c>
      <c r="Z171" s="584">
        <f>V171</f>
        <v>-6141881.1287500001</v>
      </c>
      <c r="AA171" s="357">
        <f>V171</f>
        <v>-6141881.1287500001</v>
      </c>
      <c r="AB171" s="357">
        <f>T171</f>
        <v>-6150276.6600000001</v>
      </c>
      <c r="AC171" s="357">
        <f t="shared" si="48"/>
        <v>-6141881.1287500001</v>
      </c>
      <c r="AD171" s="632">
        <f>AC171-T171</f>
        <v>8395.53125</v>
      </c>
      <c r="AE171" s="244">
        <f t="shared" si="61"/>
        <v>164</v>
      </c>
      <c r="AF171" s="244" t="e">
        <f t="shared" si="62"/>
        <v>#REF!</v>
      </c>
      <c r="AG171" s="57">
        <v>5442.1537499995902</v>
      </c>
      <c r="AH171" s="541"/>
      <c r="AI171" s="537"/>
      <c r="AJ171" s="537" t="s">
        <v>427</v>
      </c>
      <c r="AK171" s="537"/>
      <c r="AL171" s="538">
        <f>+T171</f>
        <v>-6150276.6600000001</v>
      </c>
      <c r="AM171" s="12">
        <f>AC171</f>
        <v>-6141881.1287500001</v>
      </c>
      <c r="AN171" s="12">
        <f>AM171-AL171</f>
        <v>8395.53125</v>
      </c>
      <c r="AO171" s="7">
        <f t="shared" si="49"/>
        <v>0</v>
      </c>
    </row>
    <row r="172" spans="1:41">
      <c r="A172" s="612" t="e">
        <f t="shared" si="65"/>
        <v>#REF!</v>
      </c>
      <c r="B172" s="570"/>
      <c r="C172" s="309"/>
      <c r="D172" s="309" t="s">
        <v>581</v>
      </c>
      <c r="H172" s="357">
        <f>[13]XNV!H174</f>
        <v>-10883.08</v>
      </c>
      <c r="I172" s="357">
        <f>[13]XNV!I174</f>
        <v>-10883.08</v>
      </c>
      <c r="J172" s="357">
        <f>[13]XNV!J174</f>
        <v>-10883.08</v>
      </c>
      <c r="K172" s="357">
        <f>[13]XNV!K174</f>
        <v>-10883.08</v>
      </c>
      <c r="L172" s="357">
        <f>[13]XNV!L174</f>
        <v>-10883.08</v>
      </c>
      <c r="M172" s="357">
        <f>[13]XNV!M174</f>
        <v>-10883.08</v>
      </c>
      <c r="N172" s="357">
        <f>[13]XNV!N174</f>
        <v>-10883.08</v>
      </c>
      <c r="O172" s="357">
        <f>[13]XNV!O174</f>
        <v>-10883.08</v>
      </c>
      <c r="P172" s="357">
        <f>[13]XNV!P174</f>
        <v>-10883.08</v>
      </c>
      <c r="Q172" s="357">
        <f>[13]XNV!Q174</f>
        <v>-10883.08</v>
      </c>
      <c r="R172" s="357">
        <f>[13]XNV!R174</f>
        <v>-10883.08</v>
      </c>
      <c r="S172" s="357">
        <f>[13]XNV!S174</f>
        <v>-10883.08</v>
      </c>
      <c r="T172" s="357">
        <f>[13]XNV!T174</f>
        <v>-10883.08</v>
      </c>
      <c r="U172" s="357"/>
      <c r="V172" s="584">
        <f>(SUM(I172:S172)+(0.5*T172)+(0.5*H172))/12</f>
        <v>-10883.08</v>
      </c>
      <c r="Y172" s="584">
        <f>T172</f>
        <v>-10883.08</v>
      </c>
      <c r="Z172" s="584">
        <f>V172</f>
        <v>-10883.08</v>
      </c>
      <c r="AA172" s="357">
        <f>V172</f>
        <v>-10883.08</v>
      </c>
      <c r="AB172" s="357">
        <f>T172</f>
        <v>-10883.08</v>
      </c>
      <c r="AC172" s="357">
        <f t="shared" si="48"/>
        <v>-10883.08</v>
      </c>
      <c r="AD172" s="632">
        <f>AC172-T172</f>
        <v>0</v>
      </c>
      <c r="AE172" s="244">
        <f t="shared" si="61"/>
        <v>165</v>
      </c>
      <c r="AF172" s="244" t="e">
        <f t="shared" si="62"/>
        <v>#REF!</v>
      </c>
      <c r="AG172" s="57">
        <v>50</v>
      </c>
      <c r="AH172" s="541"/>
      <c r="AI172" s="537"/>
      <c r="AJ172" s="537" t="s">
        <v>581</v>
      </c>
      <c r="AK172" s="537"/>
      <c r="AL172" s="538">
        <f>+T172</f>
        <v>-10883.08</v>
      </c>
      <c r="AM172" s="12">
        <f>AC172</f>
        <v>-10883.08</v>
      </c>
      <c r="AN172" s="12">
        <f>AM172-AL172</f>
        <v>0</v>
      </c>
      <c r="AO172" s="7">
        <f t="shared" si="49"/>
        <v>0</v>
      </c>
    </row>
    <row r="173" spans="1:41">
      <c r="A173" s="612" t="e">
        <f t="shared" si="65"/>
        <v>#REF!</v>
      </c>
      <c r="B173" s="570"/>
      <c r="C173" s="309"/>
      <c r="D173" s="309" t="s">
        <v>582</v>
      </c>
      <c r="H173" s="357">
        <f>[13]XNV!H175</f>
        <v>-58742.880000000005</v>
      </c>
      <c r="I173" s="357">
        <f>[13]XNV!I175</f>
        <v>-58742.880000000005</v>
      </c>
      <c r="J173" s="357">
        <f>[13]XNV!J175</f>
        <v>-58742.880000000005</v>
      </c>
      <c r="K173" s="357">
        <f>[13]XNV!K175</f>
        <v>-58742.880000000005</v>
      </c>
      <c r="L173" s="357">
        <f>[13]XNV!L175</f>
        <v>-58742.880000000005</v>
      </c>
      <c r="M173" s="357">
        <f>[13]XNV!M175</f>
        <v>-58742.880000000005</v>
      </c>
      <c r="N173" s="357">
        <f>[13]XNV!N175</f>
        <v>-58742.880000000005</v>
      </c>
      <c r="O173" s="357">
        <f>[13]XNV!O175</f>
        <v>-58742.880000000005</v>
      </c>
      <c r="P173" s="357">
        <f>[13]XNV!P175</f>
        <v>-58742.880000000005</v>
      </c>
      <c r="Q173" s="357">
        <f>[13]XNV!Q175</f>
        <v>-58742.880000000005</v>
      </c>
      <c r="R173" s="357">
        <f>[13]XNV!R175</f>
        <v>-58742.880000000005</v>
      </c>
      <c r="S173" s="357">
        <f>[13]XNV!S175</f>
        <v>-58742.880000000005</v>
      </c>
      <c r="T173" s="357">
        <f>[13]XNV!T175</f>
        <v>-58742.880000000005</v>
      </c>
      <c r="U173" s="357"/>
      <c r="V173" s="584">
        <f>(SUM(I173:S173)+(0.5*T173)+(0.5*H173))/12</f>
        <v>-58742.880000000005</v>
      </c>
      <c r="Y173" s="584">
        <f>T173</f>
        <v>-58742.880000000005</v>
      </c>
      <c r="Z173" s="584">
        <f>V173</f>
        <v>-58742.880000000005</v>
      </c>
      <c r="AA173" s="357">
        <f>V173</f>
        <v>-58742.880000000005</v>
      </c>
      <c r="AB173" s="357">
        <f>T173</f>
        <v>-58742.880000000005</v>
      </c>
      <c r="AC173" s="357">
        <f t="shared" si="48"/>
        <v>-58742.880000000005</v>
      </c>
      <c r="AD173" s="632">
        <f>AC173-T173</f>
        <v>0</v>
      </c>
      <c r="AE173" s="244">
        <f t="shared" si="61"/>
        <v>166</v>
      </c>
      <c r="AF173" s="244" t="e">
        <f t="shared" si="62"/>
        <v>#REF!</v>
      </c>
      <c r="AG173" s="57">
        <v>-50.000000000422006</v>
      </c>
      <c r="AH173" s="541"/>
      <c r="AI173" s="537"/>
      <c r="AJ173" s="537" t="s">
        <v>582</v>
      </c>
      <c r="AK173" s="537"/>
      <c r="AL173" s="538">
        <f>+T173</f>
        <v>-58742.880000000005</v>
      </c>
      <c r="AM173" s="12">
        <f>AC173</f>
        <v>-58742.880000000005</v>
      </c>
      <c r="AN173" s="12">
        <f>AM173-AL173</f>
        <v>0</v>
      </c>
      <c r="AO173" s="7">
        <f t="shared" si="49"/>
        <v>0</v>
      </c>
    </row>
    <row r="174" spans="1:41">
      <c r="A174" s="612" t="e">
        <f t="shared" si="65"/>
        <v>#REF!</v>
      </c>
      <c r="B174" s="570"/>
      <c r="C174" s="309"/>
      <c r="D174" s="309" t="s">
        <v>584</v>
      </c>
      <c r="H174" s="357">
        <f>[13]XNV!H176</f>
        <v>0</v>
      </c>
      <c r="I174" s="357">
        <f>[13]XNV!I176</f>
        <v>0</v>
      </c>
      <c r="J174" s="357">
        <f>[13]XNV!J176</f>
        <v>0</v>
      </c>
      <c r="K174" s="357">
        <f>[13]XNV!K176</f>
        <v>0</v>
      </c>
      <c r="L174" s="357">
        <f>[13]XNV!L176</f>
        <v>0</v>
      </c>
      <c r="M174" s="357">
        <f>[13]XNV!M176</f>
        <v>0</v>
      </c>
      <c r="N174" s="357">
        <f>[13]XNV!N176</f>
        <v>0</v>
      </c>
      <c r="O174" s="357">
        <f>[13]XNV!O176</f>
        <v>0</v>
      </c>
      <c r="P174" s="357">
        <f>[13]XNV!P176</f>
        <v>0</v>
      </c>
      <c r="Q174" s="357">
        <f>[13]XNV!Q176</f>
        <v>0</v>
      </c>
      <c r="R174" s="357">
        <f>[13]XNV!R176</f>
        <v>0</v>
      </c>
      <c r="S174" s="357">
        <f>[13]XNV!S176</f>
        <v>0</v>
      </c>
      <c r="T174" s="357">
        <f>[13]XNV!T176</f>
        <v>0</v>
      </c>
      <c r="U174" s="357"/>
      <c r="V174" s="584">
        <f>(SUM(I174:S174)+(0.5*T174)+(0.5*H174))/12</f>
        <v>0</v>
      </c>
      <c r="Y174" s="584">
        <f>T174</f>
        <v>0</v>
      </c>
      <c r="Z174" s="584">
        <f>V174</f>
        <v>0</v>
      </c>
      <c r="AA174" s="357">
        <f>V174</f>
        <v>0</v>
      </c>
      <c r="AB174" s="357">
        <f>T174</f>
        <v>0</v>
      </c>
      <c r="AC174" s="357">
        <f t="shared" si="48"/>
        <v>0</v>
      </c>
      <c r="AD174" s="632">
        <f>AC174-T174</f>
        <v>0</v>
      </c>
      <c r="AE174" s="244">
        <f t="shared" si="61"/>
        <v>167</v>
      </c>
      <c r="AF174" s="244" t="e">
        <f t="shared" si="62"/>
        <v>#REF!</v>
      </c>
      <c r="AG174" s="57">
        <v>0</v>
      </c>
      <c r="AH174" s="541"/>
      <c r="AI174" s="537"/>
      <c r="AJ174" s="537" t="s">
        <v>584</v>
      </c>
      <c r="AK174" s="537"/>
      <c r="AL174" s="538">
        <f>+T174</f>
        <v>0</v>
      </c>
      <c r="AM174" s="427">
        <f>AC174</f>
        <v>0</v>
      </c>
      <c r="AN174" s="427">
        <f>AM174-AL174</f>
        <v>0</v>
      </c>
      <c r="AO174" s="7">
        <f t="shared" si="49"/>
        <v>0</v>
      </c>
    </row>
    <row r="175" spans="1:41">
      <c r="A175" s="612" t="e">
        <f t="shared" si="65"/>
        <v>#REF!</v>
      </c>
      <c r="B175" s="570"/>
      <c r="C175" s="309"/>
      <c r="D175" s="309" t="s">
        <v>160</v>
      </c>
      <c r="H175" s="388">
        <f>SUM(H171:H174)</f>
        <v>-6202795.0700000003</v>
      </c>
      <c r="I175" s="388">
        <f t="shared" ref="I175:T175" si="66">SUM(I171:I174)</f>
        <v>-6204496.5800000001</v>
      </c>
      <c r="J175" s="388">
        <f t="shared" si="66"/>
        <v>-6205951.9399999995</v>
      </c>
      <c r="K175" s="388">
        <f t="shared" si="66"/>
        <v>-6207141.3099999996</v>
      </c>
      <c r="L175" s="388">
        <f t="shared" si="66"/>
        <v>-6208632.5899999999</v>
      </c>
      <c r="M175" s="388">
        <f t="shared" si="66"/>
        <v>-6210042.4399999995</v>
      </c>
      <c r="N175" s="388">
        <f t="shared" si="66"/>
        <v>-6211471.8300000001</v>
      </c>
      <c r="O175" s="388">
        <f t="shared" si="66"/>
        <v>-6212985.3799999999</v>
      </c>
      <c r="P175" s="388">
        <f t="shared" si="66"/>
        <v>-6214387.9799999995</v>
      </c>
      <c r="Q175" s="388">
        <f t="shared" si="66"/>
        <v>-6215711.9199999999</v>
      </c>
      <c r="R175" s="388">
        <f t="shared" si="66"/>
        <v>-6217070.29</v>
      </c>
      <c r="S175" s="388">
        <f t="shared" si="66"/>
        <v>-6218843.96</v>
      </c>
      <c r="T175" s="388">
        <f t="shared" si="66"/>
        <v>-6219902.6200000001</v>
      </c>
      <c r="U175" s="388"/>
      <c r="V175" s="625">
        <f>(SUM(I175:S175)+(0.5*T175)+(0.5*H175))/12</f>
        <v>-6211507.0887500001</v>
      </c>
      <c r="Y175" s="625">
        <f>T175</f>
        <v>-6219902.6200000001</v>
      </c>
      <c r="Z175" s="625">
        <f>V175</f>
        <v>-6211507.0887500001</v>
      </c>
      <c r="AA175" s="388">
        <f>V175</f>
        <v>-6211507.0887500001</v>
      </c>
      <c r="AB175" s="388">
        <f>T175</f>
        <v>-6219902.6200000001</v>
      </c>
      <c r="AC175" s="388">
        <f t="shared" si="48"/>
        <v>-6211507.0887500001</v>
      </c>
      <c r="AD175" s="638">
        <f>AC175-T175</f>
        <v>8395.53125</v>
      </c>
      <c r="AE175" s="244">
        <f t="shared" si="61"/>
        <v>168</v>
      </c>
      <c r="AF175" s="244" t="e">
        <f t="shared" si="62"/>
        <v>#REF!</v>
      </c>
      <c r="AG175" s="57">
        <v>5442.1537499986589</v>
      </c>
      <c r="AH175" s="541"/>
      <c r="AI175" s="537"/>
      <c r="AJ175" s="537" t="s">
        <v>160</v>
      </c>
      <c r="AK175" s="537"/>
      <c r="AL175" s="543">
        <f>SUM(AL171:AL174)</f>
        <v>-6219902.6200000001</v>
      </c>
      <c r="AM175" s="12">
        <f>AC175</f>
        <v>-6211507.0887500001</v>
      </c>
      <c r="AN175" s="12">
        <f>AM175-AL175</f>
        <v>8395.53125</v>
      </c>
      <c r="AO175" s="7">
        <f t="shared" si="49"/>
        <v>0</v>
      </c>
    </row>
    <row r="176" spans="1:41" ht="13.5" thickBot="1">
      <c r="A176" s="612" t="e">
        <f t="shared" si="65"/>
        <v>#REF!</v>
      </c>
      <c r="B176" s="570"/>
      <c r="C176" s="309"/>
      <c r="D176" s="309"/>
      <c r="AA176" s="2"/>
      <c r="AC176" s="2">
        <f t="shared" si="48"/>
        <v>0</v>
      </c>
      <c r="AE176" s="244">
        <f t="shared" si="61"/>
        <v>169</v>
      </c>
      <c r="AF176" s="244" t="e">
        <f t="shared" si="62"/>
        <v>#REF!</v>
      </c>
      <c r="AG176" s="57">
        <v>0</v>
      </c>
      <c r="AH176" s="541"/>
      <c r="AI176" s="537"/>
      <c r="AJ176" s="537"/>
      <c r="AK176" s="537"/>
      <c r="AL176" s="545"/>
      <c r="AM176" s="87"/>
      <c r="AN176" s="87"/>
      <c r="AO176" s="7">
        <f t="shared" si="49"/>
        <v>0</v>
      </c>
    </row>
    <row r="177" spans="1:41" ht="13.5" thickTop="1">
      <c r="A177" s="612" t="e">
        <f t="shared" si="65"/>
        <v>#REF!</v>
      </c>
      <c r="B177" s="1197" t="s">
        <v>1110</v>
      </c>
      <c r="C177" s="1198" t="s">
        <v>1111</v>
      </c>
      <c r="D177" s="1199"/>
      <c r="Y177" s="1196"/>
      <c r="Z177" s="1196"/>
      <c r="AA177" s="2"/>
      <c r="AC177" s="2">
        <f t="shared" ref="AC177:AC183" si="67">HLOOKUP($AC$8,RateBaseScenarios,AE177,FALSE)</f>
        <v>0</v>
      </c>
      <c r="AE177" s="244">
        <f t="shared" si="61"/>
        <v>170</v>
      </c>
      <c r="AF177" s="244" t="e">
        <f t="shared" si="62"/>
        <v>#REF!</v>
      </c>
      <c r="AG177" s="57">
        <v>0</v>
      </c>
      <c r="AH177" s="392" t="s">
        <v>1110</v>
      </c>
      <c r="AI177" s="309" t="s">
        <v>1111</v>
      </c>
      <c r="AJ177" s="537"/>
      <c r="AK177" s="537"/>
      <c r="AL177" s="538"/>
      <c r="AO177" s="7">
        <f t="shared" ref="AO177:AO183" si="68">+AL177-T177</f>
        <v>0</v>
      </c>
    </row>
    <row r="178" spans="1:41">
      <c r="A178" s="612" t="e">
        <f t="shared" si="65"/>
        <v>#REF!</v>
      </c>
      <c r="B178" s="570"/>
      <c r="C178" s="309"/>
      <c r="D178" s="309" t="s">
        <v>427</v>
      </c>
      <c r="H178" s="357">
        <f>[13]XNV!H180</f>
        <v>0</v>
      </c>
      <c r="I178" s="357">
        <f>[13]XNV!I180</f>
        <v>0</v>
      </c>
      <c r="J178" s="357">
        <f>[13]XNV!J180</f>
        <v>0</v>
      </c>
      <c r="K178" s="357">
        <f>[13]XNV!K180</f>
        <v>0</v>
      </c>
      <c r="L178" s="357">
        <f>[13]XNV!L180</f>
        <v>0</v>
      </c>
      <c r="M178" s="357">
        <f>[13]XNV!M180</f>
        <v>0</v>
      </c>
      <c r="N178" s="357">
        <f>[13]XNV!N180</f>
        <v>0</v>
      </c>
      <c r="O178" s="357">
        <f>[13]XNV!O180</f>
        <v>0</v>
      </c>
      <c r="P178" s="357">
        <f>[13]XNV!P180</f>
        <v>0</v>
      </c>
      <c r="Q178" s="357">
        <f>[13]XNV!Q180</f>
        <v>0</v>
      </c>
      <c r="R178" s="357">
        <f>[13]XNV!R180</f>
        <v>0</v>
      </c>
      <c r="S178" s="357">
        <f>[13]XNV!S180</f>
        <v>0</v>
      </c>
      <c r="T178" s="357">
        <f>[13]XNV!T180</f>
        <v>0</v>
      </c>
      <c r="U178" s="357"/>
      <c r="V178" s="584">
        <f>(SUM(I178:S178)+(0.5*T178)+(0.5*H178))/12</f>
        <v>0</v>
      </c>
      <c r="Y178" s="584">
        <f>T178</f>
        <v>0</v>
      </c>
      <c r="Z178" s="584">
        <f>V178</f>
        <v>0</v>
      </c>
      <c r="AA178" s="357">
        <f>V178</f>
        <v>0</v>
      </c>
      <c r="AB178" s="357">
        <f>T178</f>
        <v>0</v>
      </c>
      <c r="AC178" s="357">
        <f t="shared" si="67"/>
        <v>0</v>
      </c>
      <c r="AD178" s="632">
        <f>AC178-T178</f>
        <v>0</v>
      </c>
      <c r="AE178" s="244">
        <f t="shared" si="61"/>
        <v>171</v>
      </c>
      <c r="AF178" s="244" t="e">
        <f t="shared" si="62"/>
        <v>#REF!</v>
      </c>
      <c r="AG178" s="57">
        <v>5442.1537499995902</v>
      </c>
      <c r="AH178" s="541"/>
      <c r="AI178" s="537"/>
      <c r="AJ178" s="537" t="s">
        <v>427</v>
      </c>
      <c r="AK178" s="537"/>
      <c r="AL178" s="538">
        <f>+T178</f>
        <v>0</v>
      </c>
      <c r="AM178" s="12">
        <f>AC178</f>
        <v>0</v>
      </c>
      <c r="AN178" s="12">
        <f>AM178-AL178</f>
        <v>0</v>
      </c>
      <c r="AO178" s="7">
        <f t="shared" si="68"/>
        <v>0</v>
      </c>
    </row>
    <row r="179" spans="1:41">
      <c r="A179" s="612" t="e">
        <f t="shared" si="65"/>
        <v>#REF!</v>
      </c>
      <c r="B179" s="570"/>
      <c r="C179" s="309"/>
      <c r="D179" s="309" t="s">
        <v>581</v>
      </c>
      <c r="H179" s="357">
        <f>[13]XNV!H181</f>
        <v>-6216691.4100000001</v>
      </c>
      <c r="I179" s="357">
        <f>[13]XNV!I181</f>
        <v>-6202088.1500000004</v>
      </c>
      <c r="J179" s="357">
        <f>[13]XNV!J181</f>
        <v>-6317115.3899999997</v>
      </c>
      <c r="K179" s="357">
        <f>[13]XNV!K181</f>
        <v>-6261169.71</v>
      </c>
      <c r="L179" s="357">
        <f>[13]XNV!L181</f>
        <v>-6236339.0700000003</v>
      </c>
      <c r="M179" s="357">
        <f>[13]XNV!M181</f>
        <v>-6213637.6699999999</v>
      </c>
      <c r="N179" s="357">
        <f>[13]XNV!N181</f>
        <v>-6181248.29</v>
      </c>
      <c r="O179" s="357">
        <f>[13]XNV!O181</f>
        <v>-6140761.1100000003</v>
      </c>
      <c r="P179" s="357">
        <f>[13]XNV!P181</f>
        <v>-6196748.9800000004</v>
      </c>
      <c r="Q179" s="357">
        <f>[13]XNV!Q181</f>
        <v>-6203191.8399999999</v>
      </c>
      <c r="R179" s="357">
        <f>[13]XNV!R181</f>
        <v>-6219898.3900000006</v>
      </c>
      <c r="S179" s="357">
        <f>[13]XNV!S181</f>
        <v>-6243591.8199999994</v>
      </c>
      <c r="T179" s="357">
        <f>[13]XNV!T181</f>
        <v>-6315729.0099999998</v>
      </c>
      <c r="U179" s="357"/>
      <c r="V179" s="584">
        <f>(SUM(I179:S179)+(0.5*T179)+(0.5*H179))/12</f>
        <v>-6223500.0524999993</v>
      </c>
      <c r="Y179" s="584">
        <f>T179</f>
        <v>-6315729.0099999998</v>
      </c>
      <c r="Z179" s="584">
        <f>V179</f>
        <v>-6223500.0524999993</v>
      </c>
      <c r="AA179" s="357">
        <f>V179</f>
        <v>-6223500.0524999993</v>
      </c>
      <c r="AB179" s="357">
        <f>T179</f>
        <v>-6315729.0099999998</v>
      </c>
      <c r="AC179" s="357">
        <f t="shared" si="67"/>
        <v>-6223500.0524999993</v>
      </c>
      <c r="AD179" s="632">
        <f>AC179-T179</f>
        <v>92228.957500000484</v>
      </c>
      <c r="AE179" s="244">
        <f t="shared" si="61"/>
        <v>172</v>
      </c>
      <c r="AF179" s="244" t="e">
        <f t="shared" si="62"/>
        <v>#REF!</v>
      </c>
      <c r="AG179" s="57">
        <v>50</v>
      </c>
      <c r="AH179" s="541"/>
      <c r="AI179" s="537"/>
      <c r="AJ179" s="537" t="s">
        <v>581</v>
      </c>
      <c r="AK179" s="537"/>
      <c r="AL179" s="538">
        <f>+T179</f>
        <v>-6315729.0099999998</v>
      </c>
      <c r="AM179" s="12">
        <f>AC179</f>
        <v>-6223500.0524999993</v>
      </c>
      <c r="AN179" s="12">
        <f>AM179-AL179</f>
        <v>92228.957500000484</v>
      </c>
      <c r="AO179" s="7">
        <f t="shared" si="68"/>
        <v>0</v>
      </c>
    </row>
    <row r="180" spans="1:41">
      <c r="A180" s="612" t="e">
        <f t="shared" si="65"/>
        <v>#REF!</v>
      </c>
      <c r="B180" s="570"/>
      <c r="C180" s="309"/>
      <c r="D180" s="309" t="s">
        <v>582</v>
      </c>
      <c r="H180" s="357">
        <f>[13]XNV!H182</f>
        <v>-184187333.43000001</v>
      </c>
      <c r="I180" s="357">
        <f>[13]XNV!I182</f>
        <v>-184221250.78</v>
      </c>
      <c r="J180" s="357">
        <f>[13]XNV!J182</f>
        <v>-187162682.28999999</v>
      </c>
      <c r="K180" s="357">
        <f>[13]XNV!K182</f>
        <v>-186271724.06</v>
      </c>
      <c r="L180" s="357">
        <f>[13]XNV!L182</f>
        <v>-186481184.78999999</v>
      </c>
      <c r="M180" s="357">
        <f>[13]XNV!M182</f>
        <v>-186218622.28</v>
      </c>
      <c r="N180" s="357">
        <f>[13]XNV!N182</f>
        <v>-186141349.55000001</v>
      </c>
      <c r="O180" s="357">
        <f>[13]XNV!O182</f>
        <v>-186299261.02000001</v>
      </c>
      <c r="P180" s="357">
        <f>[13]XNV!P182</f>
        <v>-186248871.44</v>
      </c>
      <c r="Q180" s="357">
        <f>[13]XNV!Q182</f>
        <v>-186502363.87</v>
      </c>
      <c r="R180" s="357">
        <f>[13]XNV!R182</f>
        <v>-186406251.61000001</v>
      </c>
      <c r="S180" s="357">
        <f>[13]XNV!S182</f>
        <v>-187356154.47</v>
      </c>
      <c r="T180" s="357">
        <f>[13]XNV!T182</f>
        <v>-188074206.56999999</v>
      </c>
      <c r="U180" s="357"/>
      <c r="V180" s="584">
        <f>(SUM(I180:S180)+(0.5*T180)+(0.5*H180))/12</f>
        <v>-186286707.18000004</v>
      </c>
      <c r="Y180" s="584">
        <f>T180</f>
        <v>-188074206.56999999</v>
      </c>
      <c r="Z180" s="584">
        <f>V180</f>
        <v>-186286707.18000004</v>
      </c>
      <c r="AA180" s="357">
        <f>V180</f>
        <v>-186286707.18000004</v>
      </c>
      <c r="AB180" s="357">
        <f>T180</f>
        <v>-188074206.56999999</v>
      </c>
      <c r="AC180" s="357">
        <f t="shared" si="67"/>
        <v>-186286707.18000004</v>
      </c>
      <c r="AD180" s="632">
        <f>AC180-T180</f>
        <v>1787499.3899999559</v>
      </c>
      <c r="AE180" s="244">
        <f t="shared" si="61"/>
        <v>173</v>
      </c>
      <c r="AF180" s="244" t="e">
        <f t="shared" si="62"/>
        <v>#REF!</v>
      </c>
      <c r="AG180" s="57">
        <v>-50.000000000422006</v>
      </c>
      <c r="AH180" s="541"/>
      <c r="AI180" s="537"/>
      <c r="AJ180" s="537" t="s">
        <v>582</v>
      </c>
      <c r="AK180" s="537"/>
      <c r="AL180" s="538">
        <f>+T180</f>
        <v>-188074206.56999999</v>
      </c>
      <c r="AM180" s="12">
        <f>AC180</f>
        <v>-186286707.18000004</v>
      </c>
      <c r="AN180" s="12">
        <f>AM180-AL180</f>
        <v>1787499.3899999559</v>
      </c>
      <c r="AO180" s="7">
        <f t="shared" si="68"/>
        <v>0</v>
      </c>
    </row>
    <row r="181" spans="1:41">
      <c r="A181" s="612" t="e">
        <f t="shared" si="65"/>
        <v>#REF!</v>
      </c>
      <c r="B181" s="570"/>
      <c r="C181" s="309"/>
      <c r="D181" s="309" t="s">
        <v>584</v>
      </c>
      <c r="H181" s="357">
        <f>[13]XNV!H183</f>
        <v>0</v>
      </c>
      <c r="I181" s="357">
        <f>[13]XNV!I183</f>
        <v>0</v>
      </c>
      <c r="J181" s="357">
        <f>[13]XNV!J183</f>
        <v>0</v>
      </c>
      <c r="K181" s="357">
        <f>[13]XNV!K183</f>
        <v>0</v>
      </c>
      <c r="L181" s="357">
        <f>[13]XNV!L183</f>
        <v>0</v>
      </c>
      <c r="M181" s="357">
        <f>[13]XNV!M183</f>
        <v>0</v>
      </c>
      <c r="N181" s="357">
        <f>[13]XNV!N183</f>
        <v>0</v>
      </c>
      <c r="O181" s="357">
        <f>[13]XNV!O183</f>
        <v>0</v>
      </c>
      <c r="P181" s="357">
        <f>[13]XNV!P183</f>
        <v>0</v>
      </c>
      <c r="Q181" s="357">
        <f>[13]XNV!Q183</f>
        <v>0</v>
      </c>
      <c r="R181" s="357">
        <f>[13]XNV!R183</f>
        <v>0</v>
      </c>
      <c r="S181" s="357">
        <f>[13]XNV!S183</f>
        <v>0</v>
      </c>
      <c r="T181" s="357">
        <f>[13]XNV!T183</f>
        <v>-243070289</v>
      </c>
      <c r="U181" s="357"/>
      <c r="V181" s="584">
        <f>(SUM(I181:S181)+(0.5*T181)+(0.5*H181))/12</f>
        <v>-10127928.708333334</v>
      </c>
      <c r="Y181" s="584">
        <f>T181</f>
        <v>-243070289</v>
      </c>
      <c r="Z181" s="584">
        <f>V181</f>
        <v>-10127928.708333334</v>
      </c>
      <c r="AA181" s="357">
        <f>V181</f>
        <v>-10127928.708333334</v>
      </c>
      <c r="AB181" s="357">
        <f>T181</f>
        <v>-243070289</v>
      </c>
      <c r="AC181" s="357">
        <f>HLOOKUP($AC$8,RateBaseScenarios,AE181,FALSE)</f>
        <v>-10127928.708333334</v>
      </c>
      <c r="AD181" s="632">
        <f>AC181-T181</f>
        <v>232942360.29166666</v>
      </c>
      <c r="AE181" s="244">
        <f t="shared" si="61"/>
        <v>174</v>
      </c>
      <c r="AF181" s="244" t="e">
        <f t="shared" si="62"/>
        <v>#REF!</v>
      </c>
      <c r="AG181" s="57">
        <v>0</v>
      </c>
      <c r="AH181" s="541"/>
      <c r="AI181" s="537"/>
      <c r="AJ181" s="537" t="s">
        <v>584</v>
      </c>
      <c r="AK181" s="537"/>
      <c r="AL181" s="538">
        <f>+T181</f>
        <v>-243070289</v>
      </c>
      <c r="AM181" s="427">
        <f>AC181</f>
        <v>-10127928.708333334</v>
      </c>
      <c r="AN181" s="427">
        <f>AM181-AL181</f>
        <v>232942360.29166666</v>
      </c>
      <c r="AO181" s="7">
        <f t="shared" si="68"/>
        <v>0</v>
      </c>
    </row>
    <row r="182" spans="1:41">
      <c r="A182" s="612" t="e">
        <f t="shared" si="65"/>
        <v>#REF!</v>
      </c>
      <c r="B182" s="570"/>
      <c r="C182" s="309"/>
      <c r="D182" s="309" t="s">
        <v>160</v>
      </c>
      <c r="H182" s="388">
        <f>SUM(H178:H181)</f>
        <v>-190404024.84</v>
      </c>
      <c r="I182" s="388">
        <f t="shared" ref="I182:T182" si="69">SUM(I178:I181)</f>
        <v>-190423338.93000001</v>
      </c>
      <c r="J182" s="388">
        <f t="shared" si="69"/>
        <v>-193479797.67999998</v>
      </c>
      <c r="K182" s="388">
        <f t="shared" si="69"/>
        <v>-192532893.77000001</v>
      </c>
      <c r="L182" s="388">
        <f t="shared" si="69"/>
        <v>-192717523.85999998</v>
      </c>
      <c r="M182" s="388">
        <f t="shared" si="69"/>
        <v>-192432259.94999999</v>
      </c>
      <c r="N182" s="388">
        <f t="shared" si="69"/>
        <v>-192322597.84</v>
      </c>
      <c r="O182" s="388">
        <f t="shared" si="69"/>
        <v>-192440022.13000003</v>
      </c>
      <c r="P182" s="388">
        <f t="shared" si="69"/>
        <v>-192445620.41999999</v>
      </c>
      <c r="Q182" s="388">
        <f t="shared" si="69"/>
        <v>-192705555.71000001</v>
      </c>
      <c r="R182" s="388">
        <f t="shared" si="69"/>
        <v>-192626150</v>
      </c>
      <c r="S182" s="388">
        <f t="shared" si="69"/>
        <v>-193599746.28999999</v>
      </c>
      <c r="T182" s="388">
        <f t="shared" si="69"/>
        <v>-437460224.57999998</v>
      </c>
      <c r="U182" s="388"/>
      <c r="V182" s="625">
        <f>(SUM(I182:S182)+(0.5*T182)+(0.5*H182))/12</f>
        <v>-202638135.94083336</v>
      </c>
      <c r="Y182" s="625">
        <f>T182</f>
        <v>-437460224.57999998</v>
      </c>
      <c r="Z182" s="625">
        <f>V182</f>
        <v>-202638135.94083336</v>
      </c>
      <c r="AA182" s="388">
        <f>V182</f>
        <v>-202638135.94083336</v>
      </c>
      <c r="AB182" s="388">
        <f>T182</f>
        <v>-437460224.57999998</v>
      </c>
      <c r="AC182" s="388">
        <f t="shared" si="67"/>
        <v>-202638135.94083336</v>
      </c>
      <c r="AD182" s="638">
        <f>AC182-T182</f>
        <v>234822088.63916662</v>
      </c>
      <c r="AE182" s="244">
        <f t="shared" si="61"/>
        <v>175</v>
      </c>
      <c r="AF182" s="244" t="e">
        <f t="shared" si="62"/>
        <v>#REF!</v>
      </c>
      <c r="AG182" s="57">
        <v>5442.1537499986589</v>
      </c>
      <c r="AH182" s="541"/>
      <c r="AI182" s="537"/>
      <c r="AJ182" s="537" t="s">
        <v>160</v>
      </c>
      <c r="AK182" s="537"/>
      <c r="AL182" s="543">
        <f>SUM(AL178:AL181)</f>
        <v>-437460224.57999998</v>
      </c>
      <c r="AM182" s="12">
        <f>AC182</f>
        <v>-202638135.94083336</v>
      </c>
      <c r="AN182" s="12">
        <f>AM182-AL182</f>
        <v>234822088.63916662</v>
      </c>
      <c r="AO182" s="7">
        <f t="shared" si="68"/>
        <v>0</v>
      </c>
    </row>
    <row r="183" spans="1:41" ht="13.5" thickBot="1">
      <c r="A183" s="612" t="e">
        <f t="shared" si="65"/>
        <v>#REF!</v>
      </c>
      <c r="B183" s="570"/>
      <c r="C183" s="309"/>
      <c r="D183" s="309"/>
      <c r="Y183" s="1196"/>
      <c r="Z183" s="1196"/>
      <c r="AA183" s="2"/>
      <c r="AC183" s="2">
        <f t="shared" si="67"/>
        <v>0</v>
      </c>
      <c r="AE183" s="244">
        <f t="shared" si="61"/>
        <v>176</v>
      </c>
      <c r="AF183" s="244" t="e">
        <f t="shared" si="62"/>
        <v>#REF!</v>
      </c>
      <c r="AG183" s="57">
        <v>0</v>
      </c>
      <c r="AH183" s="541"/>
      <c r="AI183" s="537"/>
      <c r="AJ183" s="537"/>
      <c r="AK183" s="537"/>
      <c r="AL183" s="545"/>
      <c r="AM183" s="87"/>
      <c r="AN183" s="87"/>
      <c r="AO183" s="7">
        <f t="shared" si="68"/>
        <v>0</v>
      </c>
    </row>
    <row r="184" spans="1:41" ht="13.5" thickTop="1">
      <c r="A184" s="612" t="e">
        <f>+A176+1</f>
        <v>#REF!</v>
      </c>
      <c r="B184" s="570"/>
      <c r="C184" s="309"/>
      <c r="D184" s="309"/>
      <c r="O184" s="7"/>
      <c r="P184" s="7"/>
      <c r="AA184" s="2"/>
      <c r="AC184" s="2">
        <f t="shared" si="48"/>
        <v>0</v>
      </c>
      <c r="AE184" s="244">
        <f t="shared" si="61"/>
        <v>177</v>
      </c>
      <c r="AF184" s="244" t="e">
        <f>+AF176+1</f>
        <v>#REF!</v>
      </c>
      <c r="AG184" s="57">
        <v>0</v>
      </c>
      <c r="AH184" s="541"/>
      <c r="AI184" s="537"/>
      <c r="AJ184" s="537"/>
      <c r="AK184" s="537"/>
      <c r="AL184" s="538"/>
      <c r="AO184" s="7">
        <f t="shared" si="49"/>
        <v>0</v>
      </c>
    </row>
    <row r="185" spans="1:41">
      <c r="A185" s="612" t="e">
        <f t="shared" si="65"/>
        <v>#REF!</v>
      </c>
      <c r="B185" s="130" t="s">
        <v>651</v>
      </c>
      <c r="C185" s="309"/>
      <c r="D185" s="309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584"/>
      <c r="Y185" s="584"/>
      <c r="Z185" s="584"/>
      <c r="AA185" s="357"/>
      <c r="AB185" s="357"/>
      <c r="AC185" s="357">
        <f t="shared" si="48"/>
        <v>0</v>
      </c>
      <c r="AD185" s="632"/>
      <c r="AE185" s="244">
        <f t="shared" si="61"/>
        <v>178</v>
      </c>
      <c r="AF185" s="244" t="e">
        <f t="shared" si="62"/>
        <v>#REF!</v>
      </c>
      <c r="AG185" s="57">
        <v>0</v>
      </c>
      <c r="AH185" s="130" t="s">
        <v>651</v>
      </c>
      <c r="AI185" s="537"/>
      <c r="AJ185" s="537"/>
      <c r="AK185" s="537"/>
      <c r="AL185" s="538"/>
      <c r="AO185" s="7">
        <f t="shared" si="49"/>
        <v>0</v>
      </c>
    </row>
    <row r="186" spans="1:41">
      <c r="A186" s="612" t="e">
        <f t="shared" si="65"/>
        <v>#REF!</v>
      </c>
      <c r="B186" s="570"/>
      <c r="C186" s="309" t="s">
        <v>427</v>
      </c>
      <c r="D186" s="309"/>
      <c r="H186" s="357">
        <f>H146+H157+H164+H171+H178</f>
        <v>4907701.3599999985</v>
      </c>
      <c r="I186" s="357">
        <f t="shared" ref="I186:T186" si="70">I146+I157+I164+I171+I178</f>
        <v>4840718.6400000053</v>
      </c>
      <c r="J186" s="357">
        <f t="shared" si="70"/>
        <v>4784700.1499999957</v>
      </c>
      <c r="K186" s="357">
        <f t="shared" si="70"/>
        <v>4738358.8699999992</v>
      </c>
      <c r="L186" s="357">
        <f t="shared" si="70"/>
        <v>4680254.1000000043</v>
      </c>
      <c r="M186" s="357">
        <f t="shared" si="70"/>
        <v>4625322.3399999933</v>
      </c>
      <c r="N186" s="357">
        <f t="shared" si="70"/>
        <v>4569629.4100000011</v>
      </c>
      <c r="O186" s="357">
        <f t="shared" si="70"/>
        <v>4510656.730000006</v>
      </c>
      <c r="P186" s="357">
        <f t="shared" si="70"/>
        <v>4456007.4699999951</v>
      </c>
      <c r="Q186" s="357">
        <f t="shared" si="70"/>
        <v>4404422.6099999929</v>
      </c>
      <c r="R186" s="357">
        <f t="shared" si="70"/>
        <v>4351496.67</v>
      </c>
      <c r="S186" s="357">
        <f t="shared" si="70"/>
        <v>4282389.5600000024</v>
      </c>
      <c r="T186" s="357">
        <f t="shared" si="70"/>
        <v>4241141.3299999945</v>
      </c>
      <c r="U186" s="357"/>
      <c r="V186" s="357">
        <f t="shared" ref="V186" si="71">V146+V157+V164+V171+V178</f>
        <v>4568198.1579166465</v>
      </c>
      <c r="Y186" s="584">
        <f>T186</f>
        <v>4241141.3299999945</v>
      </c>
      <c r="Z186" s="584">
        <f>V186</f>
        <v>4568198.1579166465</v>
      </c>
      <c r="AA186" s="357">
        <f>V186</f>
        <v>4568198.1579166465</v>
      </c>
      <c r="AB186" s="357">
        <f>T186</f>
        <v>4241141.3299999945</v>
      </c>
      <c r="AC186" s="357">
        <f t="shared" si="48"/>
        <v>4568198.1579166465</v>
      </c>
      <c r="AD186" s="632">
        <f>AC186-T186</f>
        <v>327056.82791665196</v>
      </c>
      <c r="AE186" s="244">
        <f t="shared" si="61"/>
        <v>179</v>
      </c>
      <c r="AF186" s="244" t="e">
        <f t="shared" si="62"/>
        <v>#REF!</v>
      </c>
      <c r="AG186" s="57">
        <v>336389.88124999125</v>
      </c>
      <c r="AH186" s="541"/>
      <c r="AI186" s="537" t="s">
        <v>427</v>
      </c>
      <c r="AJ186" s="537"/>
      <c r="AK186" s="537"/>
      <c r="AL186" s="357">
        <f t="shared" ref="AL186" si="72">AL146+AL157+AL164+AL171+AL178</f>
        <v>4241141.3299999945</v>
      </c>
      <c r="AM186" s="12">
        <f>AC186</f>
        <v>4568198.1579166465</v>
      </c>
      <c r="AN186" s="12">
        <f>AM186-AL186</f>
        <v>327056.82791665196</v>
      </c>
      <c r="AO186" s="7">
        <f t="shared" si="49"/>
        <v>0</v>
      </c>
    </row>
    <row r="187" spans="1:41">
      <c r="A187" s="612" t="e">
        <f t="shared" si="65"/>
        <v>#REF!</v>
      </c>
      <c r="B187" s="570"/>
      <c r="C187" s="309" t="s">
        <v>581</v>
      </c>
      <c r="D187" s="309"/>
      <c r="H187" s="357">
        <f t="shared" ref="H187:H189" si="73">H147+H158+H165+H172+H179</f>
        <v>49438111.554000005</v>
      </c>
      <c r="I187" s="357">
        <f t="shared" ref="I187:T187" si="74">I147+I158+I165+I172+I179</f>
        <v>49443474.110000007</v>
      </c>
      <c r="J187" s="357">
        <f t="shared" si="74"/>
        <v>49629657.374000013</v>
      </c>
      <c r="K187" s="357">
        <f t="shared" si="74"/>
        <v>49995655.364</v>
      </c>
      <c r="L187" s="357">
        <f t="shared" si="74"/>
        <v>50207898.394000009</v>
      </c>
      <c r="M187" s="357">
        <f t="shared" si="74"/>
        <v>50797307.513999984</v>
      </c>
      <c r="N187" s="357">
        <f t="shared" si="74"/>
        <v>51973211.943999998</v>
      </c>
      <c r="O187" s="357">
        <f t="shared" si="74"/>
        <v>52431596.463999994</v>
      </c>
      <c r="P187" s="357">
        <f t="shared" si="74"/>
        <v>54642591.469999999</v>
      </c>
      <c r="Q187" s="357">
        <f t="shared" si="74"/>
        <v>54898160.464000002</v>
      </c>
      <c r="R187" s="357">
        <f t="shared" si="74"/>
        <v>55489761.623999998</v>
      </c>
      <c r="S187" s="357">
        <f t="shared" si="74"/>
        <v>56632756.053999998</v>
      </c>
      <c r="T187" s="357">
        <f t="shared" si="74"/>
        <v>49106108.993999988</v>
      </c>
      <c r="U187" s="357"/>
      <c r="V187" s="357">
        <f t="shared" ref="V187" si="75">V147+V158+V165+V172+V179</f>
        <v>52117848.420833327</v>
      </c>
      <c r="Y187" s="584">
        <f>T187</f>
        <v>49106108.993999988</v>
      </c>
      <c r="Z187" s="584">
        <f>V187</f>
        <v>52117848.420833327</v>
      </c>
      <c r="AA187" s="357">
        <f>V187</f>
        <v>52117848.420833327</v>
      </c>
      <c r="AB187" s="357">
        <f>T187</f>
        <v>49106108.993999988</v>
      </c>
      <c r="AC187" s="357">
        <f t="shared" si="48"/>
        <v>52117848.420833327</v>
      </c>
      <c r="AD187" s="632">
        <f>AC187-T187</f>
        <v>3011739.426833339</v>
      </c>
      <c r="AE187" s="244">
        <f t="shared" si="61"/>
        <v>180</v>
      </c>
      <c r="AF187" s="244" t="e">
        <f t="shared" si="62"/>
        <v>#REF!</v>
      </c>
      <c r="AG187" s="57">
        <v>-2739958.1382499933</v>
      </c>
      <c r="AH187" s="541"/>
      <c r="AI187" s="537" t="s">
        <v>581</v>
      </c>
      <c r="AJ187" s="537"/>
      <c r="AK187" s="537"/>
      <c r="AL187" s="357">
        <f t="shared" ref="AL187" si="76">AL147+AL158+AL165+AL172+AL179</f>
        <v>49106108.993999988</v>
      </c>
      <c r="AM187" s="12">
        <f>AC187</f>
        <v>52117848.420833327</v>
      </c>
      <c r="AN187" s="12">
        <f>AM187-AL187</f>
        <v>3011739.426833339</v>
      </c>
      <c r="AO187" s="7">
        <f t="shared" si="49"/>
        <v>0</v>
      </c>
    </row>
    <row r="188" spans="1:41">
      <c r="A188" s="612" t="e">
        <f t="shared" si="65"/>
        <v>#REF!</v>
      </c>
      <c r="B188" s="570"/>
      <c r="C188" s="309" t="s">
        <v>582</v>
      </c>
      <c r="D188" s="309"/>
      <c r="H188" s="357">
        <f>H148+H159+H166+H173+H180+H153</f>
        <v>1629007021.6459999</v>
      </c>
      <c r="I188" s="357">
        <f t="shared" ref="I188:T188" si="77">I148+I159+I166+I173+I180+I153</f>
        <v>1627453455.8899994</v>
      </c>
      <c r="J188" s="357">
        <f t="shared" si="77"/>
        <v>1632869988.8960001</v>
      </c>
      <c r="K188" s="357">
        <f t="shared" si="77"/>
        <v>1639958691.8379998</v>
      </c>
      <c r="L188" s="357">
        <f t="shared" si="77"/>
        <v>1654263746.526</v>
      </c>
      <c r="M188" s="357">
        <f t="shared" si="77"/>
        <v>1659770146.2859995</v>
      </c>
      <c r="N188" s="357">
        <f t="shared" si="77"/>
        <v>1663141930.1379995</v>
      </c>
      <c r="O188" s="357">
        <f t="shared" si="77"/>
        <v>1668459107.9479997</v>
      </c>
      <c r="P188" s="357">
        <f t="shared" si="77"/>
        <v>1706667779.1299996</v>
      </c>
      <c r="Q188" s="357">
        <f t="shared" si="77"/>
        <v>1721352668.6059999</v>
      </c>
      <c r="R188" s="357">
        <f t="shared" si="77"/>
        <v>1732780896.7259994</v>
      </c>
      <c r="S188" s="357">
        <f t="shared" si="77"/>
        <v>1738345021.1560001</v>
      </c>
      <c r="T188" s="357">
        <f t="shared" si="77"/>
        <v>1769234787.858</v>
      </c>
      <c r="U188" s="357"/>
      <c r="V188" s="357">
        <f t="shared" ref="V188" si="78">V148+V159+V166+V173+V180+V153</f>
        <v>1678682028.1576662</v>
      </c>
      <c r="Y188" s="584">
        <f>T188</f>
        <v>1769234787.858</v>
      </c>
      <c r="Z188" s="584">
        <f>V188</f>
        <v>1678682028.1576662</v>
      </c>
      <c r="AA188" s="357">
        <f>V188</f>
        <v>1678682028.1576662</v>
      </c>
      <c r="AB188" s="357">
        <f>T188</f>
        <v>1769234787.858</v>
      </c>
      <c r="AC188" s="357">
        <f t="shared" si="48"/>
        <v>1678682028.1576662</v>
      </c>
      <c r="AD188" s="632">
        <f>AC188-T188</f>
        <v>-90552759.700333834</v>
      </c>
      <c r="AE188" s="244">
        <f t="shared" si="61"/>
        <v>181</v>
      </c>
      <c r="AF188" s="244" t="e">
        <f t="shared" si="62"/>
        <v>#REF!</v>
      </c>
      <c r="AG188" s="57">
        <v>-58657149.774667144</v>
      </c>
      <c r="AH188" s="541"/>
      <c r="AI188" s="537" t="s">
        <v>582</v>
      </c>
      <c r="AJ188" s="537"/>
      <c r="AK188" s="537"/>
      <c r="AL188" s="357">
        <f>AL148+AL159+AL166+AL173+AL180+AL153</f>
        <v>1769234787.858</v>
      </c>
      <c r="AM188" s="12">
        <f>AC188</f>
        <v>1678682028.1576662</v>
      </c>
      <c r="AN188" s="12">
        <f>AM188-AL188</f>
        <v>-90552759.700333834</v>
      </c>
      <c r="AO188" s="7">
        <f t="shared" si="49"/>
        <v>0</v>
      </c>
    </row>
    <row r="189" spans="1:41">
      <c r="A189" s="612" t="e">
        <f t="shared" si="65"/>
        <v>#REF!</v>
      </c>
      <c r="B189" s="570"/>
      <c r="C189" s="309" t="s">
        <v>584</v>
      </c>
      <c r="D189" s="309"/>
      <c r="H189" s="357">
        <f t="shared" si="73"/>
        <v>140651453.35999995</v>
      </c>
      <c r="I189" s="357">
        <f t="shared" ref="I189:T189" si="79">I149+I160+I167+I174+I181</f>
        <v>139972583.91000003</v>
      </c>
      <c r="J189" s="357">
        <f t="shared" si="79"/>
        <v>139621540.34000003</v>
      </c>
      <c r="K189" s="357">
        <f t="shared" si="79"/>
        <v>138261060.76000002</v>
      </c>
      <c r="L189" s="357">
        <f t="shared" si="79"/>
        <v>138028505.81</v>
      </c>
      <c r="M189" s="357">
        <f t="shared" si="79"/>
        <v>138248889.79000002</v>
      </c>
      <c r="N189" s="357">
        <f t="shared" si="79"/>
        <v>137938090.02999997</v>
      </c>
      <c r="O189" s="357">
        <f t="shared" si="79"/>
        <v>137256374.58000001</v>
      </c>
      <c r="P189" s="357">
        <f t="shared" si="79"/>
        <v>137913169.69999999</v>
      </c>
      <c r="Q189" s="357">
        <f t="shared" si="79"/>
        <v>138315824.95000002</v>
      </c>
      <c r="R189" s="357">
        <f t="shared" si="79"/>
        <v>137683620.34000003</v>
      </c>
      <c r="S189" s="357">
        <f t="shared" si="79"/>
        <v>138599446.36000001</v>
      </c>
      <c r="T189" s="357">
        <f t="shared" si="79"/>
        <v>-102750696.32000002</v>
      </c>
      <c r="U189" s="357"/>
      <c r="V189" s="357">
        <f t="shared" ref="V189" si="80">V149+V160+V167+V174+V181</f>
        <v>128399123.75749998</v>
      </c>
      <c r="Y189" s="584">
        <f>T189</f>
        <v>-102750696.32000002</v>
      </c>
      <c r="Z189" s="584">
        <f>V189</f>
        <v>128399123.75749998</v>
      </c>
      <c r="AA189" s="357">
        <f>V189</f>
        <v>128399123.75749998</v>
      </c>
      <c r="AB189" s="357">
        <f>T189</f>
        <v>-102750696.32000002</v>
      </c>
      <c r="AC189" s="357">
        <f t="shared" si="48"/>
        <v>128399123.75749998</v>
      </c>
      <c r="AD189" s="632">
        <f>AC189-T189</f>
        <v>231149820.07749999</v>
      </c>
      <c r="AE189" s="244">
        <f t="shared" si="61"/>
        <v>182</v>
      </c>
      <c r="AF189" s="244" t="e">
        <f t="shared" si="62"/>
        <v>#REF!</v>
      </c>
      <c r="AG189" s="57">
        <v>-429417.36458337307</v>
      </c>
      <c r="AH189" s="541"/>
      <c r="AI189" s="537" t="s">
        <v>584</v>
      </c>
      <c r="AJ189" s="537"/>
      <c r="AK189" s="537"/>
      <c r="AL189" s="357">
        <f>AL149+AL160+AL167+AL174+AL181</f>
        <v>-102750696.32000002</v>
      </c>
      <c r="AM189" s="12">
        <f>AC189</f>
        <v>128399123.75749998</v>
      </c>
      <c r="AN189" s="12">
        <f>AM189-AL189</f>
        <v>231149820.07749999</v>
      </c>
      <c r="AO189" s="7">
        <f t="shared" si="49"/>
        <v>0</v>
      </c>
    </row>
    <row r="190" spans="1:41" ht="13.5" thickBot="1">
      <c r="A190" s="612" t="e">
        <f t="shared" si="65"/>
        <v>#REF!</v>
      </c>
      <c r="B190" s="570"/>
      <c r="C190" s="309"/>
      <c r="D190" s="309"/>
      <c r="H190" s="579"/>
      <c r="I190" s="579"/>
      <c r="J190" s="579"/>
      <c r="K190" s="579"/>
      <c r="L190" s="579"/>
      <c r="M190" s="579"/>
      <c r="N190" s="579"/>
      <c r="O190" s="579"/>
      <c r="P190" s="579"/>
      <c r="Q190" s="579"/>
      <c r="R190" s="579"/>
      <c r="S190" s="579"/>
      <c r="T190" s="579"/>
      <c r="U190" s="579"/>
      <c r="V190" s="626"/>
      <c r="Y190" s="626"/>
      <c r="Z190" s="626"/>
      <c r="AA190" s="579"/>
      <c r="AB190" s="579"/>
      <c r="AC190" s="579">
        <f t="shared" si="48"/>
        <v>0</v>
      </c>
      <c r="AD190" s="639"/>
      <c r="AE190" s="244">
        <f t="shared" si="61"/>
        <v>183</v>
      </c>
      <c r="AF190" s="244" t="e">
        <f t="shared" si="62"/>
        <v>#REF!</v>
      </c>
      <c r="AG190" s="57">
        <v>0</v>
      </c>
      <c r="AH190" s="541"/>
      <c r="AI190" s="537"/>
      <c r="AJ190" s="537"/>
      <c r="AK190" s="537"/>
      <c r="AL190" s="545"/>
      <c r="AM190" s="87"/>
      <c r="AN190" s="87"/>
      <c r="AO190" s="7">
        <f t="shared" si="49"/>
        <v>0</v>
      </c>
    </row>
    <row r="191" spans="1:41" ht="13.5" thickTop="1">
      <c r="A191" s="612" t="e">
        <f t="shared" si="65"/>
        <v>#REF!</v>
      </c>
      <c r="B191" s="570"/>
      <c r="C191" s="309"/>
      <c r="D191" s="309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584"/>
      <c r="Y191" s="584"/>
      <c r="Z191" s="584"/>
      <c r="AA191" s="357"/>
      <c r="AB191" s="357"/>
      <c r="AC191" s="357">
        <f t="shared" si="48"/>
        <v>0</v>
      </c>
      <c r="AD191" s="632"/>
      <c r="AE191" s="244">
        <f t="shared" si="61"/>
        <v>184</v>
      </c>
      <c r="AF191" s="244" t="e">
        <f t="shared" si="62"/>
        <v>#REF!</v>
      </c>
      <c r="AG191" s="57">
        <v>0</v>
      </c>
      <c r="AH191" s="541"/>
      <c r="AI191" s="537"/>
      <c r="AJ191" s="537"/>
      <c r="AK191" s="537"/>
      <c r="AL191" s="538"/>
      <c r="AO191" s="7">
        <f t="shared" si="49"/>
        <v>0</v>
      </c>
    </row>
    <row r="192" spans="1:41">
      <c r="A192" s="168" t="e">
        <f t="shared" si="65"/>
        <v>#REF!</v>
      </c>
      <c r="B192" s="153"/>
      <c r="C192" s="158" t="s">
        <v>651</v>
      </c>
      <c r="D192" s="49"/>
      <c r="H192" s="357">
        <f>SUM(H186:H189)</f>
        <v>1824004287.9199998</v>
      </c>
      <c r="I192" s="357">
        <f t="shared" ref="I192:S192" si="81">SUM(I186:I189)</f>
        <v>1821710232.5499995</v>
      </c>
      <c r="J192" s="357">
        <f t="shared" si="81"/>
        <v>1826905886.7600002</v>
      </c>
      <c r="K192" s="357">
        <f t="shared" si="81"/>
        <v>1832953766.8319998</v>
      </c>
      <c r="L192" s="357">
        <f t="shared" si="81"/>
        <v>1847180404.8299999</v>
      </c>
      <c r="M192" s="357">
        <f t="shared" si="81"/>
        <v>1853441665.9299996</v>
      </c>
      <c r="N192" s="357">
        <f t="shared" si="81"/>
        <v>1857622861.5219996</v>
      </c>
      <c r="O192" s="357">
        <f t="shared" si="81"/>
        <v>1862657735.7219996</v>
      </c>
      <c r="P192" s="357">
        <f t="shared" si="81"/>
        <v>1903679547.7699997</v>
      </c>
      <c r="Q192" s="357">
        <f t="shared" si="81"/>
        <v>1918971076.6299999</v>
      </c>
      <c r="R192" s="357">
        <f t="shared" si="81"/>
        <v>1930305775.3599992</v>
      </c>
      <c r="S192" s="357">
        <f t="shared" si="81"/>
        <v>1937859613.1300001</v>
      </c>
      <c r="T192" s="357">
        <f>SUM(T186:T189)</f>
        <v>1719831341.862</v>
      </c>
      <c r="U192" s="357"/>
      <c r="V192" s="584">
        <f>SUM(V186:V189)</f>
        <v>1863767198.493916</v>
      </c>
      <c r="Y192" s="584">
        <f>T192</f>
        <v>1719831341.862</v>
      </c>
      <c r="Z192" s="584">
        <f>V192</f>
        <v>1863767198.493916</v>
      </c>
      <c r="AA192" s="357">
        <f>V192</f>
        <v>1863767198.493916</v>
      </c>
      <c r="AB192" s="357">
        <f>T192</f>
        <v>1719831341.862</v>
      </c>
      <c r="AC192" s="357">
        <f t="shared" si="48"/>
        <v>1863767198.493916</v>
      </c>
      <c r="AD192" s="632">
        <f>AC192-T192</f>
        <v>143935856.63191605</v>
      </c>
      <c r="AE192" s="244">
        <f t="shared" si="61"/>
        <v>185</v>
      </c>
      <c r="AF192" s="244" t="e">
        <f t="shared" si="62"/>
        <v>#REF!</v>
      </c>
      <c r="AG192" s="57">
        <v>-61490135.396250725</v>
      </c>
      <c r="AH192" s="153"/>
      <c r="AI192" s="158" t="s">
        <v>651</v>
      </c>
      <c r="AJ192" s="49"/>
      <c r="AK192" s="49"/>
      <c r="AL192" s="9">
        <f>SUM(AL186:AL189)</f>
        <v>1719831341.862</v>
      </c>
      <c r="AM192" s="12">
        <f>AC192</f>
        <v>1863767198.493916</v>
      </c>
      <c r="AN192" s="12">
        <f>AM192-AL192</f>
        <v>143935856.63191605</v>
      </c>
      <c r="AO192" s="7">
        <f t="shared" si="49"/>
        <v>0</v>
      </c>
    </row>
    <row r="193" spans="1:41">
      <c r="A193" s="168" t="e">
        <f t="shared" si="65"/>
        <v>#REF!</v>
      </c>
      <c r="B193" s="153"/>
      <c r="C193" s="49"/>
      <c r="D193" s="49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584"/>
      <c r="Y193" s="584"/>
      <c r="Z193" s="584"/>
      <c r="AA193" s="357"/>
      <c r="AB193" s="357"/>
      <c r="AC193" s="357">
        <f t="shared" si="48"/>
        <v>0</v>
      </c>
      <c r="AD193" s="632"/>
      <c r="AE193" s="244">
        <f t="shared" si="61"/>
        <v>186</v>
      </c>
      <c r="AF193" s="244" t="e">
        <f t="shared" si="62"/>
        <v>#REF!</v>
      </c>
      <c r="AG193" s="57">
        <v>0</v>
      </c>
      <c r="AH193" s="153"/>
      <c r="AI193" s="49"/>
      <c r="AJ193" s="49"/>
      <c r="AK193" s="49"/>
      <c r="AL193" s="9"/>
      <c r="AO193" s="7">
        <f t="shared" si="49"/>
        <v>0</v>
      </c>
    </row>
    <row r="194" spans="1:41">
      <c r="A194" s="168" t="e">
        <f t="shared" si="65"/>
        <v>#REF!</v>
      </c>
      <c r="B194" s="153"/>
      <c r="C194" s="49"/>
      <c r="D194" s="49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584"/>
      <c r="Y194" s="584"/>
      <c r="Z194" s="584"/>
      <c r="AA194" s="357"/>
      <c r="AB194" s="357"/>
      <c r="AC194" s="357">
        <f t="shared" si="48"/>
        <v>0</v>
      </c>
      <c r="AD194" s="632"/>
      <c r="AE194" s="244">
        <f t="shared" si="61"/>
        <v>187</v>
      </c>
      <c r="AF194" s="244" t="e">
        <f t="shared" si="62"/>
        <v>#REF!</v>
      </c>
      <c r="AG194" s="57">
        <v>0</v>
      </c>
      <c r="AH194" s="153"/>
      <c r="AI194" s="49"/>
      <c r="AJ194" s="49"/>
      <c r="AK194" s="49"/>
      <c r="AL194" s="9"/>
      <c r="AO194" s="7">
        <f t="shared" si="49"/>
        <v>0</v>
      </c>
    </row>
    <row r="195" spans="1:41">
      <c r="A195" s="168" t="e">
        <f t="shared" si="65"/>
        <v>#REF!</v>
      </c>
      <c r="B195" s="130" t="s">
        <v>293</v>
      </c>
      <c r="C195" s="49"/>
      <c r="D195" s="49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584"/>
      <c r="Y195" s="584"/>
      <c r="Z195" s="584"/>
      <c r="AA195" s="357"/>
      <c r="AB195" s="357"/>
      <c r="AC195" s="357">
        <f t="shared" si="48"/>
        <v>0</v>
      </c>
      <c r="AD195" s="632"/>
      <c r="AE195" s="244">
        <f t="shared" si="61"/>
        <v>188</v>
      </c>
      <c r="AF195" s="244" t="e">
        <f t="shared" si="62"/>
        <v>#REF!</v>
      </c>
      <c r="AG195" s="57">
        <v>0</v>
      </c>
      <c r="AH195" s="130" t="s">
        <v>293</v>
      </c>
      <c r="AI195" s="49"/>
      <c r="AJ195" s="49"/>
      <c r="AK195" s="49"/>
      <c r="AL195" s="9"/>
      <c r="AO195" s="7">
        <f t="shared" si="49"/>
        <v>0</v>
      </c>
    </row>
    <row r="196" spans="1:41">
      <c r="A196" s="168" t="e">
        <f t="shared" si="65"/>
        <v>#REF!</v>
      </c>
      <c r="B196" s="153"/>
      <c r="C196" s="49"/>
      <c r="D196" s="49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584"/>
      <c r="Y196" s="584"/>
      <c r="Z196" s="584"/>
      <c r="AA196" s="357"/>
      <c r="AB196" s="357"/>
      <c r="AC196" s="357">
        <f t="shared" si="48"/>
        <v>0</v>
      </c>
      <c r="AD196" s="632"/>
      <c r="AE196" s="244">
        <f t="shared" si="61"/>
        <v>189</v>
      </c>
      <c r="AF196" s="244" t="e">
        <f t="shared" si="62"/>
        <v>#REF!</v>
      </c>
      <c r="AG196" s="57">
        <v>0</v>
      </c>
      <c r="AH196" s="153"/>
      <c r="AI196" s="49"/>
      <c r="AJ196" s="49"/>
      <c r="AK196" s="49"/>
      <c r="AL196" s="9"/>
      <c r="AO196" s="7">
        <f t="shared" si="49"/>
        <v>0</v>
      </c>
    </row>
    <row r="197" spans="1:41">
      <c r="A197" s="835" t="e">
        <f t="shared" si="65"/>
        <v>#REF!</v>
      </c>
      <c r="B197" s="392">
        <v>154</v>
      </c>
      <c r="C197" s="309" t="s">
        <v>294</v>
      </c>
      <c r="D197" s="309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584"/>
      <c r="Y197" s="584"/>
      <c r="Z197" s="584"/>
      <c r="AA197" s="357"/>
      <c r="AB197" s="357"/>
      <c r="AC197" s="357">
        <f t="shared" si="48"/>
        <v>0</v>
      </c>
      <c r="AD197" s="632"/>
      <c r="AE197" s="244">
        <f t="shared" si="61"/>
        <v>190</v>
      </c>
      <c r="AF197" s="244" t="e">
        <f t="shared" si="62"/>
        <v>#REF!</v>
      </c>
      <c r="AG197" s="57">
        <v>0</v>
      </c>
      <c r="AH197" s="836">
        <v>154</v>
      </c>
      <c r="AI197" s="837" t="s">
        <v>294</v>
      </c>
      <c r="AJ197" s="837"/>
      <c r="AK197" s="837"/>
      <c r="AL197" s="838"/>
      <c r="AO197" s="7">
        <f t="shared" si="49"/>
        <v>0</v>
      </c>
    </row>
    <row r="198" spans="1:41">
      <c r="A198" s="835" t="e">
        <f t="shared" si="65"/>
        <v>#REF!</v>
      </c>
      <c r="B198" s="392"/>
      <c r="C198" s="309"/>
      <c r="D198" s="309" t="s">
        <v>581</v>
      </c>
      <c r="H198" s="357">
        <f>H200-H199</f>
        <v>895587.25391245261</v>
      </c>
      <c r="I198" s="357">
        <f t="shared" ref="I198:T198" si="82">I200-I199</f>
        <v>924641.56325773522</v>
      </c>
      <c r="J198" s="357">
        <f t="shared" si="82"/>
        <v>982392.83847182244</v>
      </c>
      <c r="K198" s="357">
        <f t="shared" si="82"/>
        <v>824380.31282251328</v>
      </c>
      <c r="L198" s="357">
        <f t="shared" si="82"/>
        <v>784810.47807089984</v>
      </c>
      <c r="M198" s="357">
        <f t="shared" si="82"/>
        <v>795228.27801053226</v>
      </c>
      <c r="N198" s="357">
        <f t="shared" si="82"/>
        <v>829265.28467340767</v>
      </c>
      <c r="O198" s="357">
        <f t="shared" si="82"/>
        <v>717683.40690339357</v>
      </c>
      <c r="P198" s="357">
        <f t="shared" si="82"/>
        <v>738109.08857079595</v>
      </c>
      <c r="Q198" s="357">
        <f t="shared" si="82"/>
        <v>930761.7611960806</v>
      </c>
      <c r="R198" s="357">
        <f t="shared" si="82"/>
        <v>893488.36074661091</v>
      </c>
      <c r="S198" s="357">
        <f t="shared" si="82"/>
        <v>865266.54255538434</v>
      </c>
      <c r="T198" s="357">
        <f t="shared" si="82"/>
        <v>821279.85365963727</v>
      </c>
      <c r="U198" s="357"/>
      <c r="V198" s="584">
        <f>(SUM(I198:S198)+(0.5*T198)+(0.5*H198))/12</f>
        <v>845371.78908876842</v>
      </c>
      <c r="Y198" s="584">
        <f>T198</f>
        <v>821279.85365963727</v>
      </c>
      <c r="Z198" s="584">
        <f>V198</f>
        <v>845371.78908876842</v>
      </c>
      <c r="AA198" s="357">
        <f>+V198</f>
        <v>845371.78908876842</v>
      </c>
      <c r="AB198" s="357">
        <f>+V198</f>
        <v>845371.78908876842</v>
      </c>
      <c r="AC198" s="357">
        <f t="shared" si="48"/>
        <v>845371.78908876842</v>
      </c>
      <c r="AD198" s="632">
        <f>AC198-T198</f>
        <v>24091.935429131147</v>
      </c>
      <c r="AE198" s="244">
        <f t="shared" si="61"/>
        <v>191</v>
      </c>
      <c r="AF198" s="244" t="e">
        <f t="shared" si="62"/>
        <v>#REF!</v>
      </c>
      <c r="AG198" s="57">
        <v>82345.167690369359</v>
      </c>
      <c r="AH198" s="836"/>
      <c r="AI198" s="837"/>
      <c r="AJ198" s="837" t="s">
        <v>581</v>
      </c>
      <c r="AK198" s="837"/>
      <c r="AL198" s="838">
        <f>+T198</f>
        <v>821279.85365963727</v>
      </c>
      <c r="AM198" s="12">
        <f>AC198</f>
        <v>845371.78908876842</v>
      </c>
      <c r="AN198" s="12">
        <f>AM198-AL198</f>
        <v>24091.935429131147</v>
      </c>
      <c r="AO198" s="7">
        <f t="shared" si="49"/>
        <v>0</v>
      </c>
    </row>
    <row r="199" spans="1:41">
      <c r="A199" s="835" t="e">
        <f t="shared" si="65"/>
        <v>#REF!</v>
      </c>
      <c r="B199" s="392"/>
      <c r="C199" s="309"/>
      <c r="D199" s="309" t="s">
        <v>582</v>
      </c>
      <c r="H199" s="357">
        <f>H200*'ROR-Model'!$M$2</f>
        <v>26560709.486087546</v>
      </c>
      <c r="I199" s="357">
        <f>I200*'ROR-Model'!$M$2</f>
        <v>27422382.166742265</v>
      </c>
      <c r="J199" s="357">
        <f>J200*'ROR-Model'!$M$2</f>
        <v>29135129.681528177</v>
      </c>
      <c r="K199" s="357">
        <f>K200*'ROR-Model'!$M$2</f>
        <v>24448903.107177485</v>
      </c>
      <c r="L199" s="357">
        <f>L200*'ROR-Model'!$M$2</f>
        <v>23275368.221929099</v>
      </c>
      <c r="M199" s="357">
        <f>M200*'ROR-Model'!$M$2</f>
        <v>23584332.151989467</v>
      </c>
      <c r="N199" s="357">
        <f>N200*'ROR-Model'!$M$2</f>
        <v>24593778.235326592</v>
      </c>
      <c r="O199" s="357">
        <f>O200*'ROR-Model'!$M$2</f>
        <v>21284559.813096605</v>
      </c>
      <c r="P199" s="357">
        <f>P200*'ROR-Model'!$M$2</f>
        <v>21890330.601429205</v>
      </c>
      <c r="Q199" s="357">
        <f>Q200*'ROR-Model'!$M$2</f>
        <v>27603890.778803919</v>
      </c>
      <c r="R199" s="357">
        <f>R200*'ROR-Model'!$M$2</f>
        <v>26498461.959253389</v>
      </c>
      <c r="S199" s="357">
        <f>S200*'ROR-Model'!$M$2</f>
        <v>25661478.727444615</v>
      </c>
      <c r="T199" s="357">
        <f>T200*'ROR-Model'!$M$2</f>
        <v>24356951.826340362</v>
      </c>
      <c r="U199" s="357"/>
      <c r="V199" s="584">
        <f>(SUM(I199:S199)+(0.5*T199)+(0.5*H199))/12</f>
        <v>25071453.841744561</v>
      </c>
      <c r="Y199" s="584">
        <f>T199</f>
        <v>24356951.826340362</v>
      </c>
      <c r="Z199" s="584">
        <f>V199</f>
        <v>25071453.841744561</v>
      </c>
      <c r="AA199" s="357">
        <f>+V199</f>
        <v>25071453.841744561</v>
      </c>
      <c r="AB199" s="357">
        <f>+V199</f>
        <v>25071453.841744561</v>
      </c>
      <c r="AC199" s="357">
        <f t="shared" si="48"/>
        <v>25071453.841744561</v>
      </c>
      <c r="AD199" s="632">
        <f>AC199-T199</f>
        <v>714502.01540419832</v>
      </c>
      <c r="AE199" s="244">
        <f t="shared" si="61"/>
        <v>192</v>
      </c>
      <c r="AF199" s="244" t="e">
        <f t="shared" si="62"/>
        <v>#REF!</v>
      </c>
      <c r="AG199" s="57">
        <v>2267927.2110596318</v>
      </c>
      <c r="AH199" s="836"/>
      <c r="AI199" s="837"/>
      <c r="AJ199" s="837" t="s">
        <v>582</v>
      </c>
      <c r="AK199" s="837"/>
      <c r="AL199" s="838">
        <f>+T199</f>
        <v>24356951.826340362</v>
      </c>
      <c r="AM199" s="427">
        <f>AC199</f>
        <v>25071453.841744561</v>
      </c>
      <c r="AN199" s="427">
        <f>AM199-AL199</f>
        <v>714502.01540419832</v>
      </c>
      <c r="AO199" s="7">
        <f t="shared" si="49"/>
        <v>0</v>
      </c>
    </row>
    <row r="200" spans="1:41">
      <c r="A200" s="835" t="e">
        <f t="shared" si="65"/>
        <v>#REF!</v>
      </c>
      <c r="B200" s="392"/>
      <c r="C200" s="309"/>
      <c r="D200" s="309" t="s">
        <v>160</v>
      </c>
      <c r="H200" s="388">
        <f>[13]XNV!H202</f>
        <v>27456296.739999998</v>
      </c>
      <c r="I200" s="388">
        <f>[13]XNV!I202</f>
        <v>28347023.73</v>
      </c>
      <c r="J200" s="388">
        <f>[13]XNV!J202</f>
        <v>30117522.52</v>
      </c>
      <c r="K200" s="388">
        <f>[13]XNV!K202</f>
        <v>25273283.419999998</v>
      </c>
      <c r="L200" s="388">
        <f>[13]XNV!L202</f>
        <v>24060178.699999999</v>
      </c>
      <c r="M200" s="388">
        <f>[13]XNV!M202</f>
        <v>24379560.43</v>
      </c>
      <c r="N200" s="388">
        <f>[13]XNV!N202</f>
        <v>25423043.52</v>
      </c>
      <c r="O200" s="388">
        <f>[13]XNV!O202</f>
        <v>22002243.219999999</v>
      </c>
      <c r="P200" s="388">
        <f>[13]XNV!P202</f>
        <v>22628439.690000001</v>
      </c>
      <c r="Q200" s="388">
        <f>[13]XNV!Q202</f>
        <v>28534652.539999999</v>
      </c>
      <c r="R200" s="388">
        <f>[13]XNV!R202</f>
        <v>27391950.32</v>
      </c>
      <c r="S200" s="388">
        <f>[13]XNV!S202</f>
        <v>26526745.27</v>
      </c>
      <c r="T200" s="388">
        <f>[13]XNV!T202</f>
        <v>25178231.68</v>
      </c>
      <c r="U200" s="388"/>
      <c r="V200" s="625">
        <f>(SUM(I200:S200)+(0.5*T200)+(0.5*H200))/12</f>
        <v>25916825.630833331</v>
      </c>
      <c r="Y200" s="625">
        <f>SUM(Y198:Y199)</f>
        <v>25178231.68</v>
      </c>
      <c r="Z200" s="625">
        <f>SUM(Z198:Z199)</f>
        <v>25916825.630833328</v>
      </c>
      <c r="AA200" s="388">
        <f>+V200</f>
        <v>25916825.630833331</v>
      </c>
      <c r="AB200" s="388">
        <f>+V200</f>
        <v>25916825.630833331</v>
      </c>
      <c r="AC200" s="388">
        <f t="shared" si="48"/>
        <v>25916825.630833328</v>
      </c>
      <c r="AD200" s="638">
        <f>AC200-T200</f>
        <v>738593.95083332807</v>
      </c>
      <c r="AE200" s="244">
        <f t="shared" si="61"/>
        <v>193</v>
      </c>
      <c r="AF200" s="244" t="e">
        <f t="shared" si="62"/>
        <v>#REF!</v>
      </c>
      <c r="AG200" s="57">
        <v>2350272.378750002</v>
      </c>
      <c r="AH200" s="836"/>
      <c r="AI200" s="837"/>
      <c r="AJ200" s="837" t="s">
        <v>160</v>
      </c>
      <c r="AK200" s="837"/>
      <c r="AL200" s="839">
        <f>SUM(AL198:AL199)</f>
        <v>25178231.68</v>
      </c>
      <c r="AM200" s="12">
        <f>AC200</f>
        <v>25916825.630833328</v>
      </c>
      <c r="AN200" s="12">
        <f>AM200-AL200</f>
        <v>738593.95083332807</v>
      </c>
      <c r="AO200" s="7">
        <f t="shared" si="49"/>
        <v>0</v>
      </c>
    </row>
    <row r="201" spans="1:41">
      <c r="A201" s="168" t="e">
        <f t="shared" si="65"/>
        <v>#REF!</v>
      </c>
      <c r="B201" s="154"/>
      <c r="C201" s="49"/>
      <c r="D201" s="49"/>
      <c r="AA201" s="2"/>
      <c r="AC201" s="2">
        <f t="shared" si="48"/>
        <v>0</v>
      </c>
      <c r="AE201" s="244">
        <f t="shared" si="61"/>
        <v>194</v>
      </c>
      <c r="AF201" s="244" t="e">
        <f t="shared" si="62"/>
        <v>#REF!</v>
      </c>
      <c r="AG201" s="57">
        <v>0</v>
      </c>
      <c r="AH201" s="154"/>
      <c r="AI201" s="49"/>
      <c r="AJ201" s="49"/>
      <c r="AK201" s="49"/>
      <c r="AL201" s="9"/>
      <c r="AO201" s="7">
        <f t="shared" si="49"/>
        <v>0</v>
      </c>
    </row>
    <row r="202" spans="1:41">
      <c r="A202" s="168" t="e">
        <f t="shared" si="65"/>
        <v>#REF!</v>
      </c>
      <c r="B202" s="154" t="s">
        <v>271</v>
      </c>
      <c r="C202" s="49" t="s">
        <v>295</v>
      </c>
      <c r="D202" s="49"/>
      <c r="AA202" s="2"/>
      <c r="AC202" s="2">
        <f t="shared" si="48"/>
        <v>0</v>
      </c>
      <c r="AE202" s="244">
        <f t="shared" si="61"/>
        <v>195</v>
      </c>
      <c r="AF202" s="244" t="e">
        <f t="shared" si="62"/>
        <v>#REF!</v>
      </c>
      <c r="AG202" s="57">
        <v>0</v>
      </c>
      <c r="AH202" s="154" t="s">
        <v>271</v>
      </c>
      <c r="AI202" s="49" t="s">
        <v>295</v>
      </c>
      <c r="AJ202" s="49"/>
      <c r="AK202" s="49"/>
      <c r="AL202" s="9"/>
      <c r="AO202" s="7">
        <f t="shared" si="49"/>
        <v>0</v>
      </c>
    </row>
    <row r="203" spans="1:41">
      <c r="A203" s="168" t="e">
        <f t="shared" si="65"/>
        <v>#REF!</v>
      </c>
      <c r="B203" s="154"/>
      <c r="C203" s="49"/>
      <c r="D203" s="49" t="s">
        <v>427</v>
      </c>
      <c r="H203" s="357">
        <f>[13]XNV!H205</f>
        <v>49333980.549999997</v>
      </c>
      <c r="I203" s="357">
        <f>[13]XNV!I205</f>
        <v>33078465.640000001</v>
      </c>
      <c r="J203" s="357">
        <f>[13]XNV!J205</f>
        <v>21745044.18</v>
      </c>
      <c r="K203" s="357">
        <f>[13]XNV!K205</f>
        <v>8937825.6400000006</v>
      </c>
      <c r="L203" s="357">
        <f>[13]XNV!L205</f>
        <v>5265628.42</v>
      </c>
      <c r="M203" s="357">
        <f>[13]XNV!M205</f>
        <v>9895288.8399999999</v>
      </c>
      <c r="N203" s="357">
        <f>[13]XNV!N205</f>
        <v>21769885.129999999</v>
      </c>
      <c r="O203" s="357">
        <f>[13]XNV!O205</f>
        <v>34448175.630000003</v>
      </c>
      <c r="P203" s="357">
        <f>[13]XNV!P205</f>
        <v>48018857.409999996</v>
      </c>
      <c r="Q203" s="357">
        <f>[13]XNV!Q205</f>
        <v>58860691.740000002</v>
      </c>
      <c r="R203" s="357">
        <f>[13]XNV!R205</f>
        <v>59031895.799999997</v>
      </c>
      <c r="S203" s="357">
        <f>[13]XNV!S205</f>
        <v>59289969.149999999</v>
      </c>
      <c r="T203" s="357">
        <f>[13]XNV!T205</f>
        <v>52891066.75</v>
      </c>
      <c r="U203" s="357"/>
      <c r="V203" s="1161">
        <f>T203</f>
        <v>52891066.75</v>
      </c>
      <c r="Y203" s="584">
        <f>T203</f>
        <v>52891066.75</v>
      </c>
      <c r="Z203" s="584">
        <f>V203</f>
        <v>52891066.75</v>
      </c>
      <c r="AA203" s="357">
        <f>V203</f>
        <v>52891066.75</v>
      </c>
      <c r="AB203" s="357">
        <f>T203</f>
        <v>52891066.75</v>
      </c>
      <c r="AC203" s="357">
        <f t="shared" si="48"/>
        <v>52891066.75</v>
      </c>
      <c r="AD203" s="632">
        <f>AC203-T203</f>
        <v>0</v>
      </c>
      <c r="AE203" s="244">
        <f t="shared" si="61"/>
        <v>196</v>
      </c>
      <c r="AF203" s="244" t="e">
        <f t="shared" si="62"/>
        <v>#REF!</v>
      </c>
      <c r="AG203" s="57">
        <v>-2394924.5354166701</v>
      </c>
      <c r="AH203" s="154"/>
      <c r="AI203" s="49"/>
      <c r="AJ203" s="49" t="s">
        <v>427</v>
      </c>
      <c r="AK203" s="49"/>
      <c r="AL203" s="9">
        <f>+T203</f>
        <v>52891066.75</v>
      </c>
      <c r="AM203" s="427">
        <f>AC203</f>
        <v>52891066.75</v>
      </c>
      <c r="AN203" s="427">
        <f>AM203-AL203</f>
        <v>0</v>
      </c>
      <c r="AO203" s="7">
        <f t="shared" si="49"/>
        <v>0</v>
      </c>
    </row>
    <row r="204" spans="1:41">
      <c r="A204" s="168" t="e">
        <f t="shared" si="65"/>
        <v>#REF!</v>
      </c>
      <c r="B204" s="154"/>
      <c r="C204" s="49"/>
      <c r="D204" s="49" t="s">
        <v>160</v>
      </c>
      <c r="H204" s="388">
        <f>SUM(H203)</f>
        <v>49333980.549999997</v>
      </c>
      <c r="I204" s="388">
        <f t="shared" ref="I204:T204" si="83">SUM(I203)</f>
        <v>33078465.640000001</v>
      </c>
      <c r="J204" s="388">
        <f t="shared" si="83"/>
        <v>21745044.18</v>
      </c>
      <c r="K204" s="388">
        <f t="shared" si="83"/>
        <v>8937825.6400000006</v>
      </c>
      <c r="L204" s="388">
        <f t="shared" si="83"/>
        <v>5265628.42</v>
      </c>
      <c r="M204" s="388">
        <f t="shared" si="83"/>
        <v>9895288.8399999999</v>
      </c>
      <c r="N204" s="388">
        <f t="shared" si="83"/>
        <v>21769885.129999999</v>
      </c>
      <c r="O204" s="388">
        <f t="shared" si="83"/>
        <v>34448175.630000003</v>
      </c>
      <c r="P204" s="388">
        <f t="shared" si="83"/>
        <v>48018857.409999996</v>
      </c>
      <c r="Q204" s="388">
        <f t="shared" si="83"/>
        <v>58860691.740000002</v>
      </c>
      <c r="R204" s="388">
        <f t="shared" si="83"/>
        <v>59031895.799999997</v>
      </c>
      <c r="S204" s="388">
        <f t="shared" si="83"/>
        <v>59289969.149999999</v>
      </c>
      <c r="T204" s="388">
        <f t="shared" si="83"/>
        <v>52891066.75</v>
      </c>
      <c r="U204" s="388"/>
      <c r="V204" s="1162">
        <f>SUM(V203)</f>
        <v>52891066.75</v>
      </c>
      <c r="Y204" s="625">
        <f>+Y203</f>
        <v>52891066.75</v>
      </c>
      <c r="Z204" s="625">
        <f>+Z203</f>
        <v>52891066.75</v>
      </c>
      <c r="AA204" s="388">
        <f>+AA203</f>
        <v>52891066.75</v>
      </c>
      <c r="AB204" s="388">
        <f>+AB203</f>
        <v>52891066.75</v>
      </c>
      <c r="AC204" s="388">
        <f t="shared" ref="AC204:AC267" si="84">HLOOKUP($AC$8,RateBaseScenarios,AE204,FALSE)</f>
        <v>52891066.75</v>
      </c>
      <c r="AD204" s="638">
        <f>SUM(AD203)</f>
        <v>0</v>
      </c>
      <c r="AE204" s="244">
        <f t="shared" si="61"/>
        <v>197</v>
      </c>
      <c r="AF204" s="244" t="e">
        <f t="shared" si="62"/>
        <v>#REF!</v>
      </c>
      <c r="AG204" s="57">
        <v>-2394924.5354166701</v>
      </c>
      <c r="AH204" s="154"/>
      <c r="AI204" s="49"/>
      <c r="AJ204" s="49" t="s">
        <v>160</v>
      </c>
      <c r="AK204" s="49"/>
      <c r="AL204" s="157">
        <f>SUM(AL203)</f>
        <v>52891066.75</v>
      </c>
      <c r="AM204" s="12">
        <f>AC204</f>
        <v>52891066.75</v>
      </c>
      <c r="AN204" s="12">
        <f>AM204-AL204</f>
        <v>0</v>
      </c>
      <c r="AO204" s="7">
        <f t="shared" si="49"/>
        <v>0</v>
      </c>
    </row>
    <row r="205" spans="1:41">
      <c r="A205" s="168" t="e">
        <f t="shared" si="65"/>
        <v>#REF!</v>
      </c>
      <c r="B205" s="154"/>
      <c r="C205" s="49"/>
      <c r="D205" s="49"/>
      <c r="AA205" s="2"/>
      <c r="AC205" s="2">
        <f t="shared" si="84"/>
        <v>0</v>
      </c>
      <c r="AE205" s="244">
        <f t="shared" si="61"/>
        <v>198</v>
      </c>
      <c r="AF205" s="244" t="e">
        <f t="shared" si="62"/>
        <v>#REF!</v>
      </c>
      <c r="AG205" s="57">
        <v>0</v>
      </c>
      <c r="AH205" s="154"/>
      <c r="AI205" s="49"/>
      <c r="AJ205" s="49"/>
      <c r="AK205" s="49"/>
      <c r="AL205" s="9"/>
      <c r="AO205" s="7">
        <f t="shared" ref="AO205:AO268" si="85">+AL205-T205</f>
        <v>0</v>
      </c>
    </row>
    <row r="206" spans="1:41">
      <c r="A206" s="835" t="e">
        <f t="shared" si="65"/>
        <v>#REF!</v>
      </c>
      <c r="B206" s="392" t="s">
        <v>196</v>
      </c>
      <c r="C206" s="309" t="s">
        <v>296</v>
      </c>
      <c r="D206" s="309"/>
      <c r="AA206" s="2"/>
      <c r="AC206" s="2">
        <f t="shared" si="84"/>
        <v>0</v>
      </c>
      <c r="AE206" s="244">
        <f t="shared" si="61"/>
        <v>199</v>
      </c>
      <c r="AF206" s="244" t="e">
        <f t="shared" si="62"/>
        <v>#REF!</v>
      </c>
      <c r="AG206" s="57">
        <v>0</v>
      </c>
      <c r="AH206" s="836" t="s">
        <v>196</v>
      </c>
      <c r="AI206" s="837" t="s">
        <v>296</v>
      </c>
      <c r="AJ206" s="837"/>
      <c r="AK206" s="837"/>
      <c r="AL206" s="838"/>
      <c r="AO206" s="7">
        <f t="shared" si="85"/>
        <v>0</v>
      </c>
    </row>
    <row r="207" spans="1:41">
      <c r="A207" s="835" t="e">
        <f t="shared" si="65"/>
        <v>#REF!</v>
      </c>
      <c r="B207" s="392"/>
      <c r="C207" s="309"/>
      <c r="D207" s="309" t="s">
        <v>584</v>
      </c>
      <c r="H207" s="388">
        <f>[13]XNV!H209</f>
        <v>3471463.42</v>
      </c>
      <c r="I207" s="388">
        <f>[13]XNV!I209</f>
        <v>3721756.81</v>
      </c>
      <c r="J207" s="388">
        <f>[13]XNV!J209</f>
        <v>3178912.65</v>
      </c>
      <c r="K207" s="388">
        <f>[13]XNV!K209</f>
        <v>2679809.7000000002</v>
      </c>
      <c r="L207" s="388">
        <f>[13]XNV!L209</f>
        <v>2310232.3199999998</v>
      </c>
      <c r="M207" s="388">
        <f>[13]XNV!M209</f>
        <v>3646873.1</v>
      </c>
      <c r="N207" s="388">
        <f>[13]XNV!N209</f>
        <v>4896628.5600000005</v>
      </c>
      <c r="O207" s="388">
        <f>[13]XNV!O209</f>
        <v>4793895.25</v>
      </c>
      <c r="P207" s="388">
        <f>[13]XNV!P209</f>
        <v>4367971.97</v>
      </c>
      <c r="Q207" s="388">
        <f>[13]XNV!Q209</f>
        <v>3881182.2</v>
      </c>
      <c r="R207" s="388">
        <f>[13]XNV!R209</f>
        <v>3073910.14</v>
      </c>
      <c r="S207" s="388">
        <f>[13]XNV!S209</f>
        <v>3367819.37</v>
      </c>
      <c r="T207" s="388">
        <f>[13]XNV!T209</f>
        <v>3910153.76</v>
      </c>
      <c r="U207" s="388"/>
      <c r="V207" s="625">
        <f>(SUM(I207:S207)+(0.5*T207)+(0.5*H207))/12</f>
        <v>3634150.0549999997</v>
      </c>
      <c r="Y207" s="625">
        <f>T207</f>
        <v>3910153.76</v>
      </c>
      <c r="Z207" s="625">
        <f t="shared" ref="Z207:Z267" si="86">V207</f>
        <v>3634150.0549999997</v>
      </c>
      <c r="AA207" s="388">
        <f>+V207</f>
        <v>3634150.0549999997</v>
      </c>
      <c r="AB207" s="388">
        <f>+V207</f>
        <v>3634150.0549999997</v>
      </c>
      <c r="AC207" s="388">
        <f t="shared" si="84"/>
        <v>3634150.0549999997</v>
      </c>
      <c r="AD207" s="638">
        <f>AC207-T207</f>
        <v>-276003.70500000007</v>
      </c>
      <c r="AE207" s="244">
        <f t="shared" si="61"/>
        <v>200</v>
      </c>
      <c r="AF207" s="244" t="e">
        <f t="shared" si="62"/>
        <v>#REF!</v>
      </c>
      <c r="AG207" s="57">
        <v>-1381077.9216666676</v>
      </c>
      <c r="AH207" s="836"/>
      <c r="AI207" s="837"/>
      <c r="AJ207" s="837" t="s">
        <v>584</v>
      </c>
      <c r="AK207" s="837"/>
      <c r="AL207" s="838">
        <f>+T207</f>
        <v>3910153.76</v>
      </c>
      <c r="AM207" s="427">
        <f>AC207</f>
        <v>3634150.0549999997</v>
      </c>
      <c r="AN207" s="427">
        <f>AM207-AL207</f>
        <v>-276003.70500000007</v>
      </c>
      <c r="AO207" s="7">
        <f t="shared" si="85"/>
        <v>0</v>
      </c>
    </row>
    <row r="208" spans="1:41">
      <c r="A208" s="835" t="e">
        <f t="shared" si="65"/>
        <v>#REF!</v>
      </c>
      <c r="B208" s="392"/>
      <c r="C208" s="309"/>
      <c r="D208" s="309" t="s">
        <v>160</v>
      </c>
      <c r="H208" s="388">
        <f>SUM(H207)</f>
        <v>3471463.42</v>
      </c>
      <c r="I208" s="388">
        <f t="shared" ref="I208:T208" si="87">SUM(I207)</f>
        <v>3721756.81</v>
      </c>
      <c r="J208" s="388">
        <f t="shared" si="87"/>
        <v>3178912.65</v>
      </c>
      <c r="K208" s="388">
        <f t="shared" si="87"/>
        <v>2679809.7000000002</v>
      </c>
      <c r="L208" s="388">
        <f t="shared" si="87"/>
        <v>2310232.3199999998</v>
      </c>
      <c r="M208" s="388">
        <f t="shared" si="87"/>
        <v>3646873.1</v>
      </c>
      <c r="N208" s="388">
        <f t="shared" si="87"/>
        <v>4896628.5600000005</v>
      </c>
      <c r="O208" s="388">
        <f t="shared" si="87"/>
        <v>4793895.25</v>
      </c>
      <c r="P208" s="388">
        <f t="shared" si="87"/>
        <v>4367971.97</v>
      </c>
      <c r="Q208" s="388">
        <f t="shared" si="87"/>
        <v>3881182.2</v>
      </c>
      <c r="R208" s="388">
        <f t="shared" si="87"/>
        <v>3073910.14</v>
      </c>
      <c r="S208" s="388">
        <f t="shared" si="87"/>
        <v>3367819.37</v>
      </c>
      <c r="T208" s="388">
        <f t="shared" si="87"/>
        <v>3910153.76</v>
      </c>
      <c r="U208" s="388"/>
      <c r="V208" s="625">
        <f>(SUM(I208:S208)+(0.5*T208)+(0.5*H208))/12</f>
        <v>3634150.0549999997</v>
      </c>
      <c r="Y208" s="625">
        <f>T208</f>
        <v>3910153.76</v>
      </c>
      <c r="Z208" s="625">
        <f t="shared" si="86"/>
        <v>3634150.0549999997</v>
      </c>
      <c r="AA208" s="388">
        <f>+V208</f>
        <v>3634150.0549999997</v>
      </c>
      <c r="AB208" s="388">
        <f>+V208</f>
        <v>3634150.0549999997</v>
      </c>
      <c r="AC208" s="388">
        <f t="shared" si="84"/>
        <v>3634150.0549999997</v>
      </c>
      <c r="AD208" s="638">
        <f>AC208-T208</f>
        <v>-276003.70500000007</v>
      </c>
      <c r="AE208" s="244">
        <f t="shared" si="61"/>
        <v>201</v>
      </c>
      <c r="AF208" s="244" t="e">
        <f t="shared" si="62"/>
        <v>#REF!</v>
      </c>
      <c r="AG208" s="57">
        <v>-1381077.9216666676</v>
      </c>
      <c r="AH208" s="836"/>
      <c r="AI208" s="837"/>
      <c r="AJ208" s="837" t="s">
        <v>160</v>
      </c>
      <c r="AK208" s="837"/>
      <c r="AL208" s="839">
        <f>SUM(AL207)</f>
        <v>3910153.76</v>
      </c>
      <c r="AM208" s="12">
        <f>AC208</f>
        <v>3634150.0549999997</v>
      </c>
      <c r="AN208" s="12">
        <f>AM208-AL208</f>
        <v>-276003.70500000007</v>
      </c>
      <c r="AO208" s="7">
        <f t="shared" si="85"/>
        <v>0</v>
      </c>
    </row>
    <row r="209" spans="1:41">
      <c r="A209" s="168" t="e">
        <f t="shared" si="65"/>
        <v>#REF!</v>
      </c>
      <c r="B209" s="154"/>
      <c r="C209" s="49"/>
      <c r="D209" s="49"/>
      <c r="AA209" s="2"/>
      <c r="AC209" s="2">
        <f t="shared" si="84"/>
        <v>0</v>
      </c>
      <c r="AE209" s="244">
        <f t="shared" si="61"/>
        <v>202</v>
      </c>
      <c r="AF209" s="244" t="e">
        <f t="shared" si="62"/>
        <v>#REF!</v>
      </c>
      <c r="AG209" s="57">
        <v>0</v>
      </c>
      <c r="AH209" s="154"/>
      <c r="AI209" s="49"/>
      <c r="AJ209" s="49"/>
      <c r="AK209" s="49"/>
      <c r="AL209" s="9"/>
      <c r="AO209" s="7">
        <f t="shared" si="85"/>
        <v>0</v>
      </c>
    </row>
    <row r="210" spans="1:41">
      <c r="A210" s="168" t="e">
        <f t="shared" si="65"/>
        <v>#REF!</v>
      </c>
      <c r="B210" s="366" t="s">
        <v>289</v>
      </c>
      <c r="C210" s="172" t="s">
        <v>291</v>
      </c>
      <c r="D210" s="49"/>
      <c r="E210" s="49"/>
      <c r="F210" s="49"/>
      <c r="G210" s="49"/>
      <c r="AA210" s="2"/>
      <c r="AC210" s="2">
        <f t="shared" si="84"/>
        <v>0</v>
      </c>
      <c r="AE210" s="244">
        <f t="shared" si="61"/>
        <v>203</v>
      </c>
      <c r="AF210" s="244" t="e">
        <f t="shared" si="62"/>
        <v>#REF!</v>
      </c>
      <c r="AG210" s="57">
        <v>0</v>
      </c>
      <c r="AH210" s="366" t="s">
        <v>289</v>
      </c>
      <c r="AI210" s="172" t="s">
        <v>291</v>
      </c>
      <c r="AJ210" s="49"/>
      <c r="AK210" s="49"/>
      <c r="AL210" s="9"/>
      <c r="AO210" s="7">
        <f t="shared" si="85"/>
        <v>0</v>
      </c>
    </row>
    <row r="211" spans="1:41">
      <c r="A211" s="168" t="e">
        <f t="shared" si="65"/>
        <v>#REF!</v>
      </c>
      <c r="B211" s="154"/>
      <c r="C211" s="49"/>
      <c r="D211" s="49" t="s">
        <v>427</v>
      </c>
      <c r="E211" s="49"/>
      <c r="F211" s="49"/>
      <c r="G211" s="49"/>
      <c r="H211" s="357">
        <f>[13]XNV!H213</f>
        <v>0</v>
      </c>
      <c r="I211" s="357">
        <f>[13]XNV!I213</f>
        <v>0</v>
      </c>
      <c r="J211" s="357">
        <f>[13]XNV!J213</f>
        <v>0</v>
      </c>
      <c r="K211" s="357">
        <f>[13]XNV!K213</f>
        <v>0</v>
      </c>
      <c r="L211" s="357">
        <f>[13]XNV!L213</f>
        <v>0</v>
      </c>
      <c r="M211" s="357">
        <f>[13]XNV!M213</f>
        <v>0</v>
      </c>
      <c r="N211" s="357">
        <f>[13]XNV!N213</f>
        <v>0</v>
      </c>
      <c r="O211" s="357">
        <f>[13]XNV!O213</f>
        <v>0</v>
      </c>
      <c r="P211" s="357">
        <f>[13]XNV!P213</f>
        <v>0</v>
      </c>
      <c r="Q211" s="357">
        <f>[13]XNV!Q213</f>
        <v>0</v>
      </c>
      <c r="R211" s="357">
        <f>[13]XNV!R213</f>
        <v>0</v>
      </c>
      <c r="S211" s="357">
        <f>[13]XNV!S213</f>
        <v>0</v>
      </c>
      <c r="T211" s="357">
        <f>[13]XNV!T213</f>
        <v>0</v>
      </c>
      <c r="U211" s="357"/>
      <c r="V211" s="584">
        <f>(SUM(I211:S211)+(0.5*T211)+(0.5*H211))/12</f>
        <v>0</v>
      </c>
      <c r="Y211" s="584">
        <f>T211</f>
        <v>0</v>
      </c>
      <c r="Z211" s="584">
        <f t="shared" si="86"/>
        <v>0</v>
      </c>
      <c r="AA211" s="357">
        <f>V211</f>
        <v>0</v>
      </c>
      <c r="AB211" s="357">
        <f>T211</f>
        <v>0</v>
      </c>
      <c r="AC211" s="357">
        <f t="shared" si="84"/>
        <v>0</v>
      </c>
      <c r="AD211" s="632">
        <f>AC211-T211</f>
        <v>0</v>
      </c>
      <c r="AE211" s="244">
        <f t="shared" si="61"/>
        <v>204</v>
      </c>
      <c r="AF211" s="244" t="e">
        <f t="shared" si="62"/>
        <v>#REF!</v>
      </c>
      <c r="AG211" s="57">
        <v>0</v>
      </c>
      <c r="AH211" s="154"/>
      <c r="AI211" s="49"/>
      <c r="AJ211" s="49" t="s">
        <v>427</v>
      </c>
      <c r="AK211" s="49"/>
      <c r="AL211" s="9">
        <f>+T211</f>
        <v>0</v>
      </c>
      <c r="AM211" s="12">
        <f>AC211</f>
        <v>0</v>
      </c>
      <c r="AN211" s="12">
        <f>AM211-AL211</f>
        <v>0</v>
      </c>
      <c r="AO211" s="7">
        <f t="shared" si="85"/>
        <v>0</v>
      </c>
    </row>
    <row r="212" spans="1:41">
      <c r="A212" s="168" t="e">
        <f t="shared" si="65"/>
        <v>#REF!</v>
      </c>
      <c r="B212" s="154"/>
      <c r="C212" s="49"/>
      <c r="D212" s="49" t="s">
        <v>581</v>
      </c>
      <c r="E212" s="49"/>
      <c r="F212" s="49"/>
      <c r="G212" s="49"/>
      <c r="H212" s="357">
        <f>[13]XNV!H214</f>
        <v>0</v>
      </c>
      <c r="I212" s="357">
        <f>[13]XNV!I214</f>
        <v>0</v>
      </c>
      <c r="J212" s="357">
        <f>[13]XNV!J214</f>
        <v>0</v>
      </c>
      <c r="K212" s="357">
        <f>[13]XNV!K214</f>
        <v>0</v>
      </c>
      <c r="L212" s="357">
        <f>[13]XNV!L214</f>
        <v>0</v>
      </c>
      <c r="M212" s="357">
        <f>[13]XNV!M214</f>
        <v>0</v>
      </c>
      <c r="N212" s="357">
        <f>[13]XNV!N214</f>
        <v>0</v>
      </c>
      <c r="O212" s="357">
        <f>[13]XNV!O214</f>
        <v>0</v>
      </c>
      <c r="P212" s="357">
        <f>[13]XNV!P214</f>
        <v>0</v>
      </c>
      <c r="Q212" s="357">
        <f>[13]XNV!Q214</f>
        <v>0</v>
      </c>
      <c r="R212" s="357">
        <f>[13]XNV!R214</f>
        <v>0</v>
      </c>
      <c r="S212" s="357">
        <f>[13]XNV!S214</f>
        <v>0</v>
      </c>
      <c r="T212" s="357">
        <f>[13]XNV!T214</f>
        <v>1832178.8287000023</v>
      </c>
      <c r="U212" s="357"/>
      <c r="V212" s="584">
        <f>(SUM(I212:S212)+(0.5*T212)+(0.5*H212))/12</f>
        <v>76340.784529166762</v>
      </c>
      <c r="Y212" s="584">
        <f>T212</f>
        <v>1832178.8287000023</v>
      </c>
      <c r="Z212" s="584">
        <f t="shared" si="86"/>
        <v>76340.784529166762</v>
      </c>
      <c r="AA212" s="357">
        <f>V212</f>
        <v>76340.784529166762</v>
      </c>
      <c r="AB212" s="357">
        <f>T212</f>
        <v>1832178.8287000023</v>
      </c>
      <c r="AC212" s="357">
        <f t="shared" si="84"/>
        <v>76340.784529166762</v>
      </c>
      <c r="AD212" s="632">
        <f>AC212-T212</f>
        <v>-1755838.0441708355</v>
      </c>
      <c r="AE212" s="244">
        <f t="shared" si="61"/>
        <v>205</v>
      </c>
      <c r="AF212" s="244" t="e">
        <f t="shared" si="62"/>
        <v>#REF!</v>
      </c>
      <c r="AG212" s="57">
        <v>-14555.48653412491</v>
      </c>
      <c r="AH212" s="154"/>
      <c r="AI212" s="49"/>
      <c r="AJ212" s="49" t="s">
        <v>581</v>
      </c>
      <c r="AK212" s="49"/>
      <c r="AL212" s="9">
        <f>+T212</f>
        <v>1832178.8287000023</v>
      </c>
      <c r="AM212" s="12">
        <f>AC212</f>
        <v>76340.784529166762</v>
      </c>
      <c r="AN212" s="12">
        <f>AM212-AL212</f>
        <v>-1755838.0441708355</v>
      </c>
      <c r="AO212" s="7">
        <f t="shared" si="85"/>
        <v>0</v>
      </c>
    </row>
    <row r="213" spans="1:41">
      <c r="A213" s="168" t="e">
        <f t="shared" si="65"/>
        <v>#REF!</v>
      </c>
      <c r="B213" s="154"/>
      <c r="C213" s="49"/>
      <c r="D213" s="49" t="s">
        <v>582</v>
      </c>
      <c r="E213" s="49"/>
      <c r="F213" s="49"/>
      <c r="G213" s="49"/>
      <c r="H213" s="357">
        <f>[13]XNV!H215</f>
        <v>0</v>
      </c>
      <c r="I213" s="357">
        <f>[13]XNV!I215</f>
        <v>0</v>
      </c>
      <c r="J213" s="357">
        <f>[13]XNV!J215</f>
        <v>0</v>
      </c>
      <c r="K213" s="357">
        <f>[13]XNV!K215</f>
        <v>0</v>
      </c>
      <c r="L213" s="357">
        <f>[13]XNV!L215</f>
        <v>0</v>
      </c>
      <c r="M213" s="357">
        <f>[13]XNV!M215</f>
        <v>0</v>
      </c>
      <c r="N213" s="357">
        <f>[13]XNV!N215</f>
        <v>0</v>
      </c>
      <c r="O213" s="357">
        <f>[13]XNV!O215</f>
        <v>0</v>
      </c>
      <c r="P213" s="357">
        <f>[13]XNV!P215</f>
        <v>0</v>
      </c>
      <c r="Q213" s="357">
        <f>[13]XNV!Q215</f>
        <v>0</v>
      </c>
      <c r="R213" s="357">
        <f>[13]XNV!R215</f>
        <v>0</v>
      </c>
      <c r="S213" s="357">
        <f>[13]XNV!S215</f>
        <v>0</v>
      </c>
      <c r="T213" s="357">
        <f>[13]XNV!T215</f>
        <v>55602894.171299994</v>
      </c>
      <c r="U213" s="357"/>
      <c r="V213" s="584">
        <f>(SUM(I213:S213)+(0.5*T213)+(0.5*H213))/12</f>
        <v>2316787.2571374997</v>
      </c>
      <c r="Y213" s="584">
        <f>T213</f>
        <v>55602894.171299994</v>
      </c>
      <c r="Z213" s="584">
        <f t="shared" si="86"/>
        <v>2316787.2571374997</v>
      </c>
      <c r="AA213" s="357">
        <f>V213</f>
        <v>2316787.2571374997</v>
      </c>
      <c r="AB213" s="357">
        <f>T213</f>
        <v>55602894.171299994</v>
      </c>
      <c r="AC213" s="357">
        <f t="shared" si="84"/>
        <v>2316787.2571374997</v>
      </c>
      <c r="AD213" s="632">
        <f>AC213-T213</f>
        <v>-53286106.914162494</v>
      </c>
      <c r="AE213" s="244">
        <f t="shared" si="61"/>
        <v>206</v>
      </c>
      <c r="AF213" s="244" t="e">
        <f t="shared" si="62"/>
        <v>#REF!</v>
      </c>
      <c r="AG213" s="57">
        <v>-341777.34346587677</v>
      </c>
      <c r="AH213" s="154"/>
      <c r="AI213" s="49"/>
      <c r="AJ213" s="49" t="s">
        <v>582</v>
      </c>
      <c r="AK213" s="49"/>
      <c r="AL213" s="9">
        <f>+T213</f>
        <v>55602894.171299994</v>
      </c>
      <c r="AM213" s="12">
        <f>AC213</f>
        <v>2316787.2571374997</v>
      </c>
      <c r="AN213" s="12">
        <f>AM213-AL213</f>
        <v>-53286106.914162494</v>
      </c>
      <c r="AO213" s="7">
        <f t="shared" si="85"/>
        <v>0</v>
      </c>
    </row>
    <row r="214" spans="1:41">
      <c r="A214" s="168" t="e">
        <f t="shared" si="65"/>
        <v>#REF!</v>
      </c>
      <c r="B214" s="154"/>
      <c r="C214" s="49"/>
      <c r="D214" s="49" t="s">
        <v>584</v>
      </c>
      <c r="E214" s="49"/>
      <c r="F214" s="49"/>
      <c r="G214" s="49"/>
      <c r="H214" s="357">
        <f>[13]XNV!H216</f>
        <v>0</v>
      </c>
      <c r="I214" s="357">
        <f>[13]XNV!I216</f>
        <v>0</v>
      </c>
      <c r="J214" s="357">
        <f>[13]XNV!J216</f>
        <v>0</v>
      </c>
      <c r="K214" s="357">
        <f>[13]XNV!K216</f>
        <v>0</v>
      </c>
      <c r="L214" s="357">
        <f>[13]XNV!L216</f>
        <v>0</v>
      </c>
      <c r="M214" s="357">
        <f>[13]XNV!M216</f>
        <v>0</v>
      </c>
      <c r="N214" s="357">
        <f>[13]XNV!N216</f>
        <v>0</v>
      </c>
      <c r="O214" s="357">
        <f>[13]XNV!O216</f>
        <v>0</v>
      </c>
      <c r="P214" s="357">
        <f>[13]XNV!P216</f>
        <v>0</v>
      </c>
      <c r="Q214" s="357">
        <f>[13]XNV!Q216</f>
        <v>0</v>
      </c>
      <c r="R214" s="357">
        <f>[13]XNV!R216</f>
        <v>0</v>
      </c>
      <c r="S214" s="357">
        <f>[13]XNV!S216</f>
        <v>0</v>
      </c>
      <c r="T214" s="357">
        <f>[13]XNV!T216</f>
        <v>0</v>
      </c>
      <c r="U214" s="357"/>
      <c r="V214" s="584">
        <f>(SUM(I214:S214)+(0.5*T214)+(0.5*H214))/12</f>
        <v>0</v>
      </c>
      <c r="Y214" s="584">
        <f>T214</f>
        <v>0</v>
      </c>
      <c r="Z214" s="584">
        <f t="shared" si="86"/>
        <v>0</v>
      </c>
      <c r="AA214" s="357">
        <f>V214</f>
        <v>0</v>
      </c>
      <c r="AB214" s="357">
        <f>T214</f>
        <v>0</v>
      </c>
      <c r="AC214" s="357">
        <f t="shared" si="84"/>
        <v>0</v>
      </c>
      <c r="AD214" s="632">
        <f>AC214-T214</f>
        <v>0</v>
      </c>
      <c r="AE214" s="244">
        <f t="shared" si="61"/>
        <v>207</v>
      </c>
      <c r="AF214" s="244" t="e">
        <f t="shared" si="62"/>
        <v>#REF!</v>
      </c>
      <c r="AG214" s="57">
        <v>0</v>
      </c>
      <c r="AH214" s="154"/>
      <c r="AI214" s="49"/>
      <c r="AJ214" s="49" t="s">
        <v>584</v>
      </c>
      <c r="AK214" s="49"/>
      <c r="AL214" s="9">
        <f>+T214</f>
        <v>0</v>
      </c>
      <c r="AM214" s="427">
        <f>AC214</f>
        <v>0</v>
      </c>
      <c r="AN214" s="427">
        <f>AM214-AL214</f>
        <v>0</v>
      </c>
      <c r="AO214" s="7">
        <f t="shared" si="85"/>
        <v>0</v>
      </c>
    </row>
    <row r="215" spans="1:41">
      <c r="A215" s="168" t="e">
        <f t="shared" si="65"/>
        <v>#REF!</v>
      </c>
      <c r="B215" s="154"/>
      <c r="C215" s="49"/>
      <c r="D215" s="49" t="s">
        <v>160</v>
      </c>
      <c r="E215" s="49"/>
      <c r="F215" s="49"/>
      <c r="G215" s="49"/>
      <c r="H215" s="388">
        <f>SUM(H211:H214)</f>
        <v>0</v>
      </c>
      <c r="I215" s="388">
        <f t="shared" ref="I215:T215" si="88">SUM(I211:I214)</f>
        <v>0</v>
      </c>
      <c r="J215" s="388">
        <f t="shared" si="88"/>
        <v>0</v>
      </c>
      <c r="K215" s="388">
        <f t="shared" si="88"/>
        <v>0</v>
      </c>
      <c r="L215" s="388">
        <f t="shared" si="88"/>
        <v>0</v>
      </c>
      <c r="M215" s="388">
        <f t="shared" si="88"/>
        <v>0</v>
      </c>
      <c r="N215" s="388">
        <f t="shared" si="88"/>
        <v>0</v>
      </c>
      <c r="O215" s="388">
        <f t="shared" si="88"/>
        <v>0</v>
      </c>
      <c r="P215" s="388">
        <f t="shared" si="88"/>
        <v>0</v>
      </c>
      <c r="Q215" s="388">
        <f t="shared" si="88"/>
        <v>0</v>
      </c>
      <c r="R215" s="388">
        <f t="shared" si="88"/>
        <v>0</v>
      </c>
      <c r="S215" s="388">
        <f t="shared" si="88"/>
        <v>0</v>
      </c>
      <c r="T215" s="388">
        <f t="shared" si="88"/>
        <v>57435073</v>
      </c>
      <c r="U215" s="388"/>
      <c r="V215" s="625">
        <f>SUM(V211:V214)</f>
        <v>2393128.0416666665</v>
      </c>
      <c r="Y215" s="625">
        <f>T215</f>
        <v>57435073</v>
      </c>
      <c r="Z215" s="625">
        <f t="shared" si="86"/>
        <v>2393128.0416666665</v>
      </c>
      <c r="AA215" s="388">
        <f>V215</f>
        <v>2393128.0416666665</v>
      </c>
      <c r="AB215" s="388">
        <f>T215</f>
        <v>57435073</v>
      </c>
      <c r="AC215" s="388">
        <f t="shared" si="84"/>
        <v>2393128.0416666665</v>
      </c>
      <c r="AD215" s="638">
        <f>AC215-T215</f>
        <v>-55041944.958333336</v>
      </c>
      <c r="AE215" s="244">
        <f t="shared" si="61"/>
        <v>208</v>
      </c>
      <c r="AF215" s="244" t="e">
        <f t="shared" si="62"/>
        <v>#REF!</v>
      </c>
      <c r="AG215" s="57">
        <v>-356332.83000000194</v>
      </c>
      <c r="AH215" s="154"/>
      <c r="AI215" s="49"/>
      <c r="AJ215" s="49" t="s">
        <v>160</v>
      </c>
      <c r="AK215" s="49"/>
      <c r="AL215" s="157">
        <f>SUM(AL211:AL214)</f>
        <v>57435073</v>
      </c>
      <c r="AM215" s="12">
        <f>AC215</f>
        <v>2393128.0416666665</v>
      </c>
      <c r="AN215" s="12">
        <f>AM215-AL215</f>
        <v>-55041944.958333336</v>
      </c>
      <c r="AO215" s="7">
        <f t="shared" si="85"/>
        <v>0</v>
      </c>
    </row>
    <row r="216" spans="1:41">
      <c r="A216" s="168" t="e">
        <f t="shared" si="65"/>
        <v>#REF!</v>
      </c>
      <c r="B216" s="154"/>
      <c r="C216" s="49"/>
      <c r="D216" s="49"/>
      <c r="E216" s="49"/>
      <c r="F216" s="49"/>
      <c r="G216" s="49"/>
      <c r="S216" s="68"/>
      <c r="AA216" s="2"/>
      <c r="AC216" s="2">
        <f t="shared" si="84"/>
        <v>0</v>
      </c>
      <c r="AE216" s="244">
        <f t="shared" si="61"/>
        <v>209</v>
      </c>
      <c r="AF216" s="244" t="e">
        <f t="shared" si="62"/>
        <v>#REF!</v>
      </c>
      <c r="AG216" s="57">
        <v>0</v>
      </c>
      <c r="AH216" s="154"/>
      <c r="AI216" s="49"/>
      <c r="AJ216" s="49"/>
      <c r="AK216" s="49"/>
      <c r="AL216" s="9"/>
      <c r="AO216" s="7">
        <f t="shared" si="85"/>
        <v>0</v>
      </c>
    </row>
    <row r="217" spans="1:41">
      <c r="A217" s="168" t="e">
        <f t="shared" si="65"/>
        <v>#REF!</v>
      </c>
      <c r="B217" s="366" t="s">
        <v>290</v>
      </c>
      <c r="C217" s="172" t="s">
        <v>292</v>
      </c>
      <c r="D217" s="49"/>
      <c r="E217" s="49"/>
      <c r="F217" s="49"/>
      <c r="G217" s="49"/>
      <c r="AA217" s="2"/>
      <c r="AC217" s="2">
        <f t="shared" si="84"/>
        <v>0</v>
      </c>
      <c r="AE217" s="244">
        <f t="shared" si="61"/>
        <v>210</v>
      </c>
      <c r="AF217" s="244" t="e">
        <f t="shared" si="62"/>
        <v>#REF!</v>
      </c>
      <c r="AG217" s="57">
        <v>0</v>
      </c>
      <c r="AH217" s="366" t="s">
        <v>290</v>
      </c>
      <c r="AI217" s="172" t="s">
        <v>292</v>
      </c>
      <c r="AJ217" s="49"/>
      <c r="AK217" s="49"/>
      <c r="AL217" s="9"/>
      <c r="AO217" s="7">
        <f t="shared" si="85"/>
        <v>0</v>
      </c>
    </row>
    <row r="218" spans="1:41">
      <c r="A218" s="168" t="e">
        <f t="shared" si="65"/>
        <v>#REF!</v>
      </c>
      <c r="B218" s="154"/>
      <c r="C218" s="49"/>
      <c r="D218" s="49" t="s">
        <v>427</v>
      </c>
      <c r="E218" s="49"/>
      <c r="F218" s="49"/>
      <c r="G218" s="49"/>
      <c r="H218" s="357">
        <f>[13]XNV!H220</f>
        <v>0</v>
      </c>
      <c r="I218" s="357">
        <f>[13]XNV!I220</f>
        <v>0</v>
      </c>
      <c r="J218" s="357">
        <f>[13]XNV!J220</f>
        <v>0</v>
      </c>
      <c r="K218" s="357">
        <f>[13]XNV!K220</f>
        <v>0</v>
      </c>
      <c r="L218" s="357">
        <f>[13]XNV!L220</f>
        <v>0</v>
      </c>
      <c r="M218" s="357">
        <f>[13]XNV!M220</f>
        <v>0</v>
      </c>
      <c r="N218" s="357">
        <f>[13]XNV!N220</f>
        <v>0</v>
      </c>
      <c r="O218" s="357">
        <f>[13]XNV!O220</f>
        <v>0</v>
      </c>
      <c r="P218" s="357">
        <f>[13]XNV!P220</f>
        <v>0</v>
      </c>
      <c r="Q218" s="357">
        <f>[13]XNV!Q220</f>
        <v>0</v>
      </c>
      <c r="R218" s="357">
        <f>[13]XNV!R220</f>
        <v>0</v>
      </c>
      <c r="S218" s="357">
        <f>[13]XNV!S220</f>
        <v>0</v>
      </c>
      <c r="T218" s="357">
        <f>[13]XNV!T220</f>
        <v>0</v>
      </c>
      <c r="U218" s="357"/>
      <c r="V218" s="584">
        <f>(SUM(I218:S218)+(0.5*T218)+(0.5*H218))/12</f>
        <v>0</v>
      </c>
      <c r="Y218" s="584">
        <f>T218</f>
        <v>0</v>
      </c>
      <c r="Z218" s="584">
        <f t="shared" si="86"/>
        <v>0</v>
      </c>
      <c r="AA218" s="357">
        <f>V218</f>
        <v>0</v>
      </c>
      <c r="AB218" s="357">
        <f>T218</f>
        <v>0</v>
      </c>
      <c r="AC218" s="357">
        <f t="shared" si="84"/>
        <v>0</v>
      </c>
      <c r="AD218" s="632">
        <f>AC218-T218</f>
        <v>0</v>
      </c>
      <c r="AE218" s="244">
        <f t="shared" si="61"/>
        <v>211</v>
      </c>
      <c r="AF218" s="244" t="e">
        <f t="shared" si="62"/>
        <v>#REF!</v>
      </c>
      <c r="AG218" s="57">
        <v>0</v>
      </c>
      <c r="AH218" s="154"/>
      <c r="AI218" s="49"/>
      <c r="AJ218" s="49" t="s">
        <v>427</v>
      </c>
      <c r="AK218" s="49"/>
      <c r="AL218" s="9">
        <f>+T218</f>
        <v>0</v>
      </c>
      <c r="AM218" s="12">
        <f>AC218</f>
        <v>0</v>
      </c>
      <c r="AN218" s="12">
        <f>AM218-AL218</f>
        <v>0</v>
      </c>
      <c r="AO218" s="7">
        <f t="shared" si="85"/>
        <v>0</v>
      </c>
    </row>
    <row r="219" spans="1:41">
      <c r="A219" s="168" t="e">
        <f t="shared" si="65"/>
        <v>#REF!</v>
      </c>
      <c r="B219" s="154"/>
      <c r="C219" s="49"/>
      <c r="D219" s="49" t="s">
        <v>581</v>
      </c>
      <c r="E219" s="49"/>
      <c r="F219" s="49"/>
      <c r="G219" s="49"/>
      <c r="H219" s="357">
        <f>[13]XNV!H221</f>
        <v>0</v>
      </c>
      <c r="I219" s="357">
        <f>[13]XNV!I221</f>
        <v>0</v>
      </c>
      <c r="J219" s="357">
        <f>[13]XNV!J221</f>
        <v>0</v>
      </c>
      <c r="K219" s="357">
        <f>[13]XNV!K221</f>
        <v>0</v>
      </c>
      <c r="L219" s="357">
        <f>[13]XNV!L221</f>
        <v>0</v>
      </c>
      <c r="M219" s="357">
        <f>[13]XNV!M221</f>
        <v>0</v>
      </c>
      <c r="N219" s="357">
        <f>[13]XNV!N221</f>
        <v>0</v>
      </c>
      <c r="O219" s="357">
        <f>[13]XNV!O221</f>
        <v>0</v>
      </c>
      <c r="P219" s="357">
        <f>[13]XNV!P221</f>
        <v>0</v>
      </c>
      <c r="Q219" s="357">
        <f>[13]XNV!Q221</f>
        <v>0</v>
      </c>
      <c r="R219" s="357">
        <f>[13]XNV!R221</f>
        <v>0</v>
      </c>
      <c r="S219" s="357">
        <f>[13]XNV!S221</f>
        <v>0</v>
      </c>
      <c r="T219" s="357">
        <f>[13]XNV!T221</f>
        <v>0</v>
      </c>
      <c r="U219" s="357"/>
      <c r="V219" s="584">
        <f>(SUM(I219:S219)+(0.5*T219)+(0.5*H219))/12</f>
        <v>0</v>
      </c>
      <c r="Y219" s="584">
        <f>T219</f>
        <v>0</v>
      </c>
      <c r="Z219" s="584">
        <f t="shared" si="86"/>
        <v>0</v>
      </c>
      <c r="AA219" s="357">
        <f>V219</f>
        <v>0</v>
      </c>
      <c r="AB219" s="357">
        <f>T219</f>
        <v>0</v>
      </c>
      <c r="AC219" s="357">
        <f t="shared" si="84"/>
        <v>0</v>
      </c>
      <c r="AD219" s="632">
        <f>AC219-T219</f>
        <v>0</v>
      </c>
      <c r="AE219" s="244">
        <f t="shared" si="61"/>
        <v>212</v>
      </c>
      <c r="AF219" s="244" t="e">
        <f t="shared" si="62"/>
        <v>#REF!</v>
      </c>
      <c r="AG219" s="57">
        <v>0</v>
      </c>
      <c r="AH219" s="154"/>
      <c r="AI219" s="49"/>
      <c r="AJ219" s="49" t="s">
        <v>581</v>
      </c>
      <c r="AK219" s="49"/>
      <c r="AL219" s="9">
        <f>+T219</f>
        <v>0</v>
      </c>
      <c r="AM219" s="12">
        <f>AC219</f>
        <v>0</v>
      </c>
      <c r="AN219" s="12">
        <f>AM219-AL219</f>
        <v>0</v>
      </c>
      <c r="AO219" s="7">
        <f t="shared" si="85"/>
        <v>0</v>
      </c>
    </row>
    <row r="220" spans="1:41">
      <c r="A220" s="168" t="e">
        <f t="shared" si="65"/>
        <v>#REF!</v>
      </c>
      <c r="B220" s="154"/>
      <c r="C220" s="49"/>
      <c r="D220" s="49" t="s">
        <v>582</v>
      </c>
      <c r="E220" s="49"/>
      <c r="F220" s="49"/>
      <c r="G220" s="49"/>
      <c r="H220" s="357">
        <f>[13]XNV!H222</f>
        <v>0</v>
      </c>
      <c r="I220" s="357">
        <f>[13]XNV!I222</f>
        <v>0</v>
      </c>
      <c r="J220" s="357">
        <f>[13]XNV!J222</f>
        <v>0</v>
      </c>
      <c r="K220" s="357">
        <f>[13]XNV!K222</f>
        <v>0</v>
      </c>
      <c r="L220" s="357">
        <f>[13]XNV!L222</f>
        <v>0</v>
      </c>
      <c r="M220" s="357">
        <f>[13]XNV!M222</f>
        <v>0</v>
      </c>
      <c r="N220" s="357">
        <f>[13]XNV!N222</f>
        <v>0</v>
      </c>
      <c r="O220" s="357">
        <f>[13]XNV!O222</f>
        <v>0</v>
      </c>
      <c r="P220" s="357">
        <f>[13]XNV!P222</f>
        <v>0</v>
      </c>
      <c r="Q220" s="357">
        <f>[13]XNV!Q222</f>
        <v>0</v>
      </c>
      <c r="R220" s="357">
        <f>[13]XNV!R222</f>
        <v>0</v>
      </c>
      <c r="S220" s="357">
        <f>[13]XNV!S222</f>
        <v>0</v>
      </c>
      <c r="T220" s="357">
        <f>[13]XNV!T222</f>
        <v>13135753</v>
      </c>
      <c r="U220" s="357"/>
      <c r="V220" s="584">
        <f>(SUM(I220:S220)+(0.5*T220)+(0.5*H220))/12</f>
        <v>547323.04166666663</v>
      </c>
      <c r="Y220" s="584">
        <f>T220</f>
        <v>13135753</v>
      </c>
      <c r="Z220" s="584">
        <f t="shared" si="86"/>
        <v>547323.04166666663</v>
      </c>
      <c r="AA220" s="357">
        <f>V220</f>
        <v>547323.04166666663</v>
      </c>
      <c r="AB220" s="357">
        <f>T220</f>
        <v>13135753</v>
      </c>
      <c r="AC220" s="357">
        <f t="shared" si="84"/>
        <v>547323.04166666663</v>
      </c>
      <c r="AD220" s="632">
        <f>AC220-T220</f>
        <v>-12588429.958333334</v>
      </c>
      <c r="AE220" s="244">
        <f t="shared" si="61"/>
        <v>213</v>
      </c>
      <c r="AF220" s="244" t="e">
        <f t="shared" si="62"/>
        <v>#REF!</v>
      </c>
      <c r="AG220" s="57">
        <v>-114944.73250000004</v>
      </c>
      <c r="AH220" s="154"/>
      <c r="AI220" s="49"/>
      <c r="AJ220" s="49" t="s">
        <v>582</v>
      </c>
      <c r="AK220" s="49"/>
      <c r="AL220" s="9">
        <f>+T220</f>
        <v>13135753</v>
      </c>
      <c r="AM220" s="12">
        <f>AC220</f>
        <v>547323.04166666663</v>
      </c>
      <c r="AN220" s="12">
        <f>AM220-AL220</f>
        <v>-12588429.958333334</v>
      </c>
      <c r="AO220" s="7">
        <f t="shared" si="85"/>
        <v>0</v>
      </c>
    </row>
    <row r="221" spans="1:41">
      <c r="A221" s="168" t="e">
        <f t="shared" si="65"/>
        <v>#REF!</v>
      </c>
      <c r="B221" s="154"/>
      <c r="C221" s="49"/>
      <c r="D221" s="49" t="s">
        <v>584</v>
      </c>
      <c r="E221" s="49"/>
      <c r="F221" s="49"/>
      <c r="G221" s="49"/>
      <c r="H221" s="357">
        <f>[13]XNV!H223</f>
        <v>0</v>
      </c>
      <c r="I221" s="357">
        <f>[13]XNV!I223</f>
        <v>0</v>
      </c>
      <c r="J221" s="357">
        <f>[13]XNV!J223</f>
        <v>0</v>
      </c>
      <c r="K221" s="357">
        <f>[13]XNV!K223</f>
        <v>0</v>
      </c>
      <c r="L221" s="357">
        <f>[13]XNV!L223</f>
        <v>0</v>
      </c>
      <c r="M221" s="357">
        <f>[13]XNV!M223</f>
        <v>0</v>
      </c>
      <c r="N221" s="357">
        <f>[13]XNV!N223</f>
        <v>0</v>
      </c>
      <c r="O221" s="357">
        <f>[13]XNV!O223</f>
        <v>0</v>
      </c>
      <c r="P221" s="357">
        <f>[13]XNV!P223</f>
        <v>0</v>
      </c>
      <c r="Q221" s="357">
        <f>[13]XNV!Q223</f>
        <v>0</v>
      </c>
      <c r="R221" s="357">
        <f>[13]XNV!R223</f>
        <v>0</v>
      </c>
      <c r="S221" s="357">
        <f>[13]XNV!S223</f>
        <v>0</v>
      </c>
      <c r="T221" s="357">
        <f>[13]XNV!T223</f>
        <v>0</v>
      </c>
      <c r="U221" s="357"/>
      <c r="V221" s="584">
        <f>(SUM(I221:S221)+(0.5*T221)+(0.5*H221))/12</f>
        <v>0</v>
      </c>
      <c r="Y221" s="584">
        <f>T221</f>
        <v>0</v>
      </c>
      <c r="Z221" s="584">
        <f t="shared" si="86"/>
        <v>0</v>
      </c>
      <c r="AA221" s="357">
        <f>V221</f>
        <v>0</v>
      </c>
      <c r="AB221" s="357">
        <f>T221</f>
        <v>0</v>
      </c>
      <c r="AC221" s="357">
        <f t="shared" si="84"/>
        <v>0</v>
      </c>
      <c r="AD221" s="632">
        <f>AC221-T221</f>
        <v>0</v>
      </c>
      <c r="AE221" s="244">
        <f t="shared" si="61"/>
        <v>214</v>
      </c>
      <c r="AF221" s="244" t="e">
        <f t="shared" si="62"/>
        <v>#REF!</v>
      </c>
      <c r="AG221" s="57">
        <v>0</v>
      </c>
      <c r="AH221" s="154"/>
      <c r="AI221" s="49"/>
      <c r="AJ221" s="49" t="s">
        <v>584</v>
      </c>
      <c r="AK221" s="49"/>
      <c r="AL221" s="9">
        <f>+T221</f>
        <v>0</v>
      </c>
      <c r="AM221" s="427">
        <f>AC221</f>
        <v>0</v>
      </c>
      <c r="AN221" s="427">
        <f>AM221-AL221</f>
        <v>0</v>
      </c>
      <c r="AO221" s="7">
        <f t="shared" si="85"/>
        <v>0</v>
      </c>
    </row>
    <row r="222" spans="1:41">
      <c r="A222" s="168" t="e">
        <f t="shared" si="65"/>
        <v>#REF!</v>
      </c>
      <c r="B222" s="154"/>
      <c r="C222" s="49"/>
      <c r="D222" s="49" t="s">
        <v>160</v>
      </c>
      <c r="E222" s="49"/>
      <c r="F222" s="49"/>
      <c r="G222" s="49"/>
      <c r="H222" s="388">
        <f>SUM(H218:H221)</f>
        <v>0</v>
      </c>
      <c r="I222" s="388">
        <f t="shared" ref="I222:T222" si="89">SUM(I218:I221)</f>
        <v>0</v>
      </c>
      <c r="J222" s="388">
        <f t="shared" si="89"/>
        <v>0</v>
      </c>
      <c r="K222" s="388">
        <f t="shared" si="89"/>
        <v>0</v>
      </c>
      <c r="L222" s="388">
        <f t="shared" si="89"/>
        <v>0</v>
      </c>
      <c r="M222" s="388">
        <f t="shared" si="89"/>
        <v>0</v>
      </c>
      <c r="N222" s="388">
        <f t="shared" si="89"/>
        <v>0</v>
      </c>
      <c r="O222" s="388">
        <f t="shared" si="89"/>
        <v>0</v>
      </c>
      <c r="P222" s="388">
        <f t="shared" si="89"/>
        <v>0</v>
      </c>
      <c r="Q222" s="388">
        <f t="shared" si="89"/>
        <v>0</v>
      </c>
      <c r="R222" s="388">
        <f t="shared" si="89"/>
        <v>0</v>
      </c>
      <c r="S222" s="388">
        <f t="shared" si="89"/>
        <v>0</v>
      </c>
      <c r="T222" s="388">
        <f t="shared" si="89"/>
        <v>13135753</v>
      </c>
      <c r="U222" s="388"/>
      <c r="V222" s="625">
        <f>SUM(V218:V221)</f>
        <v>547323.04166666663</v>
      </c>
      <c r="Y222" s="625">
        <f>T222</f>
        <v>13135753</v>
      </c>
      <c r="Z222" s="625">
        <f t="shared" si="86"/>
        <v>547323.04166666663</v>
      </c>
      <c r="AA222" s="388">
        <f>V222</f>
        <v>547323.04166666663</v>
      </c>
      <c r="AB222" s="388">
        <f>T222</f>
        <v>13135753</v>
      </c>
      <c r="AC222" s="388">
        <f t="shared" si="84"/>
        <v>547323.04166666663</v>
      </c>
      <c r="AD222" s="638">
        <f>AC222-T222</f>
        <v>-12588429.958333334</v>
      </c>
      <c r="AE222" s="244">
        <f t="shared" si="61"/>
        <v>215</v>
      </c>
      <c r="AF222" s="244" t="e">
        <f t="shared" si="62"/>
        <v>#REF!</v>
      </c>
      <c r="AG222" s="57">
        <v>-114944.73250000004</v>
      </c>
      <c r="AH222" s="154"/>
      <c r="AI222" s="49"/>
      <c r="AJ222" s="49" t="s">
        <v>160</v>
      </c>
      <c r="AK222" s="49"/>
      <c r="AL222" s="157">
        <f>SUM(AL218:AL221)</f>
        <v>13135753</v>
      </c>
      <c r="AM222" s="12">
        <f>AC222</f>
        <v>547323.04166666663</v>
      </c>
      <c r="AN222" s="12">
        <f>AM222-AL222</f>
        <v>-12588429.958333334</v>
      </c>
      <c r="AO222" s="7">
        <f t="shared" si="85"/>
        <v>0</v>
      </c>
    </row>
    <row r="223" spans="1:41">
      <c r="A223" s="168" t="e">
        <f t="shared" si="65"/>
        <v>#REF!</v>
      </c>
      <c r="B223" s="154"/>
      <c r="C223" s="49"/>
      <c r="D223" s="49"/>
      <c r="T223" s="7"/>
      <c r="AA223" s="2"/>
      <c r="AC223" s="2">
        <f t="shared" si="84"/>
        <v>0</v>
      </c>
      <c r="AE223" s="244">
        <f t="shared" si="61"/>
        <v>216</v>
      </c>
      <c r="AF223" s="244" t="e">
        <f t="shared" si="62"/>
        <v>#REF!</v>
      </c>
      <c r="AG223" s="57">
        <v>0</v>
      </c>
      <c r="AH223" s="154"/>
      <c r="AI223" s="49"/>
      <c r="AJ223" s="49"/>
      <c r="AK223" s="49"/>
      <c r="AL223" s="9"/>
      <c r="AO223" s="7">
        <f t="shared" si="85"/>
        <v>0</v>
      </c>
    </row>
    <row r="224" spans="1:41">
      <c r="A224" s="835" t="e">
        <f t="shared" si="65"/>
        <v>#REF!</v>
      </c>
      <c r="B224" s="836">
        <v>2351</v>
      </c>
      <c r="C224" s="309" t="s">
        <v>297</v>
      </c>
      <c r="D224" s="309"/>
      <c r="AA224" s="2"/>
      <c r="AC224" s="2">
        <f t="shared" si="84"/>
        <v>0</v>
      </c>
      <c r="AE224" s="244">
        <f t="shared" si="61"/>
        <v>217</v>
      </c>
      <c r="AF224" s="244" t="e">
        <f t="shared" si="62"/>
        <v>#REF!</v>
      </c>
      <c r="AG224" s="57">
        <v>0</v>
      </c>
      <c r="AH224" s="836">
        <v>2351</v>
      </c>
      <c r="AI224" s="837" t="s">
        <v>297</v>
      </c>
      <c r="AJ224" s="837"/>
      <c r="AK224" s="837"/>
      <c r="AL224" s="838"/>
      <c r="AO224" s="7">
        <f t="shared" si="85"/>
        <v>0</v>
      </c>
    </row>
    <row r="225" spans="1:41">
      <c r="A225" s="835" t="e">
        <f t="shared" si="65"/>
        <v>#REF!</v>
      </c>
      <c r="B225" s="836"/>
      <c r="C225" s="309"/>
      <c r="D225" s="309" t="s">
        <v>581</v>
      </c>
      <c r="H225" s="357">
        <f>[13]XNV!H227</f>
        <v>-265894.62</v>
      </c>
      <c r="I225" s="357">
        <f>[13]XNV!I227</f>
        <v>-266412.97000000003</v>
      </c>
      <c r="J225" s="357">
        <f>[13]XNV!J227</f>
        <v>-270447.93</v>
      </c>
      <c r="K225" s="357">
        <f>[13]XNV!K227</f>
        <v>-272492.83</v>
      </c>
      <c r="L225" s="357">
        <f>[13]XNV!L227</f>
        <v>-272979.68</v>
      </c>
      <c r="M225" s="357">
        <f>[13]XNV!M227</f>
        <v>-261693.76</v>
      </c>
      <c r="N225" s="357">
        <f>[13]XNV!N227</f>
        <v>-263417.59999999998</v>
      </c>
      <c r="O225" s="357">
        <f>[13]XNV!O227</f>
        <v>-260801</v>
      </c>
      <c r="P225" s="357">
        <f>[13]XNV!P227</f>
        <v>-250950.09</v>
      </c>
      <c r="Q225" s="357">
        <f>[13]XNV!Q227</f>
        <v>-259506.78</v>
      </c>
      <c r="R225" s="357">
        <f>[13]XNV!R227</f>
        <v>-267568.71000000002</v>
      </c>
      <c r="S225" s="357">
        <f>[13]XNV!S227</f>
        <v>-265128.53999999998</v>
      </c>
      <c r="T225" s="357">
        <f>[13]XNV!T227</f>
        <v>-248143.61000000002</v>
      </c>
      <c r="U225" s="357"/>
      <c r="V225" s="584">
        <f>(SUM(I225:S225)+(0.5*T225)+(0.5*H225))/12</f>
        <v>-264034.9170833333</v>
      </c>
      <c r="Y225" s="584">
        <f>T225</f>
        <v>-248143.61000000002</v>
      </c>
      <c r="Z225" s="584">
        <f t="shared" si="86"/>
        <v>-264034.9170833333</v>
      </c>
      <c r="AA225" s="357">
        <f>+V225</f>
        <v>-264034.9170833333</v>
      </c>
      <c r="AB225" s="357">
        <f>+V225</f>
        <v>-264034.9170833333</v>
      </c>
      <c r="AC225" s="357">
        <f t="shared" si="84"/>
        <v>-264034.9170833333</v>
      </c>
      <c r="AD225" s="632">
        <f>AC225-T225</f>
        <v>-15891.307083333289</v>
      </c>
      <c r="AE225" s="244">
        <f t="shared" si="61"/>
        <v>218</v>
      </c>
      <c r="AF225" s="244" t="e">
        <f t="shared" si="62"/>
        <v>#REF!</v>
      </c>
      <c r="AG225" s="57">
        <v>-1512.6362500000105</v>
      </c>
      <c r="AH225" s="836"/>
      <c r="AI225" s="837"/>
      <c r="AJ225" s="837" t="s">
        <v>581</v>
      </c>
      <c r="AK225" s="837"/>
      <c r="AL225" s="838">
        <f>+T225</f>
        <v>-248143.61000000002</v>
      </c>
      <c r="AM225" s="12">
        <f>AC225</f>
        <v>-264034.9170833333</v>
      </c>
      <c r="AN225" s="12">
        <f>AM225-AL225</f>
        <v>-15891.307083333289</v>
      </c>
      <c r="AO225" s="7">
        <f t="shared" si="85"/>
        <v>0</v>
      </c>
    </row>
    <row r="226" spans="1:41">
      <c r="A226" s="835" t="e">
        <f t="shared" si="65"/>
        <v>#REF!</v>
      </c>
      <c r="B226" s="836"/>
      <c r="C226" s="309"/>
      <c r="D226" s="309" t="s">
        <v>582</v>
      </c>
      <c r="H226" s="357">
        <f>[13]XNV!H228</f>
        <v>-6457564.5700000003</v>
      </c>
      <c r="I226" s="357">
        <f>[13]XNV!I228</f>
        <v>-6454721.1000000006</v>
      </c>
      <c r="J226" s="357">
        <f>[13]XNV!J228</f>
        <v>-6541838.6500000004</v>
      </c>
      <c r="K226" s="357">
        <f>[13]XNV!K228</f>
        <v>-6608572.3300000001</v>
      </c>
      <c r="L226" s="357">
        <f>[13]XNV!L228</f>
        <v>-6662069.9500000002</v>
      </c>
      <c r="M226" s="357">
        <f>[13]XNV!M228</f>
        <v>-6673252.6200000001</v>
      </c>
      <c r="N226" s="357">
        <f>[13]XNV!N228</f>
        <v>-6782840.1100000003</v>
      </c>
      <c r="O226" s="357">
        <f>[13]XNV!O228</f>
        <v>-6797581.7400000002</v>
      </c>
      <c r="P226" s="357">
        <f>[13]XNV!P228</f>
        <v>-6760662.6600000001</v>
      </c>
      <c r="Q226" s="357">
        <f>[13]XNV!Q228</f>
        <v>-6873774.2000000002</v>
      </c>
      <c r="R226" s="357">
        <f>[13]XNV!R228</f>
        <v>-6791431.4699999997</v>
      </c>
      <c r="S226" s="357">
        <f>[13]XNV!S228</f>
        <v>-6357777.7400000002</v>
      </c>
      <c r="T226" s="357">
        <f>[13]XNV!T228</f>
        <v>-5457546.1899999995</v>
      </c>
      <c r="U226" s="357"/>
      <c r="V226" s="584">
        <f>(SUM(I226:S226)+(0.5*T226)+(0.5*H226))/12</f>
        <v>-6605173.1624999987</v>
      </c>
      <c r="Y226" s="584">
        <f>T226</f>
        <v>-5457546.1899999995</v>
      </c>
      <c r="Z226" s="584">
        <f t="shared" si="86"/>
        <v>-6605173.1624999987</v>
      </c>
      <c r="AA226" s="357">
        <f>+V226</f>
        <v>-6605173.1624999987</v>
      </c>
      <c r="AB226" s="357">
        <f>+V226</f>
        <v>-6605173.1624999987</v>
      </c>
      <c r="AC226" s="357">
        <f t="shared" si="84"/>
        <v>-6605173.1624999987</v>
      </c>
      <c r="AD226" s="632">
        <f>AC226-T226</f>
        <v>-1147626.9724999992</v>
      </c>
      <c r="AE226" s="244">
        <f t="shared" si="61"/>
        <v>219</v>
      </c>
      <c r="AF226" s="244" t="e">
        <f t="shared" si="62"/>
        <v>#REF!</v>
      </c>
      <c r="AG226" s="57">
        <v>-476537.93416666798</v>
      </c>
      <c r="AH226" s="836"/>
      <c r="AI226" s="837"/>
      <c r="AJ226" s="837" t="s">
        <v>582</v>
      </c>
      <c r="AK226" s="837"/>
      <c r="AL226" s="838">
        <f>+T226</f>
        <v>-5457546.1899999995</v>
      </c>
      <c r="AM226" s="427">
        <f>AC226</f>
        <v>-6605173.1624999987</v>
      </c>
      <c r="AN226" s="427">
        <f>AM226-AL226</f>
        <v>-1147626.9724999992</v>
      </c>
      <c r="AO226" s="7">
        <f t="shared" si="85"/>
        <v>0</v>
      </c>
    </row>
    <row r="227" spans="1:41">
      <c r="A227" s="835" t="e">
        <f t="shared" si="65"/>
        <v>#REF!</v>
      </c>
      <c r="B227" s="836"/>
      <c r="C227" s="309"/>
      <c r="D227" s="309" t="s">
        <v>160</v>
      </c>
      <c r="H227" s="388">
        <f>SUM(H225:H226)</f>
        <v>-6723459.1900000004</v>
      </c>
      <c r="I227" s="388">
        <f t="shared" ref="I227:T227" si="90">SUM(I225:I226)</f>
        <v>-6721134.0700000003</v>
      </c>
      <c r="J227" s="388">
        <f t="shared" si="90"/>
        <v>-6812286.5800000001</v>
      </c>
      <c r="K227" s="388">
        <f t="shared" si="90"/>
        <v>-6881065.1600000001</v>
      </c>
      <c r="L227" s="388">
        <f t="shared" si="90"/>
        <v>-6935049.6299999999</v>
      </c>
      <c r="M227" s="388">
        <f t="shared" si="90"/>
        <v>-6934946.3799999999</v>
      </c>
      <c r="N227" s="388">
        <f t="shared" si="90"/>
        <v>-7046257.71</v>
      </c>
      <c r="O227" s="388">
        <f t="shared" si="90"/>
        <v>-7058382.7400000002</v>
      </c>
      <c r="P227" s="388">
        <f t="shared" si="90"/>
        <v>-7011612.75</v>
      </c>
      <c r="Q227" s="388">
        <f t="shared" si="90"/>
        <v>-7133280.9800000004</v>
      </c>
      <c r="R227" s="388">
        <f t="shared" si="90"/>
        <v>-7059000.1799999997</v>
      </c>
      <c r="S227" s="388">
        <f t="shared" si="90"/>
        <v>-6622906.2800000003</v>
      </c>
      <c r="T227" s="388">
        <f t="shared" si="90"/>
        <v>-5705689.7999999998</v>
      </c>
      <c r="U227" s="388"/>
      <c r="V227" s="625">
        <f>(SUM(I227:S227)+(0.5*T227)+(0.5*H227))/12</f>
        <v>-6869208.0795833347</v>
      </c>
      <c r="Y227" s="625">
        <f>T227</f>
        <v>-5705689.7999999998</v>
      </c>
      <c r="Z227" s="625">
        <f t="shared" si="86"/>
        <v>-6869208.0795833347</v>
      </c>
      <c r="AA227" s="388">
        <f>+V227</f>
        <v>-6869208.0795833347</v>
      </c>
      <c r="AB227" s="388">
        <f>+V227</f>
        <v>-6869208.0795833347</v>
      </c>
      <c r="AC227" s="388">
        <f t="shared" si="84"/>
        <v>-6869208.0795833347</v>
      </c>
      <c r="AD227" s="638">
        <f>AC227-T227</f>
        <v>-1163518.2795833349</v>
      </c>
      <c r="AE227" s="244">
        <f t="shared" si="61"/>
        <v>220</v>
      </c>
      <c r="AF227" s="244" t="e">
        <f t="shared" si="62"/>
        <v>#REF!</v>
      </c>
      <c r="AG227" s="57">
        <v>-478050.57041666936</v>
      </c>
      <c r="AH227" s="836"/>
      <c r="AI227" s="837"/>
      <c r="AJ227" s="837" t="s">
        <v>160</v>
      </c>
      <c r="AK227" s="837"/>
      <c r="AL227" s="839">
        <f>SUM(AL225:AL226)</f>
        <v>-5705689.7999999998</v>
      </c>
      <c r="AM227" s="12">
        <f>AC227</f>
        <v>-6869208.0795833347</v>
      </c>
      <c r="AN227" s="12">
        <f>AM227-AL227</f>
        <v>-1163518.2795833349</v>
      </c>
      <c r="AO227" s="7">
        <f t="shared" si="85"/>
        <v>0</v>
      </c>
    </row>
    <row r="228" spans="1:41">
      <c r="A228" s="612" t="e">
        <f t="shared" si="65"/>
        <v>#REF!</v>
      </c>
      <c r="B228" s="392"/>
      <c r="C228" s="309"/>
      <c r="D228" s="309"/>
      <c r="AA228" s="2"/>
      <c r="AC228" s="2">
        <f t="shared" si="84"/>
        <v>0</v>
      </c>
      <c r="AE228" s="244">
        <f t="shared" si="61"/>
        <v>221</v>
      </c>
      <c r="AF228" s="244" t="e">
        <f t="shared" si="62"/>
        <v>#REF!</v>
      </c>
      <c r="AG228" s="57">
        <v>0</v>
      </c>
      <c r="AH228" s="532"/>
      <c r="AI228" s="533"/>
      <c r="AJ228" s="533"/>
      <c r="AK228" s="533"/>
      <c r="AL228" s="534"/>
      <c r="AO228" s="7">
        <f t="shared" si="85"/>
        <v>0</v>
      </c>
    </row>
    <row r="229" spans="1:41">
      <c r="A229" s="612" t="e">
        <f t="shared" si="65"/>
        <v>#REF!</v>
      </c>
      <c r="B229" s="518">
        <v>252</v>
      </c>
      <c r="C229" s="355" t="s">
        <v>480</v>
      </c>
      <c r="D229" s="309"/>
      <c r="E229" s="309"/>
      <c r="F229" s="309"/>
      <c r="G229" s="309"/>
      <c r="AA229" s="2"/>
      <c r="AC229" s="2">
        <f t="shared" si="84"/>
        <v>0</v>
      </c>
      <c r="AE229" s="244">
        <f t="shared" si="61"/>
        <v>222</v>
      </c>
      <c r="AF229" s="244" t="e">
        <f t="shared" si="62"/>
        <v>#REF!</v>
      </c>
      <c r="AG229" s="57">
        <v>0</v>
      </c>
      <c r="AH229" s="546">
        <v>252</v>
      </c>
      <c r="AI229" s="533" t="s">
        <v>480</v>
      </c>
      <c r="AJ229" s="533"/>
      <c r="AK229" s="533"/>
      <c r="AL229" s="534"/>
      <c r="AO229" s="7">
        <f t="shared" si="85"/>
        <v>0</v>
      </c>
    </row>
    <row r="230" spans="1:41">
      <c r="A230" s="612"/>
      <c r="B230" s="518"/>
      <c r="C230" s="355"/>
      <c r="D230" s="309" t="s">
        <v>581</v>
      </c>
      <c r="E230" s="309"/>
      <c r="F230" s="309"/>
      <c r="G230" s="309"/>
      <c r="H230" s="357">
        <f>[13]XNV!H232</f>
        <v>-510513.99</v>
      </c>
      <c r="I230" s="357">
        <f>[13]XNV!I232</f>
        <v>-510513.99</v>
      </c>
      <c r="J230" s="357">
        <f>[13]XNV!J232</f>
        <v>-510513.99</v>
      </c>
      <c r="K230" s="357">
        <f>[13]XNV!K232</f>
        <v>-510513.99</v>
      </c>
      <c r="L230" s="357">
        <f>[13]XNV!L232</f>
        <v>-510513.99</v>
      </c>
      <c r="M230" s="357">
        <f>[13]XNV!M232</f>
        <v>-465842.24</v>
      </c>
      <c r="N230" s="357">
        <f>[13]XNV!N232</f>
        <v>-465842.24</v>
      </c>
      <c r="O230" s="357">
        <f>[13]XNV!O232</f>
        <v>-465842.24</v>
      </c>
      <c r="P230" s="357">
        <f>[13]XNV!P232</f>
        <v>-465842.24</v>
      </c>
      <c r="Q230" s="357">
        <f>[13]XNV!Q232</f>
        <v>-465842.24</v>
      </c>
      <c r="R230" s="357">
        <f>[13]XNV!R232</f>
        <v>-465842.24</v>
      </c>
      <c r="S230" s="357">
        <f>[13]XNV!S232</f>
        <v>-465842.24</v>
      </c>
      <c r="T230" s="357">
        <f>[13]XNV!T232</f>
        <v>-404156.02</v>
      </c>
      <c r="U230" s="357"/>
      <c r="V230" s="584">
        <f>(SUM(I230:S230)+(0.5*T230)+(0.5*H230))/12</f>
        <v>-480023.88708333345</v>
      </c>
      <c r="Y230" s="584">
        <f>T230</f>
        <v>-404156.02</v>
      </c>
      <c r="Z230" s="584">
        <f t="shared" si="86"/>
        <v>-480023.88708333345</v>
      </c>
      <c r="AA230" s="357">
        <f>V230</f>
        <v>-480023.88708333345</v>
      </c>
      <c r="AB230" s="357">
        <f>T230</f>
        <v>-404156.02</v>
      </c>
      <c r="AC230" s="357">
        <f t="shared" si="84"/>
        <v>-480023.88708333345</v>
      </c>
      <c r="AD230" s="632">
        <f>AC230-T230</f>
        <v>-75867.867083333433</v>
      </c>
      <c r="AE230" s="244">
        <f t="shared" si="61"/>
        <v>223</v>
      </c>
      <c r="AF230" s="244" t="e">
        <f t="shared" si="62"/>
        <v>#REF!</v>
      </c>
      <c r="AG230" s="57">
        <v>-181737.61916666664</v>
      </c>
      <c r="AH230" s="546"/>
      <c r="AI230" s="533"/>
      <c r="AJ230" s="309" t="s">
        <v>581</v>
      </c>
      <c r="AK230" s="533"/>
      <c r="AL230" s="549">
        <f>+T230</f>
        <v>-404156.02</v>
      </c>
      <c r="AM230" s="540">
        <f>AC230</f>
        <v>-480023.88708333345</v>
      </c>
      <c r="AN230" s="540">
        <f>AM230-AL230</f>
        <v>-75867.867083333433</v>
      </c>
      <c r="AO230" s="7">
        <f t="shared" si="85"/>
        <v>0</v>
      </c>
    </row>
    <row r="231" spans="1:41">
      <c r="A231" s="612" t="e">
        <f>+A229+1</f>
        <v>#REF!</v>
      </c>
      <c r="B231" s="518"/>
      <c r="C231" s="309"/>
      <c r="D231" s="309" t="s">
        <v>582</v>
      </c>
      <c r="E231" s="309"/>
      <c r="F231" s="309"/>
      <c r="G231" s="309"/>
      <c r="H231" s="357">
        <f>[13]XNV!H233</f>
        <v>-19210044.66</v>
      </c>
      <c r="I231" s="357">
        <f>[13]XNV!I233</f>
        <v>-18175778.650000002</v>
      </c>
      <c r="J231" s="357">
        <f>[13]XNV!J233</f>
        <v>-18025179.91</v>
      </c>
      <c r="K231" s="357">
        <f>[13]XNV!K233</f>
        <v>-17537599.620000001</v>
      </c>
      <c r="L231" s="357">
        <f>[13]XNV!L233</f>
        <v>-17278147.050000001</v>
      </c>
      <c r="M231" s="357">
        <f>[13]XNV!M233</f>
        <v>-17044300.110000003</v>
      </c>
      <c r="N231" s="357">
        <f>[13]XNV!N233</f>
        <v>-17012595.390000001</v>
      </c>
      <c r="O231" s="357">
        <f>[13]XNV!O233</f>
        <v>-16967883.640000001</v>
      </c>
      <c r="P231" s="357">
        <f>[13]XNV!P233</f>
        <v>-16893271.25</v>
      </c>
      <c r="Q231" s="357">
        <f>[13]XNV!Q233</f>
        <v>-16720487.58</v>
      </c>
      <c r="R231" s="357">
        <f>[13]XNV!R233</f>
        <v>-16552924.540000001</v>
      </c>
      <c r="S231" s="357">
        <f>[13]XNV!S233</f>
        <v>-16465396.089999998</v>
      </c>
      <c r="T231" s="357">
        <f>[13]XNV!T233</f>
        <v>-11724439</v>
      </c>
      <c r="U231" s="357"/>
      <c r="V231" s="584">
        <f>(SUM(I231:S231)+(0.5*T231)+(0.5*H231))/12</f>
        <v>-17011733.805000003</v>
      </c>
      <c r="Y231" s="584">
        <f>T231</f>
        <v>-11724439</v>
      </c>
      <c r="Z231" s="584">
        <f t="shared" si="86"/>
        <v>-17011733.805000003</v>
      </c>
      <c r="AA231" s="357">
        <f>V231</f>
        <v>-17011733.805000003</v>
      </c>
      <c r="AB231" s="357">
        <f>T231</f>
        <v>-11724439</v>
      </c>
      <c r="AC231" s="357">
        <f t="shared" si="84"/>
        <v>-17011733.805000003</v>
      </c>
      <c r="AD231" s="632">
        <f>AC231-T231</f>
        <v>-5287294.8050000034</v>
      </c>
      <c r="AE231" s="244">
        <f t="shared" si="61"/>
        <v>224</v>
      </c>
      <c r="AF231" s="244" t="e">
        <f t="shared" si="62"/>
        <v>#REF!</v>
      </c>
      <c r="AG231" s="57">
        <v>-3868243.7375000007</v>
      </c>
      <c r="AH231" s="548"/>
      <c r="AI231" s="547"/>
      <c r="AJ231" s="537" t="s">
        <v>582</v>
      </c>
      <c r="AK231" s="547"/>
      <c r="AL231" s="549">
        <f>+T231</f>
        <v>-11724439</v>
      </c>
      <c r="AM231" s="427">
        <f>AC231</f>
        <v>-17011733.805000003</v>
      </c>
      <c r="AN231" s="427">
        <f>AM231-AL231</f>
        <v>-5287294.8050000034</v>
      </c>
      <c r="AO231" s="7">
        <f t="shared" si="85"/>
        <v>0</v>
      </c>
    </row>
    <row r="232" spans="1:41">
      <c r="A232" s="612" t="e">
        <f t="shared" si="65"/>
        <v>#REF!</v>
      </c>
      <c r="B232" s="518"/>
      <c r="C232" s="309"/>
      <c r="D232" s="309" t="s">
        <v>160</v>
      </c>
      <c r="E232" s="309"/>
      <c r="F232" s="309"/>
      <c r="G232" s="309"/>
      <c r="H232" s="388">
        <f>SUM(H230:H231)</f>
        <v>-19720558.649999999</v>
      </c>
      <c r="I232" s="388">
        <f t="shared" ref="I232:T232" si="91">SUM(I230:I231)</f>
        <v>-18686292.640000001</v>
      </c>
      <c r="J232" s="388">
        <f t="shared" si="91"/>
        <v>-18535693.899999999</v>
      </c>
      <c r="K232" s="388">
        <f t="shared" si="91"/>
        <v>-18048113.609999999</v>
      </c>
      <c r="L232" s="388">
        <f t="shared" si="91"/>
        <v>-17788661.039999999</v>
      </c>
      <c r="M232" s="388">
        <f t="shared" si="91"/>
        <v>-17510142.350000001</v>
      </c>
      <c r="N232" s="388">
        <f t="shared" si="91"/>
        <v>-17478437.629999999</v>
      </c>
      <c r="O232" s="388">
        <f t="shared" si="91"/>
        <v>-17433725.879999999</v>
      </c>
      <c r="P232" s="388">
        <f t="shared" si="91"/>
        <v>-17359113.489999998</v>
      </c>
      <c r="Q232" s="388">
        <f t="shared" si="91"/>
        <v>-17186329.82</v>
      </c>
      <c r="R232" s="388">
        <f t="shared" si="91"/>
        <v>-17018766.780000001</v>
      </c>
      <c r="S232" s="388">
        <f>SUM(S230:S231)</f>
        <v>-16931238.329999998</v>
      </c>
      <c r="T232" s="388">
        <f t="shared" si="91"/>
        <v>-12128595.02</v>
      </c>
      <c r="U232" s="388"/>
      <c r="V232" s="625">
        <f>(SUM(I232:S232)+(0.5*T232)+(0.5*H232))/12</f>
        <v>-17491757.692083329</v>
      </c>
      <c r="Y232" s="625">
        <f>T232</f>
        <v>-12128595.02</v>
      </c>
      <c r="Z232" s="625">
        <f t="shared" si="86"/>
        <v>-17491757.692083329</v>
      </c>
      <c r="AA232" s="388">
        <f>V232</f>
        <v>-17491757.692083329</v>
      </c>
      <c r="AB232" s="388">
        <f>T232</f>
        <v>-12128595.02</v>
      </c>
      <c r="AC232" s="388">
        <f t="shared" si="84"/>
        <v>-17491757.692083329</v>
      </c>
      <c r="AD232" s="638">
        <f>AC232-T232</f>
        <v>-5363162.6720833294</v>
      </c>
      <c r="AE232" s="244">
        <f t="shared" si="61"/>
        <v>225</v>
      </c>
      <c r="AF232" s="244" t="e">
        <f t="shared" si="62"/>
        <v>#REF!</v>
      </c>
      <c r="AG232" s="57">
        <v>-4049981.3566666618</v>
      </c>
      <c r="AH232" s="542"/>
      <c r="AI232" s="537"/>
      <c r="AJ232" s="537" t="s">
        <v>160</v>
      </c>
      <c r="AK232" s="537"/>
      <c r="AL232" s="543">
        <f>SUM(AL230:AL231)</f>
        <v>-12128595.02</v>
      </c>
      <c r="AM232" s="12">
        <f>SUM(AM230:AM231)</f>
        <v>-17491757.692083336</v>
      </c>
      <c r="AN232" s="12">
        <f>SUM(AN230:AN231)</f>
        <v>-5363162.6720833369</v>
      </c>
      <c r="AO232" s="7">
        <f t="shared" si="85"/>
        <v>0</v>
      </c>
    </row>
    <row r="233" spans="1:41">
      <c r="A233" s="168" t="e">
        <f t="shared" si="65"/>
        <v>#REF!</v>
      </c>
      <c r="B233" s="213"/>
      <c r="C233" s="49"/>
      <c r="D233" s="49"/>
      <c r="E233" s="49"/>
      <c r="F233" s="49"/>
      <c r="G233" s="49"/>
      <c r="AA233" s="2"/>
      <c r="AC233" s="2">
        <f t="shared" si="84"/>
        <v>0</v>
      </c>
      <c r="AE233" s="244">
        <f t="shared" si="61"/>
        <v>226</v>
      </c>
      <c r="AF233" s="244" t="e">
        <f t="shared" si="62"/>
        <v>#REF!</v>
      </c>
      <c r="AG233" s="57">
        <v>0</v>
      </c>
      <c r="AH233" s="154"/>
      <c r="AI233" s="49"/>
      <c r="AJ233" s="49"/>
      <c r="AK233" s="49"/>
      <c r="AL233" s="9"/>
      <c r="AO233" s="7">
        <f t="shared" si="85"/>
        <v>0</v>
      </c>
    </row>
    <row r="234" spans="1:41">
      <c r="A234" s="835" t="e">
        <f t="shared" si="65"/>
        <v>#REF!</v>
      </c>
      <c r="B234" s="836">
        <v>2531</v>
      </c>
      <c r="C234" s="309" t="s">
        <v>298</v>
      </c>
      <c r="D234" s="309"/>
      <c r="AA234" s="2"/>
      <c r="AC234" s="2">
        <f t="shared" si="84"/>
        <v>0</v>
      </c>
      <c r="AE234" s="244">
        <f t="shared" si="61"/>
        <v>227</v>
      </c>
      <c r="AF234" s="244" t="e">
        <f t="shared" si="62"/>
        <v>#REF!</v>
      </c>
      <c r="AG234" s="57">
        <v>0</v>
      </c>
      <c r="AH234" s="836">
        <v>2531</v>
      </c>
      <c r="AI234" s="837" t="s">
        <v>298</v>
      </c>
      <c r="AJ234" s="837"/>
      <c r="AK234" s="837"/>
      <c r="AL234" s="838"/>
      <c r="AO234" s="7">
        <f t="shared" si="85"/>
        <v>0</v>
      </c>
    </row>
    <row r="235" spans="1:41">
      <c r="A235" s="835" t="e">
        <f t="shared" si="65"/>
        <v>#REF!</v>
      </c>
      <c r="B235" s="836"/>
      <c r="C235" s="309"/>
      <c r="D235" s="309" t="s">
        <v>584</v>
      </c>
      <c r="H235" s="357">
        <f>[13]XNV!H237</f>
        <v>-43731.46</v>
      </c>
      <c r="I235" s="357">
        <f>[13]XNV!I237</f>
        <v>-46434.92</v>
      </c>
      <c r="J235" s="357">
        <f>[13]XNV!J237</f>
        <v>-45619.700000000004</v>
      </c>
      <c r="K235" s="357">
        <f>[13]XNV!K237</f>
        <v>-44176.62</v>
      </c>
      <c r="L235" s="357">
        <f>[13]XNV!L237</f>
        <v>-44370.28</v>
      </c>
      <c r="M235" s="357">
        <f>[13]XNV!M237</f>
        <v>-45040.33</v>
      </c>
      <c r="N235" s="357">
        <f>[13]XNV!N237</f>
        <v>-45851.590000000004</v>
      </c>
      <c r="O235" s="357">
        <f>[13]XNV!O237</f>
        <v>-46197.35</v>
      </c>
      <c r="P235" s="357">
        <f>[13]XNV!P237</f>
        <v>-16591.05</v>
      </c>
      <c r="Q235" s="357">
        <f>[13]XNV!Q237</f>
        <v>-18892.05</v>
      </c>
      <c r="R235" s="357">
        <f>[13]XNV!R237</f>
        <v>-21718.100000000002</v>
      </c>
      <c r="S235" s="357">
        <f>[13]XNV!S237</f>
        <v>-26005.9</v>
      </c>
      <c r="T235" s="357">
        <f>[13]XNV!T237</f>
        <v>-29018.39</v>
      </c>
      <c r="U235" s="357"/>
      <c r="V235" s="584">
        <f>(SUM(I235:S235)+(0.5*T235)+(0.5*H235))/12</f>
        <v>-36439.401249999995</v>
      </c>
      <c r="Y235" s="584">
        <f>T235</f>
        <v>-29018.39</v>
      </c>
      <c r="Z235" s="584">
        <f t="shared" si="86"/>
        <v>-36439.401249999995</v>
      </c>
      <c r="AA235" s="357">
        <f>+V235</f>
        <v>-36439.401249999995</v>
      </c>
      <c r="AB235" s="357">
        <f>+V235</f>
        <v>-36439.401249999995</v>
      </c>
      <c r="AC235" s="357">
        <f t="shared" si="84"/>
        <v>-36439.401249999995</v>
      </c>
      <c r="AD235" s="632">
        <f>AC235-T235</f>
        <v>-7421.0112499999959</v>
      </c>
      <c r="AE235" s="244">
        <f t="shared" si="61"/>
        <v>228</v>
      </c>
      <c r="AF235" s="244" t="e">
        <f t="shared" si="62"/>
        <v>#REF!</v>
      </c>
      <c r="AG235" s="57">
        <v>32260.36083333334</v>
      </c>
      <c r="AH235" s="836"/>
      <c r="AI235" s="837"/>
      <c r="AJ235" s="837" t="s">
        <v>584</v>
      </c>
      <c r="AK235" s="837"/>
      <c r="AL235" s="838">
        <f>+T235</f>
        <v>-29018.39</v>
      </c>
      <c r="AM235" s="427">
        <f>AC235</f>
        <v>-36439.401249999995</v>
      </c>
      <c r="AN235" s="427">
        <f>AM235-AL235</f>
        <v>-7421.0112499999959</v>
      </c>
      <c r="AO235" s="7">
        <f t="shared" si="85"/>
        <v>0</v>
      </c>
    </row>
    <row r="236" spans="1:41">
      <c r="A236" s="835" t="e">
        <f t="shared" si="65"/>
        <v>#REF!</v>
      </c>
      <c r="B236" s="836"/>
      <c r="C236" s="309"/>
      <c r="D236" s="309" t="s">
        <v>160</v>
      </c>
      <c r="H236" s="388">
        <f>+H235</f>
        <v>-43731.46</v>
      </c>
      <c r="I236" s="388">
        <f t="shared" ref="I236:T236" si="92">+I235</f>
        <v>-46434.92</v>
      </c>
      <c r="J236" s="388">
        <f t="shared" si="92"/>
        <v>-45619.700000000004</v>
      </c>
      <c r="K236" s="388">
        <f t="shared" si="92"/>
        <v>-44176.62</v>
      </c>
      <c r="L236" s="388">
        <f t="shared" si="92"/>
        <v>-44370.28</v>
      </c>
      <c r="M236" s="388">
        <f t="shared" si="92"/>
        <v>-45040.33</v>
      </c>
      <c r="N236" s="388">
        <f t="shared" si="92"/>
        <v>-45851.590000000004</v>
      </c>
      <c r="O236" s="388">
        <f t="shared" si="92"/>
        <v>-46197.35</v>
      </c>
      <c r="P236" s="388">
        <f t="shared" si="92"/>
        <v>-16591.05</v>
      </c>
      <c r="Q236" s="388">
        <f t="shared" si="92"/>
        <v>-18892.05</v>
      </c>
      <c r="R236" s="388">
        <f t="shared" si="92"/>
        <v>-21718.100000000002</v>
      </c>
      <c r="S236" s="388">
        <f t="shared" si="92"/>
        <v>-26005.9</v>
      </c>
      <c r="T236" s="388">
        <f t="shared" si="92"/>
        <v>-29018.39</v>
      </c>
      <c r="U236" s="388"/>
      <c r="V236" s="625">
        <f>+V235</f>
        <v>-36439.401249999995</v>
      </c>
      <c r="Y236" s="625">
        <f>T236</f>
        <v>-29018.39</v>
      </c>
      <c r="Z236" s="625">
        <f t="shared" si="86"/>
        <v>-36439.401249999995</v>
      </c>
      <c r="AA236" s="388">
        <f>+V236</f>
        <v>-36439.401249999995</v>
      </c>
      <c r="AB236" s="388">
        <f>+V236</f>
        <v>-36439.401249999995</v>
      </c>
      <c r="AC236" s="388">
        <f t="shared" si="84"/>
        <v>-36439.401249999995</v>
      </c>
      <c r="AD236" s="638">
        <f>AC236-T236</f>
        <v>-7421.0112499999959</v>
      </c>
      <c r="AE236" s="244">
        <f t="shared" si="61"/>
        <v>229</v>
      </c>
      <c r="AF236" s="244" t="e">
        <f t="shared" si="62"/>
        <v>#REF!</v>
      </c>
      <c r="AG236" s="57">
        <v>32260.36083333334</v>
      </c>
      <c r="AH236" s="836"/>
      <c r="AI236" s="837"/>
      <c r="AJ236" s="837" t="s">
        <v>160</v>
      </c>
      <c r="AK236" s="837"/>
      <c r="AL236" s="839">
        <f>SUM(AL235)</f>
        <v>-29018.39</v>
      </c>
      <c r="AM236" s="12">
        <f>AC236</f>
        <v>-36439.401249999995</v>
      </c>
      <c r="AN236" s="12">
        <f>AM236-AL236</f>
        <v>-7421.0112499999959</v>
      </c>
      <c r="AO236" s="7">
        <f t="shared" si="85"/>
        <v>0</v>
      </c>
    </row>
    <row r="237" spans="1:41">
      <c r="A237" s="168" t="e">
        <f t="shared" si="65"/>
        <v>#REF!</v>
      </c>
      <c r="B237" s="154"/>
      <c r="C237" s="49"/>
      <c r="D237" s="49"/>
      <c r="AA237" s="2"/>
      <c r="AC237" s="2">
        <f t="shared" si="84"/>
        <v>0</v>
      </c>
      <c r="AE237" s="244">
        <f t="shared" ref="AE237:AE279" si="93">+AE236+1</f>
        <v>230</v>
      </c>
      <c r="AF237" s="244" t="e">
        <f t="shared" ref="AF237:AF279" si="94">+AF236+1</f>
        <v>#REF!</v>
      </c>
      <c r="AG237" s="57">
        <v>0</v>
      </c>
      <c r="AH237" s="154"/>
      <c r="AI237" s="49"/>
      <c r="AJ237" s="49"/>
      <c r="AK237" s="49"/>
      <c r="AL237" s="9"/>
      <c r="AO237" s="7">
        <f t="shared" si="85"/>
        <v>0</v>
      </c>
    </row>
    <row r="238" spans="1:41">
      <c r="A238" s="168" t="e">
        <f t="shared" si="65"/>
        <v>#REF!</v>
      </c>
      <c r="B238" s="154">
        <v>255</v>
      </c>
      <c r="C238" s="49" t="s">
        <v>299</v>
      </c>
      <c r="D238" s="49"/>
      <c r="AA238" s="2"/>
      <c r="AC238" s="2">
        <f t="shared" si="84"/>
        <v>0</v>
      </c>
      <c r="AE238" s="244">
        <f t="shared" si="93"/>
        <v>231</v>
      </c>
      <c r="AF238" s="244" t="e">
        <f t="shared" si="94"/>
        <v>#REF!</v>
      </c>
      <c r="AG238" s="57">
        <v>0</v>
      </c>
      <c r="AH238" s="154">
        <v>255</v>
      </c>
      <c r="AI238" s="49" t="s">
        <v>873</v>
      </c>
      <c r="AJ238" s="49"/>
      <c r="AK238" s="49"/>
      <c r="AL238" s="9"/>
      <c r="AO238" s="7">
        <f t="shared" si="85"/>
        <v>0</v>
      </c>
    </row>
    <row r="239" spans="1:41">
      <c r="A239" s="168" t="e">
        <f t="shared" si="65"/>
        <v>#REF!</v>
      </c>
      <c r="B239" s="154"/>
      <c r="C239" s="49"/>
      <c r="D239" s="49" t="s">
        <v>427</v>
      </c>
      <c r="H239" s="357">
        <f>[13]XNV!H241</f>
        <v>-1124.79</v>
      </c>
      <c r="I239" s="357">
        <f>[13]XNV!I241</f>
        <v>-1140.29</v>
      </c>
      <c r="J239" s="357">
        <f>[13]XNV!J241</f>
        <v>-1155.79</v>
      </c>
      <c r="K239" s="357">
        <f>[13]XNV!K241</f>
        <v>-1171.29</v>
      </c>
      <c r="L239" s="357">
        <f>[13]XNV!L241</f>
        <v>-1186.79</v>
      </c>
      <c r="M239" s="357">
        <f>[13]XNV!M241</f>
        <v>-1202.29</v>
      </c>
      <c r="N239" s="357">
        <f>[13]XNV!N241</f>
        <v>-1217.79</v>
      </c>
      <c r="O239" s="357">
        <f>[13]XNV!O241</f>
        <v>-1233.29</v>
      </c>
      <c r="P239" s="357">
        <f>[13]XNV!P241</f>
        <v>-1248.79</v>
      </c>
      <c r="Q239" s="357">
        <f>[13]XNV!Q241</f>
        <v>-1264.29</v>
      </c>
      <c r="R239" s="357">
        <f>[13]XNV!R241</f>
        <v>-1279.79</v>
      </c>
      <c r="S239" s="357">
        <f>[13]XNV!S241</f>
        <v>-1295.29</v>
      </c>
      <c r="T239" s="357">
        <f>[13]XNV!T241</f>
        <v>-1310.79</v>
      </c>
      <c r="U239" s="357"/>
      <c r="V239" s="584">
        <f>(SUM(I239:S239)+(0.5*T239)+(0.5*H239))/12</f>
        <v>-1217.7900000000002</v>
      </c>
      <c r="Y239" s="584">
        <f>T239</f>
        <v>-1310.79</v>
      </c>
      <c r="Z239" s="584">
        <f t="shared" si="86"/>
        <v>-1217.7900000000002</v>
      </c>
      <c r="AA239" s="357">
        <f>V239</f>
        <v>-1217.7900000000002</v>
      </c>
      <c r="AB239" s="357">
        <f>T239</f>
        <v>-1310.79</v>
      </c>
      <c r="AC239" s="357">
        <f t="shared" si="84"/>
        <v>-1217.7900000000002</v>
      </c>
      <c r="AD239" s="632">
        <f>AC239-T239</f>
        <v>92.999999999999773</v>
      </c>
      <c r="AE239" s="244">
        <f t="shared" si="93"/>
        <v>232</v>
      </c>
      <c r="AF239" s="244" t="e">
        <f t="shared" si="94"/>
        <v>#REF!</v>
      </c>
      <c r="AG239" s="57">
        <v>-18118.680000000008</v>
      </c>
      <c r="AH239" s="154"/>
      <c r="AI239" s="49"/>
      <c r="AJ239" s="49" t="s">
        <v>427</v>
      </c>
      <c r="AK239" s="49"/>
      <c r="AL239" s="9">
        <f>+T239</f>
        <v>-1310.79</v>
      </c>
      <c r="AM239" s="12">
        <f>AC239</f>
        <v>-1217.7900000000002</v>
      </c>
      <c r="AN239" s="12">
        <f>AM239-AL239</f>
        <v>92.999999999999773</v>
      </c>
      <c r="AO239" s="7">
        <f t="shared" si="85"/>
        <v>0</v>
      </c>
    </row>
    <row r="240" spans="1:41">
      <c r="A240" s="168" t="e">
        <f t="shared" si="65"/>
        <v>#REF!</v>
      </c>
      <c r="B240" s="154"/>
      <c r="C240" s="49"/>
      <c r="D240" s="49" t="s">
        <v>581</v>
      </c>
      <c r="H240" s="357">
        <f>[13]XNV!H242</f>
        <v>-3207.2751887985778</v>
      </c>
      <c r="I240" s="357">
        <f>[13]XNV!I242</f>
        <v>-2908.5873809999912</v>
      </c>
      <c r="J240" s="357">
        <f>[13]XNV!J242</f>
        <v>-2737.4087950000094</v>
      </c>
      <c r="K240" s="357">
        <f>[13]XNV!K242</f>
        <v>-2637.0551160000082</v>
      </c>
      <c r="L240" s="357">
        <f>[13]XNV!L242</f>
        <v>-2432.9661690000003</v>
      </c>
      <c r="M240" s="357">
        <f>[13]XNV!M242</f>
        <v>-2223.1647870000011</v>
      </c>
      <c r="N240" s="357">
        <f>[13]XNV!N242</f>
        <v>-2028.4282110000013</v>
      </c>
      <c r="O240" s="357">
        <f>[13]XNV!O242</f>
        <v>-1827.9792000000016</v>
      </c>
      <c r="P240" s="357">
        <f>[13]XNV!P242</f>
        <v>-1618.5319430000031</v>
      </c>
      <c r="Q240" s="357">
        <f>[13]XNV!Q242</f>
        <v>-1430.7211140000024</v>
      </c>
      <c r="R240" s="357">
        <f>[13]XNV!R242</f>
        <v>-1237.804506000002</v>
      </c>
      <c r="S240" s="357">
        <f>[13]XNV!S242</f>
        <v>-1051.4595199999974</v>
      </c>
      <c r="T240" s="357">
        <f>[13]XNV!T242</f>
        <v>-854.65140200000099</v>
      </c>
      <c r="U240" s="357"/>
      <c r="V240" s="584">
        <f>(SUM(I240:S240)+(0.5*T240)+(0.5*H240))/12</f>
        <v>-2013.7558364499425</v>
      </c>
      <c r="Y240" s="584">
        <f>T240</f>
        <v>-854.65140200000099</v>
      </c>
      <c r="Z240" s="584">
        <f t="shared" si="86"/>
        <v>-2013.7558364499425</v>
      </c>
      <c r="AA240" s="357">
        <f>V240</f>
        <v>-2013.7558364499425</v>
      </c>
      <c r="AB240" s="357">
        <f>T240</f>
        <v>-854.65140200000099</v>
      </c>
      <c r="AC240" s="357">
        <f t="shared" si="84"/>
        <v>-2013.7558364499425</v>
      </c>
      <c r="AD240" s="632">
        <f>AC240-T240</f>
        <v>-1159.1044344499414</v>
      </c>
      <c r="AE240" s="244">
        <f t="shared" si="93"/>
        <v>233</v>
      </c>
      <c r="AF240" s="244" t="e">
        <f t="shared" si="94"/>
        <v>#REF!</v>
      </c>
      <c r="AG240" s="57">
        <v>-4409.9610540416979</v>
      </c>
      <c r="AH240" s="154"/>
      <c r="AI240" s="49"/>
      <c r="AJ240" s="49" t="s">
        <v>581</v>
      </c>
      <c r="AK240" s="49"/>
      <c r="AL240" s="9">
        <f>+T240</f>
        <v>-854.65140200000099</v>
      </c>
      <c r="AM240" s="12">
        <f>AC240</f>
        <v>-2013.7558364499425</v>
      </c>
      <c r="AN240" s="12">
        <f>AM240-AL240</f>
        <v>-1159.1044344499414</v>
      </c>
      <c r="AO240" s="7">
        <f t="shared" si="85"/>
        <v>0</v>
      </c>
    </row>
    <row r="241" spans="1:41">
      <c r="A241" s="168" t="e">
        <f t="shared" ref="A241:A279" si="95">+A240+1</f>
        <v>#REF!</v>
      </c>
      <c r="B241" s="154"/>
      <c r="C241" s="49"/>
      <c r="D241" s="49" t="s">
        <v>582</v>
      </c>
      <c r="H241" s="357">
        <f>[13]XNV!H243</f>
        <v>-96382.994811201424</v>
      </c>
      <c r="I241" s="357">
        <f>[13]XNV!I243</f>
        <v>-90615.122619000016</v>
      </c>
      <c r="J241" s="357">
        <f>[13]XNV!J243</f>
        <v>-84719.741204999998</v>
      </c>
      <c r="K241" s="357">
        <f>[13]XNV!K243</f>
        <v>-78753.534884000008</v>
      </c>
      <c r="L241" s="357">
        <f>[13]XNV!L243</f>
        <v>-72891.063831000007</v>
      </c>
      <c r="M241" s="357">
        <f>[13]XNV!M243</f>
        <v>-67034.305213</v>
      </c>
      <c r="N241" s="357">
        <f>[13]XNV!N243</f>
        <v>-61162.481789000005</v>
      </c>
      <c r="O241" s="357">
        <f>[13]XNV!O243</f>
        <v>-55296.370799999997</v>
      </c>
      <c r="P241" s="357">
        <f>[13]XNV!P243</f>
        <v>-49439.258056999999</v>
      </c>
      <c r="Q241" s="357">
        <f>[13]XNV!Q243</f>
        <v>-43560.508886000003</v>
      </c>
      <c r="R241" s="357">
        <f>[13]XNV!R243</f>
        <v>-37686.865493999998</v>
      </c>
      <c r="S241" s="357">
        <f>[13]XNV!S243</f>
        <v>-31806.650480000004</v>
      </c>
      <c r="T241" s="357">
        <f>[13]XNV!T243</f>
        <v>-25936.928597999999</v>
      </c>
      <c r="U241" s="357"/>
      <c r="V241" s="584">
        <f>(SUM(I241:S241)+(0.5*T241)+(0.5*H241))/12</f>
        <v>-61177.155413550063</v>
      </c>
      <c r="Y241" s="584">
        <f>T241</f>
        <v>-25936.928597999999</v>
      </c>
      <c r="Z241" s="584">
        <f t="shared" si="86"/>
        <v>-61177.155413550063</v>
      </c>
      <c r="AA241" s="357">
        <f>V241</f>
        <v>-61177.155413550063</v>
      </c>
      <c r="AB241" s="357">
        <f>T241</f>
        <v>-25936.928597999999</v>
      </c>
      <c r="AC241" s="357">
        <f t="shared" si="84"/>
        <v>-61177.155413550063</v>
      </c>
      <c r="AD241" s="632">
        <f>AC241-T241</f>
        <v>-35240.226815550064</v>
      </c>
      <c r="AE241" s="244">
        <f t="shared" si="93"/>
        <v>234</v>
      </c>
      <c r="AF241" s="244" t="e">
        <f t="shared" si="94"/>
        <v>#REF!</v>
      </c>
      <c r="AG241" s="57">
        <v>-128660.37894595833</v>
      </c>
      <c r="AH241" s="154"/>
      <c r="AI241" s="49"/>
      <c r="AJ241" s="49" t="s">
        <v>582</v>
      </c>
      <c r="AK241" s="49"/>
      <c r="AL241" s="9">
        <f>+T241</f>
        <v>-25936.928597999999</v>
      </c>
      <c r="AM241" s="12">
        <f>AC241</f>
        <v>-61177.155413550063</v>
      </c>
      <c r="AN241" s="12">
        <f>AM241-AL241</f>
        <v>-35240.226815550064</v>
      </c>
      <c r="AO241" s="7">
        <f t="shared" si="85"/>
        <v>0</v>
      </c>
    </row>
    <row r="242" spans="1:41">
      <c r="A242" s="168" t="e">
        <f t="shared" si="95"/>
        <v>#REF!</v>
      </c>
      <c r="B242" s="154"/>
      <c r="C242" s="49"/>
      <c r="D242" s="49" t="s">
        <v>584</v>
      </c>
      <c r="H242" s="357">
        <f>[13]XNV!H244</f>
        <v>-713.25</v>
      </c>
      <c r="I242" s="357">
        <f>[13]XNV!I244</f>
        <v>-697.75</v>
      </c>
      <c r="J242" s="357">
        <f>[13]XNV!J244</f>
        <v>-682.25</v>
      </c>
      <c r="K242" s="357">
        <f>[13]XNV!K244</f>
        <v>-666.75</v>
      </c>
      <c r="L242" s="357">
        <f>[13]XNV!L244</f>
        <v>-651.25</v>
      </c>
      <c r="M242" s="357">
        <f>[13]XNV!M244</f>
        <v>-635.75</v>
      </c>
      <c r="N242" s="357">
        <f>[13]XNV!N244</f>
        <v>-620.25</v>
      </c>
      <c r="O242" s="357">
        <f>[13]XNV!O244</f>
        <v>-604.75</v>
      </c>
      <c r="P242" s="357">
        <f>[13]XNV!P244</f>
        <v>-589.25</v>
      </c>
      <c r="Q242" s="357">
        <f>[13]XNV!Q244</f>
        <v>-573.75</v>
      </c>
      <c r="R242" s="357">
        <f>[13]XNV!R244</f>
        <v>-558.25</v>
      </c>
      <c r="S242" s="357">
        <f>[13]XNV!S244</f>
        <v>-542.75</v>
      </c>
      <c r="T242" s="357">
        <f>[13]XNV!T244</f>
        <v>-527.25</v>
      </c>
      <c r="U242" s="357"/>
      <c r="V242" s="584">
        <f>(SUM(I242:S242)+(0.5*T242)+(0.5*H242))/12</f>
        <v>-620.25</v>
      </c>
      <c r="Y242" s="584">
        <f>T242</f>
        <v>-527.25</v>
      </c>
      <c r="Z242" s="584">
        <f t="shared" si="86"/>
        <v>-620.25</v>
      </c>
      <c r="AA242" s="357">
        <f>V242</f>
        <v>-620.25</v>
      </c>
      <c r="AB242" s="357">
        <f>T242</f>
        <v>-527.25</v>
      </c>
      <c r="AC242" s="357">
        <f t="shared" si="84"/>
        <v>-620.25</v>
      </c>
      <c r="AD242" s="632">
        <f>AC242-T242</f>
        <v>-93</v>
      </c>
      <c r="AE242" s="244">
        <f t="shared" si="93"/>
        <v>235</v>
      </c>
      <c r="AF242" s="244" t="e">
        <f t="shared" si="94"/>
        <v>#REF!</v>
      </c>
      <c r="AG242" s="57">
        <v>-1204.2600000000002</v>
      </c>
      <c r="AH242" s="154"/>
      <c r="AI242" s="49"/>
      <c r="AJ242" s="49" t="s">
        <v>584</v>
      </c>
      <c r="AK242" s="49"/>
      <c r="AL242" s="9">
        <f>+T242</f>
        <v>-527.25</v>
      </c>
      <c r="AM242" s="427">
        <f>AC242</f>
        <v>-620.25</v>
      </c>
      <c r="AN242" s="427">
        <f>AM242-AL242</f>
        <v>-93</v>
      </c>
      <c r="AO242" s="7">
        <f t="shared" si="85"/>
        <v>0</v>
      </c>
    </row>
    <row r="243" spans="1:41">
      <c r="A243" s="168" t="e">
        <f t="shared" si="95"/>
        <v>#REF!</v>
      </c>
      <c r="B243" s="154"/>
      <c r="C243" s="49"/>
      <c r="D243" s="49" t="s">
        <v>160</v>
      </c>
      <c r="H243" s="388">
        <f>SUM(H239:H242)</f>
        <v>-101428.31</v>
      </c>
      <c r="I243" s="388">
        <f t="shared" ref="I243:T243" si="96">SUM(I239:I242)</f>
        <v>-95361.75</v>
      </c>
      <c r="J243" s="388">
        <f t="shared" si="96"/>
        <v>-89295.19</v>
      </c>
      <c r="K243" s="388">
        <f t="shared" si="96"/>
        <v>-83228.630000000019</v>
      </c>
      <c r="L243" s="388">
        <f t="shared" si="96"/>
        <v>-77162.070000000007</v>
      </c>
      <c r="M243" s="388">
        <f t="shared" si="96"/>
        <v>-71095.509999999995</v>
      </c>
      <c r="N243" s="388">
        <f t="shared" si="96"/>
        <v>-65028.950000000004</v>
      </c>
      <c r="O243" s="388">
        <f t="shared" si="96"/>
        <v>-58962.39</v>
      </c>
      <c r="P243" s="388">
        <f t="shared" si="96"/>
        <v>-52895.83</v>
      </c>
      <c r="Q243" s="388">
        <f t="shared" si="96"/>
        <v>-46829.270000000004</v>
      </c>
      <c r="R243" s="388">
        <f t="shared" si="96"/>
        <v>-40762.71</v>
      </c>
      <c r="S243" s="388">
        <f t="shared" si="96"/>
        <v>-34696.15</v>
      </c>
      <c r="T243" s="388">
        <f t="shared" si="96"/>
        <v>-28629.62</v>
      </c>
      <c r="U243" s="388"/>
      <c r="V243" s="625">
        <f>(SUM(I243:S243)+(0.5*T243)+(0.5*H243))/12</f>
        <v>-65028.951250000006</v>
      </c>
      <c r="Y243" s="625">
        <f>T243</f>
        <v>-28629.62</v>
      </c>
      <c r="Z243" s="625">
        <f t="shared" si="86"/>
        <v>-65028.951250000006</v>
      </c>
      <c r="AA243" s="388">
        <f>V243</f>
        <v>-65028.951250000006</v>
      </c>
      <c r="AB243" s="388">
        <f>T243</f>
        <v>-28629.62</v>
      </c>
      <c r="AC243" s="388">
        <f t="shared" si="84"/>
        <v>-65028.951250000006</v>
      </c>
      <c r="AD243" s="638">
        <f>SUM(AD239:AD242)</f>
        <v>-36399.331250000003</v>
      </c>
      <c r="AE243" s="244">
        <f t="shared" si="93"/>
        <v>236</v>
      </c>
      <c r="AF243" s="244" t="e">
        <f t="shared" si="94"/>
        <v>#REF!</v>
      </c>
      <c r="AG243" s="57">
        <v>-152393.28000000006</v>
      </c>
      <c r="AH243" s="154"/>
      <c r="AI243" s="49"/>
      <c r="AJ243" s="49" t="s">
        <v>160</v>
      </c>
      <c r="AK243" s="49"/>
      <c r="AL243" s="157">
        <f>SUM(AL239:AL242)</f>
        <v>-28629.62</v>
      </c>
      <c r="AM243" s="12">
        <f>AC243</f>
        <v>-65028.951250000006</v>
      </c>
      <c r="AN243" s="12">
        <f>AM243-AL243</f>
        <v>-36399.331250000003</v>
      </c>
      <c r="AO243" s="7">
        <f t="shared" si="85"/>
        <v>0</v>
      </c>
    </row>
    <row r="244" spans="1:41">
      <c r="A244" s="168" t="e">
        <f t="shared" si="95"/>
        <v>#REF!</v>
      </c>
      <c r="B244" s="154"/>
      <c r="C244" s="49"/>
      <c r="D244" s="49"/>
      <c r="AA244" s="2"/>
      <c r="AC244" s="2">
        <f t="shared" si="84"/>
        <v>0</v>
      </c>
      <c r="AE244" s="244">
        <f t="shared" si="93"/>
        <v>237</v>
      </c>
      <c r="AF244" s="244" t="e">
        <f t="shared" si="94"/>
        <v>#REF!</v>
      </c>
      <c r="AG244" s="57">
        <v>0</v>
      </c>
      <c r="AH244" s="154"/>
      <c r="AI244" s="49"/>
      <c r="AJ244" s="49"/>
      <c r="AK244" s="49"/>
      <c r="AL244" s="9"/>
      <c r="AO244" s="7">
        <f t="shared" si="85"/>
        <v>0</v>
      </c>
    </row>
    <row r="245" spans="1:41">
      <c r="A245" s="168" t="e">
        <f t="shared" si="95"/>
        <v>#REF!</v>
      </c>
      <c r="B245" s="154">
        <v>2820</v>
      </c>
      <c r="C245" s="49" t="s">
        <v>464</v>
      </c>
      <c r="D245" s="49"/>
      <c r="AA245" s="2"/>
      <c r="AC245" s="2">
        <f t="shared" si="84"/>
        <v>0</v>
      </c>
      <c r="AE245" s="244">
        <f t="shared" si="93"/>
        <v>238</v>
      </c>
      <c r="AF245" s="244" t="e">
        <f t="shared" si="94"/>
        <v>#REF!</v>
      </c>
      <c r="AG245" s="57">
        <v>0</v>
      </c>
      <c r="AH245" s="154">
        <v>2820</v>
      </c>
      <c r="AI245" s="49" t="s">
        <v>464</v>
      </c>
      <c r="AJ245" s="49"/>
      <c r="AK245" s="49"/>
      <c r="AL245" s="9"/>
      <c r="AO245" s="7">
        <f t="shared" si="85"/>
        <v>0</v>
      </c>
    </row>
    <row r="246" spans="1:41">
      <c r="A246" s="168" t="e">
        <f t="shared" si="95"/>
        <v>#REF!</v>
      </c>
      <c r="B246" s="154"/>
      <c r="C246" s="49"/>
      <c r="D246" s="49" t="s">
        <v>427</v>
      </c>
      <c r="H246" s="357">
        <f>[13]XNV!H248</f>
        <v>-501863.93</v>
      </c>
      <c r="I246" s="357">
        <f>[13]XNV!I248</f>
        <v>-438066.81</v>
      </c>
      <c r="J246" s="357">
        <f>[13]XNV!J248</f>
        <v>-374397.71</v>
      </c>
      <c r="K246" s="357">
        <f>[13]XNV!K248</f>
        <v>-310747.40000000002</v>
      </c>
      <c r="L246" s="357">
        <f>[13]XNV!L248</f>
        <v>-247869.66</v>
      </c>
      <c r="M246" s="357">
        <f>[13]XNV!M248</f>
        <v>-184984.29</v>
      </c>
      <c r="N246" s="357">
        <f>[13]XNV!N248</f>
        <v>-121778.19</v>
      </c>
      <c r="O246" s="357">
        <f>[13]XNV!O248</f>
        <v>-58772.590000000004</v>
      </c>
      <c r="P246" s="357">
        <f>[13]XNV!P248</f>
        <v>3661.83</v>
      </c>
      <c r="Q246" s="357">
        <f>[13]XNV!Q248</f>
        <v>50611.28</v>
      </c>
      <c r="R246" s="357">
        <f>[13]XNV!R248</f>
        <v>110620.48</v>
      </c>
      <c r="S246" s="357">
        <f>[13]XNV!S248</f>
        <v>169754.68</v>
      </c>
      <c r="T246" s="357">
        <f>[13]XNV!T248</f>
        <v>44147.49</v>
      </c>
      <c r="U246" s="357"/>
      <c r="V246" s="584">
        <f>(SUM(I246:S246)+(0.5*T246)+(0.5*H246))/12</f>
        <v>-135902.21666666665</v>
      </c>
      <c r="Y246" s="584">
        <f>T246</f>
        <v>44147.49</v>
      </c>
      <c r="Z246" s="584">
        <f t="shared" si="86"/>
        <v>-135902.21666666665</v>
      </c>
      <c r="AA246" s="357">
        <f t="shared" ref="AA246:AA251" si="97">V246</f>
        <v>-135902.21666666665</v>
      </c>
      <c r="AB246" s="357">
        <f>T246</f>
        <v>44147.49</v>
      </c>
      <c r="AC246" s="357">
        <f t="shared" si="84"/>
        <v>-135902.21666666665</v>
      </c>
      <c r="AD246" s="632">
        <f>AC246-T246</f>
        <v>-180049.70666666664</v>
      </c>
      <c r="AE246" s="244">
        <f t="shared" si="93"/>
        <v>239</v>
      </c>
      <c r="AF246" s="244" t="e">
        <f t="shared" si="94"/>
        <v>#REF!</v>
      </c>
      <c r="AG246" s="57">
        <v>490695.907083333</v>
      </c>
      <c r="AH246" s="154"/>
      <c r="AI246" s="49"/>
      <c r="AJ246" s="49" t="s">
        <v>427</v>
      </c>
      <c r="AK246" s="49"/>
      <c r="AL246" s="9">
        <f>+T246</f>
        <v>44147.49</v>
      </c>
      <c r="AM246" s="12">
        <f>AC246</f>
        <v>-135902.21666666665</v>
      </c>
      <c r="AN246" s="12">
        <f>AM246-AL246</f>
        <v>-180049.70666666664</v>
      </c>
      <c r="AO246" s="7">
        <f t="shared" si="85"/>
        <v>0</v>
      </c>
    </row>
    <row r="247" spans="1:41">
      <c r="A247" s="168" t="e">
        <f t="shared" si="95"/>
        <v>#REF!</v>
      </c>
      <c r="B247" s="154"/>
      <c r="C247" s="49"/>
      <c r="D247" s="49" t="s">
        <v>581</v>
      </c>
      <c r="H247" s="357">
        <f>[13]XNV!H249</f>
        <v>-12933784.639236018</v>
      </c>
      <c r="I247" s="357">
        <f>[13]XNV!I249</f>
        <v>-12586227.283711961</v>
      </c>
      <c r="J247" s="357">
        <f>[13]XNV!J249</f>
        <v>-12766682.663012043</v>
      </c>
      <c r="K247" s="357">
        <f>[13]XNV!K249</f>
        <v>-13508423.98650004</v>
      </c>
      <c r="L247" s="357">
        <f>[13]XNV!L249</f>
        <v>-13510450.475503996</v>
      </c>
      <c r="M247" s="357">
        <f>[13]XNV!M249</f>
        <v>-13546304.788845006</v>
      </c>
      <c r="N247" s="357">
        <f>[13]XNV!N249</f>
        <v>-13648064.698710006</v>
      </c>
      <c r="O247" s="357">
        <f>[13]XNV!O249</f>
        <v>-13719206.710080013</v>
      </c>
      <c r="P247" s="357">
        <f>[13]XNV!P249</f>
        <v>-13980648.330860028</v>
      </c>
      <c r="Q247" s="357">
        <f>[13]XNV!Q249</f>
        <v>-13941409.262022022</v>
      </c>
      <c r="R247" s="357">
        <f>[13]XNV!R249</f>
        <v>-14058838.210536022</v>
      </c>
      <c r="S247" s="357">
        <f>[13]XNV!S249</f>
        <v>-14263175.040319962</v>
      </c>
      <c r="T247" s="357">
        <f>[13]XNV!T249</f>
        <v>-8486889.9906229991</v>
      </c>
      <c r="U247" s="357"/>
      <c r="V247" s="584">
        <f>(SUM(I247:S247)+(0.5*T247)+(0.5*H247))/12</f>
        <v>-13353314.063752552</v>
      </c>
      <c r="Y247" s="584">
        <f>T247</f>
        <v>-8486889.9906229991</v>
      </c>
      <c r="Z247" s="584">
        <f t="shared" si="86"/>
        <v>-13353314.063752552</v>
      </c>
      <c r="AA247" s="357">
        <f t="shared" si="97"/>
        <v>-13353314.063752552</v>
      </c>
      <c r="AB247" s="357">
        <f>T247</f>
        <v>-8486889.9906229991</v>
      </c>
      <c r="AC247" s="357">
        <f t="shared" si="84"/>
        <v>-13353314.063752552</v>
      </c>
      <c r="AD247" s="632">
        <f>AC247-T247</f>
        <v>-4866424.0731295533</v>
      </c>
      <c r="AE247" s="244">
        <f t="shared" si="93"/>
        <v>240</v>
      </c>
      <c r="AF247" s="244" t="e">
        <f t="shared" si="94"/>
        <v>#REF!</v>
      </c>
      <c r="AG247" s="57">
        <v>322263.73945215996</v>
      </c>
      <c r="AH247" s="154"/>
      <c r="AI247" s="49"/>
      <c r="AJ247" s="49" t="s">
        <v>581</v>
      </c>
      <c r="AK247" s="49"/>
      <c r="AL247" s="9">
        <f>+T247</f>
        <v>-8486889.9906229991</v>
      </c>
      <c r="AM247" s="12">
        <f>AC247</f>
        <v>-13353314.063752552</v>
      </c>
      <c r="AN247" s="12">
        <f>AM247-AL247</f>
        <v>-4866424.0731295533</v>
      </c>
      <c r="AO247" s="7">
        <f t="shared" si="85"/>
        <v>0</v>
      </c>
    </row>
    <row r="248" spans="1:41">
      <c r="A248" s="168" t="e">
        <f t="shared" si="95"/>
        <v>#REF!</v>
      </c>
      <c r="B248" s="154"/>
      <c r="C248" s="49"/>
      <c r="D248" s="49" t="s">
        <v>582</v>
      </c>
      <c r="H248" s="357">
        <f>[13]XNV!H250</f>
        <v>-388677872.77076399</v>
      </c>
      <c r="I248" s="357">
        <f>[13]XNV!I250</f>
        <v>-392115614.63628799</v>
      </c>
      <c r="J248" s="357">
        <f>[13]XNV!J250</f>
        <v>-395114552.57698798</v>
      </c>
      <c r="K248" s="357">
        <f>[13]XNV!K250</f>
        <v>-403418242.26349998</v>
      </c>
      <c r="L248" s="357">
        <f>[13]XNV!L250</f>
        <v>-404769750.00449598</v>
      </c>
      <c r="M248" s="357">
        <f>[13]XNV!M250</f>
        <v>-408456959.66115499</v>
      </c>
      <c r="N248" s="357">
        <f>[13]XNV!N250</f>
        <v>-411525290.40128994</v>
      </c>
      <c r="O248" s="357">
        <f>[13]XNV!O250</f>
        <v>-415006002.97991997</v>
      </c>
      <c r="P248" s="357">
        <f>[13]XNV!P250</f>
        <v>-427049267.46913999</v>
      </c>
      <c r="Q248" s="357">
        <f>[13]XNV!Q250</f>
        <v>-424467687.027978</v>
      </c>
      <c r="R248" s="357">
        <f>[13]XNV!R250</f>
        <v>-428042992.30946398</v>
      </c>
      <c r="S248" s="357">
        <f>[13]XNV!S250</f>
        <v>-431461044.96968001</v>
      </c>
      <c r="T248" s="357">
        <f>[13]XNV!T250</f>
        <v>-257559818.17937699</v>
      </c>
      <c r="U248" s="357"/>
      <c r="V248" s="584">
        <f>(SUM(I248:S248)+(0.5*T248)+(0.5*H248))/12</f>
        <v>-405378854.14791399</v>
      </c>
      <c r="Y248" s="584">
        <f>T248</f>
        <v>-257559818.17937699</v>
      </c>
      <c r="Z248" s="584">
        <f t="shared" si="86"/>
        <v>-405378854.14791399</v>
      </c>
      <c r="AA248" s="357">
        <f t="shared" si="97"/>
        <v>-405378854.14791399</v>
      </c>
      <c r="AB248" s="357">
        <f>T248</f>
        <v>-257559818.17937699</v>
      </c>
      <c r="AC248" s="357">
        <f t="shared" si="84"/>
        <v>-405378854.14791399</v>
      </c>
      <c r="AD248" s="632">
        <f>AC248-T248</f>
        <v>-147819035.968537</v>
      </c>
      <c r="AE248" s="244">
        <f t="shared" si="93"/>
        <v>241</v>
      </c>
      <c r="AF248" s="244" t="e">
        <f t="shared" si="94"/>
        <v>#REF!</v>
      </c>
      <c r="AG248" s="57">
        <v>6334715.3038811982</v>
      </c>
      <c r="AH248" s="154"/>
      <c r="AI248" s="49"/>
      <c r="AJ248" s="49" t="s">
        <v>582</v>
      </c>
      <c r="AK248" s="49"/>
      <c r="AL248" s="9">
        <f>+T248</f>
        <v>-257559818.17937699</v>
      </c>
      <c r="AM248" s="12">
        <f>AC248</f>
        <v>-405378854.14791399</v>
      </c>
      <c r="AN248" s="12">
        <f>AM248-AL248</f>
        <v>-147819035.968537</v>
      </c>
      <c r="AO248" s="7">
        <f t="shared" si="85"/>
        <v>0</v>
      </c>
    </row>
    <row r="249" spans="1:41">
      <c r="A249" s="168" t="e">
        <f t="shared" si="95"/>
        <v>#REF!</v>
      </c>
      <c r="B249" s="154"/>
      <c r="C249" s="49"/>
      <c r="D249" s="49" t="s">
        <v>584</v>
      </c>
      <c r="H249" s="357">
        <f>[13]XNV!H251</f>
        <v>-13636285.140000001</v>
      </c>
      <c r="I249" s="357">
        <f>[13]XNV!I251</f>
        <v>-13540589.470000001</v>
      </c>
      <c r="J249" s="357">
        <f>[13]XNV!J251</f>
        <v>-13445085.810000001</v>
      </c>
      <c r="K249" s="357">
        <f>[13]XNV!K251</f>
        <v>-13349610.35</v>
      </c>
      <c r="L249" s="357">
        <f>[13]XNV!L251</f>
        <v>-13255293.74</v>
      </c>
      <c r="M249" s="357">
        <f>[13]XNV!M251</f>
        <v>-13160965.699999999</v>
      </c>
      <c r="N249" s="357">
        <f>[13]XNV!N251</f>
        <v>-13066156.550000001</v>
      </c>
      <c r="O249" s="357">
        <f>[13]XNV!O251</f>
        <v>-12971648.16</v>
      </c>
      <c r="P249" s="357">
        <f>[13]XNV!P251</f>
        <v>-12877996.529999999</v>
      </c>
      <c r="Q249" s="357">
        <f>[13]XNV!Q251</f>
        <v>-12807572.34</v>
      </c>
      <c r="R249" s="357">
        <f>[13]XNV!R251</f>
        <v>-12717558.550000001</v>
      </c>
      <c r="S249" s="357">
        <f>[13]XNV!S251</f>
        <v>-12628857.24</v>
      </c>
      <c r="T249" s="357">
        <f>[13]XNV!T251</f>
        <v>-12817268.039999999</v>
      </c>
      <c r="U249" s="357"/>
      <c r="V249" s="584">
        <f>(SUM(I249:S249)+(0.5*T249)+(0.5*H249))/12</f>
        <v>-13087342.585833333</v>
      </c>
      <c r="Y249" s="584">
        <f>T249</f>
        <v>-12817268.039999999</v>
      </c>
      <c r="Z249" s="584">
        <f t="shared" si="86"/>
        <v>-13087342.585833333</v>
      </c>
      <c r="AA249" s="357">
        <f t="shared" si="97"/>
        <v>-13087342.585833333</v>
      </c>
      <c r="AB249" s="357">
        <f>T249</f>
        <v>-12817268.039999999</v>
      </c>
      <c r="AC249" s="357">
        <f t="shared" si="84"/>
        <v>-13087342.585833333</v>
      </c>
      <c r="AD249" s="632">
        <f>AC249-T249</f>
        <v>-270074.54583333433</v>
      </c>
      <c r="AE249" s="244">
        <f t="shared" si="93"/>
        <v>242</v>
      </c>
      <c r="AF249" s="244" t="e">
        <f t="shared" si="94"/>
        <v>#REF!</v>
      </c>
      <c r="AG249" s="57">
        <v>8388933.2416666672</v>
      </c>
      <c r="AH249" s="154"/>
      <c r="AI249" s="49"/>
      <c r="AJ249" s="49" t="s">
        <v>584</v>
      </c>
      <c r="AK249" s="49"/>
      <c r="AL249" s="9">
        <f>+T249</f>
        <v>-12817268.039999999</v>
      </c>
      <c r="AM249" s="427">
        <f>AC249</f>
        <v>-13087342.585833333</v>
      </c>
      <c r="AN249" s="427">
        <f>AM249-AL249</f>
        <v>-270074.54583333433</v>
      </c>
      <c r="AO249" s="7">
        <f t="shared" si="85"/>
        <v>0</v>
      </c>
    </row>
    <row r="250" spans="1:41">
      <c r="A250" s="168" t="e">
        <f t="shared" si="95"/>
        <v>#REF!</v>
      </c>
      <c r="B250" s="154"/>
      <c r="C250" s="49"/>
      <c r="D250" s="49" t="s">
        <v>160</v>
      </c>
      <c r="H250" s="388">
        <f>SUM(H246:H249)</f>
        <v>-415749806.48000002</v>
      </c>
      <c r="I250" s="388">
        <f t="shared" ref="I250:T250" si="98">SUM(I246:I249)</f>
        <v>-418680498.19999999</v>
      </c>
      <c r="J250" s="388">
        <f t="shared" si="98"/>
        <v>-421700718.76000005</v>
      </c>
      <c r="K250" s="388">
        <f t="shared" si="98"/>
        <v>-430587024.00000006</v>
      </c>
      <c r="L250" s="388">
        <f t="shared" si="98"/>
        <v>-431783363.88</v>
      </c>
      <c r="M250" s="388">
        <f t="shared" si="98"/>
        <v>-435349214.44</v>
      </c>
      <c r="N250" s="388">
        <f t="shared" si="98"/>
        <v>-438361289.83999997</v>
      </c>
      <c r="O250" s="388">
        <f t="shared" si="98"/>
        <v>-441755630.44</v>
      </c>
      <c r="P250" s="388">
        <f t="shared" si="98"/>
        <v>-453904250.5</v>
      </c>
      <c r="Q250" s="388">
        <f t="shared" si="98"/>
        <v>-451166057.35000002</v>
      </c>
      <c r="R250" s="388">
        <f t="shared" si="98"/>
        <v>-454708768.59000003</v>
      </c>
      <c r="S250" s="388">
        <f t="shared" si="98"/>
        <v>-458183322.56999999</v>
      </c>
      <c r="T250" s="388">
        <f t="shared" si="98"/>
        <v>-278819828.71999997</v>
      </c>
      <c r="U250" s="388"/>
      <c r="V250" s="625">
        <f>SUM(V246:V249)</f>
        <v>-431955413.01416653</v>
      </c>
      <c r="Y250" s="625">
        <f>T250</f>
        <v>-278819828.71999997</v>
      </c>
      <c r="Z250" s="625">
        <f t="shared" si="86"/>
        <v>-431955413.01416653</v>
      </c>
      <c r="AA250" s="388">
        <f t="shared" si="97"/>
        <v>-431955413.01416653</v>
      </c>
      <c r="AB250" s="388">
        <f>T250</f>
        <v>-278819828.71999997</v>
      </c>
      <c r="AC250" s="388">
        <f t="shared" si="84"/>
        <v>-431955413.01416653</v>
      </c>
      <c r="AD250" s="638">
        <f>AC250-T250</f>
        <v>-153135584.29416656</v>
      </c>
      <c r="AE250" s="244">
        <f t="shared" si="93"/>
        <v>243</v>
      </c>
      <c r="AF250" s="244" t="e">
        <f t="shared" si="94"/>
        <v>#REF!</v>
      </c>
      <c r="AG250" s="57">
        <v>15536608.192083389</v>
      </c>
      <c r="AH250" s="154"/>
      <c r="AI250" s="49"/>
      <c r="AJ250" s="49" t="s">
        <v>160</v>
      </c>
      <c r="AK250" s="49"/>
      <c r="AL250" s="157">
        <f>SUM(AL246:AL249)</f>
        <v>-278819828.71999997</v>
      </c>
      <c r="AM250" s="12">
        <f>AC250</f>
        <v>-431955413.01416653</v>
      </c>
      <c r="AN250" s="12">
        <f>AM250-AL250</f>
        <v>-153135584.29416656</v>
      </c>
      <c r="AO250" s="7">
        <f t="shared" si="85"/>
        <v>0</v>
      </c>
    </row>
    <row r="251" spans="1:41">
      <c r="A251" s="168" t="e">
        <f t="shared" si="95"/>
        <v>#REF!</v>
      </c>
      <c r="B251" s="154"/>
      <c r="C251" s="49"/>
      <c r="D251" s="49"/>
      <c r="V251" s="49"/>
      <c r="Z251" s="4">
        <f t="shared" si="86"/>
        <v>0</v>
      </c>
      <c r="AA251" s="357">
        <f t="shared" si="97"/>
        <v>0</v>
      </c>
      <c r="AC251" s="2">
        <f t="shared" si="84"/>
        <v>0</v>
      </c>
      <c r="AE251" s="244">
        <f t="shared" si="93"/>
        <v>244</v>
      </c>
      <c r="AF251" s="244" t="e">
        <f t="shared" si="94"/>
        <v>#REF!</v>
      </c>
      <c r="AG251" s="57">
        <v>0</v>
      </c>
      <c r="AH251" s="154"/>
      <c r="AI251" s="49"/>
      <c r="AJ251" s="49"/>
      <c r="AK251" s="49"/>
      <c r="AL251" s="9"/>
      <c r="AO251" s="7">
        <f t="shared" si="85"/>
        <v>0</v>
      </c>
    </row>
    <row r="252" spans="1:41">
      <c r="A252" s="168" t="e">
        <f t="shared" si="95"/>
        <v>#REF!</v>
      </c>
      <c r="B252" s="154">
        <v>2821</v>
      </c>
      <c r="C252" s="49" t="s">
        <v>465</v>
      </c>
      <c r="D252" s="49"/>
      <c r="AA252" s="2"/>
      <c r="AC252" s="2">
        <f t="shared" si="84"/>
        <v>0</v>
      </c>
      <c r="AE252" s="244">
        <f t="shared" si="93"/>
        <v>245</v>
      </c>
      <c r="AF252" s="244" t="e">
        <f t="shared" si="94"/>
        <v>#REF!</v>
      </c>
      <c r="AG252" s="57">
        <v>0</v>
      </c>
      <c r="AH252" s="154">
        <v>2821</v>
      </c>
      <c r="AI252" s="49" t="s">
        <v>465</v>
      </c>
      <c r="AJ252" s="49"/>
      <c r="AK252" s="49"/>
      <c r="AL252" s="9"/>
      <c r="AO252" s="7">
        <f t="shared" si="85"/>
        <v>0</v>
      </c>
    </row>
    <row r="253" spans="1:41">
      <c r="A253" s="168" t="e">
        <f t="shared" si="95"/>
        <v>#REF!</v>
      </c>
      <c r="B253" s="154"/>
      <c r="C253" s="49"/>
      <c r="D253" s="49" t="s">
        <v>427</v>
      </c>
      <c r="H253" s="357">
        <f>[13]XNV!H255</f>
        <v>-700755.31</v>
      </c>
      <c r="I253" s="357">
        <f>[13]XNV!I255</f>
        <v>-700755.31</v>
      </c>
      <c r="J253" s="357">
        <f>[13]XNV!J255</f>
        <v>-700755.31</v>
      </c>
      <c r="K253" s="357">
        <f>[13]XNV!K255</f>
        <v>-700755.31</v>
      </c>
      <c r="L253" s="357">
        <f>[13]XNV!L255</f>
        <v>-700755.31</v>
      </c>
      <c r="M253" s="357">
        <f>[13]XNV!M255</f>
        <v>-700755.31</v>
      </c>
      <c r="N253" s="357">
        <f>[13]XNV!N255</f>
        <v>-700755.31</v>
      </c>
      <c r="O253" s="357">
        <f>[13]XNV!O255</f>
        <v>-700755.31</v>
      </c>
      <c r="P253" s="357">
        <f>[13]XNV!P255</f>
        <v>-700755.31</v>
      </c>
      <c r="Q253" s="357">
        <f>[13]XNV!Q255</f>
        <v>-700755.31</v>
      </c>
      <c r="R253" s="357">
        <f>[13]XNV!R255</f>
        <v>-700755.31</v>
      </c>
      <c r="S253" s="357">
        <f>[13]XNV!S255</f>
        <v>-700755.31</v>
      </c>
      <c r="T253" s="357">
        <f>[13]XNV!T255</f>
        <v>-700755.31</v>
      </c>
      <c r="U253" s="357"/>
      <c r="V253" s="584">
        <f>(SUM(I253:S253)+(0.5*T253)+(0.5*H253))/12</f>
        <v>-700755.31000000017</v>
      </c>
      <c r="Y253" s="584">
        <f>T253</f>
        <v>-700755.31</v>
      </c>
      <c r="Z253" s="584">
        <f t="shared" si="86"/>
        <v>-700755.31000000017</v>
      </c>
      <c r="AA253" s="357">
        <f>V253</f>
        <v>-700755.31000000017</v>
      </c>
      <c r="AB253" s="357">
        <f>T253</f>
        <v>-700755.31</v>
      </c>
      <c r="AC253" s="357">
        <f t="shared" si="84"/>
        <v>-700755.31000000017</v>
      </c>
      <c r="AD253" s="632">
        <f>AC253-T253</f>
        <v>0</v>
      </c>
      <c r="AE253" s="244">
        <f t="shared" si="93"/>
        <v>246</v>
      </c>
      <c r="AF253" s="244" t="e">
        <f t="shared" si="94"/>
        <v>#REF!</v>
      </c>
      <c r="AG253" s="57">
        <v>-380885.41749999975</v>
      </c>
      <c r="AH253" s="154"/>
      <c r="AI253" s="49"/>
      <c r="AJ253" s="49" t="s">
        <v>427</v>
      </c>
      <c r="AK253" s="49"/>
      <c r="AL253" s="9">
        <f>+T253</f>
        <v>-700755.31</v>
      </c>
      <c r="AM253" s="12">
        <f>AC253</f>
        <v>-700755.31000000017</v>
      </c>
      <c r="AN253" s="12">
        <f>AM253-AL253</f>
        <v>0</v>
      </c>
      <c r="AO253" s="7">
        <f t="shared" si="85"/>
        <v>0</v>
      </c>
    </row>
    <row r="254" spans="1:41">
      <c r="A254" s="168" t="e">
        <f t="shared" si="95"/>
        <v>#REF!</v>
      </c>
      <c r="B254" s="154"/>
      <c r="C254" s="49"/>
      <c r="D254" s="49" t="s">
        <v>581</v>
      </c>
      <c r="H254" s="357">
        <f>[13]XNV!H256</f>
        <v>0</v>
      </c>
      <c r="I254" s="357">
        <f>[13]XNV!I256</f>
        <v>0</v>
      </c>
      <c r="J254" s="357">
        <f>[13]XNV!J256</f>
        <v>0</v>
      </c>
      <c r="K254" s="357">
        <f>[13]XNV!K256</f>
        <v>0</v>
      </c>
      <c r="L254" s="357">
        <f>[13]XNV!L256</f>
        <v>0</v>
      </c>
      <c r="M254" s="357">
        <f>[13]XNV!M256</f>
        <v>0</v>
      </c>
      <c r="N254" s="357">
        <f>[13]XNV!N256</f>
        <v>0</v>
      </c>
      <c r="O254" s="357">
        <f>[13]XNV!O256</f>
        <v>0</v>
      </c>
      <c r="P254" s="357">
        <f>[13]XNV!P256</f>
        <v>0</v>
      </c>
      <c r="Q254" s="357">
        <f>[13]XNV!Q256</f>
        <v>0</v>
      </c>
      <c r="R254" s="357">
        <f>[13]XNV!R256</f>
        <v>0</v>
      </c>
      <c r="S254" s="357">
        <f>[13]XNV!S256</f>
        <v>0</v>
      </c>
      <c r="T254" s="357">
        <f>[13]XNV!T256</f>
        <v>0</v>
      </c>
      <c r="U254" s="357"/>
      <c r="V254" s="584">
        <f>(SUM(I254:S254)+(0.5*T254)+(0.5*H254))/12</f>
        <v>0</v>
      </c>
      <c r="Y254" s="584">
        <f>T254</f>
        <v>0</v>
      </c>
      <c r="Z254" s="584">
        <f t="shared" si="86"/>
        <v>0</v>
      </c>
      <c r="AA254" s="357">
        <f>V254</f>
        <v>0</v>
      </c>
      <c r="AB254" s="357">
        <f>T254</f>
        <v>0</v>
      </c>
      <c r="AC254" s="357">
        <f t="shared" si="84"/>
        <v>0</v>
      </c>
      <c r="AD254" s="632">
        <f>AC254-T254</f>
        <v>0</v>
      </c>
      <c r="AE254" s="244">
        <f t="shared" si="93"/>
        <v>247</v>
      </c>
      <c r="AF254" s="244" t="e">
        <f t="shared" si="94"/>
        <v>#REF!</v>
      </c>
      <c r="AG254" s="57">
        <v>0</v>
      </c>
      <c r="AH254" s="154"/>
      <c r="AI254" s="49"/>
      <c r="AJ254" s="49" t="s">
        <v>581</v>
      </c>
      <c r="AK254" s="49"/>
      <c r="AL254" s="9">
        <f>+T254</f>
        <v>0</v>
      </c>
      <c r="AM254" s="12">
        <f>AC254</f>
        <v>0</v>
      </c>
      <c r="AN254" s="12">
        <f>AM254-AL254</f>
        <v>0</v>
      </c>
      <c r="AO254" s="7">
        <f t="shared" si="85"/>
        <v>0</v>
      </c>
    </row>
    <row r="255" spans="1:41">
      <c r="A255" s="168" t="e">
        <f t="shared" si="95"/>
        <v>#REF!</v>
      </c>
      <c r="B255" s="154"/>
      <c r="C255" s="49"/>
      <c r="D255" s="49" t="s">
        <v>582</v>
      </c>
      <c r="H255" s="357">
        <f>[13]XNV!H257</f>
        <v>-57918912.489999995</v>
      </c>
      <c r="I255" s="357">
        <f>[13]XNV!I257</f>
        <v>-58335847.619999997</v>
      </c>
      <c r="J255" s="357">
        <f>[13]XNV!J257</f>
        <v>-58765600.619999997</v>
      </c>
      <c r="K255" s="357">
        <f>[13]XNV!K257</f>
        <v>-60030901.839999996</v>
      </c>
      <c r="L255" s="357">
        <f>[13]XNV!L257</f>
        <v>-60200680.619999997</v>
      </c>
      <c r="M255" s="357">
        <f>[13]XNV!M257</f>
        <v>-60708223.619999997</v>
      </c>
      <c r="N255" s="357">
        <f>[13]XNV!N257</f>
        <v>-61137112.379999995</v>
      </c>
      <c r="O255" s="357">
        <f>[13]XNV!O257</f>
        <v>-61620621.139999993</v>
      </c>
      <c r="P255" s="357">
        <f>[13]XNV!P257</f>
        <v>-63352241.879999995</v>
      </c>
      <c r="Q255" s="357">
        <f>[13]XNV!Q257</f>
        <v>-62974969.609999999</v>
      </c>
      <c r="R255" s="357">
        <f>[13]XNV!R257</f>
        <v>-63479337.649999999</v>
      </c>
      <c r="S255" s="357">
        <f>[13]XNV!S257</f>
        <v>-64179921.049999997</v>
      </c>
      <c r="T255" s="357">
        <f>[13]XNV!T257</f>
        <v>-64071192.340000004</v>
      </c>
      <c r="U255" s="357"/>
      <c r="V255" s="584">
        <f>(SUM(I255:S255)+(0.5*T255)+(0.5*H255))/12</f>
        <v>-61315042.53708332</v>
      </c>
      <c r="Y255" s="584">
        <f>T255</f>
        <v>-64071192.340000004</v>
      </c>
      <c r="Z255" s="584">
        <f t="shared" si="86"/>
        <v>-61315042.53708332</v>
      </c>
      <c r="AA255" s="357">
        <f>V255</f>
        <v>-61315042.53708332</v>
      </c>
      <c r="AB255" s="357">
        <f>T255</f>
        <v>-64071192.340000004</v>
      </c>
      <c r="AC255" s="357">
        <f t="shared" si="84"/>
        <v>-61315042.53708332</v>
      </c>
      <c r="AD255" s="632">
        <f>AC255-T255</f>
        <v>2756149.8029166833</v>
      </c>
      <c r="AE255" s="244">
        <f t="shared" si="93"/>
        <v>248</v>
      </c>
      <c r="AF255" s="244" t="e">
        <f t="shared" si="94"/>
        <v>#REF!</v>
      </c>
      <c r="AG255" s="57">
        <v>3849029.2158333361</v>
      </c>
      <c r="AH255" s="154"/>
      <c r="AI255" s="49"/>
      <c r="AJ255" s="49" t="s">
        <v>582</v>
      </c>
      <c r="AK255" s="49"/>
      <c r="AL255" s="9">
        <f>+T255</f>
        <v>-64071192.340000004</v>
      </c>
      <c r="AM255" s="12">
        <f>AC255</f>
        <v>-61315042.53708332</v>
      </c>
      <c r="AN255" s="12">
        <f>AM255-AL255</f>
        <v>2756149.8029166833</v>
      </c>
      <c r="AO255" s="7">
        <f t="shared" si="85"/>
        <v>0</v>
      </c>
    </row>
    <row r="256" spans="1:41">
      <c r="A256" s="168" t="e">
        <f t="shared" si="95"/>
        <v>#REF!</v>
      </c>
      <c r="B256" s="154"/>
      <c r="C256" s="49"/>
      <c r="D256" s="49" t="s">
        <v>584</v>
      </c>
      <c r="H256" s="357">
        <f>[13]XNV!H258</f>
        <v>-1119041.3500000001</v>
      </c>
      <c r="I256" s="357">
        <f>[13]XNV!I258</f>
        <v>-1119041.3500000001</v>
      </c>
      <c r="J256" s="357">
        <f>[13]XNV!J258</f>
        <v>-1119041.3500000001</v>
      </c>
      <c r="K256" s="357">
        <f>[13]XNV!K258</f>
        <v>-1119041.3500000001</v>
      </c>
      <c r="L256" s="357">
        <f>[13]XNV!L258</f>
        <v>-1119041.3500000001</v>
      </c>
      <c r="M256" s="357">
        <f>[13]XNV!M258</f>
        <v>-1119041.3500000001</v>
      </c>
      <c r="N256" s="357">
        <f>[13]XNV!N258</f>
        <v>-1119041.3500000001</v>
      </c>
      <c r="O256" s="357">
        <f>[13]XNV!O258</f>
        <v>-1119041.3500000001</v>
      </c>
      <c r="P256" s="357">
        <f>[13]XNV!P258</f>
        <v>-1119041.3500000001</v>
      </c>
      <c r="Q256" s="357">
        <f>[13]XNV!Q258</f>
        <v>-1119041.3500000001</v>
      </c>
      <c r="R256" s="357">
        <f>[13]XNV!R258</f>
        <v>-1119041.3500000001</v>
      </c>
      <c r="S256" s="357">
        <f>[13]XNV!S258</f>
        <v>-1119041.3500000001</v>
      </c>
      <c r="T256" s="357">
        <f>[13]XNV!T258</f>
        <v>-1119041.3500000001</v>
      </c>
      <c r="U256" s="357"/>
      <c r="V256" s="584">
        <f>(SUM(I256:S256)+(0.5*T256)+(0.5*H256))/12</f>
        <v>-1119041.3499999999</v>
      </c>
      <c r="Y256" s="584">
        <f>T256</f>
        <v>-1119041.3500000001</v>
      </c>
      <c r="Z256" s="584">
        <f t="shared" si="86"/>
        <v>-1119041.3499999999</v>
      </c>
      <c r="AA256" s="357">
        <f>V256</f>
        <v>-1119041.3499999999</v>
      </c>
      <c r="AB256" s="357">
        <f>T256</f>
        <v>-1119041.3500000001</v>
      </c>
      <c r="AC256" s="357">
        <f t="shared" si="84"/>
        <v>-1119041.3499999999</v>
      </c>
      <c r="AD256" s="632">
        <f>AC256-T256</f>
        <v>0</v>
      </c>
      <c r="AE256" s="244">
        <f t="shared" si="93"/>
        <v>249</v>
      </c>
      <c r="AF256" s="244" t="e">
        <f t="shared" si="94"/>
        <v>#REF!</v>
      </c>
      <c r="AG256" s="57">
        <v>577714.94374999998</v>
      </c>
      <c r="AH256" s="154"/>
      <c r="AI256" s="49"/>
      <c r="AJ256" s="49" t="s">
        <v>584</v>
      </c>
      <c r="AK256" s="49"/>
      <c r="AL256" s="9">
        <f>+T256</f>
        <v>-1119041.3500000001</v>
      </c>
      <c r="AM256" s="427">
        <f>AC256</f>
        <v>-1119041.3499999999</v>
      </c>
      <c r="AN256" s="427">
        <f>AM256-AL256</f>
        <v>0</v>
      </c>
      <c r="AO256" s="7">
        <f t="shared" si="85"/>
        <v>0</v>
      </c>
    </row>
    <row r="257" spans="1:41">
      <c r="A257" s="168" t="e">
        <f t="shared" si="95"/>
        <v>#REF!</v>
      </c>
      <c r="B257" s="154"/>
      <c r="C257" s="49"/>
      <c r="D257" s="49" t="s">
        <v>160</v>
      </c>
      <c r="H257" s="388">
        <f>SUM(H253:H256)</f>
        <v>-59738709.149999999</v>
      </c>
      <c r="I257" s="388">
        <f t="shared" ref="I257:T257" si="99">SUM(I253:I256)</f>
        <v>-60155644.280000001</v>
      </c>
      <c r="J257" s="388">
        <f t="shared" si="99"/>
        <v>-60585397.280000001</v>
      </c>
      <c r="K257" s="388">
        <f t="shared" si="99"/>
        <v>-61850698.5</v>
      </c>
      <c r="L257" s="388">
        <f t="shared" si="99"/>
        <v>-62020477.280000001</v>
      </c>
      <c r="M257" s="388">
        <f t="shared" si="99"/>
        <v>-62528020.280000001</v>
      </c>
      <c r="N257" s="388">
        <f t="shared" si="99"/>
        <v>-62956909.039999999</v>
      </c>
      <c r="O257" s="388">
        <f t="shared" si="99"/>
        <v>-63440417.799999997</v>
      </c>
      <c r="P257" s="388">
        <f t="shared" si="99"/>
        <v>-65172038.539999999</v>
      </c>
      <c r="Q257" s="388">
        <f t="shared" si="99"/>
        <v>-64794766.270000003</v>
      </c>
      <c r="R257" s="388">
        <f t="shared" si="99"/>
        <v>-65299134.310000002</v>
      </c>
      <c r="S257" s="388">
        <f t="shared" si="99"/>
        <v>-65999717.710000001</v>
      </c>
      <c r="T257" s="388">
        <f t="shared" si="99"/>
        <v>-65890989.000000007</v>
      </c>
      <c r="U257" s="388"/>
      <c r="V257" s="625">
        <f>SUM(V253:V256)</f>
        <v>-63134839.197083324</v>
      </c>
      <c r="Y257" s="625">
        <f>T257</f>
        <v>-65890989.000000007</v>
      </c>
      <c r="Z257" s="625">
        <f t="shared" si="86"/>
        <v>-63134839.197083324</v>
      </c>
      <c r="AA257" s="388">
        <f>V257</f>
        <v>-63134839.197083324</v>
      </c>
      <c r="AB257" s="388">
        <f>T257</f>
        <v>-65890989.000000007</v>
      </c>
      <c r="AC257" s="388">
        <f t="shared" si="84"/>
        <v>-63134839.197083324</v>
      </c>
      <c r="AD257" s="638">
        <f>AC257-T257</f>
        <v>2756149.8029166833</v>
      </c>
      <c r="AE257" s="244">
        <f t="shared" si="93"/>
        <v>250</v>
      </c>
      <c r="AF257" s="244" t="e">
        <f t="shared" si="94"/>
        <v>#REF!</v>
      </c>
      <c r="AG257" s="57">
        <v>4045858.7420833372</v>
      </c>
      <c r="AH257" s="154"/>
      <c r="AI257" s="49"/>
      <c r="AJ257" s="49" t="s">
        <v>160</v>
      </c>
      <c r="AK257" s="49"/>
      <c r="AL257" s="157">
        <f>SUM(AL253:AL256)</f>
        <v>-65890989.000000007</v>
      </c>
      <c r="AM257" s="12">
        <f>AC257</f>
        <v>-63134839.197083324</v>
      </c>
      <c r="AN257" s="12">
        <f>AM257-AL257</f>
        <v>2756149.8029166833</v>
      </c>
      <c r="AO257" s="7">
        <f t="shared" si="85"/>
        <v>0</v>
      </c>
    </row>
    <row r="258" spans="1:41">
      <c r="A258" s="168" t="e">
        <f t="shared" si="95"/>
        <v>#REF!</v>
      </c>
      <c r="B258" s="154"/>
      <c r="C258" s="49"/>
      <c r="D258" s="49"/>
      <c r="AA258" s="2"/>
      <c r="AC258" s="2">
        <f t="shared" si="84"/>
        <v>0</v>
      </c>
      <c r="AE258" s="244">
        <f t="shared" si="93"/>
        <v>251</v>
      </c>
      <c r="AF258" s="244" t="e">
        <f t="shared" si="94"/>
        <v>#REF!</v>
      </c>
      <c r="AG258" s="57">
        <v>0</v>
      </c>
      <c r="AH258" s="154"/>
      <c r="AI258" s="49"/>
      <c r="AJ258" s="49"/>
      <c r="AK258" s="49"/>
      <c r="AL258" s="9"/>
      <c r="AO258" s="7">
        <f t="shared" si="85"/>
        <v>0</v>
      </c>
    </row>
    <row r="259" spans="1:41">
      <c r="A259" s="168" t="e">
        <f t="shared" si="95"/>
        <v>#REF!</v>
      </c>
      <c r="B259" s="154" t="s">
        <v>162</v>
      </c>
      <c r="C259" s="49" t="s">
        <v>161</v>
      </c>
      <c r="D259" s="49"/>
      <c r="AA259" s="2"/>
      <c r="AC259" s="2">
        <f t="shared" si="84"/>
        <v>0</v>
      </c>
      <c r="AE259" s="244">
        <f t="shared" si="93"/>
        <v>252</v>
      </c>
      <c r="AF259" s="244" t="e">
        <f t="shared" si="94"/>
        <v>#REF!</v>
      </c>
      <c r="AG259" s="57">
        <v>0</v>
      </c>
      <c r="AH259" s="154" t="s">
        <v>162</v>
      </c>
      <c r="AI259" s="49" t="s">
        <v>161</v>
      </c>
      <c r="AJ259" s="49"/>
      <c r="AK259" s="49"/>
      <c r="AL259" s="9"/>
      <c r="AO259" s="7">
        <f t="shared" si="85"/>
        <v>0</v>
      </c>
    </row>
    <row r="260" spans="1:41">
      <c r="A260" s="168" t="e">
        <f t="shared" si="95"/>
        <v>#REF!</v>
      </c>
      <c r="B260" s="153"/>
      <c r="C260" s="49" t="s">
        <v>584</v>
      </c>
      <c r="D260" s="49"/>
      <c r="H260" s="357">
        <f>[13]XNV!$H262</f>
        <v>0</v>
      </c>
      <c r="I260" s="357">
        <f>[13]XNV!$H262</f>
        <v>0</v>
      </c>
      <c r="J260" s="357">
        <f>[13]XNV!$H262</f>
        <v>0</v>
      </c>
      <c r="K260" s="357">
        <f>[13]XNV!$H262</f>
        <v>0</v>
      </c>
      <c r="L260" s="357">
        <f>[13]XNV!$H262</f>
        <v>0</v>
      </c>
      <c r="M260" s="357">
        <f>[13]XNV!$H262</f>
        <v>0</v>
      </c>
      <c r="N260" s="357">
        <f>[13]XNV!$H262</f>
        <v>0</v>
      </c>
      <c r="O260" s="357">
        <f>[13]XNV!$H262</f>
        <v>0</v>
      </c>
      <c r="P260" s="357">
        <f>[13]XNV!$H262</f>
        <v>0</v>
      </c>
      <c r="Q260" s="357">
        <f>[13]XNV!$H262</f>
        <v>0</v>
      </c>
      <c r="R260" s="357">
        <f>[13]XNV!$H262</f>
        <v>0</v>
      </c>
      <c r="S260" s="357">
        <f>[13]XNV!$H262</f>
        <v>0</v>
      </c>
      <c r="T260" s="357">
        <f>[13]XNV!$H262</f>
        <v>0</v>
      </c>
      <c r="U260" s="357"/>
      <c r="V260" s="584">
        <f>(SUM(I260:S260)+(0.5*T260)+(0.5*H260))/12</f>
        <v>0</v>
      </c>
      <c r="Y260" s="584">
        <f>T260</f>
        <v>0</v>
      </c>
      <c r="Z260" s="584">
        <f t="shared" si="86"/>
        <v>0</v>
      </c>
      <c r="AA260" s="357">
        <f>V260</f>
        <v>0</v>
      </c>
      <c r="AB260" s="357">
        <f>T260</f>
        <v>0</v>
      </c>
      <c r="AC260" s="357">
        <f t="shared" si="84"/>
        <v>0</v>
      </c>
      <c r="AD260" s="632">
        <f>AC260-T260</f>
        <v>0</v>
      </c>
      <c r="AE260" s="244">
        <f t="shared" si="93"/>
        <v>253</v>
      </c>
      <c r="AF260" s="244" t="e">
        <f t="shared" si="94"/>
        <v>#REF!</v>
      </c>
      <c r="AG260" s="57">
        <v>0</v>
      </c>
      <c r="AH260" s="153"/>
      <c r="AI260" s="49" t="s">
        <v>584</v>
      </c>
      <c r="AJ260" s="49"/>
      <c r="AK260" s="49"/>
      <c r="AL260" s="9">
        <f>+T260</f>
        <v>0</v>
      </c>
      <c r="AM260" s="427">
        <f>AC260</f>
        <v>0</v>
      </c>
      <c r="AN260" s="427">
        <f>AM260-AL260</f>
        <v>0</v>
      </c>
      <c r="AO260" s="7">
        <f t="shared" si="85"/>
        <v>0</v>
      </c>
    </row>
    <row r="261" spans="1:41">
      <c r="A261" s="168" t="e">
        <f t="shared" si="95"/>
        <v>#REF!</v>
      </c>
      <c r="B261" s="153"/>
      <c r="C261" s="49" t="s">
        <v>160</v>
      </c>
      <c r="D261" s="49"/>
      <c r="H261" s="388">
        <f>+H260</f>
        <v>0</v>
      </c>
      <c r="I261" s="388">
        <f t="shared" ref="I261:T261" si="100">+I260</f>
        <v>0</v>
      </c>
      <c r="J261" s="388">
        <f t="shared" si="100"/>
        <v>0</v>
      </c>
      <c r="K261" s="388">
        <f t="shared" si="100"/>
        <v>0</v>
      </c>
      <c r="L261" s="388">
        <f t="shared" si="100"/>
        <v>0</v>
      </c>
      <c r="M261" s="388">
        <f t="shared" si="100"/>
        <v>0</v>
      </c>
      <c r="N261" s="388">
        <f t="shared" si="100"/>
        <v>0</v>
      </c>
      <c r="O261" s="388">
        <f t="shared" si="100"/>
        <v>0</v>
      </c>
      <c r="P261" s="388">
        <f t="shared" si="100"/>
        <v>0</v>
      </c>
      <c r="Q261" s="388">
        <f t="shared" si="100"/>
        <v>0</v>
      </c>
      <c r="R261" s="388">
        <f t="shared" si="100"/>
        <v>0</v>
      </c>
      <c r="S261" s="388">
        <f t="shared" si="100"/>
        <v>0</v>
      </c>
      <c r="T261" s="388">
        <f t="shared" si="100"/>
        <v>0</v>
      </c>
      <c r="U261" s="388"/>
      <c r="V261" s="625">
        <f>+V260</f>
        <v>0</v>
      </c>
      <c r="Y261" s="625">
        <f>T261</f>
        <v>0</v>
      </c>
      <c r="Z261" s="625">
        <f t="shared" si="86"/>
        <v>0</v>
      </c>
      <c r="AA261" s="388">
        <f>V261</f>
        <v>0</v>
      </c>
      <c r="AB261" s="388">
        <f>T261</f>
        <v>0</v>
      </c>
      <c r="AC261" s="388">
        <f t="shared" si="84"/>
        <v>0</v>
      </c>
      <c r="AD261" s="638">
        <f>AC261-T261</f>
        <v>0</v>
      </c>
      <c r="AE261" s="244">
        <f t="shared" si="93"/>
        <v>254</v>
      </c>
      <c r="AF261" s="244" t="e">
        <f t="shared" si="94"/>
        <v>#REF!</v>
      </c>
      <c r="AG261" s="57">
        <v>0</v>
      </c>
      <c r="AH261" s="153"/>
      <c r="AI261" s="49" t="s">
        <v>160</v>
      </c>
      <c r="AJ261" s="49"/>
      <c r="AK261" s="49"/>
      <c r="AL261" s="157">
        <f>SUM(AL260)</f>
        <v>0</v>
      </c>
      <c r="AM261" s="12">
        <f>AC261</f>
        <v>0</v>
      </c>
      <c r="AN261" s="12">
        <f>AM261-AL261</f>
        <v>0</v>
      </c>
      <c r="AO261" s="7">
        <f t="shared" si="85"/>
        <v>0</v>
      </c>
    </row>
    <row r="262" spans="1:41" ht="13.5" thickBot="1">
      <c r="A262" s="168" t="e">
        <f t="shared" si="95"/>
        <v>#REF!</v>
      </c>
      <c r="B262" s="153"/>
      <c r="C262" s="49"/>
      <c r="D262" s="4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626"/>
      <c r="Y262" s="626"/>
      <c r="Z262" s="626"/>
      <c r="AA262" s="579"/>
      <c r="AB262" s="579"/>
      <c r="AC262" s="579">
        <f t="shared" si="84"/>
        <v>0</v>
      </c>
      <c r="AD262" s="639"/>
      <c r="AE262" s="244">
        <f t="shared" si="93"/>
        <v>255</v>
      </c>
      <c r="AF262" s="244" t="e">
        <f t="shared" si="94"/>
        <v>#REF!</v>
      </c>
      <c r="AG262" s="57">
        <v>0</v>
      </c>
      <c r="AH262" s="153"/>
      <c r="AI262" s="49"/>
      <c r="AJ262" s="49"/>
      <c r="AK262" s="49"/>
      <c r="AL262" s="26"/>
      <c r="AM262" s="87"/>
      <c r="AN262" s="87"/>
      <c r="AO262" s="7">
        <f t="shared" si="85"/>
        <v>0</v>
      </c>
    </row>
    <row r="263" spans="1:41" ht="13.5" thickTop="1">
      <c r="A263" s="168" t="e">
        <f t="shared" si="95"/>
        <v>#REF!</v>
      </c>
      <c r="B263" s="130" t="s">
        <v>652</v>
      </c>
      <c r="C263" s="49"/>
      <c r="D263" s="49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/>
      <c r="S263" s="357"/>
      <c r="T263" s="357"/>
      <c r="U263" s="357"/>
      <c r="V263" s="584"/>
      <c r="Y263" s="584"/>
      <c r="Z263" s="584"/>
      <c r="AA263" s="357"/>
      <c r="AB263" s="357"/>
      <c r="AC263" s="357">
        <f t="shared" si="84"/>
        <v>0</v>
      </c>
      <c r="AD263" s="632"/>
      <c r="AE263" s="244">
        <f t="shared" si="93"/>
        <v>256</v>
      </c>
      <c r="AF263" s="244" t="e">
        <f t="shared" si="94"/>
        <v>#REF!</v>
      </c>
      <c r="AG263" s="57">
        <v>0</v>
      </c>
      <c r="AH263" s="130" t="s">
        <v>652</v>
      </c>
      <c r="AI263" s="49"/>
      <c r="AJ263" s="49"/>
      <c r="AK263" s="49"/>
      <c r="AL263" s="9"/>
      <c r="AO263" s="7">
        <f t="shared" si="85"/>
        <v>0</v>
      </c>
    </row>
    <row r="264" spans="1:41">
      <c r="A264" s="168" t="e">
        <f t="shared" si="95"/>
        <v>#REF!</v>
      </c>
      <c r="B264" s="153"/>
      <c r="C264" s="49" t="s">
        <v>427</v>
      </c>
      <c r="D264" s="49"/>
      <c r="H264" s="323">
        <f>H203+H211+H218+H239+H246+H253</f>
        <v>48130236.519999996</v>
      </c>
      <c r="I264" s="323">
        <f t="shared" ref="I264:T264" si="101">I203+I211+I218+I239+I246+I253</f>
        <v>31938503.230000004</v>
      </c>
      <c r="J264" s="323">
        <f t="shared" si="101"/>
        <v>20668735.370000001</v>
      </c>
      <c r="K264" s="323">
        <f t="shared" si="101"/>
        <v>7925151.6400000006</v>
      </c>
      <c r="L264" s="323">
        <f t="shared" si="101"/>
        <v>4315816.66</v>
      </c>
      <c r="M264" s="323">
        <f t="shared" si="101"/>
        <v>9008346.9500000011</v>
      </c>
      <c r="N264" s="323">
        <f t="shared" si="101"/>
        <v>20946133.84</v>
      </c>
      <c r="O264" s="323">
        <f t="shared" si="101"/>
        <v>33687414.439999998</v>
      </c>
      <c r="P264" s="323">
        <f t="shared" si="101"/>
        <v>47320515.139999993</v>
      </c>
      <c r="Q264" s="323">
        <f t="shared" si="101"/>
        <v>58209283.420000002</v>
      </c>
      <c r="R264" s="323">
        <f t="shared" si="101"/>
        <v>58440481.179999992</v>
      </c>
      <c r="S264" s="323">
        <f t="shared" si="101"/>
        <v>58757673.229999997</v>
      </c>
      <c r="T264" s="323">
        <f t="shared" si="101"/>
        <v>52233148.140000001</v>
      </c>
      <c r="U264" s="323"/>
      <c r="V264" s="513">
        <f>V203+V211+V218+V239+V246+V253</f>
        <v>52053191.43333333</v>
      </c>
      <c r="Y264" s="513">
        <f>T264</f>
        <v>52233148.140000001</v>
      </c>
      <c r="Z264" s="513">
        <f t="shared" si="86"/>
        <v>52053191.43333333</v>
      </c>
      <c r="AA264" s="323">
        <f>V264</f>
        <v>52053191.43333333</v>
      </c>
      <c r="AB264" s="323">
        <f>T264</f>
        <v>52233148.140000001</v>
      </c>
      <c r="AC264" s="323">
        <f t="shared" si="84"/>
        <v>52053191.43333333</v>
      </c>
      <c r="AD264" s="637">
        <f>AD203+AD211+AD218+AD239+AD246+AD253</f>
        <v>-179956.70666666664</v>
      </c>
      <c r="AE264" s="244">
        <f t="shared" si="93"/>
        <v>257</v>
      </c>
      <c r="AF264" s="244" t="e">
        <f t="shared" si="94"/>
        <v>#REF!</v>
      </c>
      <c r="AG264" s="57">
        <v>-2303232.7258333368</v>
      </c>
      <c r="AH264" s="153"/>
      <c r="AI264" s="49" t="s">
        <v>427</v>
      </c>
      <c r="AJ264" s="49"/>
      <c r="AK264" s="49"/>
      <c r="AL264" s="323">
        <f t="shared" ref="AL264" si="102">AL203+AL211+AL218+AL239+AL246+AL253</f>
        <v>52233148.140000001</v>
      </c>
      <c r="AM264" s="12">
        <f>AC264</f>
        <v>52053191.43333333</v>
      </c>
      <c r="AN264" s="12">
        <f>AM264-AL264</f>
        <v>-179956.70666667074</v>
      </c>
      <c r="AO264" s="7">
        <f t="shared" si="85"/>
        <v>0</v>
      </c>
    </row>
    <row r="265" spans="1:41">
      <c r="A265" s="168" t="e">
        <f t="shared" si="95"/>
        <v>#REF!</v>
      </c>
      <c r="B265" s="153"/>
      <c r="C265" s="49" t="s">
        <v>581</v>
      </c>
      <c r="D265" s="49"/>
      <c r="H265" s="323">
        <f>H198+H212+H219+H225+H230+H240+H247+H254</f>
        <v>-12817813.270512365</v>
      </c>
      <c r="I265" s="323">
        <f t="shared" ref="I265:T266" si="103">I198+I212+I219+I225+I230+I240+I247+I254</f>
        <v>-12441421.267835226</v>
      </c>
      <c r="J265" s="323">
        <f t="shared" si="103"/>
        <v>-12567989.153335219</v>
      </c>
      <c r="K265" s="323">
        <f t="shared" si="103"/>
        <v>-13469687.548793526</v>
      </c>
      <c r="L265" s="323">
        <f t="shared" si="103"/>
        <v>-13511566.633602096</v>
      </c>
      <c r="M265" s="323">
        <f t="shared" si="103"/>
        <v>-13480835.675621474</v>
      </c>
      <c r="N265" s="323">
        <f t="shared" si="103"/>
        <v>-13550087.682247598</v>
      </c>
      <c r="O265" s="323">
        <f t="shared" si="103"/>
        <v>-13729994.522376619</v>
      </c>
      <c r="P265" s="323">
        <f t="shared" si="103"/>
        <v>-13960950.104232231</v>
      </c>
      <c r="Q265" s="323">
        <f t="shared" si="103"/>
        <v>-13737427.241939941</v>
      </c>
      <c r="R265" s="323">
        <f t="shared" si="103"/>
        <v>-13899998.60429541</v>
      </c>
      <c r="S265" s="323">
        <f t="shared" si="103"/>
        <v>-14129930.737284578</v>
      </c>
      <c r="T265" s="323">
        <f t="shared" si="103"/>
        <v>-6486585.5896653598</v>
      </c>
      <c r="U265" s="323"/>
      <c r="V265" s="513">
        <f>V198+V212+V219+V225+V230+V240+V247+V254</f>
        <v>-13177674.050137734</v>
      </c>
      <c r="Y265" s="513">
        <f>T265</f>
        <v>-6486585.5896653598</v>
      </c>
      <c r="Z265" s="513">
        <f t="shared" si="86"/>
        <v>-13177674.050137734</v>
      </c>
      <c r="AA265" s="637">
        <f>AA198+AA212+AA219+AA225+AA230+AA240+AA247+AA254</f>
        <v>-13177674.050137734</v>
      </c>
      <c r="AB265" s="637">
        <f>AB198+AB212+AB219+AB225+AB230+AB240+AB247+AB254</f>
        <v>-6478384.961319562</v>
      </c>
      <c r="AC265" s="323">
        <f t="shared" si="84"/>
        <v>-13177674.050137734</v>
      </c>
      <c r="AD265" s="637">
        <f>AD198+AD212+AD219+AD225+AD230+AD240+AD247+AD254</f>
        <v>-6691088.4604723742</v>
      </c>
      <c r="AE265" s="244">
        <f t="shared" si="93"/>
        <v>258</v>
      </c>
      <c r="AF265" s="244" t="e">
        <f t="shared" si="94"/>
        <v>#REF!</v>
      </c>
      <c r="AG265" s="57">
        <v>202393.20413769607</v>
      </c>
      <c r="AH265" s="153"/>
      <c r="AI265" s="49" t="s">
        <v>581</v>
      </c>
      <c r="AJ265" s="49"/>
      <c r="AK265" s="49"/>
      <c r="AL265" s="323">
        <f t="shared" ref="AL265" si="104">AL198+AL212+AL219+AL225+AL230+AL240+AL247+AL254</f>
        <v>-6486585.5896653598</v>
      </c>
      <c r="AM265" s="12">
        <f>AC265</f>
        <v>-13177674.050137734</v>
      </c>
      <c r="AN265" s="12">
        <f>AM265-AL265</f>
        <v>-6691088.4604723742</v>
      </c>
      <c r="AO265" s="7">
        <f t="shared" si="85"/>
        <v>0</v>
      </c>
    </row>
    <row r="266" spans="1:41">
      <c r="A266" s="168" t="e">
        <f t="shared" si="95"/>
        <v>#REF!</v>
      </c>
      <c r="B266" s="153"/>
      <c r="C266" s="49" t="s">
        <v>582</v>
      </c>
      <c r="D266" s="49"/>
      <c r="H266" s="323">
        <f>H199+H213+H220+H226+H231+H241+H248+H255</f>
        <v>-445800067.99948764</v>
      </c>
      <c r="I266" s="323">
        <f t="shared" si="103"/>
        <v>-447750194.96216476</v>
      </c>
      <c r="J266" s="323">
        <f t="shared" si="103"/>
        <v>-449396761.81666481</v>
      </c>
      <c r="K266" s="323">
        <f t="shared" si="103"/>
        <v>-463225166.48120648</v>
      </c>
      <c r="L266" s="323">
        <f t="shared" si="103"/>
        <v>-465708170.46639788</v>
      </c>
      <c r="M266" s="323">
        <f t="shared" si="103"/>
        <v>-469365438.16437852</v>
      </c>
      <c r="N266" s="323">
        <f t="shared" si="103"/>
        <v>-471925222.52775234</v>
      </c>
      <c r="O266" s="323">
        <f t="shared" si="103"/>
        <v>-479162826.05762333</v>
      </c>
      <c r="P266" s="323">
        <f t="shared" si="103"/>
        <v>-492214551.91576779</v>
      </c>
      <c r="Q266" s="323">
        <f t="shared" si="103"/>
        <v>-483476588.14806008</v>
      </c>
      <c r="R266" s="323">
        <f t="shared" si="103"/>
        <v>-488405910.87570459</v>
      </c>
      <c r="S266" s="323">
        <f t="shared" si="103"/>
        <v>-492834467.77271539</v>
      </c>
      <c r="T266" s="323">
        <f t="shared" si="103"/>
        <v>-245743333.64033464</v>
      </c>
      <c r="U266" s="323"/>
      <c r="V266" s="513">
        <f>V199+V213+V220+V226+V231+V241+V248+V255</f>
        <v>-462436416.66736215</v>
      </c>
      <c r="Y266" s="513">
        <f>T266</f>
        <v>-245743333.64033464</v>
      </c>
      <c r="Z266" s="513">
        <f t="shared" si="86"/>
        <v>-462436416.66736215</v>
      </c>
      <c r="AA266" s="637">
        <f t="shared" ref="AA266:AB266" si="105">AA199+AA213+AA220+AA226+AA231+AA241+AA248+AA255</f>
        <v>-462436416.66736215</v>
      </c>
      <c r="AB266" s="637">
        <f t="shared" si="105"/>
        <v>-246176458.59743044</v>
      </c>
      <c r="AC266" s="323">
        <f t="shared" si="84"/>
        <v>-462436416.66736215</v>
      </c>
      <c r="AD266" s="637">
        <f>AD199+AD213+AD220+AD226+AD231+AD241+AD248+AD255</f>
        <v>-216693083.02702752</v>
      </c>
      <c r="AE266" s="244">
        <f t="shared" si="93"/>
        <v>259</v>
      </c>
      <c r="AF266" s="244" t="e">
        <f t="shared" si="94"/>
        <v>#REF!</v>
      </c>
      <c r="AG266" s="57">
        <v>7521507.6041956618</v>
      </c>
      <c r="AH266" s="153"/>
      <c r="AI266" s="49" t="s">
        <v>582</v>
      </c>
      <c r="AJ266" s="49"/>
      <c r="AK266" s="49"/>
      <c r="AL266" s="323">
        <f t="shared" ref="AL266" si="106">AL199+AL213+AL220+AL226+AL231+AL241+AL248+AL255</f>
        <v>-245743333.64033464</v>
      </c>
      <c r="AM266" s="12">
        <f>AC266</f>
        <v>-462436416.66736215</v>
      </c>
      <c r="AN266" s="12">
        <f>AM266-AL266</f>
        <v>-216693083.02702752</v>
      </c>
      <c r="AO266" s="7">
        <f t="shared" si="85"/>
        <v>0</v>
      </c>
    </row>
    <row r="267" spans="1:41">
      <c r="A267" s="168" t="e">
        <f t="shared" si="95"/>
        <v>#REF!</v>
      </c>
      <c r="B267" s="153"/>
      <c r="C267" s="49" t="s">
        <v>584</v>
      </c>
      <c r="D267" s="49"/>
      <c r="H267" s="323">
        <f>H207+H214+H221+H235+H242+H249+H256+H260</f>
        <v>-11328307.779999999</v>
      </c>
      <c r="I267" s="323">
        <f t="shared" ref="I267:T267" si="107">I207+I214+I221+I235+I242+I249+I256+I260</f>
        <v>-10985006.68</v>
      </c>
      <c r="J267" s="323">
        <f t="shared" si="107"/>
        <v>-11431516.460000001</v>
      </c>
      <c r="K267" s="323">
        <f t="shared" si="107"/>
        <v>-11833685.369999999</v>
      </c>
      <c r="L267" s="323">
        <f t="shared" si="107"/>
        <v>-12109124.299999999</v>
      </c>
      <c r="M267" s="323">
        <f t="shared" si="107"/>
        <v>-10678810.029999999</v>
      </c>
      <c r="N267" s="323">
        <f t="shared" si="107"/>
        <v>-9335041.1799999997</v>
      </c>
      <c r="O267" s="323">
        <f t="shared" si="107"/>
        <v>-9343596.3599999994</v>
      </c>
      <c r="P267" s="323">
        <f t="shared" si="107"/>
        <v>-9646246.209999999</v>
      </c>
      <c r="Q267" s="323">
        <f t="shared" si="107"/>
        <v>-10064897.289999999</v>
      </c>
      <c r="R267" s="323">
        <f t="shared" si="107"/>
        <v>-10784966.110000001</v>
      </c>
      <c r="S267" s="323">
        <f t="shared" si="107"/>
        <v>-10406627.869999999</v>
      </c>
      <c r="T267" s="323">
        <f t="shared" si="107"/>
        <v>-10055701.27</v>
      </c>
      <c r="U267" s="323"/>
      <c r="V267" s="513">
        <f>V207+V214+V221+V235+V242+V249+V256+V260</f>
        <v>-10609293.532083334</v>
      </c>
      <c r="Y267" s="513">
        <f>T267</f>
        <v>-10055701.27</v>
      </c>
      <c r="Z267" s="513">
        <f t="shared" si="86"/>
        <v>-10609293.532083334</v>
      </c>
      <c r="AA267" s="637">
        <f t="shared" ref="AA267:AB267" si="108">AA207+AA214+AA221+AA235+AA242+AA249+AA256+AA260</f>
        <v>-10609293.532083334</v>
      </c>
      <c r="AB267" s="637">
        <f t="shared" si="108"/>
        <v>-10339125.98625</v>
      </c>
      <c r="AC267" s="323">
        <f t="shared" si="84"/>
        <v>-10609293.532083334</v>
      </c>
      <c r="AD267" s="637">
        <f>AD207+AD214+AD221+AD235+AD242+AD249+AD256+AD260</f>
        <v>-553592.26208333438</v>
      </c>
      <c r="AE267" s="244">
        <f t="shared" si="93"/>
        <v>260</v>
      </c>
      <c r="AF267" s="244" t="e">
        <f t="shared" si="94"/>
        <v>#REF!</v>
      </c>
      <c r="AG267" s="57">
        <v>7616626.3645833321</v>
      </c>
      <c r="AH267" s="153"/>
      <c r="AI267" s="49" t="s">
        <v>584</v>
      </c>
      <c r="AJ267" s="49"/>
      <c r="AK267" s="49"/>
      <c r="AL267" s="323">
        <f t="shared" ref="AL267" si="109">AL207+AL214+AL221+AL235+AL242+AL249+AL256+AL260</f>
        <v>-10055701.27</v>
      </c>
      <c r="AM267" s="12">
        <f>AC267</f>
        <v>-10609293.532083334</v>
      </c>
      <c r="AN267" s="12">
        <f>AM267-AL267</f>
        <v>-553592.26208333485</v>
      </c>
      <c r="AO267" s="7">
        <f t="shared" si="85"/>
        <v>0</v>
      </c>
    </row>
    <row r="268" spans="1:41" ht="13.5" thickBot="1">
      <c r="A268" s="168" t="e">
        <f t="shared" si="95"/>
        <v>#REF!</v>
      </c>
      <c r="B268" s="153"/>
      <c r="C268" s="49"/>
      <c r="D268" s="49"/>
      <c r="E268" s="7"/>
      <c r="F268" s="7"/>
      <c r="G268" s="7"/>
      <c r="H268" s="517"/>
      <c r="I268" s="517"/>
      <c r="J268" s="517"/>
      <c r="K268" s="517"/>
      <c r="L268" s="517"/>
      <c r="M268" s="517"/>
      <c r="N268" s="517"/>
      <c r="O268" s="517"/>
      <c r="P268" s="517"/>
      <c r="Q268" s="517"/>
      <c r="R268" s="517"/>
      <c r="S268" s="517"/>
      <c r="T268" s="517"/>
      <c r="U268" s="517"/>
      <c r="V268" s="627"/>
      <c r="Y268" s="627"/>
      <c r="Z268" s="627"/>
      <c r="AA268" s="517"/>
      <c r="AB268" s="517"/>
      <c r="AC268" s="517">
        <f t="shared" ref="AC268:AC279" si="110">HLOOKUP($AC$8,RateBaseScenarios,AE268,FALSE)</f>
        <v>0</v>
      </c>
      <c r="AD268" s="640"/>
      <c r="AE268" s="244">
        <f t="shared" si="93"/>
        <v>261</v>
      </c>
      <c r="AF268" s="244" t="e">
        <f t="shared" si="94"/>
        <v>#REF!</v>
      </c>
      <c r="AG268" s="57">
        <v>0</v>
      </c>
      <c r="AH268" s="153"/>
      <c r="AI268" s="49"/>
      <c r="AJ268" s="49"/>
      <c r="AK268" s="49"/>
      <c r="AL268" s="26"/>
      <c r="AM268" s="87"/>
      <c r="AN268" s="87"/>
      <c r="AO268" s="7">
        <f t="shared" si="85"/>
        <v>0</v>
      </c>
    </row>
    <row r="269" spans="1:41" ht="13.5" thickTop="1">
      <c r="A269" s="168" t="e">
        <f t="shared" si="95"/>
        <v>#REF!</v>
      </c>
      <c r="B269" s="153"/>
      <c r="C269" s="49"/>
      <c r="D269" s="49"/>
      <c r="E269" s="7"/>
      <c r="F269" s="7"/>
      <c r="G269" s="7"/>
      <c r="H269" s="323"/>
      <c r="I269" s="323"/>
      <c r="J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513"/>
      <c r="Y269" s="513"/>
      <c r="Z269" s="513"/>
      <c r="AA269" s="323"/>
      <c r="AB269" s="323"/>
      <c r="AC269" s="323">
        <f t="shared" si="110"/>
        <v>0</v>
      </c>
      <c r="AD269" s="637"/>
      <c r="AE269" s="244">
        <f t="shared" si="93"/>
        <v>262</v>
      </c>
      <c r="AF269" s="244" t="e">
        <f t="shared" si="94"/>
        <v>#REF!</v>
      </c>
      <c r="AG269" s="57">
        <v>0</v>
      </c>
      <c r="AH269" s="153"/>
      <c r="AI269" s="49"/>
      <c r="AJ269" s="49"/>
      <c r="AK269" s="49"/>
      <c r="AL269" s="9"/>
      <c r="AO269" s="7">
        <f t="shared" ref="AO269:AO279" si="111">+AL269-T269</f>
        <v>0</v>
      </c>
    </row>
    <row r="270" spans="1:41">
      <c r="A270" s="168" t="e">
        <f t="shared" si="95"/>
        <v>#REF!</v>
      </c>
      <c r="B270" s="153"/>
      <c r="C270" s="158" t="s">
        <v>652</v>
      </c>
      <c r="D270" s="49"/>
      <c r="H270" s="357">
        <f>+H261+H257+H250+H243+H236+H232+H227+H222+H215+H208+H200+H204</f>
        <v>-421815952.52999991</v>
      </c>
      <c r="I270" s="357">
        <f>+I261+I257+I250+I243+I236+I232+I227+I222+I215+I208+I200+I204</f>
        <v>-439238119.68000001</v>
      </c>
      <c r="J270" s="357">
        <f t="shared" ref="J270:T270" si="112">+J261+J257+J250+J243+J236+J232+J227+J222+J215+J208+J200+J204</f>
        <v>-452727532.06000006</v>
      </c>
      <c r="K270" s="357">
        <f t="shared" si="112"/>
        <v>-480603387.76000011</v>
      </c>
      <c r="L270" s="357">
        <f>+L261+L257+L250+L243+L236+L232+L227+L222+L215+L208+L200+L204</f>
        <v>-487013044.73999995</v>
      </c>
      <c r="M270" s="357">
        <f t="shared" si="112"/>
        <v>-484516736.92000002</v>
      </c>
      <c r="N270" s="357">
        <f t="shared" si="112"/>
        <v>-473864217.54999995</v>
      </c>
      <c r="O270" s="357">
        <f t="shared" si="112"/>
        <v>-468549002.5</v>
      </c>
      <c r="P270" s="357">
        <f t="shared" si="112"/>
        <v>-468501233.09000003</v>
      </c>
      <c r="Q270" s="357">
        <f t="shared" si="112"/>
        <v>-449069629.25999999</v>
      </c>
      <c r="R270" s="357">
        <f t="shared" si="112"/>
        <v>-454650394.40999997</v>
      </c>
      <c r="S270" s="357">
        <f t="shared" si="112"/>
        <v>-458613353.14999998</v>
      </c>
      <c r="T270" s="357">
        <f t="shared" si="112"/>
        <v>-210052472.35999995</v>
      </c>
      <c r="U270" s="357"/>
      <c r="V270" s="584">
        <f>+V261+V257+V250+V243+V236+V232+V227+V222+V215+V208+V200+V204</f>
        <v>-434170192.81624979</v>
      </c>
      <c r="Y270" s="584">
        <f>+Y261+Y257+Y250+Y243+Y236+Y232+Y227+Y222+Y215+Y208+Y200+Y204</f>
        <v>-210052472.35999995</v>
      </c>
      <c r="Z270" s="584">
        <f>+Z261+Z257+Z250+Z243+Z236+Z232+Z227+Z222+Z215+Z208+Z200+Z204</f>
        <v>-434170192.81624979</v>
      </c>
      <c r="AA270" s="357">
        <f t="shared" ref="AA270:AB270" si="113">+AA261+AA257+AA250+AA243+AA236+AA232+AA227+AA222+AA215+AA208+AA200+AA204</f>
        <v>-434170192.81624979</v>
      </c>
      <c r="AB270" s="357">
        <f t="shared" si="113"/>
        <v>-210760821.40499997</v>
      </c>
      <c r="AC270" s="357">
        <f t="shared" si="110"/>
        <v>-434170192.81624979</v>
      </c>
      <c r="AD270" s="632">
        <f>+AD261+AD257+AD250+AD243+AD236+AD232+AD227+AD222+AD215+AD208+AD200+AD204</f>
        <v>-224117720.45624992</v>
      </c>
      <c r="AE270" s="244">
        <f t="shared" si="93"/>
        <v>263</v>
      </c>
      <c r="AF270" s="244" t="e">
        <f t="shared" si="94"/>
        <v>#REF!</v>
      </c>
      <c r="AG270" s="57">
        <v>13037294.447083391</v>
      </c>
      <c r="AH270" s="153"/>
      <c r="AI270" s="158" t="s">
        <v>652</v>
      </c>
      <c r="AJ270" s="49"/>
      <c r="AK270" s="49"/>
      <c r="AL270" s="357">
        <f>+AL261+AL257+AL250+AL243+AL236+AL232+AL227+AL222+AL215+AL208+AL200+AL204</f>
        <v>-210052472.35999995</v>
      </c>
      <c r="AM270" s="12">
        <f>AC270</f>
        <v>-434170192.81624979</v>
      </c>
      <c r="AN270" s="12">
        <f>AD270</f>
        <v>-224117720.45624992</v>
      </c>
      <c r="AO270" s="7">
        <f t="shared" si="111"/>
        <v>0</v>
      </c>
    </row>
    <row r="271" spans="1:41">
      <c r="A271" s="168" t="e">
        <f t="shared" si="95"/>
        <v>#REF!</v>
      </c>
      <c r="B271" s="153"/>
      <c r="C271" s="49"/>
      <c r="D271" s="49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584"/>
      <c r="Y271" s="584"/>
      <c r="Z271" s="584"/>
      <c r="AA271" s="357"/>
      <c r="AB271" s="357"/>
      <c r="AC271" s="357">
        <f t="shared" si="110"/>
        <v>0</v>
      </c>
      <c r="AD271" s="632"/>
      <c r="AE271" s="244">
        <f t="shared" si="93"/>
        <v>264</v>
      </c>
      <c r="AF271" s="244" t="e">
        <f t="shared" si="94"/>
        <v>#REF!</v>
      </c>
      <c r="AG271" s="57">
        <v>0</v>
      </c>
      <c r="AH271" s="153"/>
      <c r="AI271" s="49"/>
      <c r="AJ271" s="49"/>
      <c r="AK271" s="49"/>
      <c r="AL271" s="9"/>
      <c r="AO271" s="7">
        <f t="shared" si="111"/>
        <v>0</v>
      </c>
    </row>
    <row r="272" spans="1:41">
      <c r="A272" s="168" t="e">
        <f t="shared" si="95"/>
        <v>#REF!</v>
      </c>
      <c r="B272" s="130" t="s">
        <v>673</v>
      </c>
      <c r="C272" s="49"/>
      <c r="D272" s="49"/>
      <c r="H272" s="323"/>
      <c r="I272" s="323"/>
      <c r="J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513"/>
      <c r="X272" s="68" t="s">
        <v>1082</v>
      </c>
      <c r="Y272" s="513"/>
      <c r="Z272" s="513"/>
      <c r="AA272" s="323"/>
      <c r="AB272" s="323"/>
      <c r="AC272" s="323">
        <f t="shared" si="110"/>
        <v>0</v>
      </c>
      <c r="AD272" s="637"/>
      <c r="AE272" s="244">
        <f t="shared" si="93"/>
        <v>265</v>
      </c>
      <c r="AF272" s="244" t="e">
        <f t="shared" si="94"/>
        <v>#REF!</v>
      </c>
      <c r="AG272" s="57">
        <v>0</v>
      </c>
      <c r="AH272" s="130" t="s">
        <v>673</v>
      </c>
      <c r="AI272" s="49"/>
      <c r="AJ272" s="49"/>
      <c r="AK272" s="49"/>
      <c r="AL272" s="52"/>
      <c r="AO272" s="7">
        <f t="shared" si="111"/>
        <v>0</v>
      </c>
    </row>
    <row r="273" spans="1:55">
      <c r="A273" s="168" t="e">
        <f t="shared" si="95"/>
        <v>#REF!</v>
      </c>
      <c r="B273" s="130"/>
      <c r="C273" s="49" t="s">
        <v>427</v>
      </c>
      <c r="D273" s="49"/>
      <c r="H273" s="357">
        <f>H186+H264</f>
        <v>53037937.879999995</v>
      </c>
      <c r="I273" s="357">
        <f t="shared" ref="I273:T276" si="114">I186+I264</f>
        <v>36779221.870000012</v>
      </c>
      <c r="J273" s="357">
        <f t="shared" si="114"/>
        <v>25453435.519999996</v>
      </c>
      <c r="K273" s="357">
        <f t="shared" si="114"/>
        <v>12663510.51</v>
      </c>
      <c r="L273" s="357">
        <f t="shared" si="114"/>
        <v>8996070.7600000054</v>
      </c>
      <c r="M273" s="357">
        <f t="shared" si="114"/>
        <v>13633669.289999995</v>
      </c>
      <c r="N273" s="357">
        <f t="shared" si="114"/>
        <v>25515763.25</v>
      </c>
      <c r="O273" s="357">
        <f t="shared" si="114"/>
        <v>38198071.170000002</v>
      </c>
      <c r="P273" s="357">
        <f t="shared" si="114"/>
        <v>51776522.609999985</v>
      </c>
      <c r="Q273" s="357">
        <f t="shared" si="114"/>
        <v>62613706.029999994</v>
      </c>
      <c r="R273" s="357">
        <f t="shared" si="114"/>
        <v>62791977.849999994</v>
      </c>
      <c r="S273" s="357">
        <f t="shared" si="114"/>
        <v>63040062.789999999</v>
      </c>
      <c r="T273" s="357">
        <f t="shared" si="114"/>
        <v>56474289.469999999</v>
      </c>
      <c r="U273" s="357"/>
      <c r="V273" s="584">
        <f>V186+V264</f>
        <v>56621389.591249973</v>
      </c>
      <c r="Y273" s="584">
        <f t="shared" ref="Y273:AB276" si="115">Y186+Y264</f>
        <v>56474289.469999999</v>
      </c>
      <c r="Z273" s="584">
        <f t="shared" si="115"/>
        <v>56621389.591249973</v>
      </c>
      <c r="AA273" s="357">
        <f t="shared" ref="AA273" si="116">AA186+AA264</f>
        <v>56621389.591249973</v>
      </c>
      <c r="AB273" s="357">
        <f t="shared" si="115"/>
        <v>56474289.469999999</v>
      </c>
      <c r="AC273" s="357">
        <f t="shared" si="110"/>
        <v>56621389.591249973</v>
      </c>
      <c r="AD273" s="632">
        <f>AD186+AD264</f>
        <v>147100.12124998533</v>
      </c>
      <c r="AE273" s="244">
        <f t="shared" si="93"/>
        <v>266</v>
      </c>
      <c r="AF273" s="244" t="e">
        <f t="shared" si="94"/>
        <v>#REF!</v>
      </c>
      <c r="AG273" s="57">
        <v>-1966842.8445833456</v>
      </c>
      <c r="AH273" s="130"/>
      <c r="AI273" s="49" t="s">
        <v>427</v>
      </c>
      <c r="AJ273" s="49"/>
      <c r="AK273" s="49"/>
      <c r="AL273" s="9">
        <f>AL186+AL264</f>
        <v>56474289.469999999</v>
      </c>
      <c r="AM273" s="12">
        <f>AC273</f>
        <v>56621389.591249973</v>
      </c>
      <c r="AN273" s="12">
        <f>AM273-AL273</f>
        <v>147100.12124997377</v>
      </c>
      <c r="AO273" s="7">
        <f t="shared" si="111"/>
        <v>0</v>
      </c>
    </row>
    <row r="274" spans="1:55">
      <c r="A274" s="168" t="e">
        <f t="shared" si="95"/>
        <v>#REF!</v>
      </c>
      <c r="B274" s="130"/>
      <c r="C274" s="49" t="s">
        <v>581</v>
      </c>
      <c r="D274" s="49"/>
      <c r="H274" s="357">
        <f>H187+H265</f>
        <v>36620298.28348764</v>
      </c>
      <c r="I274" s="357">
        <f t="shared" si="114"/>
        <v>37002052.842164785</v>
      </c>
      <c r="J274" s="357">
        <f t="shared" si="114"/>
        <v>37061668.220664792</v>
      </c>
      <c r="K274" s="357">
        <f t="shared" si="114"/>
        <v>36525967.815206476</v>
      </c>
      <c r="L274" s="357">
        <f t="shared" si="114"/>
        <v>36696331.760397911</v>
      </c>
      <c r="M274" s="357">
        <f t="shared" si="114"/>
        <v>37316471.838378511</v>
      </c>
      <c r="N274" s="357">
        <f t="shared" si="114"/>
        <v>38423124.261752397</v>
      </c>
      <c r="O274" s="357">
        <f t="shared" si="114"/>
        <v>38701601.941623375</v>
      </c>
      <c r="P274" s="357">
        <f t="shared" si="114"/>
        <v>40681641.36576777</v>
      </c>
      <c r="Q274" s="357">
        <f t="shared" si="114"/>
        <v>41160733.222060062</v>
      </c>
      <c r="R274" s="357">
        <f t="shared" si="114"/>
        <v>41589763.019704588</v>
      </c>
      <c r="S274" s="357">
        <f t="shared" si="114"/>
        <v>42502825.316715419</v>
      </c>
      <c r="T274" s="357">
        <f t="shared" si="114"/>
        <v>42619523.404334627</v>
      </c>
      <c r="U274" s="357"/>
      <c r="V274" s="584">
        <f>V187+V265</f>
        <v>38940174.370695591</v>
      </c>
      <c r="Y274" s="584">
        <f t="shared" si="115"/>
        <v>42619523.404334627</v>
      </c>
      <c r="Z274" s="584">
        <f t="shared" si="115"/>
        <v>38940174.370695591</v>
      </c>
      <c r="AA274" s="357">
        <f t="shared" ref="AA274" si="117">AA187+AA265</f>
        <v>38940174.370695591</v>
      </c>
      <c r="AB274" s="357">
        <f t="shared" si="115"/>
        <v>42627724.032680422</v>
      </c>
      <c r="AC274" s="357">
        <f t="shared" si="110"/>
        <v>38940174.370695591</v>
      </c>
      <c r="AD274" s="632">
        <f>AD187+AD265</f>
        <v>-3679349.0336390352</v>
      </c>
      <c r="AE274" s="244">
        <f t="shared" si="93"/>
        <v>267</v>
      </c>
      <c r="AF274" s="244" t="e">
        <f t="shared" si="94"/>
        <v>#REF!</v>
      </c>
      <c r="AG274" s="57">
        <v>-2537564.9341122974</v>
      </c>
      <c r="AH274" s="130"/>
      <c r="AI274" s="49" t="s">
        <v>581</v>
      </c>
      <c r="AJ274" s="49"/>
      <c r="AK274" s="49"/>
      <c r="AL274" s="9">
        <f>AL187+AL265</f>
        <v>42619523.404334627</v>
      </c>
      <c r="AM274" s="12">
        <f>AC274</f>
        <v>38940174.370695591</v>
      </c>
      <c r="AN274" s="12">
        <f>AM274-AL274</f>
        <v>-3679349.0336390361</v>
      </c>
      <c r="AO274" s="7">
        <f t="shared" si="111"/>
        <v>0</v>
      </c>
    </row>
    <row r="275" spans="1:55">
      <c r="A275" s="168" t="e">
        <f t="shared" si="95"/>
        <v>#REF!</v>
      </c>
      <c r="B275" s="130"/>
      <c r="C275" s="49" t="s">
        <v>582</v>
      </c>
      <c r="D275" s="49"/>
      <c r="H275" s="357">
        <f>H188+H266</f>
        <v>1183206953.6465123</v>
      </c>
      <c r="I275" s="357">
        <f t="shared" si="114"/>
        <v>1179703260.9278345</v>
      </c>
      <c r="J275" s="357">
        <f t="shared" si="114"/>
        <v>1183473227.0793352</v>
      </c>
      <c r="K275" s="357">
        <f t="shared" si="114"/>
        <v>1176733525.3567934</v>
      </c>
      <c r="L275" s="357">
        <f t="shared" si="114"/>
        <v>1188555576.0596023</v>
      </c>
      <c r="M275" s="357">
        <f t="shared" si="114"/>
        <v>1190404708.1216211</v>
      </c>
      <c r="N275" s="357">
        <f t="shared" si="114"/>
        <v>1191216707.6102471</v>
      </c>
      <c r="O275" s="357">
        <f t="shared" si="114"/>
        <v>1189296281.8903763</v>
      </c>
      <c r="P275" s="357">
        <f t="shared" si="114"/>
        <v>1214453227.214232</v>
      </c>
      <c r="Q275" s="357">
        <f t="shared" si="114"/>
        <v>1237876080.4579399</v>
      </c>
      <c r="R275" s="357">
        <f t="shared" si="114"/>
        <v>1244374985.8502948</v>
      </c>
      <c r="S275" s="357">
        <f t="shared" si="114"/>
        <v>1245510553.3832848</v>
      </c>
      <c r="T275" s="357">
        <f t="shared" si="114"/>
        <v>1523491454.2176654</v>
      </c>
      <c r="U275" s="357"/>
      <c r="V275" s="584">
        <f>V188+V266</f>
        <v>1216245611.490304</v>
      </c>
      <c r="Y275" s="584">
        <f t="shared" si="115"/>
        <v>1523491454.2176654</v>
      </c>
      <c r="Z275" s="584">
        <f t="shared" si="115"/>
        <v>1216245611.490304</v>
      </c>
      <c r="AA275" s="357">
        <f t="shared" ref="AA275" si="118">AA188+AA266</f>
        <v>1216245611.490304</v>
      </c>
      <c r="AB275" s="357">
        <f t="shared" si="115"/>
        <v>1523058329.2605696</v>
      </c>
      <c r="AC275" s="357">
        <f t="shared" si="110"/>
        <v>1216245611.490304</v>
      </c>
      <c r="AD275" s="632">
        <f>AD188+AD266</f>
        <v>-307245842.72736132</v>
      </c>
      <c r="AE275" s="244">
        <f t="shared" si="93"/>
        <v>268</v>
      </c>
      <c r="AF275" s="244" t="e">
        <f t="shared" si="94"/>
        <v>#REF!</v>
      </c>
      <c r="AG275" s="57">
        <v>-51135642.170471482</v>
      </c>
      <c r="AH275" s="130"/>
      <c r="AI275" s="49" t="s">
        <v>582</v>
      </c>
      <c r="AJ275" s="49"/>
      <c r="AK275" s="49"/>
      <c r="AL275" s="9">
        <f>AL188+AL266</f>
        <v>1523491454.2176654</v>
      </c>
      <c r="AM275" s="12">
        <f>AC275</f>
        <v>1216245611.490304</v>
      </c>
      <c r="AN275" s="12">
        <f>AM275-AL275</f>
        <v>-307245842.72736144</v>
      </c>
      <c r="AO275" s="7">
        <f t="shared" si="111"/>
        <v>0</v>
      </c>
    </row>
    <row r="276" spans="1:55">
      <c r="A276" s="168" t="e">
        <f t="shared" si="95"/>
        <v>#REF!</v>
      </c>
      <c r="B276" s="130"/>
      <c r="C276" s="49" t="s">
        <v>584</v>
      </c>
      <c r="D276" s="49"/>
      <c r="H276" s="357">
        <f>H189+H267</f>
        <v>129323145.57999995</v>
      </c>
      <c r="I276" s="357">
        <f t="shared" si="114"/>
        <v>128987577.23000002</v>
      </c>
      <c r="J276" s="357">
        <f t="shared" si="114"/>
        <v>128190023.88000003</v>
      </c>
      <c r="K276" s="357">
        <f t="shared" si="114"/>
        <v>126427375.39000002</v>
      </c>
      <c r="L276" s="357">
        <f t="shared" si="114"/>
        <v>125919381.51000001</v>
      </c>
      <c r="M276" s="357">
        <f t="shared" si="114"/>
        <v>127570079.76000002</v>
      </c>
      <c r="N276" s="357">
        <f>N189+N267</f>
        <v>128603048.84999996</v>
      </c>
      <c r="O276" s="357">
        <f t="shared" si="114"/>
        <v>127912778.22000001</v>
      </c>
      <c r="P276" s="357">
        <f t="shared" si="114"/>
        <v>128266923.48999999</v>
      </c>
      <c r="Q276" s="357">
        <f t="shared" si="114"/>
        <v>128250927.66000003</v>
      </c>
      <c r="R276" s="357">
        <f t="shared" si="114"/>
        <v>126898654.23000003</v>
      </c>
      <c r="S276" s="357">
        <f t="shared" si="114"/>
        <v>128192818.49000001</v>
      </c>
      <c r="T276" s="357">
        <f t="shared" si="114"/>
        <v>-112806397.59000002</v>
      </c>
      <c r="U276" s="357"/>
      <c r="V276" s="584">
        <f>V189+V267</f>
        <v>117789830.22541665</v>
      </c>
      <c r="Y276" s="584">
        <f t="shared" si="115"/>
        <v>-112806397.59000002</v>
      </c>
      <c r="Z276" s="584">
        <f t="shared" si="115"/>
        <v>117789830.22541665</v>
      </c>
      <c r="AA276" s="357">
        <f t="shared" ref="AA276" si="119">AA189+AA267</f>
        <v>117789830.22541665</v>
      </c>
      <c r="AB276" s="357">
        <f t="shared" si="115"/>
        <v>-113089822.30625002</v>
      </c>
      <c r="AC276" s="357">
        <f t="shared" si="110"/>
        <v>117789830.22541665</v>
      </c>
      <c r="AD276" s="632">
        <f>AD189+AD267</f>
        <v>230596227.81541666</v>
      </c>
      <c r="AE276" s="244">
        <f t="shared" si="93"/>
        <v>269</v>
      </c>
      <c r="AF276" s="244" t="e">
        <f t="shared" si="94"/>
        <v>#REF!</v>
      </c>
      <c r="AG276" s="57">
        <v>7187208.999999959</v>
      </c>
      <c r="AH276" s="130"/>
      <c r="AI276" s="49" t="s">
        <v>584</v>
      </c>
      <c r="AJ276" s="49"/>
      <c r="AK276" s="49"/>
      <c r="AL276" s="9">
        <f>AL189+AL267</f>
        <v>-112806397.59000002</v>
      </c>
      <c r="AM276" s="12">
        <f>AC276</f>
        <v>117789830.22541665</v>
      </c>
      <c r="AN276" s="12">
        <f>AM276-AL276</f>
        <v>230596227.81541666</v>
      </c>
      <c r="AO276" s="7">
        <f t="shared" si="111"/>
        <v>0</v>
      </c>
    </row>
    <row r="277" spans="1:55" ht="13.5" thickBot="1">
      <c r="A277" s="168" t="e">
        <f t="shared" si="95"/>
        <v>#REF!</v>
      </c>
      <c r="B277" s="130"/>
      <c r="C277" s="309" t="s">
        <v>160</v>
      </c>
      <c r="D277" s="49"/>
      <c r="H277" s="579">
        <f>SUM(H273:H276)</f>
        <v>1402188335.3899999</v>
      </c>
      <c r="I277" s="579">
        <f t="shared" ref="I277:V277" si="120">SUM(I273:I276)</f>
        <v>1382472112.8699994</v>
      </c>
      <c r="J277" s="579">
        <f t="shared" si="120"/>
        <v>1374178354.7</v>
      </c>
      <c r="K277" s="579">
        <f t="shared" si="120"/>
        <v>1352350379.072</v>
      </c>
      <c r="L277" s="579">
        <f t="shared" si="120"/>
        <v>1360167360.0900002</v>
      </c>
      <c r="M277" s="579">
        <f t="shared" si="120"/>
        <v>1368924929.0099995</v>
      </c>
      <c r="N277" s="579">
        <f>SUM(N273:N276)</f>
        <v>1383758643.9719994</v>
      </c>
      <c r="O277" s="579">
        <f t="shared" si="120"/>
        <v>1394108733.2219996</v>
      </c>
      <c r="P277" s="579">
        <f t="shared" si="120"/>
        <v>1435178314.6799998</v>
      </c>
      <c r="Q277" s="579">
        <f t="shared" si="120"/>
        <v>1469901447.3700001</v>
      </c>
      <c r="R277" s="579">
        <f t="shared" si="120"/>
        <v>1475655380.9499993</v>
      </c>
      <c r="S277" s="579">
        <f t="shared" si="120"/>
        <v>1479246259.9800003</v>
      </c>
      <c r="T277" s="579">
        <f t="shared" si="120"/>
        <v>1509778869.5020001</v>
      </c>
      <c r="U277" s="579"/>
      <c r="V277" s="626">
        <f t="shared" si="120"/>
        <v>1429597005.6776662</v>
      </c>
      <c r="Y277" s="626"/>
      <c r="Z277" s="626"/>
      <c r="AA277" s="579"/>
      <c r="AB277" s="579"/>
      <c r="AC277" s="579">
        <f t="shared" si="110"/>
        <v>0</v>
      </c>
      <c r="AD277" s="639"/>
      <c r="AE277" s="244">
        <f t="shared" si="93"/>
        <v>270</v>
      </c>
      <c r="AF277" s="244" t="e">
        <f t="shared" si="94"/>
        <v>#REF!</v>
      </c>
      <c r="AG277" s="57">
        <v>0</v>
      </c>
      <c r="AH277" s="130"/>
      <c r="AI277" s="49"/>
      <c r="AJ277" s="49"/>
      <c r="AK277" s="49"/>
      <c r="AL277" s="26"/>
      <c r="AM277" s="87"/>
      <c r="AN277" s="87"/>
      <c r="AO277" s="7"/>
    </row>
    <row r="278" spans="1:55" ht="13.5" thickTop="1">
      <c r="A278" s="168" t="e">
        <f t="shared" si="95"/>
        <v>#REF!</v>
      </c>
      <c r="B278" s="130"/>
      <c r="C278" s="49"/>
      <c r="D278" s="49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584"/>
      <c r="Y278" s="584"/>
      <c r="Z278" s="584"/>
      <c r="AA278" s="357"/>
      <c r="AB278" s="357"/>
      <c r="AC278" s="357">
        <f t="shared" si="110"/>
        <v>0</v>
      </c>
      <c r="AD278" s="632"/>
      <c r="AE278" s="244">
        <f t="shared" si="93"/>
        <v>271</v>
      </c>
      <c r="AF278" s="244" t="e">
        <f t="shared" si="94"/>
        <v>#REF!</v>
      </c>
      <c r="AG278" s="57">
        <v>0</v>
      </c>
      <c r="AH278" s="464"/>
      <c r="AI278" s="464"/>
      <c r="AJ278" s="464"/>
      <c r="AK278" s="464"/>
      <c r="AL278" s="464"/>
      <c r="AM278" s="464"/>
      <c r="AN278" s="464"/>
      <c r="AO278" s="7">
        <f t="shared" si="111"/>
        <v>0</v>
      </c>
      <c r="AP278" s="464"/>
      <c r="AQ278" s="464"/>
      <c r="AR278" s="464"/>
      <c r="AT278" s="464"/>
      <c r="AU278" s="464"/>
      <c r="AV278" s="464"/>
      <c r="AW278" s="464"/>
      <c r="AX278" s="464"/>
      <c r="AY278" s="464"/>
      <c r="AZ278" s="464"/>
      <c r="BA278" s="464"/>
      <c r="BB278" s="464"/>
      <c r="BC278" s="464"/>
    </row>
    <row r="279" spans="1:55">
      <c r="A279" s="168" t="e">
        <f t="shared" si="95"/>
        <v>#REF!</v>
      </c>
      <c r="B279" s="153"/>
      <c r="C279" s="158" t="s">
        <v>673</v>
      </c>
      <c r="D279" s="49"/>
      <c r="H279" s="357">
        <f>H192+H270</f>
        <v>1402188335.3899999</v>
      </c>
      <c r="I279" s="357">
        <f t="shared" ref="I279:T279" si="121">I192+I270</f>
        <v>1382472112.8699994</v>
      </c>
      <c r="J279" s="357">
        <f t="shared" si="121"/>
        <v>1374178354.7000003</v>
      </c>
      <c r="K279" s="357">
        <f t="shared" si="121"/>
        <v>1352350379.0719995</v>
      </c>
      <c r="L279" s="357">
        <f t="shared" si="121"/>
        <v>1360167360.0899999</v>
      </c>
      <c r="M279" s="357">
        <f t="shared" si="121"/>
        <v>1368924929.0099995</v>
      </c>
      <c r="N279" s="357">
        <f t="shared" si="121"/>
        <v>1383758643.9719996</v>
      </c>
      <c r="O279" s="357">
        <f t="shared" si="121"/>
        <v>1394108733.2219996</v>
      </c>
      <c r="P279" s="357">
        <f t="shared" si="121"/>
        <v>1435178314.6799998</v>
      </c>
      <c r="Q279" s="357">
        <f t="shared" si="121"/>
        <v>1469901447.3699999</v>
      </c>
      <c r="R279" s="357">
        <f t="shared" si="121"/>
        <v>1475655380.9499993</v>
      </c>
      <c r="S279" s="357">
        <f t="shared" si="121"/>
        <v>1479246259.98</v>
      </c>
      <c r="T279" s="357">
        <f t="shared" si="121"/>
        <v>1509778869.5020001</v>
      </c>
      <c r="U279" s="357"/>
      <c r="V279" s="584">
        <f>V192+V270</f>
        <v>1429597005.6776662</v>
      </c>
      <c r="Y279" s="584">
        <f>Y192+Y270</f>
        <v>1509778869.5020001</v>
      </c>
      <c r="Z279" s="584">
        <f>Z192+Z270</f>
        <v>1429597005.6776662</v>
      </c>
      <c r="AA279" s="357">
        <f>AA192+AA270</f>
        <v>1429597005.6776662</v>
      </c>
      <c r="AB279" s="357">
        <f>AB192+AB270</f>
        <v>1509070520.457</v>
      </c>
      <c r="AC279" s="357">
        <f t="shared" si="110"/>
        <v>1429597005.6776662</v>
      </c>
      <c r="AD279" s="632">
        <f>AD192+AD270</f>
        <v>-80181863.824333876</v>
      </c>
      <c r="AE279" s="244">
        <f t="shared" si="93"/>
        <v>272</v>
      </c>
      <c r="AF279" s="244" t="e">
        <f t="shared" si="94"/>
        <v>#REF!</v>
      </c>
      <c r="AG279" s="57">
        <v>-48452840.949167334</v>
      </c>
      <c r="AH279" s="464"/>
      <c r="AI279" s="464" t="s">
        <v>673</v>
      </c>
      <c r="AJ279" s="464"/>
      <c r="AK279" s="464"/>
      <c r="AL279" s="464">
        <f>AL192+AL270</f>
        <v>1509778869.5020001</v>
      </c>
      <c r="AM279" s="464">
        <f>AC279</f>
        <v>1429597005.6776662</v>
      </c>
      <c r="AN279" s="464">
        <f>AD279</f>
        <v>-80181863.824333876</v>
      </c>
      <c r="AO279" s="7">
        <f t="shared" si="111"/>
        <v>0</v>
      </c>
      <c r="AP279" s="464"/>
      <c r="AQ279" s="464"/>
      <c r="AR279" s="464"/>
      <c r="AT279" s="464"/>
      <c r="AU279" s="464"/>
      <c r="AV279" s="464"/>
      <c r="AW279" s="464"/>
      <c r="AX279" s="464"/>
      <c r="AY279" s="464"/>
      <c r="AZ279" s="464"/>
      <c r="BA279" s="464"/>
      <c r="BB279" s="464"/>
      <c r="BC279" s="464"/>
    </row>
    <row r="281" spans="1:55">
      <c r="C281" s="68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V281" s="1273"/>
      <c r="Y281" s="584"/>
      <c r="Z281" s="591"/>
      <c r="AA281" s="1205"/>
      <c r="AB281" s="7"/>
      <c r="AC281" s="7"/>
    </row>
    <row r="282" spans="1:55" s="77" customFormat="1"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V282" s="1272"/>
      <c r="Y282" s="103"/>
      <c r="Z282" s="3"/>
      <c r="AA282" s="1203"/>
      <c r="AB282" s="131"/>
      <c r="AC282" s="131"/>
      <c r="AD282" s="132"/>
    </row>
  </sheetData>
  <mergeCells count="4">
    <mergeCell ref="B10:E10"/>
    <mergeCell ref="D9:E9"/>
    <mergeCell ref="AJ9:AK9"/>
    <mergeCell ref="AH10:AK10"/>
  </mergeCells>
  <phoneticPr fontId="0" type="noConversion"/>
  <dataValidations count="2">
    <dataValidation type="list" showInputMessage="1" showErrorMessage="1" sqref="AC8">
      <formula1>"YE RB JUNE 2011,AVG RB JUNE 2011,WY RB JUNE 2011"</formula1>
    </dataValidation>
    <dataValidation showInputMessage="1" showErrorMessage="1" sqref="Y8:AB8"/>
  </dataValidations>
  <printOptions horizontalCentered="1"/>
  <pageMargins left="0" right="0" top="0.75" bottom="0.75" header="0.3" footer="0.3"/>
  <pageSetup scale="66" fitToHeight="4" pageOrder="overThenDown" orientation="portrait" r:id="rId1"/>
  <headerFooter alignWithMargins="0"/>
  <rowBreaks count="2" manualBreakCount="2">
    <brk id="96" min="33" max="39" man="1"/>
    <brk id="192" min="33" max="3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51373" r:id="rId4" name="Button 1197">
              <controlPr defaultSize="0" print="0" autoFill="0" autoPict="0" macro="[0]!Macro5">
                <anchor moveWithCells="1" sizeWithCells="1">
                  <from>
                    <xdr:col>2</xdr:col>
                    <xdr:colOff>38100</xdr:colOff>
                    <xdr:row>4</xdr:row>
                    <xdr:rowOff>0</xdr:rowOff>
                  </from>
                  <to>
                    <xdr:col>2</xdr:col>
                    <xdr:colOff>476250</xdr:colOff>
                    <xdr:row>4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2"/>
  <sheetViews>
    <sheetView workbookViewId="0">
      <selection activeCell="F29" sqref="F29"/>
    </sheetView>
  </sheetViews>
  <sheetFormatPr defaultColWidth="9.140625" defaultRowHeight="12.75"/>
  <cols>
    <col min="1" max="1" width="5.85546875" style="2" customWidth="1"/>
    <col min="2" max="2" width="5.5703125" style="2" customWidth="1"/>
    <col min="3" max="3" width="5.28515625" style="2" customWidth="1"/>
    <col min="4" max="4" width="29.7109375" style="2" customWidth="1"/>
    <col min="5" max="6" width="18.140625" style="2" customWidth="1"/>
    <col min="7" max="7" width="14.28515625" style="2" customWidth="1"/>
    <col min="8" max="8" width="17.7109375" style="2" bestFit="1" customWidth="1"/>
    <col min="9" max="9" width="3.85546875" style="2" customWidth="1"/>
    <col min="10" max="10" width="14.5703125" style="2" bestFit="1" customWidth="1"/>
    <col min="11" max="11" width="5" style="2" customWidth="1"/>
    <col min="12" max="12" width="10.140625" style="2" customWidth="1"/>
    <col min="13" max="13" width="9.140625" style="2"/>
    <col min="14" max="14" width="11.28515625" style="2" customWidth="1"/>
    <col min="15" max="16384" width="9.140625" style="2"/>
  </cols>
  <sheetData>
    <row r="1" spans="2:9">
      <c r="B1" s="1116"/>
      <c r="C1" s="1116"/>
      <c r="D1" s="1116"/>
      <c r="E1" s="1116"/>
      <c r="F1" s="1116"/>
      <c r="G1" s="93"/>
      <c r="H1" s="93"/>
      <c r="I1" s="93"/>
    </row>
    <row r="2" spans="2:9">
      <c r="B2" s="1425" t="s">
        <v>1292</v>
      </c>
      <c r="C2" s="1425"/>
      <c r="D2" s="1425"/>
      <c r="E2" s="1425"/>
      <c r="F2" s="1425"/>
      <c r="G2" s="1425"/>
      <c r="H2" s="1425"/>
      <c r="I2" s="1425"/>
    </row>
    <row r="3" spans="2:9">
      <c r="B3" s="1116" t="str">
        <f>'Control Panel'!$B$1</f>
        <v>Dominion Energy</v>
      </c>
      <c r="C3" s="1116"/>
      <c r="D3" s="824"/>
      <c r="E3" s="93"/>
      <c r="F3" s="93"/>
    </row>
    <row r="4" spans="2:9">
      <c r="B4" s="1116" t="str">
        <f>'Control Panel'!$B$2</f>
        <v>Utah - Dec 2017 Adjusted Avg Results</v>
      </c>
      <c r="C4" s="1116"/>
      <c r="D4" s="1116"/>
      <c r="E4" s="93"/>
      <c r="F4" s="93"/>
    </row>
    <row r="5" spans="2:9">
      <c r="B5" s="1116" t="str">
        <f>'Control Panel'!$B$3</f>
        <v>12 Months Ended : Dec-2017</v>
      </c>
      <c r="C5" s="1116"/>
      <c r="D5" s="1116"/>
      <c r="E5" s="93"/>
      <c r="F5" s="93"/>
      <c r="G5" s="24"/>
      <c r="H5" s="24"/>
      <c r="I5" s="24"/>
    </row>
    <row r="6" spans="2:9">
      <c r="B6" s="47"/>
      <c r="C6" s="93"/>
      <c r="E6" s="93"/>
      <c r="F6" s="93"/>
      <c r="G6" s="24"/>
      <c r="H6" s="24"/>
      <c r="I6" s="24"/>
    </row>
    <row r="7" spans="2:9">
      <c r="B7" s="93"/>
      <c r="C7" s="93"/>
      <c r="D7" s="93"/>
      <c r="E7" s="93"/>
      <c r="F7" s="93"/>
      <c r="G7" s="93"/>
      <c r="H7" s="93"/>
      <c r="I7" s="93"/>
    </row>
    <row r="8" spans="2:9">
      <c r="B8" s="93"/>
      <c r="C8" s="93"/>
      <c r="D8" s="93"/>
      <c r="E8" s="93"/>
      <c r="F8" s="93"/>
      <c r="G8" s="93"/>
      <c r="H8" s="93"/>
      <c r="I8" s="93"/>
    </row>
    <row r="9" spans="2:9">
      <c r="B9" s="1426" t="s">
        <v>1292</v>
      </c>
      <c r="C9" s="1426"/>
      <c r="D9" s="1426"/>
      <c r="E9" s="1426"/>
      <c r="F9" s="1426"/>
      <c r="G9" s="1426"/>
      <c r="H9" s="1426"/>
      <c r="I9" s="1426"/>
    </row>
    <row r="10" spans="2:9">
      <c r="B10" s="1426" t="str">
        <f>+B5</f>
        <v>12 Months Ended : Dec-2017</v>
      </c>
      <c r="C10" s="1426"/>
      <c r="D10" s="1426"/>
      <c r="E10" s="1426"/>
      <c r="F10" s="1426"/>
      <c r="G10" s="1426"/>
      <c r="H10" s="1426"/>
      <c r="I10" s="1426"/>
    </row>
    <row r="12" spans="2:9">
      <c r="D12" s="1123" t="s">
        <v>784</v>
      </c>
      <c r="E12" s="1123" t="s">
        <v>785</v>
      </c>
      <c r="F12" s="1123" t="s">
        <v>786</v>
      </c>
      <c r="G12" s="1138" t="s">
        <v>787</v>
      </c>
      <c r="H12" s="1123" t="s">
        <v>766</v>
      </c>
      <c r="I12" s="1120"/>
    </row>
    <row r="13" spans="2:9">
      <c r="D13" s="1123"/>
      <c r="E13" s="1123"/>
      <c r="F13" s="1120"/>
      <c r="H13" s="1120" t="s">
        <v>952</v>
      </c>
    </row>
    <row r="14" spans="2:9">
      <c r="E14" s="1118"/>
      <c r="F14" s="1122"/>
      <c r="H14" s="1176" t="s">
        <v>1089</v>
      </c>
    </row>
    <row r="15" spans="2:9">
      <c r="B15" s="246"/>
      <c r="C15" s="246"/>
      <c r="D15" s="825"/>
      <c r="E15" s="826"/>
      <c r="F15" s="826"/>
      <c r="G15" s="826"/>
      <c r="H15" s="826"/>
      <c r="I15" s="826"/>
    </row>
    <row r="16" spans="2:9" ht="13.5" thickBot="1">
      <c r="C16" s="1427" t="s">
        <v>1293</v>
      </c>
      <c r="D16" s="1428"/>
      <c r="E16" s="827"/>
      <c r="F16" s="827"/>
      <c r="G16" s="827"/>
      <c r="H16" s="828" t="s">
        <v>41</v>
      </c>
    </row>
    <row r="17" spans="2:9">
      <c r="C17" s="1121"/>
      <c r="D17" s="46"/>
      <c r="E17" s="829"/>
      <c r="F17" s="829"/>
      <c r="H17" s="829"/>
    </row>
    <row r="18" spans="2:9">
      <c r="B18" s="1121">
        <v>1</v>
      </c>
      <c r="C18" s="1368"/>
      <c r="D18" s="497" t="s">
        <v>1294</v>
      </c>
      <c r="E18" s="1121"/>
      <c r="F18" s="1121"/>
      <c r="H18" s="49">
        <v>184950</v>
      </c>
      <c r="I18" s="2" t="s">
        <v>439</v>
      </c>
    </row>
    <row r="19" spans="2:9">
      <c r="B19" s="1121">
        <v>2</v>
      </c>
      <c r="C19" s="1121"/>
      <c r="D19" s="497" t="s">
        <v>1295</v>
      </c>
      <c r="E19" s="592"/>
      <c r="F19" s="404"/>
      <c r="G19" s="592"/>
      <c r="H19" s="592">
        <v>7416377</v>
      </c>
      <c r="I19" s="2" t="s">
        <v>439</v>
      </c>
    </row>
    <row r="20" spans="2:9" ht="13.5" thickBot="1">
      <c r="B20" s="1121">
        <v>3</v>
      </c>
      <c r="C20" s="1121"/>
      <c r="D20" s="497" t="s">
        <v>1296</v>
      </c>
      <c r="E20" s="592"/>
      <c r="F20" s="404"/>
      <c r="G20" s="592"/>
      <c r="H20" s="1373">
        <f>SUM(H18:H19)</f>
        <v>7601327</v>
      </c>
    </row>
    <row r="21" spans="2:9" ht="13.5" thickTop="1">
      <c r="D21" s="46"/>
      <c r="E21" s="68"/>
      <c r="F21" s="482"/>
      <c r="G21" s="309"/>
      <c r="H21" s="309"/>
      <c r="I21" s="309"/>
    </row>
    <row r="22" spans="2:9">
      <c r="D22" s="46"/>
      <c r="E22" s="68"/>
      <c r="F22" s="482"/>
      <c r="G22" s="309"/>
      <c r="H22" s="309"/>
      <c r="I22" s="309"/>
    </row>
    <row r="23" spans="2:9">
      <c r="D23" s="497" t="s">
        <v>629</v>
      </c>
      <c r="E23" s="68"/>
      <c r="F23" s="482"/>
      <c r="G23" s="309"/>
      <c r="H23" s="309">
        <f>H20*'ROR-Model'!$M$2</f>
        <v>7353381.9971292093</v>
      </c>
      <c r="I23" s="309"/>
    </row>
    <row r="24" spans="2:9">
      <c r="D24" s="497" t="s">
        <v>630</v>
      </c>
      <c r="E24" s="68"/>
      <c r="F24" s="482"/>
      <c r="G24" s="309"/>
      <c r="H24" s="1401">
        <f>H20-H23</f>
        <v>247945.00287079066</v>
      </c>
      <c r="I24" s="309"/>
    </row>
    <row r="25" spans="2:9">
      <c r="D25" s="1400" t="s">
        <v>160</v>
      </c>
      <c r="E25" s="68"/>
      <c r="F25" s="482"/>
      <c r="G25" s="309"/>
      <c r="H25" s="309">
        <f>SUM(H23:H24)</f>
        <v>7601327</v>
      </c>
      <c r="I25" s="309"/>
    </row>
    <row r="26" spans="2:9">
      <c r="D26" s="46"/>
      <c r="E26" s="68"/>
      <c r="F26" s="482"/>
      <c r="G26" s="309"/>
      <c r="H26" s="309"/>
      <c r="I26" s="309"/>
    </row>
    <row r="27" spans="2:9">
      <c r="D27" s="46"/>
      <c r="E27" s="68"/>
      <c r="F27" s="482"/>
      <c r="G27" s="309"/>
      <c r="H27" s="309"/>
      <c r="I27" s="309"/>
    </row>
    <row r="28" spans="2:9">
      <c r="B28" s="1121" t="s">
        <v>439</v>
      </c>
      <c r="D28" s="516" t="s">
        <v>1297</v>
      </c>
    </row>
    <row r="29" spans="2:9">
      <c r="H29" s="7"/>
    </row>
    <row r="30" spans="2:9">
      <c r="B30"/>
      <c r="C30"/>
      <c r="D30"/>
      <c r="E30"/>
      <c r="F30"/>
      <c r="G30"/>
      <c r="H30"/>
      <c r="I30"/>
    </row>
    <row r="31" spans="2:9">
      <c r="B31"/>
      <c r="C31"/>
      <c r="D31"/>
      <c r="E31"/>
      <c r="F31"/>
      <c r="G31"/>
      <c r="H31"/>
      <c r="I31"/>
    </row>
    <row r="32" spans="2:9">
      <c r="B32"/>
      <c r="C32"/>
      <c r="D32"/>
      <c r="E32"/>
      <c r="F32"/>
      <c r="G32"/>
      <c r="H32"/>
      <c r="I32"/>
    </row>
    <row r="33" spans="2:9">
      <c r="B33"/>
      <c r="C33"/>
      <c r="D33"/>
      <c r="E33"/>
      <c r="F33"/>
      <c r="G33"/>
      <c r="H33"/>
      <c r="I33"/>
    </row>
    <row r="34" spans="2:9">
      <c r="B34"/>
      <c r="C34"/>
      <c r="D34"/>
      <c r="E34"/>
      <c r="F34"/>
      <c r="G34"/>
      <c r="H34"/>
      <c r="I34"/>
    </row>
    <row r="35" spans="2:9">
      <c r="B35"/>
      <c r="C35"/>
      <c r="D35"/>
      <c r="E35"/>
      <c r="F35"/>
      <c r="G35"/>
      <c r="H35"/>
      <c r="I35"/>
    </row>
    <row r="36" spans="2:9">
      <c r="B36"/>
      <c r="C36"/>
      <c r="D36"/>
      <c r="E36"/>
      <c r="F36"/>
      <c r="G36"/>
      <c r="H36"/>
      <c r="I36"/>
    </row>
    <row r="37" spans="2:9">
      <c r="B37"/>
      <c r="C37"/>
      <c r="D37"/>
      <c r="E37"/>
      <c r="F37"/>
      <c r="G37"/>
      <c r="H37"/>
      <c r="I37"/>
    </row>
    <row r="38" spans="2:9">
      <c r="B38"/>
      <c r="C38"/>
      <c r="D38"/>
      <c r="E38"/>
      <c r="F38"/>
      <c r="G38"/>
      <c r="H38"/>
      <c r="I38"/>
    </row>
    <row r="39" spans="2:9">
      <c r="B39"/>
      <c r="C39"/>
      <c r="D39"/>
      <c r="E39"/>
      <c r="F39"/>
      <c r="G39"/>
      <c r="H39"/>
      <c r="I39"/>
    </row>
    <row r="40" spans="2:9">
      <c r="B40"/>
      <c r="C40"/>
      <c r="D40"/>
      <c r="E40"/>
      <c r="F40"/>
      <c r="G40"/>
      <c r="H40"/>
      <c r="I40"/>
    </row>
    <row r="41" spans="2:9">
      <c r="B41"/>
      <c r="C41"/>
      <c r="D41"/>
      <c r="E41"/>
      <c r="F41"/>
      <c r="G41"/>
      <c r="H41"/>
      <c r="I41"/>
    </row>
    <row r="42" spans="2:9">
      <c r="B42"/>
      <c r="C42"/>
      <c r="D42"/>
      <c r="E42"/>
      <c r="F42"/>
      <c r="G42"/>
      <c r="H42"/>
      <c r="I42"/>
    </row>
    <row r="43" spans="2:9">
      <c r="B43"/>
      <c r="C43"/>
      <c r="D43"/>
      <c r="E43"/>
      <c r="F43"/>
      <c r="G43"/>
      <c r="H43"/>
      <c r="I43"/>
    </row>
    <row r="44" spans="2:9">
      <c r="B44"/>
      <c r="C44"/>
      <c r="D44"/>
      <c r="E44"/>
      <c r="F44"/>
      <c r="G44"/>
      <c r="H44"/>
      <c r="I44"/>
    </row>
    <row r="45" spans="2:9">
      <c r="B45"/>
      <c r="C45"/>
      <c r="D45"/>
      <c r="E45"/>
      <c r="F45"/>
      <c r="G45"/>
      <c r="H45"/>
      <c r="I45"/>
    </row>
    <row r="46" spans="2:9">
      <c r="B46"/>
      <c r="C46"/>
      <c r="D46"/>
      <c r="E46"/>
      <c r="F46"/>
      <c r="G46"/>
      <c r="H46"/>
      <c r="I46"/>
    </row>
    <row r="47" spans="2:9">
      <c r="B47"/>
      <c r="C47"/>
      <c r="D47"/>
      <c r="E47"/>
      <c r="F47"/>
      <c r="G47"/>
      <c r="H47"/>
      <c r="I47"/>
    </row>
    <row r="48" spans="2:9">
      <c r="B48"/>
      <c r="C48"/>
      <c r="D48"/>
      <c r="E48"/>
      <c r="F48"/>
      <c r="G48"/>
      <c r="H48"/>
      <c r="I48"/>
    </row>
    <row r="49" spans="2:9">
      <c r="B49"/>
      <c r="C49"/>
      <c r="D49"/>
      <c r="E49"/>
      <c r="F49"/>
      <c r="G49"/>
      <c r="H49"/>
      <c r="I49"/>
    </row>
    <row r="50" spans="2:9">
      <c r="B50"/>
      <c r="C50"/>
      <c r="D50"/>
      <c r="E50"/>
      <c r="F50"/>
      <c r="G50"/>
      <c r="H50"/>
      <c r="I50"/>
    </row>
    <row r="51" spans="2:9">
      <c r="B51"/>
      <c r="C51"/>
      <c r="D51"/>
      <c r="E51"/>
      <c r="F51"/>
      <c r="G51"/>
      <c r="H51"/>
      <c r="I51"/>
    </row>
    <row r="52" spans="2:9">
      <c r="B52"/>
      <c r="C52"/>
      <c r="D52"/>
      <c r="E52"/>
      <c r="F52"/>
      <c r="G52"/>
      <c r="H52"/>
      <c r="I52"/>
    </row>
    <row r="53" spans="2:9">
      <c r="B53"/>
      <c r="C53"/>
      <c r="D53"/>
      <c r="E53"/>
      <c r="F53"/>
      <c r="G53"/>
      <c r="H53"/>
      <c r="I53"/>
    </row>
    <row r="54" spans="2:9">
      <c r="B54"/>
      <c r="C54"/>
      <c r="D54"/>
      <c r="E54"/>
      <c r="F54"/>
      <c r="G54"/>
      <c r="H54"/>
      <c r="I54"/>
    </row>
    <row r="55" spans="2:9">
      <c r="B55"/>
      <c r="C55"/>
      <c r="D55"/>
      <c r="E55"/>
      <c r="F55"/>
      <c r="G55"/>
      <c r="H55"/>
      <c r="I55"/>
    </row>
    <row r="56" spans="2:9">
      <c r="B56"/>
      <c r="C56"/>
      <c r="D56"/>
      <c r="E56"/>
      <c r="F56"/>
      <c r="G56"/>
      <c r="H56"/>
      <c r="I56"/>
    </row>
    <row r="57" spans="2:9">
      <c r="B57"/>
      <c r="C57"/>
      <c r="D57"/>
      <c r="E57"/>
      <c r="F57"/>
      <c r="G57"/>
      <c r="H57"/>
      <c r="I57"/>
    </row>
    <row r="58" spans="2:9">
      <c r="B58"/>
      <c r="C58"/>
      <c r="D58"/>
      <c r="E58"/>
      <c r="F58"/>
      <c r="G58"/>
      <c r="H58"/>
      <c r="I58"/>
    </row>
    <row r="59" spans="2:9">
      <c r="B59"/>
      <c r="C59"/>
      <c r="D59"/>
      <c r="E59"/>
      <c r="F59"/>
      <c r="G59"/>
      <c r="H59"/>
      <c r="I59"/>
    </row>
    <row r="60" spans="2:9">
      <c r="B60"/>
      <c r="C60"/>
      <c r="D60"/>
      <c r="E60"/>
      <c r="F60"/>
      <c r="G60"/>
      <c r="H60"/>
      <c r="I60"/>
    </row>
    <row r="61" spans="2:9">
      <c r="B61"/>
      <c r="C61"/>
      <c r="D61"/>
      <c r="E61"/>
      <c r="F61"/>
      <c r="G61"/>
      <c r="H61"/>
      <c r="I61"/>
    </row>
    <row r="62" spans="2:9">
      <c r="B62"/>
      <c r="C62"/>
      <c r="D62"/>
      <c r="E62"/>
      <c r="F62"/>
      <c r="G62"/>
      <c r="H62"/>
      <c r="I62"/>
    </row>
    <row r="142" spans="1:14" s="1121" customFormat="1">
      <c r="A142" s="1429"/>
      <c r="B142" s="1429"/>
      <c r="C142" s="824"/>
      <c r="D142" s="824"/>
      <c r="E142" s="824"/>
      <c r="F142" s="824"/>
      <c r="G142" s="824"/>
      <c r="H142" s="824"/>
      <c r="I142" s="824"/>
      <c r="J142" s="824"/>
      <c r="K142" s="824"/>
      <c r="L142" s="824"/>
      <c r="M142" s="2"/>
      <c r="N142" s="1117"/>
    </row>
  </sheetData>
  <mergeCells count="5">
    <mergeCell ref="B2:I2"/>
    <mergeCell ref="B9:I9"/>
    <mergeCell ref="B10:I10"/>
    <mergeCell ref="C16:D16"/>
    <mergeCell ref="A142:B142"/>
  </mergeCells>
  <pageMargins left="0.25" right="0.25" top="0.75" bottom="0.75" header="0.3" footer="0.3"/>
  <pageSetup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450"/>
  <sheetViews>
    <sheetView workbookViewId="0">
      <selection activeCell="G20" sqref="G20"/>
    </sheetView>
  </sheetViews>
  <sheetFormatPr defaultColWidth="9.140625" defaultRowHeight="12.75"/>
  <cols>
    <col min="1" max="1" width="7.5703125" style="2" bestFit="1" customWidth="1"/>
    <col min="2" max="2" width="12.140625" style="2" customWidth="1"/>
    <col min="3" max="3" width="5.7109375" style="2" customWidth="1"/>
    <col min="4" max="4" width="5.28515625" style="2" customWidth="1"/>
    <col min="5" max="5" width="25.7109375" style="2" customWidth="1"/>
    <col min="6" max="6" width="18.5703125" style="2" customWidth="1"/>
    <col min="7" max="7" width="16.5703125" style="2" customWidth="1"/>
    <col min="8" max="8" width="2.5703125" style="2" customWidth="1"/>
    <col min="9" max="9" width="18" style="2" customWidth="1"/>
    <col min="10" max="10" width="17.42578125" style="2" customWidth="1"/>
    <col min="11" max="11" width="7.85546875" style="2" customWidth="1"/>
    <col min="12" max="12" width="9.140625" style="2"/>
    <col min="13" max="13" width="3.28515625" style="2" customWidth="1"/>
    <col min="14" max="14" width="15.42578125" style="2" customWidth="1"/>
    <col min="15" max="15" width="15.42578125" style="2" bestFit="1" customWidth="1"/>
    <col min="16" max="16" width="15.42578125" style="2" customWidth="1"/>
    <col min="17" max="17" width="13" style="2" customWidth="1"/>
    <col min="18" max="23" width="9.140625" style="2"/>
    <col min="24" max="24" width="5.7109375" style="2" customWidth="1"/>
    <col min="25" max="25" width="32.42578125" style="2" bestFit="1" customWidth="1"/>
    <col min="26" max="26" width="11.7109375" style="2" bestFit="1" customWidth="1"/>
    <col min="27" max="27" width="12.85546875" style="2" bestFit="1" customWidth="1"/>
    <col min="28" max="28" width="10.28515625" style="2" bestFit="1" customWidth="1"/>
    <col min="29" max="16384" width="9.140625" style="2"/>
  </cols>
  <sheetData>
    <row r="1" spans="1:11">
      <c r="B1" s="77" t="s">
        <v>877</v>
      </c>
      <c r="C1" s="121"/>
      <c r="D1" s="58"/>
      <c r="E1" s="58"/>
      <c r="F1" s="397"/>
      <c r="G1" s="397"/>
      <c r="I1" s="397"/>
      <c r="J1" s="397"/>
      <c r="K1" s="8"/>
    </row>
    <row r="2" spans="1:11">
      <c r="B2" s="77" t="str">
        <f>'Control Panel'!$B$1</f>
        <v>Dominion Energy</v>
      </c>
      <c r="C2" s="121"/>
      <c r="D2" s="58"/>
      <c r="E2" s="58"/>
      <c r="F2" s="398"/>
      <c r="G2" s="398"/>
      <c r="I2" s="398"/>
      <c r="J2" s="398"/>
      <c r="K2" s="8"/>
    </row>
    <row r="3" spans="1:11">
      <c r="B3" s="77" t="str">
        <f>'Control Panel'!$B$2</f>
        <v>Utah - Dec 2017 Adjusted Avg Results</v>
      </c>
      <c r="C3" s="261"/>
      <c r="D3" s="16"/>
      <c r="E3" s="58"/>
      <c r="F3" s="399"/>
      <c r="G3" s="399"/>
      <c r="I3" s="399"/>
      <c r="J3" s="399"/>
      <c r="K3" s="8"/>
    </row>
    <row r="4" spans="1:11">
      <c r="B4" s="77" t="str">
        <f>'Control Panel'!$B$3</f>
        <v>12 Months Ended : Dec-2017</v>
      </c>
      <c r="C4" s="261"/>
      <c r="D4" s="17"/>
      <c r="E4" s="17"/>
      <c r="F4" s="397"/>
      <c r="G4" s="397"/>
      <c r="I4" s="397"/>
      <c r="J4" s="397"/>
      <c r="K4" s="8"/>
    </row>
    <row r="5" spans="1:11">
      <c r="A5" s="47"/>
      <c r="B5" s="17"/>
      <c r="C5" s="17"/>
      <c r="D5" s="17"/>
      <c r="E5" s="17"/>
      <c r="F5" s="400"/>
      <c r="G5" s="400"/>
      <c r="I5" s="400" t="s">
        <v>756</v>
      </c>
      <c r="J5" s="400"/>
      <c r="K5" s="8"/>
    </row>
    <row r="6" spans="1:11" s="246" customFormat="1" ht="45" customHeight="1">
      <c r="A6" s="394"/>
      <c r="B6" s="395"/>
      <c r="C6" s="395"/>
      <c r="D6" s="395"/>
      <c r="E6" s="396"/>
      <c r="F6" s="870" t="s">
        <v>1570</v>
      </c>
      <c r="G6" s="396"/>
      <c r="H6" s="396"/>
      <c r="I6" s="870" t="s">
        <v>1570</v>
      </c>
      <c r="J6" s="396" t="s">
        <v>41</v>
      </c>
      <c r="K6" s="421">
        <v>1</v>
      </c>
    </row>
    <row r="7" spans="1:11">
      <c r="A7" s="102"/>
      <c r="B7" s="262"/>
      <c r="C7" s="121"/>
      <c r="D7" s="121"/>
      <c r="E7" s="1271"/>
      <c r="F7" s="401"/>
      <c r="G7" s="401"/>
      <c r="I7" s="401"/>
      <c r="J7" s="400"/>
      <c r="K7" s="244">
        <f>+K6+1</f>
        <v>2</v>
      </c>
    </row>
    <row r="8" spans="1:11">
      <c r="A8" s="102"/>
      <c r="B8" s="130"/>
      <c r="C8" s="58"/>
      <c r="D8" s="58"/>
      <c r="E8" s="58"/>
      <c r="F8" s="401"/>
      <c r="G8" s="401"/>
      <c r="I8" s="401"/>
      <c r="J8" s="561"/>
      <c r="K8" s="244">
        <f t="shared" ref="K8:K71" si="0">+K7+1</f>
        <v>3</v>
      </c>
    </row>
    <row r="9" spans="1:11" ht="13.5" thickBot="1">
      <c r="A9" s="1269" t="s">
        <v>280</v>
      </c>
      <c r="B9" s="151" t="s">
        <v>828</v>
      </c>
      <c r="C9" s="152"/>
      <c r="D9" s="1415" t="s">
        <v>829</v>
      </c>
      <c r="E9" s="1415"/>
      <c r="F9" s="403"/>
      <c r="G9" s="403"/>
      <c r="I9" s="403" t="s">
        <v>41</v>
      </c>
      <c r="J9" s="403"/>
      <c r="K9" s="244">
        <f t="shared" si="0"/>
        <v>4</v>
      </c>
    </row>
    <row r="10" spans="1:11">
      <c r="A10" s="168">
        <v>510</v>
      </c>
      <c r="B10" s="1418" t="s">
        <v>328</v>
      </c>
      <c r="C10" s="1418"/>
      <c r="D10" s="1418"/>
      <c r="E10" s="1418"/>
      <c r="F10" s="404"/>
      <c r="G10" s="404"/>
      <c r="I10" s="404"/>
      <c r="J10" s="404"/>
      <c r="K10" s="244">
        <f t="shared" si="0"/>
        <v>5</v>
      </c>
    </row>
    <row r="11" spans="1:11">
      <c r="A11" s="168">
        <f t="shared" ref="A11:A75" si="1">+A10+1</f>
        <v>511</v>
      </c>
      <c r="B11" s="130" t="s">
        <v>329</v>
      </c>
      <c r="C11" s="49"/>
      <c r="D11" s="49"/>
      <c r="E11" s="49"/>
      <c r="F11" s="1226">
        <f>SUM($F$380,$F$323,$F$295,$F$241)/$F$383</f>
        <v>0.96787075135437994</v>
      </c>
      <c r="G11" s="404"/>
      <c r="I11" s="404"/>
      <c r="J11" s="404"/>
      <c r="K11" s="244">
        <f t="shared" si="0"/>
        <v>6</v>
      </c>
    </row>
    <row r="12" spans="1:11">
      <c r="A12" s="168">
        <f t="shared" si="1"/>
        <v>512</v>
      </c>
      <c r="B12" s="153"/>
      <c r="C12" s="49"/>
      <c r="D12" s="49"/>
      <c r="E12" s="49"/>
      <c r="F12" s="1226">
        <f>1-$F$11</f>
        <v>3.2129248645620057E-2</v>
      </c>
      <c r="G12" s="404"/>
      <c r="I12" s="404"/>
      <c r="J12" s="404"/>
      <c r="K12" s="244">
        <f t="shared" si="0"/>
        <v>7</v>
      </c>
    </row>
    <row r="13" spans="1:11">
      <c r="A13" s="168">
        <f t="shared" si="1"/>
        <v>513</v>
      </c>
      <c r="B13" s="154"/>
      <c r="C13" s="49" t="s">
        <v>158</v>
      </c>
      <c r="D13" s="49"/>
      <c r="E13" s="49"/>
      <c r="F13" s="404"/>
      <c r="G13" s="404"/>
      <c r="I13" s="404"/>
      <c r="J13" s="404"/>
      <c r="K13" s="244">
        <f t="shared" si="0"/>
        <v>8</v>
      </c>
    </row>
    <row r="14" spans="1:11">
      <c r="A14" s="168">
        <f t="shared" si="1"/>
        <v>514</v>
      </c>
      <c r="B14" s="154"/>
      <c r="C14" s="49"/>
      <c r="D14" s="49"/>
      <c r="E14" s="49"/>
      <c r="F14" s="404"/>
      <c r="G14" s="404"/>
      <c r="I14" s="404"/>
      <c r="J14" s="404"/>
      <c r="K14" s="244">
        <f t="shared" si="0"/>
        <v>9</v>
      </c>
    </row>
    <row r="15" spans="1:11">
      <c r="A15" s="168">
        <f t="shared" si="1"/>
        <v>515</v>
      </c>
      <c r="B15" s="154">
        <v>758</v>
      </c>
      <c r="C15" s="49" t="s">
        <v>330</v>
      </c>
      <c r="D15" s="49"/>
      <c r="E15" s="49"/>
      <c r="F15" s="404"/>
      <c r="G15" s="404"/>
      <c r="I15" s="404"/>
      <c r="J15" s="404"/>
      <c r="K15" s="244">
        <f t="shared" si="0"/>
        <v>10</v>
      </c>
    </row>
    <row r="16" spans="1:11">
      <c r="A16" s="168">
        <f t="shared" si="1"/>
        <v>516</v>
      </c>
      <c r="B16" s="154"/>
      <c r="C16" s="49"/>
      <c r="D16" s="49" t="s">
        <v>13</v>
      </c>
      <c r="E16" s="49"/>
      <c r="F16" s="404">
        <f>[14]EXPENSES.XNV!S17</f>
        <v>20573059.9417121</v>
      </c>
      <c r="G16" s="404"/>
      <c r="I16" s="404">
        <f>HLOOKUP($I$6,EXPENSESCENARIO,K16,FALSE)</f>
        <v>20573059.9417121</v>
      </c>
      <c r="J16" s="404">
        <f>+I16-F16</f>
        <v>0</v>
      </c>
      <c r="K16" s="244">
        <f t="shared" si="0"/>
        <v>11</v>
      </c>
    </row>
    <row r="17" spans="1:11">
      <c r="A17" s="168">
        <f t="shared" si="1"/>
        <v>517</v>
      </c>
      <c r="B17" s="154"/>
      <c r="C17" s="49"/>
      <c r="D17" s="49" t="s">
        <v>24</v>
      </c>
      <c r="E17" s="49"/>
      <c r="F17" s="404">
        <f>[14]EXPENSES.XNV!S18</f>
        <v>751115.9782879008</v>
      </c>
      <c r="G17" s="404"/>
      <c r="I17" s="404">
        <f t="shared" ref="I17:I47" si="2">HLOOKUP($I$6,EXPENSESCENARIO,K17,FALSE)</f>
        <v>751115.9782879008</v>
      </c>
      <c r="J17" s="404">
        <f>+I17-F17</f>
        <v>0</v>
      </c>
      <c r="K17" s="244">
        <f t="shared" si="0"/>
        <v>12</v>
      </c>
    </row>
    <row r="18" spans="1:11" ht="13.5" thickBot="1">
      <c r="A18" s="168">
        <f t="shared" si="1"/>
        <v>518</v>
      </c>
      <c r="B18" s="154"/>
      <c r="C18" s="49"/>
      <c r="D18" s="49" t="s">
        <v>160</v>
      </c>
      <c r="E18" s="49"/>
      <c r="F18" s="405">
        <f>SUM(F16:F17)</f>
        <v>21324175.920000002</v>
      </c>
      <c r="G18" s="405"/>
      <c r="I18" s="405">
        <f t="shared" si="2"/>
        <v>21324175.920000002</v>
      </c>
      <c r="J18" s="405">
        <f>+I18-F18</f>
        <v>0</v>
      </c>
      <c r="K18" s="244">
        <f t="shared" si="0"/>
        <v>13</v>
      </c>
    </row>
    <row r="19" spans="1:11" ht="13.5" thickTop="1">
      <c r="A19" s="168">
        <f t="shared" si="1"/>
        <v>519</v>
      </c>
      <c r="B19" s="154"/>
      <c r="C19" s="49"/>
      <c r="D19" s="49"/>
      <c r="E19" s="49"/>
      <c r="F19" s="404"/>
      <c r="G19" s="404"/>
      <c r="I19" s="404">
        <f t="shared" si="2"/>
        <v>0</v>
      </c>
      <c r="J19" s="404"/>
      <c r="K19" s="244">
        <f t="shared" si="0"/>
        <v>14</v>
      </c>
    </row>
    <row r="20" spans="1:11">
      <c r="A20" s="168">
        <f t="shared" si="1"/>
        <v>520</v>
      </c>
      <c r="B20" s="154" t="s">
        <v>688</v>
      </c>
      <c r="C20" s="49" t="s">
        <v>331</v>
      </c>
      <c r="D20" s="49"/>
      <c r="E20" s="49"/>
      <c r="F20" s="404"/>
      <c r="G20" s="404"/>
      <c r="I20" s="404">
        <f t="shared" si="2"/>
        <v>0</v>
      </c>
      <c r="J20" s="404"/>
      <c r="K20" s="244">
        <f t="shared" si="0"/>
        <v>15</v>
      </c>
    </row>
    <row r="21" spans="1:11">
      <c r="A21" s="168">
        <f t="shared" si="1"/>
        <v>521</v>
      </c>
      <c r="B21" s="154"/>
      <c r="C21" s="49"/>
      <c r="D21" s="49" t="s">
        <v>13</v>
      </c>
      <c r="E21" s="49"/>
      <c r="F21" s="404">
        <f>[14]EXPENSES.XNV!S22</f>
        <v>311269.64999999997</v>
      </c>
      <c r="G21" s="404"/>
      <c r="I21" s="404">
        <f t="shared" si="2"/>
        <v>311269.64999999997</v>
      </c>
      <c r="J21" s="404">
        <f>+I21-F21</f>
        <v>0</v>
      </c>
      <c r="K21" s="244">
        <f t="shared" si="0"/>
        <v>16</v>
      </c>
    </row>
    <row r="22" spans="1:11">
      <c r="A22" s="168">
        <f t="shared" si="1"/>
        <v>522</v>
      </c>
      <c r="B22" s="154"/>
      <c r="C22" s="49"/>
      <c r="D22" s="49" t="s">
        <v>24</v>
      </c>
      <c r="E22" s="49"/>
      <c r="F22" s="404">
        <f>[14]EXPENSES.XNV!S23</f>
        <v>0</v>
      </c>
      <c r="G22" s="404"/>
      <c r="I22" s="404">
        <f t="shared" si="2"/>
        <v>0</v>
      </c>
      <c r="J22" s="404">
        <f>+I22-F22</f>
        <v>0</v>
      </c>
      <c r="K22" s="244">
        <f t="shared" si="0"/>
        <v>17</v>
      </c>
    </row>
    <row r="23" spans="1:11" ht="13.5" thickBot="1">
      <c r="A23" s="168">
        <f t="shared" si="1"/>
        <v>523</v>
      </c>
      <c r="B23" s="154"/>
      <c r="C23" s="49"/>
      <c r="D23" s="49" t="s">
        <v>160</v>
      </c>
      <c r="E23" s="49"/>
      <c r="F23" s="405">
        <f>SUM(F21:F22)</f>
        <v>311269.64999999997</v>
      </c>
      <c r="G23" s="405"/>
      <c r="I23" s="405">
        <f t="shared" si="2"/>
        <v>311269.64999999997</v>
      </c>
      <c r="J23" s="405">
        <f>+I23-F23</f>
        <v>0</v>
      </c>
      <c r="K23" s="244">
        <f t="shared" si="0"/>
        <v>18</v>
      </c>
    </row>
    <row r="24" spans="1:11" ht="13.5" thickTop="1">
      <c r="A24" s="168">
        <f t="shared" si="1"/>
        <v>524</v>
      </c>
      <c r="B24" s="154"/>
      <c r="C24" s="49"/>
      <c r="D24" s="49"/>
      <c r="E24" s="49"/>
      <c r="F24" s="404"/>
      <c r="G24" s="404"/>
      <c r="I24" s="404">
        <f t="shared" si="2"/>
        <v>0</v>
      </c>
      <c r="J24" s="404"/>
      <c r="K24" s="244">
        <f t="shared" si="0"/>
        <v>19</v>
      </c>
    </row>
    <row r="25" spans="1:11">
      <c r="A25" s="168">
        <f t="shared" si="1"/>
        <v>525</v>
      </c>
      <c r="B25" s="154">
        <v>759</v>
      </c>
      <c r="C25" s="49" t="s">
        <v>713</v>
      </c>
      <c r="D25" s="49"/>
      <c r="E25" s="49"/>
      <c r="F25" s="404"/>
      <c r="G25" s="404"/>
      <c r="I25" s="404">
        <f t="shared" si="2"/>
        <v>0</v>
      </c>
      <c r="J25" s="404"/>
      <c r="K25" s="244">
        <f t="shared" si="0"/>
        <v>20</v>
      </c>
    </row>
    <row r="26" spans="1:11">
      <c r="A26" s="168">
        <f t="shared" si="1"/>
        <v>526</v>
      </c>
      <c r="B26" s="154"/>
      <c r="C26" s="49"/>
      <c r="D26" s="49" t="s">
        <v>13</v>
      </c>
      <c r="E26" s="49"/>
      <c r="F26" s="404">
        <f>[14]EXPENSES.XNV!S27</f>
        <v>24917407.16</v>
      </c>
      <c r="G26" s="404"/>
      <c r="I26" s="404">
        <f t="shared" si="2"/>
        <v>24917407.16</v>
      </c>
      <c r="J26" s="404">
        <f>+I26-F26</f>
        <v>0</v>
      </c>
      <c r="K26" s="244">
        <f t="shared" si="0"/>
        <v>21</v>
      </c>
    </row>
    <row r="27" spans="1:11">
      <c r="A27" s="168">
        <f t="shared" si="1"/>
        <v>527</v>
      </c>
      <c r="B27" s="154"/>
      <c r="C27" s="49"/>
      <c r="D27" s="49" t="s">
        <v>24</v>
      </c>
      <c r="E27" s="49"/>
      <c r="F27" s="404">
        <f>[14]EXPENSES.XNV!S28</f>
        <v>0</v>
      </c>
      <c r="G27" s="404"/>
      <c r="I27" s="404">
        <f t="shared" si="2"/>
        <v>0</v>
      </c>
      <c r="J27" s="404">
        <f>+I27-F27</f>
        <v>0</v>
      </c>
      <c r="K27" s="244">
        <f t="shared" si="0"/>
        <v>22</v>
      </c>
    </row>
    <row r="28" spans="1:11" ht="13.5" thickBot="1">
      <c r="A28" s="168">
        <f t="shared" si="1"/>
        <v>528</v>
      </c>
      <c r="B28" s="154"/>
      <c r="C28" s="49"/>
      <c r="D28" s="49" t="s">
        <v>160</v>
      </c>
      <c r="E28" s="49"/>
      <c r="F28" s="405">
        <f>SUM(F26:F27)</f>
        <v>24917407.16</v>
      </c>
      <c r="G28" s="405"/>
      <c r="I28" s="405">
        <f t="shared" si="2"/>
        <v>24917407.16</v>
      </c>
      <c r="J28" s="405">
        <f>+I28-F28</f>
        <v>0</v>
      </c>
      <c r="K28" s="244">
        <f t="shared" si="0"/>
        <v>23</v>
      </c>
    </row>
    <row r="29" spans="1:11" ht="13.5" thickTop="1">
      <c r="A29" s="168">
        <f t="shared" si="1"/>
        <v>529</v>
      </c>
      <c r="B29" s="154"/>
      <c r="C29" s="49"/>
      <c r="D29" s="49"/>
      <c r="E29" s="49"/>
      <c r="F29" s="404"/>
      <c r="G29" s="404"/>
      <c r="I29" s="404">
        <f t="shared" si="2"/>
        <v>0</v>
      </c>
      <c r="J29" s="404"/>
      <c r="K29" s="244">
        <f t="shared" si="0"/>
        <v>24</v>
      </c>
    </row>
    <row r="30" spans="1:11">
      <c r="A30" s="168">
        <f t="shared" si="1"/>
        <v>530</v>
      </c>
      <c r="B30" s="154">
        <v>759</v>
      </c>
      <c r="C30" s="49" t="s">
        <v>334</v>
      </c>
      <c r="D30" s="49"/>
      <c r="E30" s="49"/>
      <c r="F30" s="404"/>
      <c r="G30" s="404"/>
      <c r="I30" s="404">
        <f t="shared" si="2"/>
        <v>0</v>
      </c>
      <c r="J30" s="404"/>
      <c r="K30" s="244">
        <f t="shared" si="0"/>
        <v>25</v>
      </c>
    </row>
    <row r="31" spans="1:11">
      <c r="A31" s="168">
        <f t="shared" si="1"/>
        <v>531</v>
      </c>
      <c r="B31" s="154"/>
      <c r="C31" s="49"/>
      <c r="D31" s="49" t="s">
        <v>13</v>
      </c>
      <c r="E31" s="49"/>
      <c r="F31" s="404">
        <f>[14]EXPENSES.XNV!S32</f>
        <v>0</v>
      </c>
      <c r="G31" s="404"/>
      <c r="I31" s="404">
        <f t="shared" si="2"/>
        <v>0</v>
      </c>
      <c r="J31" s="404">
        <f>+I31-F31</f>
        <v>0</v>
      </c>
      <c r="K31" s="244">
        <f t="shared" si="0"/>
        <v>26</v>
      </c>
    </row>
    <row r="32" spans="1:11">
      <c r="A32" s="168">
        <f t="shared" si="1"/>
        <v>532</v>
      </c>
      <c r="B32" s="154"/>
      <c r="C32" s="49"/>
      <c r="D32" s="49"/>
      <c r="E32" s="49" t="s">
        <v>279</v>
      </c>
      <c r="F32" s="404"/>
      <c r="G32" s="404"/>
      <c r="I32" s="404">
        <f t="shared" si="2"/>
        <v>0</v>
      </c>
      <c r="J32" s="404">
        <f>+I32-F32</f>
        <v>0</v>
      </c>
      <c r="K32" s="244">
        <f t="shared" si="0"/>
        <v>27</v>
      </c>
    </row>
    <row r="33" spans="1:11">
      <c r="A33" s="168">
        <f t="shared" si="1"/>
        <v>533</v>
      </c>
      <c r="B33" s="154"/>
      <c r="C33" s="49"/>
      <c r="D33" s="49"/>
      <c r="E33" s="49" t="s">
        <v>145</v>
      </c>
      <c r="F33" s="404"/>
      <c r="G33" s="404"/>
      <c r="I33" s="404">
        <f t="shared" si="2"/>
        <v>0</v>
      </c>
      <c r="J33" s="404">
        <f>+I33-F33</f>
        <v>0</v>
      </c>
      <c r="K33" s="244">
        <f t="shared" si="0"/>
        <v>28</v>
      </c>
    </row>
    <row r="34" spans="1:11">
      <c r="A34" s="168">
        <f t="shared" si="1"/>
        <v>534</v>
      </c>
      <c r="B34" s="154"/>
      <c r="C34" s="49"/>
      <c r="D34" s="49" t="s">
        <v>24</v>
      </c>
      <c r="E34" s="49"/>
      <c r="F34" s="404">
        <f>[14]EXPENSES.XNV!S35</f>
        <v>0</v>
      </c>
      <c r="G34" s="404"/>
      <c r="I34" s="404">
        <f t="shared" si="2"/>
        <v>0</v>
      </c>
      <c r="J34" s="404">
        <f>+I34-F34</f>
        <v>0</v>
      </c>
      <c r="K34" s="244">
        <f t="shared" si="0"/>
        <v>29</v>
      </c>
    </row>
    <row r="35" spans="1:11" ht="13.5" thickBot="1">
      <c r="A35" s="168">
        <f t="shared" si="1"/>
        <v>535</v>
      </c>
      <c r="B35" s="154"/>
      <c r="C35" s="49"/>
      <c r="D35" s="49" t="s">
        <v>160</v>
      </c>
      <c r="E35" s="49"/>
      <c r="F35" s="405">
        <v>0</v>
      </c>
      <c r="G35" s="405"/>
      <c r="I35" s="405">
        <f t="shared" si="2"/>
        <v>0</v>
      </c>
      <c r="J35" s="405">
        <f>+I35-F35</f>
        <v>0</v>
      </c>
      <c r="K35" s="244">
        <f t="shared" si="0"/>
        <v>30</v>
      </c>
    </row>
    <row r="36" spans="1:11" ht="13.5" thickTop="1">
      <c r="A36" s="168">
        <f t="shared" si="1"/>
        <v>536</v>
      </c>
      <c r="B36" s="154"/>
      <c r="C36" s="49"/>
      <c r="D36" s="49"/>
      <c r="E36" s="49"/>
      <c r="F36" s="404"/>
      <c r="G36" s="404"/>
      <c r="I36" s="404">
        <f t="shared" si="2"/>
        <v>0</v>
      </c>
      <c r="J36" s="404"/>
      <c r="K36" s="244">
        <f t="shared" si="0"/>
        <v>31</v>
      </c>
    </row>
    <row r="37" spans="1:11">
      <c r="A37" s="168">
        <f t="shared" si="1"/>
        <v>537</v>
      </c>
      <c r="B37" s="154">
        <v>800</v>
      </c>
      <c r="C37" s="49" t="s">
        <v>335</v>
      </c>
      <c r="D37" s="49"/>
      <c r="E37" s="49"/>
      <c r="F37" s="404"/>
      <c r="G37" s="404"/>
      <c r="I37" s="404">
        <f t="shared" si="2"/>
        <v>0</v>
      </c>
      <c r="J37" s="404"/>
      <c r="K37" s="244">
        <f t="shared" si="0"/>
        <v>32</v>
      </c>
    </row>
    <row r="38" spans="1:11">
      <c r="A38" s="168">
        <f t="shared" si="1"/>
        <v>538</v>
      </c>
      <c r="B38" s="154"/>
      <c r="C38" s="49"/>
      <c r="D38" s="49" t="s">
        <v>13</v>
      </c>
      <c r="E38" s="49"/>
      <c r="F38" s="404">
        <f>[14]EXPENSES.XNV!S37</f>
        <v>501.32868340000005</v>
      </c>
      <c r="G38" s="404"/>
      <c r="I38" s="404">
        <f t="shared" si="2"/>
        <v>501.32868340000005</v>
      </c>
      <c r="J38" s="404">
        <f>+I38-F38</f>
        <v>0</v>
      </c>
      <c r="K38" s="244">
        <f t="shared" si="0"/>
        <v>33</v>
      </c>
    </row>
    <row r="39" spans="1:11">
      <c r="A39" s="168">
        <f t="shared" si="1"/>
        <v>539</v>
      </c>
      <c r="B39" s="154"/>
      <c r="C39" s="49"/>
      <c r="D39" s="49" t="s">
        <v>24</v>
      </c>
      <c r="E39" s="49"/>
      <c r="F39" s="404">
        <f>[14]EXPENSES.XNV!S38</f>
        <v>16.661316600000021</v>
      </c>
      <c r="G39" s="404"/>
      <c r="I39" s="404">
        <f t="shared" si="2"/>
        <v>16.661316600000021</v>
      </c>
      <c r="J39" s="404">
        <f>+I39-F39</f>
        <v>0</v>
      </c>
      <c r="K39" s="244">
        <f t="shared" si="0"/>
        <v>34</v>
      </c>
    </row>
    <row r="40" spans="1:11" ht="13.5" thickBot="1">
      <c r="A40" s="168">
        <f t="shared" si="1"/>
        <v>540</v>
      </c>
      <c r="B40" s="154"/>
      <c r="C40" s="49"/>
      <c r="D40" s="49" t="s">
        <v>160</v>
      </c>
      <c r="E40" s="49"/>
      <c r="F40" s="405">
        <f>SUM(F38:F39)</f>
        <v>517.99</v>
      </c>
      <c r="G40" s="405"/>
      <c r="I40" s="405">
        <f t="shared" si="2"/>
        <v>517.99</v>
      </c>
      <c r="J40" s="405">
        <f>+I40-F40</f>
        <v>0</v>
      </c>
      <c r="K40" s="244">
        <f t="shared" si="0"/>
        <v>35</v>
      </c>
    </row>
    <row r="41" spans="1:11" ht="13.5" thickTop="1">
      <c r="A41" s="168">
        <f t="shared" si="1"/>
        <v>541</v>
      </c>
      <c r="B41" s="154"/>
      <c r="C41" s="49"/>
      <c r="D41" s="49"/>
      <c r="E41" s="49"/>
      <c r="F41" s="404"/>
      <c r="G41" s="404"/>
      <c r="I41" s="404">
        <f t="shared" si="2"/>
        <v>0</v>
      </c>
      <c r="J41" s="404"/>
      <c r="K41" s="244">
        <f t="shared" si="0"/>
        <v>36</v>
      </c>
    </row>
    <row r="42" spans="1:11">
      <c r="A42" s="168">
        <f t="shared" si="1"/>
        <v>542</v>
      </c>
      <c r="B42" s="154">
        <v>801</v>
      </c>
      <c r="C42" s="49" t="s">
        <v>336</v>
      </c>
      <c r="D42" s="49"/>
      <c r="E42" s="49"/>
      <c r="F42" s="404"/>
      <c r="G42" s="404"/>
      <c r="I42" s="404">
        <f t="shared" si="2"/>
        <v>0</v>
      </c>
      <c r="J42" s="404"/>
      <c r="K42" s="244">
        <f t="shared" si="0"/>
        <v>37</v>
      </c>
    </row>
    <row r="43" spans="1:11">
      <c r="A43" s="168">
        <f t="shared" si="1"/>
        <v>543</v>
      </c>
      <c r="B43" s="154"/>
      <c r="C43" s="49"/>
      <c r="D43" s="49" t="s">
        <v>13</v>
      </c>
      <c r="E43" s="49"/>
      <c r="F43" s="404">
        <f>[14]EXPENSES.XNV!S42</f>
        <v>0</v>
      </c>
      <c r="G43" s="404"/>
      <c r="I43" s="404">
        <f t="shared" si="2"/>
        <v>0</v>
      </c>
      <c r="J43" s="404">
        <f>+I43-F43</f>
        <v>0</v>
      </c>
      <c r="K43" s="244">
        <f t="shared" si="0"/>
        <v>38</v>
      </c>
    </row>
    <row r="44" spans="1:11">
      <c r="A44" s="168">
        <f t="shared" si="1"/>
        <v>544</v>
      </c>
      <c r="B44" s="154"/>
      <c r="C44" s="49"/>
      <c r="D44" s="49" t="s">
        <v>24</v>
      </c>
      <c r="E44" s="49"/>
      <c r="F44" s="404">
        <f>[14]EXPENSES.XNV!S43</f>
        <v>0</v>
      </c>
      <c r="G44" s="404"/>
      <c r="I44" s="404">
        <f t="shared" si="2"/>
        <v>0</v>
      </c>
      <c r="J44" s="404">
        <f>+I44-F44</f>
        <v>0</v>
      </c>
      <c r="K44" s="244">
        <f t="shared" si="0"/>
        <v>39</v>
      </c>
    </row>
    <row r="45" spans="1:11" ht="13.5" thickBot="1">
      <c r="A45" s="168">
        <f t="shared" si="1"/>
        <v>545</v>
      </c>
      <c r="B45" s="154"/>
      <c r="C45" s="49"/>
      <c r="D45" s="49" t="s">
        <v>160</v>
      </c>
      <c r="E45" s="49"/>
      <c r="F45" s="405">
        <f>SUM(F43:F44)</f>
        <v>0</v>
      </c>
      <c r="G45" s="405"/>
      <c r="I45" s="405">
        <f t="shared" si="2"/>
        <v>0</v>
      </c>
      <c r="J45" s="405">
        <f>+I45-F45</f>
        <v>0</v>
      </c>
      <c r="K45" s="244">
        <f t="shared" si="0"/>
        <v>40</v>
      </c>
    </row>
    <row r="46" spans="1:11" ht="13.5" thickTop="1">
      <c r="A46" s="168">
        <f t="shared" si="1"/>
        <v>546</v>
      </c>
      <c r="B46" s="154"/>
      <c r="C46" s="49"/>
      <c r="D46" s="49"/>
      <c r="E46" s="49"/>
      <c r="F46" s="404"/>
      <c r="G46" s="404"/>
      <c r="I46" s="404">
        <f t="shared" si="2"/>
        <v>0</v>
      </c>
      <c r="J46" s="404"/>
      <c r="K46" s="244">
        <f t="shared" si="0"/>
        <v>41</v>
      </c>
    </row>
    <row r="47" spans="1:11">
      <c r="A47" s="168">
        <f t="shared" si="1"/>
        <v>547</v>
      </c>
      <c r="B47" s="154">
        <v>802</v>
      </c>
      <c r="C47" s="49" t="s">
        <v>712</v>
      </c>
      <c r="D47" s="49"/>
      <c r="E47" s="49"/>
      <c r="F47" s="404"/>
      <c r="G47" s="404"/>
      <c r="I47" s="404">
        <f t="shared" si="2"/>
        <v>0</v>
      </c>
      <c r="J47" s="404"/>
      <c r="K47" s="244">
        <f t="shared" si="0"/>
        <v>42</v>
      </c>
    </row>
    <row r="48" spans="1:11">
      <c r="A48" s="168">
        <f t="shared" si="1"/>
        <v>548</v>
      </c>
      <c r="B48" s="154"/>
      <c r="C48" s="49"/>
      <c r="D48" s="49" t="s">
        <v>13</v>
      </c>
      <c r="E48" s="49"/>
      <c r="F48" s="404">
        <f>[14]EXPENSES.XNV!S47</f>
        <v>0</v>
      </c>
      <c r="G48" s="404"/>
      <c r="I48" s="404">
        <f t="shared" ref="I48:I79" si="3">HLOOKUP($I$6,EXPENSESCENARIO,K48,FALSE)</f>
        <v>0</v>
      </c>
      <c r="J48" s="404">
        <f>+I48-F48</f>
        <v>0</v>
      </c>
      <c r="K48" s="244">
        <f t="shared" si="0"/>
        <v>43</v>
      </c>
    </row>
    <row r="49" spans="1:11">
      <c r="A49" s="168">
        <f t="shared" si="1"/>
        <v>549</v>
      </c>
      <c r="B49" s="154"/>
      <c r="C49" s="49"/>
      <c r="D49" s="49" t="s">
        <v>24</v>
      </c>
      <c r="E49" s="49"/>
      <c r="F49" s="404">
        <f>[14]EXPENSES.XNV!S48</f>
        <v>0</v>
      </c>
      <c r="G49" s="404"/>
      <c r="I49" s="404">
        <f t="shared" si="3"/>
        <v>0</v>
      </c>
      <c r="J49" s="404">
        <f>+I49-F49</f>
        <v>0</v>
      </c>
      <c r="K49" s="244">
        <f t="shared" si="0"/>
        <v>44</v>
      </c>
    </row>
    <row r="50" spans="1:11" ht="13.5" thickBot="1">
      <c r="A50" s="168">
        <f t="shared" si="1"/>
        <v>550</v>
      </c>
      <c r="B50" s="154"/>
      <c r="C50" s="49"/>
      <c r="D50" s="49" t="s">
        <v>160</v>
      </c>
      <c r="E50" s="49"/>
      <c r="F50" s="405">
        <f>SUM(F48:F49)</f>
        <v>0</v>
      </c>
      <c r="G50" s="405"/>
      <c r="I50" s="405">
        <f t="shared" si="3"/>
        <v>0</v>
      </c>
      <c r="J50" s="405">
        <f>+I50-F50</f>
        <v>0</v>
      </c>
      <c r="K50" s="244">
        <f t="shared" si="0"/>
        <v>45</v>
      </c>
    </row>
    <row r="51" spans="1:11" ht="13.5" thickTop="1">
      <c r="A51" s="168">
        <f t="shared" si="1"/>
        <v>551</v>
      </c>
      <c r="B51" s="154"/>
      <c r="C51" s="49"/>
      <c r="D51" s="49"/>
      <c r="E51" s="49"/>
      <c r="F51" s="404"/>
      <c r="G51" s="404"/>
      <c r="I51" s="404">
        <f t="shared" si="3"/>
        <v>0</v>
      </c>
      <c r="J51" s="404"/>
      <c r="K51" s="244">
        <f t="shared" si="0"/>
        <v>46</v>
      </c>
    </row>
    <row r="52" spans="1:11">
      <c r="A52" s="168">
        <f t="shared" si="1"/>
        <v>552</v>
      </c>
      <c r="B52" s="154">
        <v>803</v>
      </c>
      <c r="C52" s="49" t="s">
        <v>696</v>
      </c>
      <c r="D52" s="49"/>
      <c r="E52" s="49"/>
      <c r="F52" s="404"/>
      <c r="G52" s="404"/>
      <c r="I52" s="404">
        <f t="shared" si="3"/>
        <v>0</v>
      </c>
      <c r="J52" s="404"/>
      <c r="K52" s="244">
        <f t="shared" si="0"/>
        <v>47</v>
      </c>
    </row>
    <row r="53" spans="1:11">
      <c r="A53" s="168">
        <f t="shared" si="1"/>
        <v>553</v>
      </c>
      <c r="B53" s="154"/>
      <c r="C53" s="49"/>
      <c r="D53" s="49" t="s">
        <v>13</v>
      </c>
      <c r="E53" s="49"/>
      <c r="F53" s="404">
        <f>[14]EXPENSES.XNV!S52</f>
        <v>119925534.29720469</v>
      </c>
      <c r="G53" s="404"/>
      <c r="I53" s="404">
        <f t="shared" si="3"/>
        <v>119925534.29720469</v>
      </c>
      <c r="J53" s="404">
        <f>+I53-F53</f>
        <v>0</v>
      </c>
      <c r="K53" s="244">
        <f t="shared" si="0"/>
        <v>48</v>
      </c>
    </row>
    <row r="54" spans="1:11">
      <c r="A54" s="168">
        <f t="shared" si="1"/>
        <v>554</v>
      </c>
      <c r="B54" s="154"/>
      <c r="C54" s="49"/>
      <c r="D54" s="49" t="s">
        <v>24</v>
      </c>
      <c r="E54" s="49"/>
      <c r="F54" s="404">
        <f>[14]EXPENSES.XNV!S53</f>
        <v>4247459.4927952997</v>
      </c>
      <c r="G54" s="404"/>
      <c r="I54" s="404">
        <f t="shared" si="3"/>
        <v>4247459.4927952997</v>
      </c>
      <c r="J54" s="404">
        <f>+I54-F54</f>
        <v>0</v>
      </c>
      <c r="K54" s="244">
        <f t="shared" si="0"/>
        <v>49</v>
      </c>
    </row>
    <row r="55" spans="1:11" ht="13.5" thickBot="1">
      <c r="A55" s="168">
        <f t="shared" si="1"/>
        <v>555</v>
      </c>
      <c r="B55" s="154"/>
      <c r="C55" s="49"/>
      <c r="D55" s="49" t="s">
        <v>160</v>
      </c>
      <c r="E55" s="49"/>
      <c r="F55" s="405">
        <f>SUM(F53:F54)</f>
        <v>124172993.78999999</v>
      </c>
      <c r="G55" s="405"/>
      <c r="I55" s="405">
        <f t="shared" si="3"/>
        <v>124172993.78999999</v>
      </c>
      <c r="J55" s="405">
        <f>+I55-F55</f>
        <v>0</v>
      </c>
      <c r="K55" s="244">
        <f t="shared" si="0"/>
        <v>50</v>
      </c>
    </row>
    <row r="56" spans="1:11" ht="13.5" thickTop="1">
      <c r="A56" s="168">
        <f t="shared" si="1"/>
        <v>556</v>
      </c>
      <c r="B56" s="154"/>
      <c r="C56" s="49"/>
      <c r="D56" s="49"/>
      <c r="E56" s="49"/>
      <c r="F56" s="404"/>
      <c r="G56" s="404"/>
      <c r="I56" s="404">
        <f t="shared" si="3"/>
        <v>0</v>
      </c>
      <c r="J56" s="404"/>
      <c r="K56" s="244">
        <f t="shared" si="0"/>
        <v>51</v>
      </c>
    </row>
    <row r="57" spans="1:11">
      <c r="A57" s="168">
        <f t="shared" si="1"/>
        <v>557</v>
      </c>
      <c r="B57" s="154">
        <v>804</v>
      </c>
      <c r="C57" s="49" t="s">
        <v>698</v>
      </c>
      <c r="D57" s="49"/>
      <c r="E57" s="49"/>
      <c r="F57" s="404"/>
      <c r="G57" s="404"/>
      <c r="I57" s="404">
        <f t="shared" si="3"/>
        <v>0</v>
      </c>
      <c r="J57" s="404"/>
      <c r="K57" s="244">
        <f t="shared" si="0"/>
        <v>52</v>
      </c>
    </row>
    <row r="58" spans="1:11">
      <c r="A58" s="168">
        <f t="shared" si="1"/>
        <v>558</v>
      </c>
      <c r="B58" s="154"/>
      <c r="C58" s="49"/>
      <c r="D58" s="49" t="s">
        <v>13</v>
      </c>
      <c r="E58" s="49"/>
      <c r="F58" s="404">
        <f>[14]EXPENSES.XNV!S57</f>
        <v>0</v>
      </c>
      <c r="G58" s="404"/>
      <c r="I58" s="404">
        <f t="shared" si="3"/>
        <v>0</v>
      </c>
      <c r="J58" s="404">
        <f>+I58-F58</f>
        <v>0</v>
      </c>
      <c r="K58" s="244">
        <f t="shared" si="0"/>
        <v>53</v>
      </c>
    </row>
    <row r="59" spans="1:11">
      <c r="A59" s="168">
        <f t="shared" si="1"/>
        <v>559</v>
      </c>
      <c r="B59" s="154"/>
      <c r="C59" s="49"/>
      <c r="D59" s="49" t="s">
        <v>24</v>
      </c>
      <c r="E59" s="49"/>
      <c r="F59" s="404">
        <f>[14]EXPENSES.XNV!S58</f>
        <v>0</v>
      </c>
      <c r="G59" s="404"/>
      <c r="I59" s="404">
        <f t="shared" si="3"/>
        <v>0</v>
      </c>
      <c r="J59" s="404">
        <f>+I59-F59</f>
        <v>0</v>
      </c>
      <c r="K59" s="244">
        <f t="shared" si="0"/>
        <v>54</v>
      </c>
    </row>
    <row r="60" spans="1:11" ht="13.5" thickBot="1">
      <c r="A60" s="168">
        <f t="shared" si="1"/>
        <v>560</v>
      </c>
      <c r="B60" s="154"/>
      <c r="C60" s="49"/>
      <c r="D60" s="49" t="s">
        <v>160</v>
      </c>
      <c r="E60" s="49"/>
      <c r="F60" s="405">
        <f>SUM(F58:F59)</f>
        <v>0</v>
      </c>
      <c r="G60" s="405"/>
      <c r="I60" s="405">
        <f t="shared" si="3"/>
        <v>0</v>
      </c>
      <c r="J60" s="405">
        <f>+I60-F60</f>
        <v>0</v>
      </c>
      <c r="K60" s="244">
        <f t="shared" si="0"/>
        <v>55</v>
      </c>
    </row>
    <row r="61" spans="1:11" ht="13.5" thickTop="1">
      <c r="A61" s="168">
        <f t="shared" si="1"/>
        <v>561</v>
      </c>
      <c r="B61" s="154"/>
      <c r="C61" s="49"/>
      <c r="D61" s="49"/>
      <c r="E61" s="49"/>
      <c r="F61" s="404"/>
      <c r="G61" s="404"/>
      <c r="I61" s="404">
        <f t="shared" si="3"/>
        <v>0</v>
      </c>
      <c r="J61" s="404"/>
      <c r="K61" s="244">
        <f t="shared" si="0"/>
        <v>56</v>
      </c>
    </row>
    <row r="62" spans="1:11">
      <c r="A62" s="168">
        <f t="shared" si="1"/>
        <v>562</v>
      </c>
      <c r="B62" s="154" t="s">
        <v>689</v>
      </c>
      <c r="C62" s="49" t="s">
        <v>704</v>
      </c>
      <c r="D62" s="49"/>
      <c r="E62" s="49"/>
      <c r="F62" s="404"/>
      <c r="G62" s="404"/>
      <c r="I62" s="404">
        <f t="shared" si="3"/>
        <v>0</v>
      </c>
      <c r="J62" s="404"/>
      <c r="K62" s="244">
        <f t="shared" si="0"/>
        <v>57</v>
      </c>
    </row>
    <row r="63" spans="1:11">
      <c r="A63" s="168">
        <f t="shared" si="1"/>
        <v>563</v>
      </c>
      <c r="B63" s="154"/>
      <c r="C63" s="49"/>
      <c r="D63" s="49" t="s">
        <v>13</v>
      </c>
      <c r="E63" s="49"/>
      <c r="F63" s="404">
        <f>[14]EXPENSES.XNV!S62</f>
        <v>1280667.5965049998</v>
      </c>
      <c r="G63" s="404"/>
      <c r="I63" s="404">
        <f t="shared" si="3"/>
        <v>1280667.5965049998</v>
      </c>
      <c r="J63" s="404">
        <f>+I63-F63</f>
        <v>0</v>
      </c>
      <c r="K63" s="244">
        <f t="shared" si="0"/>
        <v>58</v>
      </c>
    </row>
    <row r="64" spans="1:11">
      <c r="A64" s="168">
        <f t="shared" si="1"/>
        <v>564</v>
      </c>
      <c r="B64" s="154"/>
      <c r="C64" s="49"/>
      <c r="D64" s="49" t="s">
        <v>24</v>
      </c>
      <c r="E64" s="49"/>
      <c r="F64" s="404">
        <f>[14]EXPENSES.XNV!S63</f>
        <v>47189.803495000058</v>
      </c>
      <c r="G64" s="404"/>
      <c r="I64" s="404">
        <f t="shared" si="3"/>
        <v>47189.803495000058</v>
      </c>
      <c r="J64" s="404">
        <f>+I64-F64</f>
        <v>0</v>
      </c>
      <c r="K64" s="244">
        <f t="shared" si="0"/>
        <v>59</v>
      </c>
    </row>
    <row r="65" spans="1:11" ht="13.5" thickBot="1">
      <c r="A65" s="168">
        <f t="shared" si="1"/>
        <v>565</v>
      </c>
      <c r="B65" s="154"/>
      <c r="C65" s="49"/>
      <c r="D65" s="49" t="s">
        <v>160</v>
      </c>
      <c r="E65" s="49"/>
      <c r="F65" s="405">
        <f>SUM(F63:F64)</f>
        <v>1327857.3999999999</v>
      </c>
      <c r="G65" s="405"/>
      <c r="I65" s="405">
        <f t="shared" si="3"/>
        <v>1327857.3999999999</v>
      </c>
      <c r="J65" s="405">
        <f>+I65-F65</f>
        <v>0</v>
      </c>
      <c r="K65" s="244">
        <f t="shared" si="0"/>
        <v>60</v>
      </c>
    </row>
    <row r="66" spans="1:11" ht="13.5" thickTop="1">
      <c r="A66" s="168">
        <f t="shared" si="1"/>
        <v>566</v>
      </c>
      <c r="B66" s="154"/>
      <c r="C66" s="49"/>
      <c r="D66" s="49"/>
      <c r="E66" s="49"/>
      <c r="F66" s="404"/>
      <c r="G66" s="404"/>
      <c r="I66" s="404">
        <f t="shared" si="3"/>
        <v>0</v>
      </c>
      <c r="J66" s="404"/>
      <c r="K66" s="244">
        <f t="shared" si="0"/>
        <v>61</v>
      </c>
    </row>
    <row r="67" spans="1:11">
      <c r="A67" s="168">
        <f t="shared" si="1"/>
        <v>567</v>
      </c>
      <c r="B67" s="154">
        <v>805</v>
      </c>
      <c r="C67" s="49" t="s">
        <v>707</v>
      </c>
      <c r="D67" s="49"/>
      <c r="E67" s="49"/>
      <c r="F67" s="404"/>
      <c r="G67" s="404"/>
      <c r="I67" s="404">
        <f t="shared" si="3"/>
        <v>0</v>
      </c>
      <c r="J67" s="404"/>
      <c r="K67" s="244">
        <f t="shared" si="0"/>
        <v>62</v>
      </c>
    </row>
    <row r="68" spans="1:11">
      <c r="A68" s="168">
        <f t="shared" si="1"/>
        <v>568</v>
      </c>
      <c r="B68" s="154"/>
      <c r="C68" s="49"/>
      <c r="D68" s="49" t="s">
        <v>13</v>
      </c>
      <c r="E68" s="49"/>
      <c r="F68" s="404">
        <f>[14]EXPENSES.XNV!S67</f>
        <v>0</v>
      </c>
      <c r="G68" s="404"/>
      <c r="I68" s="404">
        <f t="shared" si="3"/>
        <v>0</v>
      </c>
      <c r="J68" s="404">
        <f>+I68-F68</f>
        <v>0</v>
      </c>
      <c r="K68" s="244">
        <f t="shared" si="0"/>
        <v>63</v>
      </c>
    </row>
    <row r="69" spans="1:11">
      <c r="A69" s="168">
        <f t="shared" si="1"/>
        <v>569</v>
      </c>
      <c r="B69" s="154"/>
      <c r="C69" s="49"/>
      <c r="D69" s="49" t="s">
        <v>24</v>
      </c>
      <c r="E69" s="49"/>
      <c r="F69" s="404">
        <f>[14]EXPENSES.XNV!S68</f>
        <v>0</v>
      </c>
      <c r="G69" s="404"/>
      <c r="I69" s="404">
        <f t="shared" si="3"/>
        <v>0</v>
      </c>
      <c r="J69" s="404">
        <f>+I69-F69</f>
        <v>0</v>
      </c>
      <c r="K69" s="244">
        <f t="shared" si="0"/>
        <v>64</v>
      </c>
    </row>
    <row r="70" spans="1:11" ht="13.5" thickBot="1">
      <c r="A70" s="168">
        <f t="shared" si="1"/>
        <v>570</v>
      </c>
      <c r="B70" s="154"/>
      <c r="C70" s="49"/>
      <c r="D70" s="49" t="s">
        <v>160</v>
      </c>
      <c r="E70" s="49"/>
      <c r="F70" s="405">
        <f>SUM(F68:F69)</f>
        <v>0</v>
      </c>
      <c r="G70" s="405"/>
      <c r="I70" s="405">
        <f t="shared" si="3"/>
        <v>0</v>
      </c>
      <c r="J70" s="405">
        <f>+I70-F70</f>
        <v>0</v>
      </c>
      <c r="K70" s="244">
        <f t="shared" si="0"/>
        <v>65</v>
      </c>
    </row>
    <row r="71" spans="1:11" ht="13.5" thickTop="1">
      <c r="A71" s="168">
        <f t="shared" si="1"/>
        <v>571</v>
      </c>
      <c r="B71" s="154"/>
      <c r="C71" s="49"/>
      <c r="D71" s="49"/>
      <c r="E71" s="49"/>
      <c r="F71" s="404"/>
      <c r="G71" s="404"/>
      <c r="I71" s="404">
        <f t="shared" si="3"/>
        <v>0</v>
      </c>
      <c r="J71" s="404"/>
      <c r="K71" s="244">
        <f t="shared" si="0"/>
        <v>66</v>
      </c>
    </row>
    <row r="72" spans="1:11">
      <c r="A72" s="168">
        <f t="shared" si="1"/>
        <v>572</v>
      </c>
      <c r="B72" s="154" t="s">
        <v>690</v>
      </c>
      <c r="C72" s="49" t="s">
        <v>710</v>
      </c>
      <c r="D72" s="49"/>
      <c r="E72" s="49"/>
      <c r="F72" s="404"/>
      <c r="G72" s="404"/>
      <c r="I72" s="404">
        <f t="shared" si="3"/>
        <v>0</v>
      </c>
      <c r="J72" s="404"/>
      <c r="K72" s="244">
        <f t="shared" ref="K72:K135" si="4">+K71+1</f>
        <v>67</v>
      </c>
    </row>
    <row r="73" spans="1:11">
      <c r="A73" s="168">
        <f t="shared" si="1"/>
        <v>573</v>
      </c>
      <c r="B73" s="154"/>
      <c r="C73" s="49"/>
      <c r="D73" s="49" t="s">
        <v>13</v>
      </c>
      <c r="E73" s="49"/>
      <c r="F73" s="404">
        <f>[14]EXPENSES.XNV!S72</f>
        <v>-6988002.4825362936</v>
      </c>
      <c r="G73" s="404"/>
      <c r="I73" s="404">
        <f t="shared" si="3"/>
        <v>-6988002.4825362936</v>
      </c>
      <c r="J73" s="404">
        <f>+I73-F73</f>
        <v>0</v>
      </c>
      <c r="K73" s="244">
        <f t="shared" si="4"/>
        <v>68</v>
      </c>
    </row>
    <row r="74" spans="1:11">
      <c r="A74" s="168">
        <f t="shared" si="1"/>
        <v>574</v>
      </c>
      <c r="B74" s="154"/>
      <c r="C74" s="49"/>
      <c r="D74" s="49" t="s">
        <v>24</v>
      </c>
      <c r="E74" s="49"/>
      <c r="F74" s="404">
        <f>[14]EXPENSES.XNV!S73</f>
        <v>-333710.48746370198</v>
      </c>
      <c r="G74" s="404"/>
      <c r="I74" s="404">
        <f t="shared" si="3"/>
        <v>-333710.48746370198</v>
      </c>
      <c r="J74" s="404">
        <f>+I74-F74</f>
        <v>0</v>
      </c>
      <c r="K74" s="244">
        <f t="shared" si="4"/>
        <v>69</v>
      </c>
    </row>
    <row r="75" spans="1:11" ht="13.5" thickBot="1">
      <c r="A75" s="168">
        <f t="shared" si="1"/>
        <v>575</v>
      </c>
      <c r="B75" s="154"/>
      <c r="C75" s="49"/>
      <c r="D75" s="49" t="s">
        <v>160</v>
      </c>
      <c r="E75" s="49"/>
      <c r="F75" s="405">
        <f>SUM(F73:F74)</f>
        <v>-7321712.9699999951</v>
      </c>
      <c r="G75" s="405"/>
      <c r="I75" s="405">
        <f t="shared" si="3"/>
        <v>-7321712.9699999951</v>
      </c>
      <c r="J75" s="405">
        <f>+I75-F75</f>
        <v>0</v>
      </c>
      <c r="K75" s="244">
        <f t="shared" si="4"/>
        <v>70</v>
      </c>
    </row>
    <row r="76" spans="1:11" ht="13.5" thickTop="1">
      <c r="A76" s="168">
        <f t="shared" ref="A76:A139" si="5">+A75+1</f>
        <v>576</v>
      </c>
      <c r="B76" s="154"/>
      <c r="C76" s="49"/>
      <c r="D76" s="49"/>
      <c r="E76" s="49"/>
      <c r="F76" s="404"/>
      <c r="G76" s="404"/>
      <c r="I76" s="404">
        <f t="shared" si="3"/>
        <v>0</v>
      </c>
      <c r="J76" s="404"/>
      <c r="K76" s="244">
        <f t="shared" si="4"/>
        <v>71</v>
      </c>
    </row>
    <row r="77" spans="1:11">
      <c r="A77" s="168">
        <f t="shared" si="5"/>
        <v>577</v>
      </c>
      <c r="B77" s="154">
        <v>806</v>
      </c>
      <c r="C77" s="49" t="s">
        <v>345</v>
      </c>
      <c r="D77" s="49"/>
      <c r="E77" s="49"/>
      <c r="F77" s="404"/>
      <c r="G77" s="404"/>
      <c r="I77" s="404">
        <f t="shared" si="3"/>
        <v>0</v>
      </c>
      <c r="J77" s="404"/>
      <c r="K77" s="244">
        <f t="shared" si="4"/>
        <v>72</v>
      </c>
    </row>
    <row r="78" spans="1:11">
      <c r="A78" s="168">
        <f t="shared" si="5"/>
        <v>578</v>
      </c>
      <c r="B78" s="154"/>
      <c r="C78" s="49"/>
      <c r="D78" s="49" t="s">
        <v>13</v>
      </c>
      <c r="E78" s="49"/>
      <c r="F78" s="404">
        <f>[14]EXPENSES.XNV!S77</f>
        <v>0</v>
      </c>
      <c r="G78" s="404"/>
      <c r="I78" s="404">
        <f t="shared" si="3"/>
        <v>0</v>
      </c>
      <c r="J78" s="404">
        <f>+I78-F78</f>
        <v>0</v>
      </c>
      <c r="K78" s="244">
        <f t="shared" si="4"/>
        <v>73</v>
      </c>
    </row>
    <row r="79" spans="1:11">
      <c r="A79" s="168">
        <f t="shared" si="5"/>
        <v>579</v>
      </c>
      <c r="B79" s="154"/>
      <c r="C79" s="49"/>
      <c r="D79" s="49" t="s">
        <v>24</v>
      </c>
      <c r="E79" s="49"/>
      <c r="F79" s="404">
        <f>[14]EXPENSES.XNV!S78</f>
        <v>0</v>
      </c>
      <c r="G79" s="404"/>
      <c r="I79" s="404">
        <f t="shared" si="3"/>
        <v>0</v>
      </c>
      <c r="J79" s="404">
        <f>+I79-F79</f>
        <v>0</v>
      </c>
      <c r="K79" s="244">
        <f t="shared" si="4"/>
        <v>74</v>
      </c>
    </row>
    <row r="80" spans="1:11" ht="13.5" thickBot="1">
      <c r="A80" s="168">
        <f t="shared" si="5"/>
        <v>580</v>
      </c>
      <c r="B80" s="154"/>
      <c r="C80" s="49"/>
      <c r="D80" s="49" t="s">
        <v>160</v>
      </c>
      <c r="E80" s="49"/>
      <c r="F80" s="405">
        <f>SUM(F78:F79)</f>
        <v>0</v>
      </c>
      <c r="G80" s="405"/>
      <c r="I80" s="405">
        <f t="shared" ref="I80:I111" si="6">HLOOKUP($I$6,EXPENSESCENARIO,K80,FALSE)</f>
        <v>0</v>
      </c>
      <c r="J80" s="405">
        <f>+I80-F80</f>
        <v>0</v>
      </c>
      <c r="K80" s="244">
        <f t="shared" si="4"/>
        <v>75</v>
      </c>
    </row>
    <row r="81" spans="1:11" ht="13.5" thickTop="1">
      <c r="A81" s="168">
        <f t="shared" si="5"/>
        <v>581</v>
      </c>
      <c r="B81" s="154"/>
      <c r="C81" s="49"/>
      <c r="D81" s="49"/>
      <c r="E81" s="49"/>
      <c r="F81" s="404"/>
      <c r="G81" s="404"/>
      <c r="I81" s="404">
        <f t="shared" si="6"/>
        <v>0</v>
      </c>
      <c r="J81" s="404"/>
      <c r="K81" s="244">
        <f t="shared" si="4"/>
        <v>76</v>
      </c>
    </row>
    <row r="82" spans="1:11">
      <c r="A82" s="168">
        <f t="shared" si="5"/>
        <v>582</v>
      </c>
      <c r="B82" s="154" t="s">
        <v>691</v>
      </c>
      <c r="C82" s="49" t="s">
        <v>711</v>
      </c>
      <c r="D82" s="49"/>
      <c r="E82" s="49"/>
      <c r="F82" s="404"/>
      <c r="G82" s="404"/>
      <c r="I82" s="404">
        <f t="shared" si="6"/>
        <v>0</v>
      </c>
      <c r="J82" s="404"/>
      <c r="K82" s="244">
        <f t="shared" si="4"/>
        <v>77</v>
      </c>
    </row>
    <row r="83" spans="1:11">
      <c r="A83" s="168">
        <f t="shared" si="5"/>
        <v>583</v>
      </c>
      <c r="B83" s="154"/>
      <c r="C83" s="49"/>
      <c r="D83" s="49" t="s">
        <v>13</v>
      </c>
      <c r="E83" s="49"/>
      <c r="F83" s="404">
        <f>[14]EXPENSES.XNV!S82</f>
        <v>70911454.520070195</v>
      </c>
      <c r="G83" s="404"/>
      <c r="I83" s="404">
        <f t="shared" si="6"/>
        <v>70911454.520070195</v>
      </c>
      <c r="J83" s="404">
        <f>+I83-F83</f>
        <v>0</v>
      </c>
      <c r="K83" s="244">
        <f t="shared" si="4"/>
        <v>78</v>
      </c>
    </row>
    <row r="84" spans="1:11">
      <c r="A84" s="168">
        <f t="shared" si="5"/>
        <v>584</v>
      </c>
      <c r="B84" s="154"/>
      <c r="C84" s="49"/>
      <c r="D84" s="49" t="s">
        <v>24</v>
      </c>
      <c r="E84" s="49"/>
      <c r="F84" s="404">
        <f>[14]EXPENSES.XNV!S83</f>
        <v>2569744.0599297993</v>
      </c>
      <c r="G84" s="404"/>
      <c r="I84" s="404">
        <f t="shared" si="6"/>
        <v>2569744.0599297993</v>
      </c>
      <c r="J84" s="404">
        <f>+I84-F84</f>
        <v>0</v>
      </c>
      <c r="K84" s="244">
        <f t="shared" si="4"/>
        <v>79</v>
      </c>
    </row>
    <row r="85" spans="1:11" ht="13.5" thickBot="1">
      <c r="A85" s="168">
        <f t="shared" si="5"/>
        <v>585</v>
      </c>
      <c r="B85" s="154"/>
      <c r="C85" s="49"/>
      <c r="D85" s="49" t="s">
        <v>160</v>
      </c>
      <c r="E85" s="49"/>
      <c r="F85" s="405">
        <f>SUM(F83:F84)</f>
        <v>73481198.579999998</v>
      </c>
      <c r="G85" s="405"/>
      <c r="I85" s="405">
        <f t="shared" si="6"/>
        <v>73481198.579999998</v>
      </c>
      <c r="J85" s="405">
        <f>+I85-F85</f>
        <v>0</v>
      </c>
      <c r="K85" s="244">
        <f t="shared" si="4"/>
        <v>80</v>
      </c>
    </row>
    <row r="86" spans="1:11" ht="13.5" thickTop="1">
      <c r="A86" s="168">
        <f t="shared" si="5"/>
        <v>586</v>
      </c>
      <c r="B86" s="154"/>
      <c r="C86" s="49"/>
      <c r="D86" s="49"/>
      <c r="E86" s="49"/>
      <c r="F86" s="404"/>
      <c r="G86" s="404"/>
      <c r="I86" s="404">
        <f t="shared" si="6"/>
        <v>0</v>
      </c>
      <c r="J86" s="404"/>
      <c r="K86" s="244">
        <f t="shared" si="4"/>
        <v>81</v>
      </c>
    </row>
    <row r="87" spans="1:11">
      <c r="A87" s="168">
        <f t="shared" si="5"/>
        <v>587</v>
      </c>
      <c r="B87" s="154" t="s">
        <v>692</v>
      </c>
      <c r="C87" s="49" t="s">
        <v>347</v>
      </c>
      <c r="D87" s="49"/>
      <c r="E87" s="49"/>
      <c r="F87" s="404"/>
      <c r="G87" s="404"/>
      <c r="I87" s="404">
        <f t="shared" si="6"/>
        <v>0</v>
      </c>
      <c r="J87" s="404"/>
      <c r="K87" s="244">
        <f t="shared" si="4"/>
        <v>82</v>
      </c>
    </row>
    <row r="88" spans="1:11">
      <c r="A88" s="168">
        <f t="shared" si="5"/>
        <v>588</v>
      </c>
      <c r="B88" s="154"/>
      <c r="C88" s="49"/>
      <c r="D88" s="49" t="s">
        <v>13</v>
      </c>
      <c r="E88" s="49"/>
      <c r="F88" s="404">
        <f>[14]EXPENSES.XNV!S87</f>
        <v>-74590296.669899002</v>
      </c>
      <c r="G88" s="404"/>
      <c r="I88" s="404">
        <f t="shared" si="6"/>
        <v>-74590296.669899002</v>
      </c>
      <c r="J88" s="404">
        <f>+I88-F88</f>
        <v>0</v>
      </c>
      <c r="K88" s="244">
        <f t="shared" si="4"/>
        <v>83</v>
      </c>
    </row>
    <row r="89" spans="1:11">
      <c r="A89" s="168">
        <f t="shared" si="5"/>
        <v>589</v>
      </c>
      <c r="B89" s="154"/>
      <c r="C89" s="49"/>
      <c r="D89" s="49" t="s">
        <v>24</v>
      </c>
      <c r="E89" s="49"/>
      <c r="F89" s="404">
        <f>[14]EXPENSES.XNV!S88</f>
        <v>-2447988.1101010013</v>
      </c>
      <c r="G89" s="404"/>
      <c r="I89" s="404">
        <f t="shared" si="6"/>
        <v>-2447988.1101010013</v>
      </c>
      <c r="J89" s="404">
        <f>+I89-F89</f>
        <v>0</v>
      </c>
      <c r="K89" s="244">
        <f t="shared" si="4"/>
        <v>84</v>
      </c>
    </row>
    <row r="90" spans="1:11" ht="13.5" thickBot="1">
      <c r="A90" s="168">
        <f t="shared" si="5"/>
        <v>590</v>
      </c>
      <c r="B90" s="154"/>
      <c r="C90" s="49"/>
      <c r="D90" s="49" t="s">
        <v>160</v>
      </c>
      <c r="E90" s="49"/>
      <c r="F90" s="405">
        <f>SUM(F88:F89)</f>
        <v>-77038284.780000001</v>
      </c>
      <c r="G90" s="405"/>
      <c r="I90" s="405">
        <f t="shared" si="6"/>
        <v>-77038284.780000001</v>
      </c>
      <c r="J90" s="405">
        <f>+I90-F90</f>
        <v>0</v>
      </c>
      <c r="K90" s="244">
        <f t="shared" si="4"/>
        <v>85</v>
      </c>
    </row>
    <row r="91" spans="1:11" ht="13.5" thickTop="1">
      <c r="A91" s="168">
        <f t="shared" si="5"/>
        <v>591</v>
      </c>
      <c r="B91" s="154"/>
      <c r="C91" s="49"/>
      <c r="D91" s="49"/>
      <c r="E91" s="49"/>
      <c r="F91" s="404"/>
      <c r="G91" s="404"/>
      <c r="I91" s="404">
        <f t="shared" si="6"/>
        <v>0</v>
      </c>
      <c r="J91" s="404"/>
      <c r="K91" s="244">
        <f t="shared" si="4"/>
        <v>86</v>
      </c>
    </row>
    <row r="92" spans="1:11">
      <c r="A92" s="168">
        <f t="shared" si="5"/>
        <v>592</v>
      </c>
      <c r="B92" s="154" t="s">
        <v>693</v>
      </c>
      <c r="C92" s="49" t="s">
        <v>345</v>
      </c>
      <c r="D92" s="49"/>
      <c r="E92" s="49"/>
      <c r="F92" s="404"/>
      <c r="G92" s="404"/>
      <c r="I92" s="404">
        <f t="shared" si="6"/>
        <v>0</v>
      </c>
      <c r="J92" s="404"/>
      <c r="K92" s="244">
        <f t="shared" si="4"/>
        <v>87</v>
      </c>
    </row>
    <row r="93" spans="1:11">
      <c r="A93" s="168">
        <f t="shared" si="5"/>
        <v>593</v>
      </c>
      <c r="B93" s="154"/>
      <c r="C93" s="49"/>
      <c r="D93" s="49" t="s">
        <v>13</v>
      </c>
      <c r="E93" s="49"/>
      <c r="F93" s="404">
        <f>[14]EXPENSES.XNV!S92</f>
        <v>3829995.61668</v>
      </c>
      <c r="G93" s="404"/>
      <c r="I93" s="404">
        <f t="shared" si="6"/>
        <v>3829995.61668</v>
      </c>
      <c r="J93" s="404">
        <f>+I93-F93</f>
        <v>0</v>
      </c>
      <c r="K93" s="244">
        <f t="shared" si="4"/>
        <v>88</v>
      </c>
    </row>
    <row r="94" spans="1:11">
      <c r="A94" s="168">
        <f t="shared" si="5"/>
        <v>594</v>
      </c>
      <c r="B94" s="154"/>
      <c r="C94" s="49"/>
      <c r="D94" s="49" t="s">
        <v>24</v>
      </c>
      <c r="E94" s="49"/>
      <c r="F94" s="404">
        <f>[14]EXPENSES.XNV!S93</f>
        <v>138806.38331999991</v>
      </c>
      <c r="G94" s="404"/>
      <c r="I94" s="404">
        <f t="shared" si="6"/>
        <v>138806.38331999991</v>
      </c>
      <c r="J94" s="404">
        <f>+I94-F94</f>
        <v>0</v>
      </c>
      <c r="K94" s="244">
        <f t="shared" si="4"/>
        <v>89</v>
      </c>
    </row>
    <row r="95" spans="1:11" ht="13.5" thickBot="1">
      <c r="A95" s="168">
        <f t="shared" si="5"/>
        <v>595</v>
      </c>
      <c r="B95" s="154"/>
      <c r="C95" s="49"/>
      <c r="D95" s="49" t="s">
        <v>160</v>
      </c>
      <c r="E95" s="49"/>
      <c r="F95" s="405">
        <f>SUM(F93:F94)</f>
        <v>3968802</v>
      </c>
      <c r="G95" s="405"/>
      <c r="I95" s="405">
        <f t="shared" si="6"/>
        <v>3968802</v>
      </c>
      <c r="J95" s="405">
        <f>+I95-F95</f>
        <v>0</v>
      </c>
      <c r="K95" s="244">
        <f t="shared" si="4"/>
        <v>90</v>
      </c>
    </row>
    <row r="96" spans="1:11" ht="13.5" thickTop="1">
      <c r="A96" s="168">
        <f t="shared" si="5"/>
        <v>596</v>
      </c>
      <c r="B96" s="154"/>
      <c r="C96" s="49"/>
      <c r="D96" s="49"/>
      <c r="E96" s="49"/>
      <c r="F96" s="404"/>
      <c r="G96" s="404"/>
      <c r="I96" s="404">
        <f t="shared" si="6"/>
        <v>0</v>
      </c>
      <c r="J96" s="404"/>
      <c r="K96" s="244">
        <f t="shared" si="4"/>
        <v>91</v>
      </c>
    </row>
    <row r="97" spans="1:11">
      <c r="A97" s="168">
        <f t="shared" si="5"/>
        <v>597</v>
      </c>
      <c r="B97" s="154">
        <v>813</v>
      </c>
      <c r="C97" s="49" t="s">
        <v>348</v>
      </c>
      <c r="D97" s="49"/>
      <c r="E97" s="49"/>
      <c r="F97" s="404"/>
      <c r="G97" s="404"/>
      <c r="I97" s="404">
        <f t="shared" si="6"/>
        <v>0</v>
      </c>
      <c r="J97" s="404"/>
      <c r="K97" s="244">
        <f t="shared" si="4"/>
        <v>92</v>
      </c>
    </row>
    <row r="98" spans="1:11">
      <c r="A98" s="168">
        <f t="shared" si="5"/>
        <v>598</v>
      </c>
      <c r="B98" s="154"/>
      <c r="C98" s="49"/>
      <c r="D98" s="49" t="s">
        <v>13</v>
      </c>
      <c r="E98" s="49"/>
      <c r="F98" s="404">
        <f>[14]EXPENSES.XNV!S97</f>
        <v>310247092.58867115</v>
      </c>
      <c r="G98" s="404"/>
      <c r="I98" s="404">
        <f t="shared" si="6"/>
        <v>310247092.58867115</v>
      </c>
      <c r="J98" s="404">
        <f>+I98-F98</f>
        <v>0</v>
      </c>
      <c r="K98" s="244">
        <f t="shared" si="4"/>
        <v>93</v>
      </c>
    </row>
    <row r="99" spans="1:11">
      <c r="A99" s="168">
        <f t="shared" si="5"/>
        <v>599</v>
      </c>
      <c r="B99" s="154"/>
      <c r="C99" s="49"/>
      <c r="D99" s="49" t="s">
        <v>24</v>
      </c>
      <c r="E99" s="49"/>
      <c r="F99" s="404">
        <f>[14]EXPENSES.XNV!S98</f>
        <v>11198142.051328894</v>
      </c>
      <c r="G99" s="404"/>
      <c r="I99" s="404">
        <f t="shared" si="6"/>
        <v>11198142.051328894</v>
      </c>
      <c r="J99" s="404">
        <f>+I99-F99</f>
        <v>0</v>
      </c>
      <c r="K99" s="244">
        <f t="shared" si="4"/>
        <v>94</v>
      </c>
    </row>
    <row r="100" spans="1:11" ht="13.5" thickBot="1">
      <c r="A100" s="168">
        <f t="shared" si="5"/>
        <v>600</v>
      </c>
      <c r="B100" s="154"/>
      <c r="C100" s="49"/>
      <c r="D100" s="49" t="s">
        <v>160</v>
      </c>
      <c r="E100" s="49"/>
      <c r="F100" s="405">
        <f>SUM(F98:F99)</f>
        <v>321445234.64000005</v>
      </c>
      <c r="G100" s="405"/>
      <c r="I100" s="405">
        <f t="shared" si="6"/>
        <v>321445234.64000005</v>
      </c>
      <c r="J100" s="405">
        <f>+I100-F100</f>
        <v>0</v>
      </c>
      <c r="K100" s="244">
        <f t="shared" si="4"/>
        <v>95</v>
      </c>
    </row>
    <row r="101" spans="1:11" ht="13.5" thickTop="1">
      <c r="A101" s="168">
        <f t="shared" si="5"/>
        <v>601</v>
      </c>
      <c r="B101" s="154"/>
      <c r="C101" s="49"/>
      <c r="D101" s="49"/>
      <c r="E101" s="49"/>
      <c r="F101" s="404"/>
      <c r="G101" s="404"/>
      <c r="I101" s="404">
        <f t="shared" si="6"/>
        <v>0</v>
      </c>
      <c r="J101" s="404"/>
      <c r="K101" s="244">
        <f t="shared" si="4"/>
        <v>96</v>
      </c>
    </row>
    <row r="102" spans="1:11">
      <c r="A102" s="168">
        <f t="shared" si="5"/>
        <v>602</v>
      </c>
      <c r="B102" s="154">
        <v>813</v>
      </c>
      <c r="C102" s="49" t="s">
        <v>349</v>
      </c>
      <c r="D102" s="49"/>
      <c r="E102" s="49"/>
      <c r="F102" s="404"/>
      <c r="G102" s="404"/>
      <c r="I102" s="404">
        <f t="shared" si="6"/>
        <v>0</v>
      </c>
      <c r="J102" s="404"/>
      <c r="K102" s="244">
        <f t="shared" si="4"/>
        <v>97</v>
      </c>
    </row>
    <row r="103" spans="1:11">
      <c r="A103" s="168">
        <f t="shared" si="5"/>
        <v>603</v>
      </c>
      <c r="B103" s="154"/>
      <c r="C103" s="49"/>
      <c r="D103" s="49" t="s">
        <v>13</v>
      </c>
      <c r="E103" s="49"/>
      <c r="F103" s="404">
        <f>[14]EXPENSES.XNV!S102</f>
        <v>0</v>
      </c>
      <c r="G103" s="404"/>
      <c r="I103" s="404">
        <f t="shared" si="6"/>
        <v>0</v>
      </c>
      <c r="J103" s="404">
        <f>+I103-F103</f>
        <v>0</v>
      </c>
      <c r="K103" s="244">
        <f t="shared" si="4"/>
        <v>98</v>
      </c>
    </row>
    <row r="104" spans="1:11">
      <c r="A104" s="168">
        <f t="shared" si="5"/>
        <v>604</v>
      </c>
      <c r="B104" s="154"/>
      <c r="C104" s="49"/>
      <c r="D104" s="49" t="s">
        <v>24</v>
      </c>
      <c r="E104" s="49"/>
      <c r="F104" s="404">
        <f>[14]EXPENSES.XNV!S103</f>
        <v>0</v>
      </c>
      <c r="G104" s="404"/>
      <c r="I104" s="404">
        <f t="shared" si="6"/>
        <v>0</v>
      </c>
      <c r="J104" s="404">
        <f>+I104-F104</f>
        <v>0</v>
      </c>
      <c r="K104" s="244">
        <f t="shared" si="4"/>
        <v>99</v>
      </c>
    </row>
    <row r="105" spans="1:11" ht="13.5" thickBot="1">
      <c r="A105" s="168">
        <f t="shared" si="5"/>
        <v>605</v>
      </c>
      <c r="B105" s="154"/>
      <c r="C105" s="49"/>
      <c r="D105" s="49" t="s">
        <v>160</v>
      </c>
      <c r="E105" s="49"/>
      <c r="F105" s="405">
        <f>SUM(F103:F104)</f>
        <v>0</v>
      </c>
      <c r="G105" s="405"/>
      <c r="I105" s="405">
        <f t="shared" si="6"/>
        <v>0</v>
      </c>
      <c r="J105" s="405">
        <f>+I105-F105</f>
        <v>0</v>
      </c>
      <c r="K105" s="244">
        <f t="shared" si="4"/>
        <v>100</v>
      </c>
    </row>
    <row r="106" spans="1:11" ht="13.5" thickTop="1">
      <c r="A106" s="168">
        <f t="shared" si="5"/>
        <v>606</v>
      </c>
      <c r="B106" s="154"/>
      <c r="C106" s="49"/>
      <c r="D106" s="49"/>
      <c r="E106" s="49"/>
      <c r="F106" s="404"/>
      <c r="G106" s="404"/>
      <c r="I106" s="404">
        <f t="shared" si="6"/>
        <v>0</v>
      </c>
      <c r="J106" s="404"/>
      <c r="K106" s="244">
        <f t="shared" si="4"/>
        <v>101</v>
      </c>
    </row>
    <row r="107" spans="1:11">
      <c r="A107" s="168">
        <f t="shared" si="5"/>
        <v>607</v>
      </c>
      <c r="B107" s="154" t="s">
        <v>694</v>
      </c>
      <c r="C107" s="49" t="s">
        <v>350</v>
      </c>
      <c r="D107" s="49"/>
      <c r="E107" s="49"/>
      <c r="F107" s="404"/>
      <c r="G107" s="404"/>
      <c r="I107" s="404">
        <f t="shared" si="6"/>
        <v>0</v>
      </c>
      <c r="J107" s="404"/>
      <c r="K107" s="244">
        <f t="shared" si="4"/>
        <v>102</v>
      </c>
    </row>
    <row r="108" spans="1:11">
      <c r="A108" s="168">
        <f t="shared" si="5"/>
        <v>608</v>
      </c>
      <c r="B108" s="154"/>
      <c r="C108" s="49"/>
      <c r="D108" s="49" t="s">
        <v>13</v>
      </c>
      <c r="E108" s="49"/>
      <c r="F108" s="404">
        <f>[14]EXPENSES.XNV!S107</f>
        <v>0</v>
      </c>
      <c r="G108" s="404"/>
      <c r="I108" s="404">
        <f t="shared" si="6"/>
        <v>0</v>
      </c>
      <c r="J108" s="404">
        <f>+I108-F108</f>
        <v>0</v>
      </c>
      <c r="K108" s="244">
        <f t="shared" si="4"/>
        <v>103</v>
      </c>
    </row>
    <row r="109" spans="1:11">
      <c r="A109" s="168">
        <f t="shared" si="5"/>
        <v>609</v>
      </c>
      <c r="B109" s="154"/>
      <c r="C109" s="49"/>
      <c r="D109" s="49" t="s">
        <v>24</v>
      </c>
      <c r="E109" s="49"/>
      <c r="F109" s="404">
        <f>[14]EXPENSES.XNV!S108</f>
        <v>0</v>
      </c>
      <c r="G109" s="404"/>
      <c r="I109" s="404">
        <f t="shared" si="6"/>
        <v>0</v>
      </c>
      <c r="J109" s="404">
        <f>+I109-F109</f>
        <v>0</v>
      </c>
      <c r="K109" s="244">
        <f t="shared" si="4"/>
        <v>104</v>
      </c>
    </row>
    <row r="110" spans="1:11" ht="13.5" thickBot="1">
      <c r="A110" s="168">
        <f t="shared" si="5"/>
        <v>610</v>
      </c>
      <c r="B110" s="154"/>
      <c r="C110" s="49"/>
      <c r="D110" s="49" t="s">
        <v>160</v>
      </c>
      <c r="E110" s="49"/>
      <c r="F110" s="405">
        <f>SUM(F108:F109)</f>
        <v>0</v>
      </c>
      <c r="G110" s="405"/>
      <c r="I110" s="405">
        <f t="shared" si="6"/>
        <v>0</v>
      </c>
      <c r="J110" s="405">
        <f>+I110-F110</f>
        <v>0</v>
      </c>
      <c r="K110" s="244">
        <f t="shared" si="4"/>
        <v>105</v>
      </c>
    </row>
    <row r="111" spans="1:11" ht="13.5" thickTop="1">
      <c r="A111" s="168">
        <f t="shared" si="5"/>
        <v>611</v>
      </c>
      <c r="B111" s="154"/>
      <c r="C111" s="49"/>
      <c r="D111" s="49"/>
      <c r="E111" s="49"/>
      <c r="F111" s="404"/>
      <c r="G111" s="404"/>
      <c r="I111" s="404">
        <f t="shared" si="6"/>
        <v>0</v>
      </c>
      <c r="J111" s="404"/>
      <c r="K111" s="244">
        <f t="shared" si="4"/>
        <v>106</v>
      </c>
    </row>
    <row r="112" spans="1:11">
      <c r="A112" s="168">
        <f t="shared" si="5"/>
        <v>612</v>
      </c>
      <c r="B112" s="154">
        <v>858</v>
      </c>
      <c r="C112" s="49" t="s">
        <v>351</v>
      </c>
      <c r="D112" s="49"/>
      <c r="E112" s="49"/>
      <c r="F112" s="404"/>
      <c r="G112" s="404"/>
      <c r="I112" s="404">
        <f t="shared" ref="I112:I132" si="7">HLOOKUP($I$6,EXPENSESCENARIO,K112,FALSE)</f>
        <v>0</v>
      </c>
      <c r="J112" s="404"/>
      <c r="K112" s="244">
        <f t="shared" si="4"/>
        <v>107</v>
      </c>
    </row>
    <row r="113" spans="1:11">
      <c r="A113" s="168">
        <f t="shared" si="5"/>
        <v>613</v>
      </c>
      <c r="B113" s="154"/>
      <c r="C113" s="49"/>
      <c r="D113" s="49" t="s">
        <v>13</v>
      </c>
      <c r="E113" s="49"/>
      <c r="F113" s="404">
        <f>[14]EXPENSES.XNV!S112</f>
        <v>66406271.801191397</v>
      </c>
      <c r="G113" s="404"/>
      <c r="I113" s="404">
        <f t="shared" si="7"/>
        <v>66406271.801191397</v>
      </c>
      <c r="J113" s="404">
        <f>+I113-F113</f>
        <v>0</v>
      </c>
      <c r="K113" s="244">
        <f t="shared" si="4"/>
        <v>108</v>
      </c>
    </row>
    <row r="114" spans="1:11">
      <c r="A114" s="168">
        <f t="shared" si="5"/>
        <v>614</v>
      </c>
      <c r="B114" s="154"/>
      <c r="C114" s="49"/>
      <c r="D114" s="49" t="s">
        <v>24</v>
      </c>
      <c r="E114" s="49"/>
      <c r="F114" s="404">
        <f>[14]EXPENSES.XNV!S113</f>
        <v>2404857.5888085989</v>
      </c>
      <c r="G114" s="404"/>
      <c r="I114" s="404">
        <f t="shared" si="7"/>
        <v>2404857.5888085989</v>
      </c>
      <c r="J114" s="404">
        <f>+I114-F114</f>
        <v>0</v>
      </c>
      <c r="K114" s="244">
        <f t="shared" si="4"/>
        <v>109</v>
      </c>
    </row>
    <row r="115" spans="1:11" ht="13.5" thickBot="1">
      <c r="A115" s="168">
        <f t="shared" si="5"/>
        <v>615</v>
      </c>
      <c r="B115" s="154"/>
      <c r="C115" s="49"/>
      <c r="D115" s="49" t="s">
        <v>160</v>
      </c>
      <c r="E115" s="49"/>
      <c r="F115" s="405">
        <f>SUM(F113:F114)</f>
        <v>68811129.390000001</v>
      </c>
      <c r="G115" s="405"/>
      <c r="I115" s="405">
        <f t="shared" si="7"/>
        <v>68811129.390000001</v>
      </c>
      <c r="J115" s="405">
        <f>+I115-F115</f>
        <v>0</v>
      </c>
      <c r="K115" s="244">
        <f t="shared" si="4"/>
        <v>110</v>
      </c>
    </row>
    <row r="116" spans="1:11" ht="13.5" thickTop="1">
      <c r="A116" s="168">
        <f t="shared" si="5"/>
        <v>616</v>
      </c>
      <c r="B116" s="154"/>
      <c r="C116" s="49"/>
      <c r="D116" s="49"/>
      <c r="E116" s="49"/>
      <c r="F116" s="404"/>
      <c r="G116" s="404"/>
      <c r="I116" s="404">
        <f t="shared" si="7"/>
        <v>0</v>
      </c>
      <c r="J116" s="404"/>
      <c r="K116" s="244">
        <f t="shared" si="4"/>
        <v>111</v>
      </c>
    </row>
    <row r="117" spans="1:11">
      <c r="A117" s="168">
        <f t="shared" si="5"/>
        <v>617</v>
      </c>
      <c r="B117" s="154">
        <v>858</v>
      </c>
      <c r="C117" s="49" t="s">
        <v>695</v>
      </c>
      <c r="D117" s="49"/>
      <c r="E117" s="49"/>
      <c r="F117" s="404"/>
      <c r="G117" s="404"/>
      <c r="I117" s="404">
        <f t="shared" si="7"/>
        <v>0</v>
      </c>
      <c r="J117" s="404"/>
      <c r="K117" s="244">
        <f t="shared" si="4"/>
        <v>112</v>
      </c>
    </row>
    <row r="118" spans="1:11">
      <c r="A118" s="168">
        <f t="shared" si="5"/>
        <v>618</v>
      </c>
      <c r="B118" s="153"/>
      <c r="C118" s="49"/>
      <c r="D118" s="49" t="s">
        <v>13</v>
      </c>
      <c r="E118" s="49"/>
      <c r="F118" s="404">
        <f>[14]EXPENSES.XNV!S117</f>
        <v>0</v>
      </c>
      <c r="G118" s="404"/>
      <c r="I118" s="404">
        <f t="shared" si="7"/>
        <v>0</v>
      </c>
      <c r="J118" s="404">
        <f>+I118-F118</f>
        <v>0</v>
      </c>
      <c r="K118" s="244">
        <f t="shared" si="4"/>
        <v>113</v>
      </c>
    </row>
    <row r="119" spans="1:11">
      <c r="A119" s="168">
        <f t="shared" si="5"/>
        <v>619</v>
      </c>
      <c r="B119" s="153"/>
      <c r="C119" s="49"/>
      <c r="D119" s="49" t="s">
        <v>24</v>
      </c>
      <c r="E119" s="49"/>
      <c r="F119" s="404">
        <f>[14]EXPENSES.XNV!S118</f>
        <v>0</v>
      </c>
      <c r="G119" s="404"/>
      <c r="I119" s="404">
        <f t="shared" si="7"/>
        <v>0</v>
      </c>
      <c r="J119" s="404">
        <f>+I119-F119</f>
        <v>0</v>
      </c>
      <c r="K119" s="244">
        <f t="shared" si="4"/>
        <v>114</v>
      </c>
    </row>
    <row r="120" spans="1:11" ht="13.5" thickBot="1">
      <c r="A120" s="168">
        <f t="shared" si="5"/>
        <v>620</v>
      </c>
      <c r="B120" s="153"/>
      <c r="C120" s="49"/>
      <c r="D120" s="49" t="s">
        <v>160</v>
      </c>
      <c r="E120" s="49"/>
      <c r="F120" s="405">
        <f>SUM(F118:F119)</f>
        <v>0</v>
      </c>
      <c r="G120" s="405"/>
      <c r="I120" s="405">
        <f t="shared" si="7"/>
        <v>0</v>
      </c>
      <c r="J120" s="405">
        <f>+I120-F120</f>
        <v>0</v>
      </c>
      <c r="K120" s="244">
        <f t="shared" si="4"/>
        <v>115</v>
      </c>
    </row>
    <row r="121" spans="1:11" ht="14.25" thickTop="1" thickBot="1">
      <c r="A121" s="168">
        <f t="shared" si="5"/>
        <v>621</v>
      </c>
      <c r="B121" s="153"/>
      <c r="C121" s="49"/>
      <c r="D121" s="49"/>
      <c r="E121" s="49"/>
      <c r="F121" s="406"/>
      <c r="G121" s="406"/>
      <c r="I121" s="406">
        <f t="shared" si="7"/>
        <v>0</v>
      </c>
      <c r="J121" s="406">
        <f>+I121-F121</f>
        <v>0</v>
      </c>
      <c r="K121" s="244">
        <f t="shared" si="4"/>
        <v>116</v>
      </c>
    </row>
    <row r="122" spans="1:11" ht="13.5" thickTop="1">
      <c r="A122" s="168">
        <f t="shared" si="5"/>
        <v>622</v>
      </c>
      <c r="B122" s="130" t="s">
        <v>550</v>
      </c>
      <c r="C122" s="49"/>
      <c r="D122" s="49"/>
      <c r="E122" s="49"/>
      <c r="F122" s="404"/>
      <c r="G122" s="404"/>
      <c r="I122" s="404">
        <f t="shared" si="7"/>
        <v>0</v>
      </c>
      <c r="J122" s="404"/>
      <c r="K122" s="244">
        <f t="shared" si="4"/>
        <v>117</v>
      </c>
    </row>
    <row r="123" spans="1:11">
      <c r="A123" s="168">
        <f t="shared" si="5"/>
        <v>623</v>
      </c>
      <c r="B123" s="153"/>
      <c r="C123" s="49" t="s">
        <v>682</v>
      </c>
      <c r="D123" s="49"/>
      <c r="E123" s="49"/>
      <c r="F123" s="404">
        <f>F31</f>
        <v>0</v>
      </c>
      <c r="G123" s="404"/>
      <c r="I123" s="404">
        <f t="shared" si="7"/>
        <v>0</v>
      </c>
      <c r="J123" s="404">
        <f t="shared" ref="J123:J128" si="8">+I123-F123</f>
        <v>0</v>
      </c>
      <c r="K123" s="244">
        <f t="shared" si="4"/>
        <v>118</v>
      </c>
    </row>
    <row r="124" spans="1:11">
      <c r="A124" s="168">
        <f t="shared" si="5"/>
        <v>624</v>
      </c>
      <c r="B124" s="153"/>
      <c r="C124" s="49" t="s">
        <v>683</v>
      </c>
      <c r="D124" s="49"/>
      <c r="E124" s="49"/>
      <c r="F124" s="404">
        <f>F16+F21+F26+F38+F43+F48+F53+F58+F63+F68+F73+F78+F83+F88+F93+F98+F103++F108+F113+F118</f>
        <v>536824955.34828264</v>
      </c>
      <c r="G124" s="404"/>
      <c r="I124" s="404">
        <f t="shared" si="7"/>
        <v>536824955.34828264</v>
      </c>
      <c r="J124" s="404">
        <f t="shared" si="8"/>
        <v>0</v>
      </c>
      <c r="K124" s="244">
        <f t="shared" si="4"/>
        <v>119</v>
      </c>
    </row>
    <row r="125" spans="1:11">
      <c r="A125" s="168">
        <f t="shared" si="5"/>
        <v>625</v>
      </c>
      <c r="B125" s="153"/>
      <c r="C125" s="49" t="s">
        <v>686</v>
      </c>
      <c r="D125" s="49"/>
      <c r="E125" s="49"/>
      <c r="F125" s="404">
        <f>+F109</f>
        <v>0</v>
      </c>
      <c r="G125" s="404"/>
      <c r="I125" s="404">
        <f t="shared" si="7"/>
        <v>0</v>
      </c>
      <c r="J125" s="404">
        <f t="shared" si="8"/>
        <v>0</v>
      </c>
      <c r="K125" s="244">
        <f t="shared" si="4"/>
        <v>120</v>
      </c>
    </row>
    <row r="126" spans="1:11">
      <c r="A126" s="168">
        <f t="shared" si="5"/>
        <v>626</v>
      </c>
      <c r="B126" s="153"/>
      <c r="C126" s="49" t="s">
        <v>687</v>
      </c>
      <c r="D126" s="49"/>
      <c r="E126" s="49"/>
      <c r="F126" s="404">
        <f>F17+F22+F27+F34+F39+F44+F49+F54+F59+F64+F69+F74+F79+F84+F89+F94+F99+F104+F114+F119</f>
        <v>18575633.42171739</v>
      </c>
      <c r="G126" s="404"/>
      <c r="I126" s="404">
        <f t="shared" si="7"/>
        <v>18575633.42171739</v>
      </c>
      <c r="J126" s="404">
        <f t="shared" si="8"/>
        <v>0</v>
      </c>
      <c r="K126" s="244">
        <f t="shared" si="4"/>
        <v>121</v>
      </c>
    </row>
    <row r="127" spans="1:11">
      <c r="A127" s="168">
        <f t="shared" si="5"/>
        <v>627</v>
      </c>
      <c r="B127" s="153"/>
      <c r="C127" s="49" t="s">
        <v>684</v>
      </c>
      <c r="D127" s="49"/>
      <c r="E127" s="49"/>
      <c r="F127" s="404">
        <f>SNG_REV_UT+COMM_REV_UT+SNG_REV_ID+COMM_REV_ID+PT_OTH_REV_UT-F124</f>
        <v>-360521.46434062719</v>
      </c>
      <c r="G127" s="404"/>
      <c r="I127" s="404">
        <f t="shared" si="7"/>
        <v>-360521.46434062719</v>
      </c>
      <c r="J127" s="404">
        <f t="shared" si="8"/>
        <v>0</v>
      </c>
      <c r="K127" s="244">
        <f t="shared" si="4"/>
        <v>122</v>
      </c>
    </row>
    <row r="128" spans="1:11">
      <c r="A128" s="168">
        <f t="shared" si="5"/>
        <v>628</v>
      </c>
      <c r="B128" s="153"/>
      <c r="C128" s="49" t="s">
        <v>685</v>
      </c>
      <c r="D128" s="49"/>
      <c r="E128" s="49"/>
      <c r="F128" s="404">
        <f>SNG_REV_WY+COMM_REV_WY+COMM_REV_CO+PT_OTH_REV_WY-F126</f>
        <v>909617.26029350981</v>
      </c>
      <c r="G128" s="404"/>
      <c r="I128" s="404">
        <f t="shared" si="7"/>
        <v>909617.26029350981</v>
      </c>
      <c r="J128" s="404">
        <f t="shared" si="8"/>
        <v>0</v>
      </c>
      <c r="K128" s="244">
        <f t="shared" si="4"/>
        <v>123</v>
      </c>
    </row>
    <row r="129" spans="1:11" ht="13.5" thickBot="1">
      <c r="A129" s="168">
        <f t="shared" si="5"/>
        <v>629</v>
      </c>
      <c r="B129" s="153"/>
      <c r="C129" s="49"/>
      <c r="D129" s="49"/>
      <c r="E129" s="49"/>
      <c r="F129" s="406"/>
      <c r="G129" s="406"/>
      <c r="I129" s="406">
        <f t="shared" si="7"/>
        <v>0</v>
      </c>
      <c r="J129" s="406"/>
      <c r="K129" s="244">
        <f t="shared" si="4"/>
        <v>124</v>
      </c>
    </row>
    <row r="130" spans="1:11" ht="13.5" thickTop="1">
      <c r="A130" s="168">
        <f t="shared" si="5"/>
        <v>630</v>
      </c>
      <c r="B130" s="153"/>
      <c r="C130" s="49"/>
      <c r="D130" s="49"/>
      <c r="E130" s="49"/>
      <c r="F130" s="404"/>
      <c r="G130" s="404"/>
      <c r="I130" s="404">
        <f t="shared" si="7"/>
        <v>0</v>
      </c>
      <c r="J130" s="404"/>
      <c r="K130" s="244">
        <f t="shared" si="4"/>
        <v>125</v>
      </c>
    </row>
    <row r="131" spans="1:11">
      <c r="A131" s="168">
        <f t="shared" si="5"/>
        <v>631</v>
      </c>
      <c r="B131" s="153"/>
      <c r="C131" s="158" t="s">
        <v>550</v>
      </c>
      <c r="D131" s="49"/>
      <c r="E131" s="49"/>
      <c r="F131" s="404">
        <f>F18+F23+F28+F35+F40+F45+F50+F55+F60+F65+F70+F75+F80+F85+F90+F95+F100+F105+F110+F115+F120+F127+F128</f>
        <v>555949684.56595278</v>
      </c>
      <c r="G131" s="404"/>
      <c r="I131" s="404">
        <f t="shared" si="7"/>
        <v>555949684.56595278</v>
      </c>
      <c r="J131" s="404">
        <f>+I131-F131</f>
        <v>0</v>
      </c>
      <c r="K131" s="244">
        <f t="shared" si="4"/>
        <v>126</v>
      </c>
    </row>
    <row r="132" spans="1:11">
      <c r="A132" s="168">
        <f t="shared" si="5"/>
        <v>632</v>
      </c>
      <c r="B132" s="153"/>
      <c r="C132" s="49"/>
      <c r="D132" s="49"/>
      <c r="E132" s="49"/>
      <c r="F132" s="404">
        <f>SUM(F123:F126)</f>
        <v>555400588.76999998</v>
      </c>
      <c r="G132" s="404"/>
      <c r="I132" s="404">
        <f t="shared" si="7"/>
        <v>555400588.76999998</v>
      </c>
      <c r="J132" s="404">
        <f>+I132-F132</f>
        <v>0</v>
      </c>
      <c r="K132" s="244">
        <f t="shared" si="4"/>
        <v>127</v>
      </c>
    </row>
    <row r="133" spans="1:11">
      <c r="A133" s="168">
        <f t="shared" si="5"/>
        <v>633</v>
      </c>
      <c r="B133" s="153"/>
      <c r="C133" s="49"/>
      <c r="D133" s="49"/>
      <c r="E133" s="49"/>
      <c r="F133" s="404"/>
      <c r="G133" s="404"/>
      <c r="I133" s="404"/>
      <c r="J133" s="404"/>
      <c r="K133" s="244">
        <f t="shared" si="4"/>
        <v>128</v>
      </c>
    </row>
    <row r="134" spans="1:11">
      <c r="A134" s="168">
        <f t="shared" si="5"/>
        <v>634</v>
      </c>
      <c r="B134" s="130" t="s">
        <v>353</v>
      </c>
      <c r="C134" s="49"/>
      <c r="D134" s="49"/>
      <c r="E134" s="49"/>
      <c r="F134" s="404"/>
      <c r="G134" s="404"/>
      <c r="I134" s="404"/>
      <c r="J134" s="404"/>
      <c r="K134" s="244">
        <f t="shared" si="4"/>
        <v>129</v>
      </c>
    </row>
    <row r="135" spans="1:11">
      <c r="A135" s="168">
        <f t="shared" si="5"/>
        <v>635</v>
      </c>
      <c r="B135" s="153"/>
      <c r="C135" s="49"/>
      <c r="D135" s="49"/>
      <c r="E135" s="49"/>
      <c r="F135" s="404"/>
      <c r="G135" s="404"/>
      <c r="I135" s="404"/>
      <c r="J135" s="404"/>
      <c r="K135" s="244">
        <f t="shared" si="4"/>
        <v>130</v>
      </c>
    </row>
    <row r="136" spans="1:11">
      <c r="A136" s="168">
        <f t="shared" si="5"/>
        <v>636</v>
      </c>
      <c r="B136" s="130" t="s">
        <v>354</v>
      </c>
      <c r="C136" s="49"/>
      <c r="D136" s="49"/>
      <c r="E136" s="49"/>
      <c r="F136" s="404"/>
      <c r="G136" s="404"/>
      <c r="I136" s="404"/>
      <c r="J136" s="404"/>
      <c r="K136" s="244">
        <f t="shared" ref="K136:K199" si="9">+K135+1</f>
        <v>131</v>
      </c>
    </row>
    <row r="137" spans="1:11">
      <c r="A137" s="168">
        <f t="shared" si="5"/>
        <v>637</v>
      </c>
      <c r="B137" s="153"/>
      <c r="C137" s="49"/>
      <c r="D137" s="49"/>
      <c r="E137" s="49"/>
      <c r="F137" s="404"/>
      <c r="G137" s="404"/>
      <c r="I137" s="404"/>
      <c r="J137" s="404"/>
      <c r="K137" s="244">
        <f t="shared" si="9"/>
        <v>132</v>
      </c>
    </row>
    <row r="138" spans="1:11">
      <c r="A138" s="168">
        <f t="shared" si="5"/>
        <v>638</v>
      </c>
      <c r="B138" s="154">
        <v>810</v>
      </c>
      <c r="C138" s="49" t="s">
        <v>355</v>
      </c>
      <c r="D138" s="49"/>
      <c r="E138" s="49"/>
      <c r="F138" s="404">
        <f>[14]EXPENSES.XNV!S133</f>
        <v>-14233</v>
      </c>
      <c r="G138" s="404"/>
      <c r="I138" s="404">
        <f>HLOOKUP($I$6,EXPENSESCENARIO,K138,FALSE)</f>
        <v>-14233</v>
      </c>
      <c r="J138" s="404">
        <f>+I138-F138</f>
        <v>0</v>
      </c>
      <c r="K138" s="244">
        <f t="shared" si="9"/>
        <v>133</v>
      </c>
    </row>
    <row r="139" spans="1:11">
      <c r="A139" s="168">
        <f t="shared" si="5"/>
        <v>639</v>
      </c>
      <c r="B139" s="154">
        <v>812</v>
      </c>
      <c r="C139" s="49" t="s">
        <v>357</v>
      </c>
      <c r="D139" s="49"/>
      <c r="E139" s="49"/>
      <c r="F139" s="404">
        <f>[14]EXPENSES.XNV!S134</f>
        <v>-893091.92999999993</v>
      </c>
      <c r="G139" s="404"/>
      <c r="I139" s="404">
        <f t="shared" ref="I139:I168" si="10">HLOOKUP($I$6,EXPENSESCENARIO,K139,FALSE)</f>
        <v>-893091.92999999993</v>
      </c>
      <c r="J139" s="404">
        <f>+I139-F139</f>
        <v>0</v>
      </c>
      <c r="K139" s="244">
        <f t="shared" si="9"/>
        <v>134</v>
      </c>
    </row>
    <row r="140" spans="1:11">
      <c r="A140" s="168">
        <f t="shared" ref="A140:A203" si="11">+A139+1</f>
        <v>640</v>
      </c>
      <c r="B140" s="153"/>
      <c r="C140" s="49"/>
      <c r="D140" s="49"/>
      <c r="E140" s="49"/>
      <c r="F140" s="404"/>
      <c r="G140" s="404"/>
      <c r="I140" s="404">
        <f t="shared" si="10"/>
        <v>0</v>
      </c>
      <c r="J140" s="404"/>
      <c r="K140" s="244">
        <f t="shared" si="9"/>
        <v>135</v>
      </c>
    </row>
    <row r="141" spans="1:11">
      <c r="A141" s="168">
        <f t="shared" si="11"/>
        <v>641</v>
      </c>
      <c r="B141" s="153"/>
      <c r="C141" s="158" t="s">
        <v>358</v>
      </c>
      <c r="D141" s="49"/>
      <c r="E141" s="49"/>
      <c r="F141" s="404">
        <f>[14]EXPENSES.XNV!S136</f>
        <v>-907324.92999999993</v>
      </c>
      <c r="G141" s="404"/>
      <c r="I141" s="404">
        <f t="shared" si="10"/>
        <v>-907324.92999999993</v>
      </c>
      <c r="J141" s="404">
        <f>+I141-F141</f>
        <v>0</v>
      </c>
      <c r="K141" s="244">
        <f t="shared" si="9"/>
        <v>136</v>
      </c>
    </row>
    <row r="142" spans="1:11">
      <c r="A142" s="168">
        <f t="shared" si="11"/>
        <v>642</v>
      </c>
      <c r="B142" s="153"/>
      <c r="C142" s="49"/>
      <c r="D142" s="49"/>
      <c r="E142" s="49"/>
      <c r="F142" s="404"/>
      <c r="G142" s="404"/>
      <c r="I142" s="404"/>
      <c r="J142" s="404"/>
      <c r="K142" s="244">
        <f t="shared" si="9"/>
        <v>137</v>
      </c>
    </row>
    <row r="143" spans="1:11">
      <c r="A143" s="168">
        <f t="shared" si="11"/>
        <v>643</v>
      </c>
      <c r="B143" s="130" t="s">
        <v>359</v>
      </c>
      <c r="C143" s="49"/>
      <c r="D143" s="49"/>
      <c r="E143" s="49"/>
      <c r="F143" s="404"/>
      <c r="G143" s="404"/>
      <c r="I143" s="404"/>
      <c r="J143" s="404"/>
      <c r="K143" s="244">
        <f t="shared" si="9"/>
        <v>138</v>
      </c>
    </row>
    <row r="144" spans="1:11">
      <c r="A144" s="168">
        <f t="shared" si="11"/>
        <v>644</v>
      </c>
      <c r="B144" s="153"/>
      <c r="C144" s="49" t="s">
        <v>825</v>
      </c>
      <c r="D144" s="49"/>
      <c r="E144" s="49"/>
      <c r="F144" s="404"/>
      <c r="G144" s="404"/>
      <c r="I144" s="404"/>
      <c r="J144" s="404"/>
      <c r="K144" s="244">
        <f t="shared" si="9"/>
        <v>139</v>
      </c>
    </row>
    <row r="145" spans="1:11">
      <c r="A145" s="168">
        <f t="shared" si="11"/>
        <v>645</v>
      </c>
      <c r="B145" s="154">
        <v>870</v>
      </c>
      <c r="C145" s="49" t="s">
        <v>360</v>
      </c>
      <c r="D145" s="49"/>
      <c r="E145" s="49"/>
      <c r="F145" s="404"/>
      <c r="G145" s="404"/>
      <c r="I145" s="404"/>
      <c r="J145" s="404"/>
      <c r="K145" s="244">
        <f t="shared" si="9"/>
        <v>140</v>
      </c>
    </row>
    <row r="146" spans="1:11">
      <c r="A146" s="168">
        <f t="shared" si="11"/>
        <v>646</v>
      </c>
      <c r="B146" s="154"/>
      <c r="C146" s="49"/>
      <c r="D146" s="49" t="s">
        <v>13</v>
      </c>
      <c r="E146" s="49"/>
      <c r="F146" s="404">
        <f>[14]EXPENSES.XNV!S141</f>
        <v>11130355.119999999</v>
      </c>
      <c r="G146" s="404"/>
      <c r="I146" s="404">
        <f t="shared" si="10"/>
        <v>11130355.119999999</v>
      </c>
      <c r="J146" s="404">
        <f>+I146-F146</f>
        <v>0</v>
      </c>
      <c r="K146" s="244">
        <f t="shared" si="9"/>
        <v>141</v>
      </c>
    </row>
    <row r="147" spans="1:11">
      <c r="A147" s="168">
        <f t="shared" si="11"/>
        <v>647</v>
      </c>
      <c r="B147" s="154"/>
      <c r="C147" s="49"/>
      <c r="D147" s="49" t="s">
        <v>24</v>
      </c>
      <c r="E147" s="49"/>
      <c r="F147" s="404">
        <f>[14]EXPENSES.XNV!S142</f>
        <v>643277.56000000017</v>
      </c>
      <c r="G147" s="404"/>
      <c r="I147" s="404">
        <f t="shared" si="10"/>
        <v>643277.56000000017</v>
      </c>
      <c r="J147" s="404">
        <f>+I147-F147</f>
        <v>0</v>
      </c>
      <c r="K147" s="244">
        <f t="shared" si="9"/>
        <v>142</v>
      </c>
    </row>
    <row r="148" spans="1:11" ht="13.5" thickBot="1">
      <c r="A148" s="168">
        <f t="shared" si="11"/>
        <v>648</v>
      </c>
      <c r="B148" s="154"/>
      <c r="C148" s="49"/>
      <c r="D148" s="49" t="s">
        <v>160</v>
      </c>
      <c r="E148" s="49"/>
      <c r="F148" s="405">
        <f>SUM(F146:F147)</f>
        <v>11773632.68</v>
      </c>
      <c r="G148" s="405"/>
      <c r="I148" s="405">
        <f t="shared" si="10"/>
        <v>11773632.68</v>
      </c>
      <c r="J148" s="405">
        <f>+I148-F148</f>
        <v>0</v>
      </c>
      <c r="K148" s="244">
        <f t="shared" si="9"/>
        <v>143</v>
      </c>
    </row>
    <row r="149" spans="1:11" ht="13.5" thickTop="1">
      <c r="A149" s="168">
        <f t="shared" si="11"/>
        <v>649</v>
      </c>
      <c r="B149" s="154"/>
      <c r="C149" s="49"/>
      <c r="D149" s="49"/>
      <c r="E149" s="49"/>
      <c r="F149" s="404"/>
      <c r="G149" s="404"/>
      <c r="I149" s="404"/>
      <c r="J149" s="404"/>
      <c r="K149" s="244">
        <f t="shared" si="9"/>
        <v>144</v>
      </c>
    </row>
    <row r="150" spans="1:11">
      <c r="A150" s="168">
        <f t="shared" si="11"/>
        <v>650</v>
      </c>
      <c r="B150" s="154">
        <v>871</v>
      </c>
      <c r="C150" s="49" t="s">
        <v>361</v>
      </c>
      <c r="D150" s="49"/>
      <c r="E150" s="49"/>
      <c r="F150" s="404"/>
      <c r="G150" s="404"/>
      <c r="I150" s="404"/>
      <c r="J150" s="404"/>
      <c r="K150" s="244">
        <f t="shared" si="9"/>
        <v>145</v>
      </c>
    </row>
    <row r="151" spans="1:11">
      <c r="A151" s="168">
        <f t="shared" si="11"/>
        <v>651</v>
      </c>
      <c r="B151" s="154"/>
      <c r="C151" s="49"/>
      <c r="D151" s="49" t="s">
        <v>13</v>
      </c>
      <c r="E151" s="49"/>
      <c r="F151" s="404">
        <f>[14]EXPENSES.XNV!S146</f>
        <v>1879996.2199999997</v>
      </c>
      <c r="G151" s="404"/>
      <c r="I151" s="404">
        <f t="shared" si="10"/>
        <v>1879996.2199999997</v>
      </c>
      <c r="J151" s="404">
        <f>+I151-F151</f>
        <v>0</v>
      </c>
      <c r="K151" s="244">
        <f t="shared" si="9"/>
        <v>146</v>
      </c>
    </row>
    <row r="152" spans="1:11">
      <c r="A152" s="168">
        <f t="shared" si="11"/>
        <v>652</v>
      </c>
      <c r="B152" s="154"/>
      <c r="C152" s="49"/>
      <c r="D152" s="49" t="s">
        <v>24</v>
      </c>
      <c r="E152" s="49"/>
      <c r="F152" s="404">
        <f>[14]EXPENSES.XNV!S147</f>
        <v>30806.410000000003</v>
      </c>
      <c r="G152" s="404"/>
      <c r="I152" s="404">
        <f t="shared" si="10"/>
        <v>30806.410000000003</v>
      </c>
      <c r="J152" s="404">
        <f>+I152-F152</f>
        <v>0</v>
      </c>
      <c r="K152" s="244">
        <f t="shared" si="9"/>
        <v>147</v>
      </c>
    </row>
    <row r="153" spans="1:11" ht="13.5" thickBot="1">
      <c r="A153" s="168">
        <f t="shared" si="11"/>
        <v>653</v>
      </c>
      <c r="B153" s="154"/>
      <c r="C153" s="49"/>
      <c r="D153" s="49" t="s">
        <v>160</v>
      </c>
      <c r="E153" s="49"/>
      <c r="F153" s="405">
        <f>SUM(F151:F152)</f>
        <v>1910802.6299999997</v>
      </c>
      <c r="G153" s="405"/>
      <c r="I153" s="405">
        <f t="shared" si="10"/>
        <v>1910802.6299999997</v>
      </c>
      <c r="J153" s="405">
        <f>+I153-F153</f>
        <v>0</v>
      </c>
      <c r="K153" s="244">
        <f t="shared" si="9"/>
        <v>148</v>
      </c>
    </row>
    <row r="154" spans="1:11" ht="13.5" thickTop="1">
      <c r="A154" s="168">
        <f t="shared" si="11"/>
        <v>654</v>
      </c>
      <c r="B154" s="154"/>
      <c r="C154" s="49"/>
      <c r="D154" s="49"/>
      <c r="E154" s="49"/>
      <c r="F154" s="404"/>
      <c r="G154" s="404"/>
      <c r="I154" s="404"/>
      <c r="J154" s="404"/>
      <c r="K154" s="244">
        <f t="shared" si="9"/>
        <v>149</v>
      </c>
    </row>
    <row r="155" spans="1:11">
      <c r="A155" s="168">
        <f t="shared" si="11"/>
        <v>655</v>
      </c>
      <c r="B155" s="154">
        <v>872</v>
      </c>
      <c r="C155" s="49" t="s">
        <v>363</v>
      </c>
      <c r="D155" s="49"/>
      <c r="E155" s="49"/>
      <c r="F155" s="404"/>
      <c r="G155" s="404"/>
      <c r="I155" s="404"/>
      <c r="J155" s="404"/>
      <c r="K155" s="244">
        <f t="shared" si="9"/>
        <v>150</v>
      </c>
    </row>
    <row r="156" spans="1:11">
      <c r="A156" s="168">
        <f t="shared" si="11"/>
        <v>656</v>
      </c>
      <c r="B156" s="154"/>
      <c r="C156" s="49"/>
      <c r="D156" s="49" t="s">
        <v>13</v>
      </c>
      <c r="E156" s="49"/>
      <c r="F156" s="404">
        <f>[14]EXPENSES.XNV!S151</f>
        <v>0</v>
      </c>
      <c r="G156" s="404"/>
      <c r="I156" s="404">
        <f t="shared" si="10"/>
        <v>0</v>
      </c>
      <c r="J156" s="404">
        <f>+I156-F156</f>
        <v>0</v>
      </c>
      <c r="K156" s="244">
        <f t="shared" si="9"/>
        <v>151</v>
      </c>
    </row>
    <row r="157" spans="1:11">
      <c r="A157" s="168">
        <f t="shared" si="11"/>
        <v>657</v>
      </c>
      <c r="B157" s="154"/>
      <c r="C157" s="49"/>
      <c r="D157" s="49" t="s">
        <v>24</v>
      </c>
      <c r="E157" s="49"/>
      <c r="F157" s="404">
        <f>[14]EXPENSES.XNV!S152</f>
        <v>0</v>
      </c>
      <c r="G157" s="404"/>
      <c r="I157" s="404">
        <f t="shared" si="10"/>
        <v>0</v>
      </c>
      <c r="J157" s="404">
        <f>+I157-F157</f>
        <v>0</v>
      </c>
      <c r="K157" s="244">
        <f t="shared" si="9"/>
        <v>152</v>
      </c>
    </row>
    <row r="158" spans="1:11" ht="13.5" thickBot="1">
      <c r="A158" s="168">
        <f t="shared" si="11"/>
        <v>658</v>
      </c>
      <c r="B158" s="154"/>
      <c r="C158" s="49"/>
      <c r="D158" s="49" t="s">
        <v>160</v>
      </c>
      <c r="E158" s="49"/>
      <c r="F158" s="405">
        <f>SUM(F156:F157)</f>
        <v>0</v>
      </c>
      <c r="G158" s="405"/>
      <c r="I158" s="405">
        <f t="shared" si="10"/>
        <v>0</v>
      </c>
      <c r="J158" s="405">
        <f>+I158-F158</f>
        <v>0</v>
      </c>
      <c r="K158" s="244">
        <f t="shared" si="9"/>
        <v>153</v>
      </c>
    </row>
    <row r="159" spans="1:11" ht="13.5" thickTop="1">
      <c r="A159" s="168">
        <f t="shared" si="11"/>
        <v>659</v>
      </c>
      <c r="B159" s="154"/>
      <c r="C159" s="49"/>
      <c r="D159" s="49"/>
      <c r="E159" s="49"/>
      <c r="F159" s="404"/>
      <c r="G159" s="404"/>
      <c r="I159" s="404"/>
      <c r="J159" s="404"/>
      <c r="K159" s="244">
        <f t="shared" si="9"/>
        <v>154</v>
      </c>
    </row>
    <row r="160" spans="1:11">
      <c r="A160" s="168">
        <f t="shared" si="11"/>
        <v>660</v>
      </c>
      <c r="B160" s="154">
        <v>873</v>
      </c>
      <c r="C160" s="49" t="s">
        <v>364</v>
      </c>
      <c r="D160" s="49"/>
      <c r="E160" s="49"/>
      <c r="F160" s="404"/>
      <c r="G160" s="404"/>
      <c r="I160" s="404"/>
      <c r="J160" s="404"/>
      <c r="K160" s="244">
        <f t="shared" si="9"/>
        <v>155</v>
      </c>
    </row>
    <row r="161" spans="1:11">
      <c r="A161" s="168">
        <f t="shared" si="11"/>
        <v>661</v>
      </c>
      <c r="B161" s="154"/>
      <c r="C161" s="49"/>
      <c r="D161" s="49" t="s">
        <v>13</v>
      </c>
      <c r="E161" s="49"/>
      <c r="F161" s="404">
        <f>[14]EXPENSES.XNV!S156</f>
        <v>14233</v>
      </c>
      <c r="G161" s="404"/>
      <c r="I161" s="404">
        <f t="shared" si="10"/>
        <v>14233</v>
      </c>
      <c r="J161" s="404">
        <f>+I161-F161</f>
        <v>0</v>
      </c>
      <c r="K161" s="244">
        <f t="shared" si="9"/>
        <v>156</v>
      </c>
    </row>
    <row r="162" spans="1:11">
      <c r="A162" s="168">
        <f t="shared" si="11"/>
        <v>662</v>
      </c>
      <c r="B162" s="154"/>
      <c r="C162" s="49"/>
      <c r="D162" s="49" t="s">
        <v>24</v>
      </c>
      <c r="E162" s="49"/>
      <c r="F162" s="404">
        <f>[14]EXPENSES.XNV!S157</f>
        <v>0</v>
      </c>
      <c r="G162" s="404"/>
      <c r="I162" s="404">
        <f t="shared" si="10"/>
        <v>0</v>
      </c>
      <c r="J162" s="404">
        <f>+I162-F162</f>
        <v>0</v>
      </c>
      <c r="K162" s="244">
        <f t="shared" si="9"/>
        <v>157</v>
      </c>
    </row>
    <row r="163" spans="1:11" ht="13.5" thickBot="1">
      <c r="A163" s="168">
        <f t="shared" si="11"/>
        <v>663</v>
      </c>
      <c r="B163" s="154"/>
      <c r="C163" s="49"/>
      <c r="D163" s="49" t="s">
        <v>160</v>
      </c>
      <c r="E163" s="49"/>
      <c r="F163" s="405">
        <f>SUM(F161:F162)</f>
        <v>14233</v>
      </c>
      <c r="G163" s="405"/>
      <c r="I163" s="405">
        <f t="shared" si="10"/>
        <v>14233</v>
      </c>
      <c r="J163" s="405">
        <f>+I163-F163</f>
        <v>0</v>
      </c>
      <c r="K163" s="244">
        <f t="shared" si="9"/>
        <v>158</v>
      </c>
    </row>
    <row r="164" spans="1:11" ht="13.5" thickTop="1">
      <c r="A164" s="168">
        <f t="shared" si="11"/>
        <v>664</v>
      </c>
      <c r="B164" s="154"/>
      <c r="C164" s="49"/>
      <c r="D164" s="49"/>
      <c r="E164" s="49"/>
      <c r="F164" s="404"/>
      <c r="G164" s="404"/>
      <c r="I164" s="404"/>
      <c r="J164" s="404"/>
      <c r="K164" s="244">
        <f t="shared" si="9"/>
        <v>159</v>
      </c>
    </row>
    <row r="165" spans="1:11">
      <c r="A165" s="168">
        <f t="shared" si="11"/>
        <v>665</v>
      </c>
      <c r="B165" s="154">
        <v>874</v>
      </c>
      <c r="C165" s="49" t="s">
        <v>365</v>
      </c>
      <c r="D165" s="49"/>
      <c r="E165" s="49"/>
      <c r="F165" s="404"/>
      <c r="G165" s="404"/>
      <c r="I165" s="404"/>
      <c r="J165" s="404"/>
      <c r="K165" s="244">
        <f t="shared" si="9"/>
        <v>160</v>
      </c>
    </row>
    <row r="166" spans="1:11">
      <c r="A166" s="168">
        <f t="shared" si="11"/>
        <v>666</v>
      </c>
      <c r="B166" s="154"/>
      <c r="C166" s="49"/>
      <c r="D166" s="49" t="s">
        <v>13</v>
      </c>
      <c r="E166" s="49"/>
      <c r="F166" s="404">
        <f>[14]EXPENSES.XNV!S161</f>
        <v>12278206.640000001</v>
      </c>
      <c r="G166" s="404"/>
      <c r="I166" s="404">
        <f t="shared" si="10"/>
        <v>12278206.640000001</v>
      </c>
      <c r="J166" s="404">
        <f>+I166-F166</f>
        <v>0</v>
      </c>
      <c r="K166" s="244">
        <f t="shared" si="9"/>
        <v>161</v>
      </c>
    </row>
    <row r="167" spans="1:11">
      <c r="A167" s="168">
        <f t="shared" si="11"/>
        <v>667</v>
      </c>
      <c r="B167" s="154"/>
      <c r="C167" s="49"/>
      <c r="D167" s="49" t="s">
        <v>24</v>
      </c>
      <c r="E167" s="49"/>
      <c r="F167" s="404">
        <f>[14]EXPENSES.XNV!S162</f>
        <v>451742.14</v>
      </c>
      <c r="G167" s="404"/>
      <c r="I167" s="404">
        <f t="shared" si="10"/>
        <v>451742.14</v>
      </c>
      <c r="J167" s="404">
        <f>+I167-F167</f>
        <v>0</v>
      </c>
      <c r="K167" s="244">
        <f t="shared" si="9"/>
        <v>162</v>
      </c>
    </row>
    <row r="168" spans="1:11" ht="13.5" thickBot="1">
      <c r="A168" s="168">
        <f t="shared" si="11"/>
        <v>668</v>
      </c>
      <c r="B168" s="154"/>
      <c r="C168" s="49"/>
      <c r="D168" s="49" t="s">
        <v>160</v>
      </c>
      <c r="E168" s="49"/>
      <c r="F168" s="405">
        <f>SUM(F166:F167)</f>
        <v>12729948.780000001</v>
      </c>
      <c r="G168" s="405"/>
      <c r="I168" s="405">
        <f t="shared" si="10"/>
        <v>12729948.780000001</v>
      </c>
      <c r="J168" s="405">
        <f>+I168-F168</f>
        <v>0</v>
      </c>
      <c r="K168" s="244">
        <f t="shared" si="9"/>
        <v>163</v>
      </c>
    </row>
    <row r="169" spans="1:11" ht="13.5" thickTop="1">
      <c r="A169" s="168">
        <f t="shared" si="11"/>
        <v>669</v>
      </c>
      <c r="B169" s="154"/>
      <c r="C169" s="49"/>
      <c r="D169" s="49"/>
      <c r="E169" s="49"/>
      <c r="F169" s="404"/>
      <c r="G169" s="404"/>
      <c r="I169" s="404"/>
      <c r="J169" s="404"/>
      <c r="K169" s="244">
        <f t="shared" si="9"/>
        <v>164</v>
      </c>
    </row>
    <row r="170" spans="1:11">
      <c r="A170" s="168">
        <f t="shared" si="11"/>
        <v>670</v>
      </c>
      <c r="B170" s="154">
        <v>875</v>
      </c>
      <c r="C170" s="49" t="s">
        <v>366</v>
      </c>
      <c r="D170" s="49"/>
      <c r="E170" s="49"/>
      <c r="F170" s="404"/>
      <c r="G170" s="404"/>
      <c r="I170" s="404"/>
      <c r="J170" s="404"/>
      <c r="K170" s="244">
        <f t="shared" si="9"/>
        <v>165</v>
      </c>
    </row>
    <row r="171" spans="1:11">
      <c r="A171" s="168">
        <f t="shared" si="11"/>
        <v>671</v>
      </c>
      <c r="B171" s="154"/>
      <c r="C171" s="49"/>
      <c r="D171" s="49" t="s">
        <v>13</v>
      </c>
      <c r="E171" s="49"/>
      <c r="F171" s="404">
        <f>[14]EXPENSES.XNV!S166</f>
        <v>2204987.8800000004</v>
      </c>
      <c r="G171" s="404"/>
      <c r="I171" s="404">
        <f t="shared" ref="I171:I201" si="12">HLOOKUP($I$6,EXPENSESCENARIO,K171,FALSE)</f>
        <v>2204987.8800000004</v>
      </c>
      <c r="J171" s="404">
        <f>+I171-F171</f>
        <v>0</v>
      </c>
      <c r="K171" s="244">
        <f t="shared" si="9"/>
        <v>166</v>
      </c>
    </row>
    <row r="172" spans="1:11">
      <c r="A172" s="168">
        <f t="shared" si="11"/>
        <v>672</v>
      </c>
      <c r="B172" s="154"/>
      <c r="C172" s="49"/>
      <c r="D172" s="49" t="s">
        <v>24</v>
      </c>
      <c r="E172" s="49"/>
      <c r="F172" s="404">
        <f>[14]EXPENSES.XNV!S167</f>
        <v>139069.87000000002</v>
      </c>
      <c r="G172" s="404"/>
      <c r="I172" s="404">
        <f t="shared" si="12"/>
        <v>139069.87000000002</v>
      </c>
      <c r="J172" s="404">
        <f>+I172-F172</f>
        <v>0</v>
      </c>
      <c r="K172" s="244">
        <f t="shared" si="9"/>
        <v>167</v>
      </c>
    </row>
    <row r="173" spans="1:11" ht="13.5" thickBot="1">
      <c r="A173" s="168">
        <f t="shared" si="11"/>
        <v>673</v>
      </c>
      <c r="B173" s="154"/>
      <c r="C173" s="49"/>
      <c r="D173" s="49" t="s">
        <v>160</v>
      </c>
      <c r="E173" s="49"/>
      <c r="F173" s="405">
        <f>SUM(F171:F172)</f>
        <v>2344057.7500000005</v>
      </c>
      <c r="G173" s="405"/>
      <c r="I173" s="405">
        <f t="shared" si="12"/>
        <v>2344057.7500000005</v>
      </c>
      <c r="J173" s="405">
        <f>+I173-F173</f>
        <v>0</v>
      </c>
      <c r="K173" s="244">
        <f t="shared" si="9"/>
        <v>168</v>
      </c>
    </row>
    <row r="174" spans="1:11" ht="13.5" thickTop="1">
      <c r="A174" s="168">
        <f t="shared" si="11"/>
        <v>674</v>
      </c>
      <c r="B174" s="154"/>
      <c r="C174" s="49"/>
      <c r="D174" s="49"/>
      <c r="E174" s="49"/>
      <c r="F174" s="404"/>
      <c r="G174" s="404"/>
      <c r="I174" s="404"/>
      <c r="J174" s="404"/>
      <c r="K174" s="244">
        <f t="shared" si="9"/>
        <v>169</v>
      </c>
    </row>
    <row r="175" spans="1:11">
      <c r="A175" s="168">
        <f t="shared" si="11"/>
        <v>675</v>
      </c>
      <c r="B175" s="154">
        <v>878</v>
      </c>
      <c r="C175" s="49" t="s">
        <v>367</v>
      </c>
      <c r="D175" s="49"/>
      <c r="E175" s="49"/>
      <c r="F175" s="404"/>
      <c r="G175" s="404"/>
      <c r="I175" s="404"/>
      <c r="J175" s="404"/>
      <c r="K175" s="244">
        <f t="shared" si="9"/>
        <v>170</v>
      </c>
    </row>
    <row r="176" spans="1:11">
      <c r="A176" s="168">
        <f t="shared" si="11"/>
        <v>676</v>
      </c>
      <c r="B176" s="154"/>
      <c r="C176" s="49"/>
      <c r="D176" s="49" t="s">
        <v>13</v>
      </c>
      <c r="E176" s="49"/>
      <c r="F176" s="404">
        <f>[14]EXPENSES.XNV!S171</f>
        <v>2725264.3499999996</v>
      </c>
      <c r="G176" s="404"/>
      <c r="I176" s="404">
        <f t="shared" si="12"/>
        <v>2725264.3499999996</v>
      </c>
      <c r="J176" s="404">
        <f>+I176-F176</f>
        <v>0</v>
      </c>
      <c r="K176" s="244">
        <f t="shared" si="9"/>
        <v>171</v>
      </c>
    </row>
    <row r="177" spans="1:11">
      <c r="A177" s="168">
        <f t="shared" si="11"/>
        <v>677</v>
      </c>
      <c r="B177" s="154"/>
      <c r="C177" s="49"/>
      <c r="D177" s="49" t="s">
        <v>24</v>
      </c>
      <c r="E177" s="49"/>
      <c r="F177" s="404">
        <f>[14]EXPENSES.XNV!S172</f>
        <v>214421.77</v>
      </c>
      <c r="G177" s="404"/>
      <c r="I177" s="404">
        <f t="shared" si="12"/>
        <v>214421.77</v>
      </c>
      <c r="J177" s="404">
        <f>+I177-F177</f>
        <v>0</v>
      </c>
      <c r="K177" s="244">
        <f t="shared" si="9"/>
        <v>172</v>
      </c>
    </row>
    <row r="178" spans="1:11" ht="13.5" thickBot="1">
      <c r="A178" s="168">
        <f t="shared" si="11"/>
        <v>678</v>
      </c>
      <c r="B178" s="154"/>
      <c r="C178" s="49"/>
      <c r="D178" s="49" t="s">
        <v>160</v>
      </c>
      <c r="E178" s="49"/>
      <c r="F178" s="405">
        <f>SUM(F176:F177)</f>
        <v>2939686.1199999996</v>
      </c>
      <c r="G178" s="405"/>
      <c r="I178" s="405">
        <f t="shared" si="12"/>
        <v>2939686.1199999996</v>
      </c>
      <c r="J178" s="405">
        <f>+I178-F178</f>
        <v>0</v>
      </c>
      <c r="K178" s="244">
        <f t="shared" si="9"/>
        <v>173</v>
      </c>
    </row>
    <row r="179" spans="1:11" ht="13.5" thickTop="1">
      <c r="A179" s="168">
        <f t="shared" si="11"/>
        <v>679</v>
      </c>
      <c r="B179" s="154"/>
      <c r="C179" s="49"/>
      <c r="D179" s="49"/>
      <c r="E179" s="49"/>
      <c r="F179" s="404"/>
      <c r="G179" s="404"/>
      <c r="I179" s="404"/>
      <c r="J179" s="404"/>
      <c r="K179" s="244">
        <f t="shared" si="9"/>
        <v>174</v>
      </c>
    </row>
    <row r="180" spans="1:11">
      <c r="A180" s="168">
        <f t="shared" si="11"/>
        <v>680</v>
      </c>
      <c r="B180" s="154">
        <v>879</v>
      </c>
      <c r="C180" s="49" t="s">
        <v>368</v>
      </c>
      <c r="D180" s="49"/>
      <c r="E180" s="49"/>
      <c r="F180" s="404"/>
      <c r="G180" s="404"/>
      <c r="I180" s="404"/>
      <c r="J180" s="404"/>
      <c r="K180" s="244">
        <f t="shared" si="9"/>
        <v>175</v>
      </c>
    </row>
    <row r="181" spans="1:11">
      <c r="A181" s="168">
        <f t="shared" si="11"/>
        <v>681</v>
      </c>
      <c r="B181" s="154"/>
      <c r="C181" s="49"/>
      <c r="D181" s="49" t="s">
        <v>13</v>
      </c>
      <c r="E181" s="49"/>
      <c r="F181" s="404">
        <f>[14]EXPENSES.XNV!S176</f>
        <v>2960079.4000000004</v>
      </c>
      <c r="G181" s="404"/>
      <c r="I181" s="404">
        <f t="shared" si="12"/>
        <v>2960079.4000000004</v>
      </c>
      <c r="J181" s="404">
        <f>+I181-F181</f>
        <v>0</v>
      </c>
      <c r="K181" s="244">
        <f t="shared" si="9"/>
        <v>176</v>
      </c>
    </row>
    <row r="182" spans="1:11">
      <c r="A182" s="168">
        <f t="shared" si="11"/>
        <v>682</v>
      </c>
      <c r="B182" s="154"/>
      <c r="C182" s="49"/>
      <c r="D182" s="49" t="s">
        <v>24</v>
      </c>
      <c r="E182" s="49"/>
      <c r="F182" s="404">
        <f>[14]EXPENSES.XNV!S177</f>
        <v>118847.07999999999</v>
      </c>
      <c r="G182" s="404"/>
      <c r="I182" s="404">
        <f t="shared" si="12"/>
        <v>118847.07999999999</v>
      </c>
      <c r="J182" s="404">
        <f>+I182-F182</f>
        <v>0</v>
      </c>
      <c r="K182" s="244">
        <f t="shared" si="9"/>
        <v>177</v>
      </c>
    </row>
    <row r="183" spans="1:11" ht="13.5" thickBot="1">
      <c r="A183" s="168">
        <f t="shared" si="11"/>
        <v>683</v>
      </c>
      <c r="B183" s="154"/>
      <c r="C183" s="49"/>
      <c r="D183" s="49" t="s">
        <v>160</v>
      </c>
      <c r="E183" s="49"/>
      <c r="F183" s="405">
        <f>SUM(F181:F182)</f>
        <v>3078926.4800000004</v>
      </c>
      <c r="G183" s="405"/>
      <c r="I183" s="405">
        <f t="shared" si="12"/>
        <v>3078926.4800000004</v>
      </c>
      <c r="J183" s="405">
        <f>+I183-F183</f>
        <v>0</v>
      </c>
      <c r="K183" s="244">
        <f t="shared" si="9"/>
        <v>178</v>
      </c>
    </row>
    <row r="184" spans="1:11" ht="13.5" thickTop="1">
      <c r="A184" s="168">
        <f t="shared" si="11"/>
        <v>684</v>
      </c>
      <c r="B184" s="154"/>
      <c r="C184" s="49"/>
      <c r="D184" s="49"/>
      <c r="E184" s="49"/>
      <c r="F184" s="404"/>
      <c r="G184" s="404"/>
      <c r="I184" s="404"/>
      <c r="J184" s="404"/>
      <c r="K184" s="244">
        <f t="shared" si="9"/>
        <v>179</v>
      </c>
    </row>
    <row r="185" spans="1:11">
      <c r="A185" s="168">
        <f t="shared" si="11"/>
        <v>685</v>
      </c>
      <c r="B185" s="154">
        <v>880</v>
      </c>
      <c r="C185" s="49" t="s">
        <v>369</v>
      </c>
      <c r="D185" s="49"/>
      <c r="E185" s="49"/>
      <c r="F185" s="404"/>
      <c r="G185" s="404"/>
      <c r="I185" s="404"/>
      <c r="J185" s="404"/>
      <c r="K185" s="244">
        <f t="shared" si="9"/>
        <v>180</v>
      </c>
    </row>
    <row r="186" spans="1:11">
      <c r="A186" s="168">
        <f t="shared" si="11"/>
        <v>686</v>
      </c>
      <c r="B186" s="154"/>
      <c r="C186" s="49"/>
      <c r="D186" s="49" t="s">
        <v>13</v>
      </c>
      <c r="E186" s="49"/>
      <c r="F186" s="404">
        <f>[14]EXPENSES.XNV!S181</f>
        <v>7913746.8099999987</v>
      </c>
      <c r="G186" s="404"/>
      <c r="I186" s="404">
        <f t="shared" si="12"/>
        <v>7913746.8099999987</v>
      </c>
      <c r="J186" s="404">
        <f>+I186-F186</f>
        <v>0</v>
      </c>
      <c r="K186" s="244">
        <f t="shared" si="9"/>
        <v>181</v>
      </c>
    </row>
    <row r="187" spans="1:11">
      <c r="A187" s="168">
        <f t="shared" si="11"/>
        <v>687</v>
      </c>
      <c r="B187" s="154"/>
      <c r="C187" s="49"/>
      <c r="D187" s="49" t="s">
        <v>24</v>
      </c>
      <c r="E187" s="49"/>
      <c r="F187" s="404">
        <f>[14]EXPENSES.XNV!S182</f>
        <v>652900.72000000009</v>
      </c>
      <c r="G187" s="404"/>
      <c r="I187" s="404">
        <f t="shared" si="12"/>
        <v>652900.72000000009</v>
      </c>
      <c r="J187" s="404">
        <f>+I187-F187</f>
        <v>0</v>
      </c>
      <c r="K187" s="244">
        <f t="shared" si="9"/>
        <v>182</v>
      </c>
    </row>
    <row r="188" spans="1:11" ht="13.5" thickBot="1">
      <c r="A188" s="168">
        <f t="shared" si="11"/>
        <v>688</v>
      </c>
      <c r="B188" s="154"/>
      <c r="C188" s="49"/>
      <c r="D188" s="49" t="s">
        <v>160</v>
      </c>
      <c r="E188" s="49"/>
      <c r="F188" s="405">
        <f>SUM(F186:F187)</f>
        <v>8566647.5299999993</v>
      </c>
      <c r="G188" s="405"/>
      <c r="I188" s="405">
        <f t="shared" si="12"/>
        <v>8566647.5299999993</v>
      </c>
      <c r="J188" s="405">
        <f>+I188-F188</f>
        <v>0</v>
      </c>
      <c r="K188" s="244">
        <f t="shared" si="9"/>
        <v>183</v>
      </c>
    </row>
    <row r="189" spans="1:11" ht="13.5" thickTop="1">
      <c r="A189" s="168">
        <f t="shared" si="11"/>
        <v>689</v>
      </c>
      <c r="B189" s="154"/>
      <c r="C189" s="49"/>
      <c r="D189" s="49"/>
      <c r="E189" s="49"/>
      <c r="F189" s="404"/>
      <c r="G189" s="404"/>
      <c r="I189" s="404"/>
      <c r="J189" s="404"/>
      <c r="K189" s="244">
        <f t="shared" si="9"/>
        <v>184</v>
      </c>
    </row>
    <row r="190" spans="1:11">
      <c r="A190" s="168">
        <f t="shared" si="11"/>
        <v>690</v>
      </c>
      <c r="B190" s="154">
        <v>881</v>
      </c>
      <c r="C190" s="49" t="s">
        <v>370</v>
      </c>
      <c r="D190" s="49"/>
      <c r="E190" s="49"/>
      <c r="F190" s="404"/>
      <c r="G190" s="404"/>
      <c r="I190" s="404"/>
      <c r="J190" s="404"/>
      <c r="K190" s="244">
        <f t="shared" si="9"/>
        <v>185</v>
      </c>
    </row>
    <row r="191" spans="1:11">
      <c r="A191" s="168">
        <f t="shared" si="11"/>
        <v>691</v>
      </c>
      <c r="B191" s="154"/>
      <c r="C191" s="49"/>
      <c r="D191" s="49" t="s">
        <v>13</v>
      </c>
      <c r="E191" s="49"/>
      <c r="F191" s="404">
        <f>[14]EXPENSES.XNV!S186</f>
        <v>42721.05</v>
      </c>
      <c r="G191" s="404"/>
      <c r="I191" s="404">
        <f t="shared" si="12"/>
        <v>42721.05</v>
      </c>
      <c r="J191" s="404">
        <f>+I191-F191</f>
        <v>0</v>
      </c>
      <c r="K191" s="244">
        <f t="shared" si="9"/>
        <v>186</v>
      </c>
    </row>
    <row r="192" spans="1:11">
      <c r="A192" s="168">
        <f t="shared" si="11"/>
        <v>692</v>
      </c>
      <c r="B192" s="154"/>
      <c r="C192" s="49"/>
      <c r="D192" s="49" t="s">
        <v>24</v>
      </c>
      <c r="E192" s="49"/>
      <c r="F192" s="404">
        <f>[14]EXPENSES.XNV!S187</f>
        <v>1403.7900000000002</v>
      </c>
      <c r="G192" s="404"/>
      <c r="I192" s="404">
        <f t="shared" si="12"/>
        <v>1403.7900000000002</v>
      </c>
      <c r="J192" s="404">
        <f>+I192-F192</f>
        <v>0</v>
      </c>
      <c r="K192" s="244">
        <f t="shared" si="9"/>
        <v>187</v>
      </c>
    </row>
    <row r="193" spans="1:11" ht="13.5" thickBot="1">
      <c r="A193" s="168">
        <f t="shared" si="11"/>
        <v>693</v>
      </c>
      <c r="B193" s="154"/>
      <c r="C193" s="49"/>
      <c r="D193" s="49" t="s">
        <v>160</v>
      </c>
      <c r="E193" s="49"/>
      <c r="F193" s="405">
        <f>SUM(F191:F192)</f>
        <v>44124.840000000004</v>
      </c>
      <c r="G193" s="405"/>
      <c r="I193" s="405">
        <f t="shared" si="12"/>
        <v>44124.840000000004</v>
      </c>
      <c r="J193" s="405">
        <f>+I193-F193</f>
        <v>0</v>
      </c>
      <c r="K193" s="244">
        <f t="shared" si="9"/>
        <v>188</v>
      </c>
    </row>
    <row r="194" spans="1:11" ht="13.5" thickTop="1">
      <c r="A194" s="168">
        <f t="shared" si="11"/>
        <v>694</v>
      </c>
      <c r="B194" s="154"/>
      <c r="C194" s="49"/>
      <c r="D194" s="49"/>
      <c r="E194" s="49"/>
      <c r="F194" s="404"/>
      <c r="G194" s="404"/>
      <c r="I194" s="404"/>
      <c r="J194" s="404"/>
      <c r="K194" s="244">
        <f t="shared" si="9"/>
        <v>189</v>
      </c>
    </row>
    <row r="195" spans="1:11">
      <c r="A195" s="168">
        <f t="shared" si="11"/>
        <v>695</v>
      </c>
      <c r="B195" s="154">
        <v>885</v>
      </c>
      <c r="C195" s="49" t="s">
        <v>371</v>
      </c>
      <c r="D195" s="49"/>
      <c r="E195" s="49"/>
      <c r="F195" s="404"/>
      <c r="G195" s="404"/>
      <c r="I195" s="404"/>
      <c r="J195" s="404"/>
      <c r="K195" s="244">
        <f t="shared" si="9"/>
        <v>190</v>
      </c>
    </row>
    <row r="196" spans="1:11">
      <c r="A196" s="168">
        <f t="shared" si="11"/>
        <v>696</v>
      </c>
      <c r="B196" s="154"/>
      <c r="C196" s="49"/>
      <c r="D196" s="49" t="s">
        <v>13</v>
      </c>
      <c r="E196" s="49"/>
      <c r="F196" s="404">
        <f>[14]EXPENSES.XNV!S191</f>
        <v>542083.92999999993</v>
      </c>
      <c r="G196" s="404"/>
      <c r="I196" s="404">
        <f t="shared" si="12"/>
        <v>542083.92999999993</v>
      </c>
      <c r="J196" s="404">
        <f>+I196-F196</f>
        <v>0</v>
      </c>
      <c r="K196" s="244">
        <f t="shared" si="9"/>
        <v>191</v>
      </c>
    </row>
    <row r="197" spans="1:11">
      <c r="A197" s="168">
        <f t="shared" si="11"/>
        <v>697</v>
      </c>
      <c r="B197" s="154"/>
      <c r="C197" s="49"/>
      <c r="D197" s="49" t="s">
        <v>24</v>
      </c>
      <c r="E197" s="49"/>
      <c r="F197" s="404">
        <f>[14]EXPENSES.XNV!S192</f>
        <v>16345.48</v>
      </c>
      <c r="G197" s="404"/>
      <c r="I197" s="404">
        <f t="shared" si="12"/>
        <v>16345.48</v>
      </c>
      <c r="J197" s="404">
        <f>+I197-F197</f>
        <v>0</v>
      </c>
      <c r="K197" s="244">
        <f t="shared" si="9"/>
        <v>192</v>
      </c>
    </row>
    <row r="198" spans="1:11" ht="13.5" thickBot="1">
      <c r="A198" s="168">
        <f t="shared" si="11"/>
        <v>698</v>
      </c>
      <c r="B198" s="154"/>
      <c r="C198" s="49"/>
      <c r="D198" s="49" t="s">
        <v>160</v>
      </c>
      <c r="E198" s="49"/>
      <c r="F198" s="405">
        <f>SUM(F196:F197)</f>
        <v>558429.40999999992</v>
      </c>
      <c r="G198" s="405"/>
      <c r="I198" s="405">
        <f t="shared" si="12"/>
        <v>558429.40999999992</v>
      </c>
      <c r="J198" s="405">
        <f>+I198-F198</f>
        <v>0</v>
      </c>
      <c r="K198" s="244">
        <f t="shared" si="9"/>
        <v>193</v>
      </c>
    </row>
    <row r="199" spans="1:11" ht="13.5" thickTop="1">
      <c r="A199" s="168">
        <f t="shared" si="11"/>
        <v>699</v>
      </c>
      <c r="B199" s="154"/>
      <c r="C199" s="49"/>
      <c r="D199" s="49"/>
      <c r="E199" s="49"/>
      <c r="F199" s="404"/>
      <c r="G199" s="404"/>
      <c r="I199" s="404"/>
      <c r="J199" s="404"/>
      <c r="K199" s="244">
        <f t="shared" si="9"/>
        <v>194</v>
      </c>
    </row>
    <row r="200" spans="1:11">
      <c r="A200" s="168">
        <f t="shared" si="11"/>
        <v>700</v>
      </c>
      <c r="B200" s="154">
        <v>886</v>
      </c>
      <c r="C200" s="49" t="s">
        <v>372</v>
      </c>
      <c r="D200" s="49"/>
      <c r="E200" s="49"/>
      <c r="F200" s="404"/>
      <c r="G200" s="404"/>
      <c r="I200" s="404"/>
      <c r="J200" s="404"/>
      <c r="K200" s="244">
        <f t="shared" ref="K200:K263" si="13">+K199+1</f>
        <v>195</v>
      </c>
    </row>
    <row r="201" spans="1:11">
      <c r="A201" s="168">
        <f t="shared" si="11"/>
        <v>701</v>
      </c>
      <c r="B201" s="154"/>
      <c r="C201" s="49"/>
      <c r="D201" s="113" t="s">
        <v>13</v>
      </c>
      <c r="E201" s="49"/>
      <c r="F201" s="404">
        <f>[14]EXPENSES.XNV!S196</f>
        <v>88322.179999999978</v>
      </c>
      <c r="G201" s="404"/>
      <c r="I201" s="404">
        <f t="shared" si="12"/>
        <v>88322.179999999978</v>
      </c>
      <c r="J201" s="404">
        <f>+I201-F201</f>
        <v>0</v>
      </c>
      <c r="K201" s="244">
        <f t="shared" si="13"/>
        <v>196</v>
      </c>
    </row>
    <row r="202" spans="1:11">
      <c r="A202" s="168">
        <f t="shared" si="11"/>
        <v>702</v>
      </c>
      <c r="B202" s="154"/>
      <c r="C202" s="49"/>
      <c r="D202" s="49" t="s">
        <v>24</v>
      </c>
      <c r="E202" s="49"/>
      <c r="F202" s="404">
        <f>[14]EXPENSES.XNV!S197</f>
        <v>2954.09</v>
      </c>
      <c r="G202" s="404"/>
      <c r="I202" s="404">
        <f t="shared" ref="I202:I233" si="14">HLOOKUP($I$6,EXPENSESCENARIO,K202,FALSE)</f>
        <v>2954.09</v>
      </c>
      <c r="J202" s="404">
        <f>+I202-F202</f>
        <v>0</v>
      </c>
      <c r="K202" s="244">
        <f t="shared" si="13"/>
        <v>197</v>
      </c>
    </row>
    <row r="203" spans="1:11" ht="13.5" thickBot="1">
      <c r="A203" s="168">
        <f t="shared" si="11"/>
        <v>703</v>
      </c>
      <c r="B203" s="154"/>
      <c r="C203" s="49"/>
      <c r="D203" s="49" t="s">
        <v>160</v>
      </c>
      <c r="E203" s="49"/>
      <c r="F203" s="405">
        <f>SUM(F201:F202)</f>
        <v>91276.269999999975</v>
      </c>
      <c r="G203" s="405"/>
      <c r="I203" s="405">
        <f t="shared" si="14"/>
        <v>91276.269999999975</v>
      </c>
      <c r="J203" s="405">
        <f>+I203-F203</f>
        <v>0</v>
      </c>
      <c r="K203" s="244">
        <f t="shared" si="13"/>
        <v>198</v>
      </c>
    </row>
    <row r="204" spans="1:11" ht="13.5" thickTop="1">
      <c r="A204" s="168">
        <f t="shared" ref="A204:A267" si="15">+A203+1</f>
        <v>704</v>
      </c>
      <c r="B204" s="154"/>
      <c r="C204" s="49"/>
      <c r="D204" s="49"/>
      <c r="E204" s="49"/>
      <c r="F204" s="404"/>
      <c r="G204" s="404"/>
      <c r="I204" s="404"/>
      <c r="J204" s="404"/>
      <c r="K204" s="244">
        <f t="shared" si="13"/>
        <v>199</v>
      </c>
    </row>
    <row r="205" spans="1:11">
      <c r="A205" s="168">
        <f t="shared" si="15"/>
        <v>705</v>
      </c>
      <c r="B205" s="154">
        <v>887</v>
      </c>
      <c r="C205" s="49" t="s">
        <v>373</v>
      </c>
      <c r="D205" s="49"/>
      <c r="E205" s="49"/>
      <c r="F205" s="404"/>
      <c r="G205" s="404"/>
      <c r="I205" s="404"/>
      <c r="J205" s="404"/>
      <c r="K205" s="244">
        <f t="shared" si="13"/>
        <v>200</v>
      </c>
    </row>
    <row r="206" spans="1:11">
      <c r="A206" s="168">
        <f t="shared" si="15"/>
        <v>706</v>
      </c>
      <c r="B206" s="154"/>
      <c r="C206" s="49"/>
      <c r="D206" s="49" t="s">
        <v>13</v>
      </c>
      <c r="E206" s="49"/>
      <c r="F206" s="404">
        <f>[14]EXPENSES.XNV!S201</f>
        <v>8401730.8399999999</v>
      </c>
      <c r="G206" s="404"/>
      <c r="I206" s="404">
        <f t="shared" si="14"/>
        <v>8401730.8399999999</v>
      </c>
      <c r="J206" s="404">
        <f>+I206-F206</f>
        <v>0</v>
      </c>
      <c r="K206" s="244">
        <f t="shared" si="13"/>
        <v>201</v>
      </c>
    </row>
    <row r="207" spans="1:11">
      <c r="A207" s="168">
        <f t="shared" si="15"/>
        <v>707</v>
      </c>
      <c r="B207" s="154"/>
      <c r="C207" s="49"/>
      <c r="D207" s="49" t="s">
        <v>24</v>
      </c>
      <c r="E207" s="49"/>
      <c r="F207" s="404">
        <f>[14]EXPENSES.XNV!S202</f>
        <v>133672.81999999998</v>
      </c>
      <c r="G207" s="404"/>
      <c r="I207" s="404">
        <f t="shared" si="14"/>
        <v>133672.81999999998</v>
      </c>
      <c r="J207" s="404">
        <f>+I207-F207</f>
        <v>0</v>
      </c>
      <c r="K207" s="244">
        <f t="shared" si="13"/>
        <v>202</v>
      </c>
    </row>
    <row r="208" spans="1:11" ht="13.5" thickBot="1">
      <c r="A208" s="168">
        <f t="shared" si="15"/>
        <v>708</v>
      </c>
      <c r="B208" s="154"/>
      <c r="C208" s="49"/>
      <c r="D208" s="49" t="s">
        <v>160</v>
      </c>
      <c r="E208" s="49"/>
      <c r="F208" s="405">
        <f>SUM(F206:F207)</f>
        <v>8535403.6600000001</v>
      </c>
      <c r="G208" s="405"/>
      <c r="I208" s="405">
        <f t="shared" si="14"/>
        <v>8535403.6600000001</v>
      </c>
      <c r="J208" s="405">
        <f>+I208-F208</f>
        <v>0</v>
      </c>
      <c r="K208" s="244">
        <f t="shared" si="13"/>
        <v>203</v>
      </c>
    </row>
    <row r="209" spans="1:11" ht="13.5" thickTop="1">
      <c r="A209" s="168">
        <f t="shared" si="15"/>
        <v>709</v>
      </c>
      <c r="B209" s="154"/>
      <c r="C209" s="49"/>
      <c r="D209" s="49"/>
      <c r="E209" s="49"/>
      <c r="F209" s="404"/>
      <c r="G209" s="404"/>
      <c r="I209" s="404"/>
      <c r="J209" s="404"/>
      <c r="K209" s="244">
        <f t="shared" si="13"/>
        <v>204</v>
      </c>
    </row>
    <row r="210" spans="1:11">
      <c r="A210" s="168">
        <f t="shared" si="15"/>
        <v>710</v>
      </c>
      <c r="B210" s="154">
        <v>888</v>
      </c>
      <c r="C210" s="49" t="s">
        <v>374</v>
      </c>
      <c r="D210" s="49"/>
      <c r="E210" s="49"/>
      <c r="F210" s="404"/>
      <c r="G210" s="404"/>
      <c r="I210" s="404"/>
      <c r="J210" s="404"/>
      <c r="K210" s="244">
        <f t="shared" si="13"/>
        <v>205</v>
      </c>
    </row>
    <row r="211" spans="1:11">
      <c r="A211" s="168">
        <f t="shared" si="15"/>
        <v>711</v>
      </c>
      <c r="B211" s="154"/>
      <c r="C211" s="49"/>
      <c r="D211" s="49" t="s">
        <v>13</v>
      </c>
      <c r="E211" s="49"/>
      <c r="F211" s="404">
        <f>[14]EXPENSES.XNV!S206</f>
        <v>973056.72</v>
      </c>
      <c r="G211" s="404"/>
      <c r="I211" s="404">
        <f t="shared" si="14"/>
        <v>973056.72</v>
      </c>
      <c r="J211" s="404">
        <f>+I211-F211</f>
        <v>0</v>
      </c>
      <c r="K211" s="244">
        <f t="shared" si="13"/>
        <v>206</v>
      </c>
    </row>
    <row r="212" spans="1:11">
      <c r="A212" s="168">
        <f t="shared" si="15"/>
        <v>712</v>
      </c>
      <c r="B212" s="154"/>
      <c r="C212" s="49"/>
      <c r="D212" s="49" t="s">
        <v>24</v>
      </c>
      <c r="E212" s="49"/>
      <c r="F212" s="404">
        <f>[14]EXPENSES.XNV!S207</f>
        <v>102474.85</v>
      </c>
      <c r="G212" s="404"/>
      <c r="I212" s="404">
        <f t="shared" si="14"/>
        <v>102474.85</v>
      </c>
      <c r="J212" s="404">
        <f>+I212-F212</f>
        <v>0</v>
      </c>
      <c r="K212" s="244">
        <f t="shared" si="13"/>
        <v>207</v>
      </c>
    </row>
    <row r="213" spans="1:11" ht="13.5" thickBot="1">
      <c r="A213" s="168">
        <f t="shared" si="15"/>
        <v>713</v>
      </c>
      <c r="B213" s="154"/>
      <c r="C213" s="49"/>
      <c r="D213" s="49" t="s">
        <v>160</v>
      </c>
      <c r="E213" s="49"/>
      <c r="F213" s="405">
        <f>SUM(F211:F212)</f>
        <v>1075531.57</v>
      </c>
      <c r="G213" s="405"/>
      <c r="I213" s="405">
        <f t="shared" si="14"/>
        <v>1075531.57</v>
      </c>
      <c r="J213" s="405">
        <f>+I213-F213</f>
        <v>0</v>
      </c>
      <c r="K213" s="244">
        <f t="shared" si="13"/>
        <v>208</v>
      </c>
    </row>
    <row r="214" spans="1:11" ht="13.5" thickTop="1">
      <c r="A214" s="168">
        <f t="shared" si="15"/>
        <v>714</v>
      </c>
      <c r="B214" s="154"/>
      <c r="C214" s="49"/>
      <c r="D214" s="49"/>
      <c r="E214" s="49"/>
      <c r="F214" s="404"/>
      <c r="G214" s="404"/>
      <c r="I214" s="404"/>
      <c r="J214" s="404"/>
      <c r="K214" s="244">
        <f t="shared" si="13"/>
        <v>209</v>
      </c>
    </row>
    <row r="215" spans="1:11">
      <c r="A215" s="168">
        <f t="shared" si="15"/>
        <v>715</v>
      </c>
      <c r="B215" s="154">
        <v>889</v>
      </c>
      <c r="C215" s="49" t="s">
        <v>375</v>
      </c>
      <c r="D215" s="49"/>
      <c r="E215" s="49"/>
      <c r="F215" s="404"/>
      <c r="G215" s="404"/>
      <c r="I215" s="404"/>
      <c r="J215" s="404"/>
      <c r="K215" s="244">
        <f t="shared" si="13"/>
        <v>210</v>
      </c>
    </row>
    <row r="216" spans="1:11">
      <c r="A216" s="168">
        <f t="shared" si="15"/>
        <v>716</v>
      </c>
      <c r="B216" s="154"/>
      <c r="C216" s="49"/>
      <c r="D216" s="49" t="s">
        <v>13</v>
      </c>
      <c r="E216" s="49"/>
      <c r="F216" s="404">
        <f>[14]EXPENSES.XNV!S211</f>
        <v>89094.399999999994</v>
      </c>
      <c r="G216" s="404"/>
      <c r="I216" s="404">
        <f t="shared" si="14"/>
        <v>89094.399999999994</v>
      </c>
      <c r="J216" s="404">
        <f>+I216-F216</f>
        <v>0</v>
      </c>
      <c r="K216" s="244">
        <f t="shared" si="13"/>
        <v>211</v>
      </c>
    </row>
    <row r="217" spans="1:11">
      <c r="A217" s="168">
        <f t="shared" si="15"/>
        <v>717</v>
      </c>
      <c r="B217" s="154"/>
      <c r="C217" s="49"/>
      <c r="D217" s="49" t="s">
        <v>24</v>
      </c>
      <c r="E217" s="49"/>
      <c r="F217" s="404">
        <f>[14]EXPENSES.XNV!S212</f>
        <v>81722.52</v>
      </c>
      <c r="G217" s="404"/>
      <c r="I217" s="404">
        <f t="shared" si="14"/>
        <v>81722.52</v>
      </c>
      <c r="J217" s="404">
        <f>+I217-F217</f>
        <v>0</v>
      </c>
      <c r="K217" s="244">
        <f t="shared" si="13"/>
        <v>212</v>
      </c>
    </row>
    <row r="218" spans="1:11" ht="13.5" thickBot="1">
      <c r="A218" s="168">
        <f t="shared" si="15"/>
        <v>718</v>
      </c>
      <c r="B218" s="154"/>
      <c r="C218" s="49"/>
      <c r="D218" s="49" t="s">
        <v>160</v>
      </c>
      <c r="E218" s="49"/>
      <c r="F218" s="405">
        <f>SUM(F216:F217)</f>
        <v>170816.91999999998</v>
      </c>
      <c r="G218" s="405"/>
      <c r="I218" s="405">
        <f t="shared" si="14"/>
        <v>170816.91999999998</v>
      </c>
      <c r="J218" s="405">
        <f>+I218-F218</f>
        <v>0</v>
      </c>
      <c r="K218" s="244">
        <f t="shared" si="13"/>
        <v>213</v>
      </c>
    </row>
    <row r="219" spans="1:11" ht="13.5" thickTop="1">
      <c r="A219" s="168">
        <f t="shared" si="15"/>
        <v>719</v>
      </c>
      <c r="B219" s="154"/>
      <c r="C219" s="49"/>
      <c r="D219" s="49"/>
      <c r="E219" s="49"/>
      <c r="F219" s="404"/>
      <c r="G219" s="404"/>
      <c r="I219" s="404"/>
      <c r="J219" s="404"/>
      <c r="K219" s="244">
        <f t="shared" si="13"/>
        <v>214</v>
      </c>
    </row>
    <row r="220" spans="1:11">
      <c r="A220" s="168">
        <f t="shared" si="15"/>
        <v>720</v>
      </c>
      <c r="B220" s="154">
        <v>892</v>
      </c>
      <c r="C220" s="49" t="s">
        <v>376</v>
      </c>
      <c r="D220" s="49"/>
      <c r="E220" s="49"/>
      <c r="F220" s="404"/>
      <c r="G220" s="404"/>
      <c r="I220" s="404"/>
      <c r="J220" s="404"/>
      <c r="K220" s="244">
        <f t="shared" si="13"/>
        <v>215</v>
      </c>
    </row>
    <row r="221" spans="1:11">
      <c r="A221" s="168">
        <f t="shared" si="15"/>
        <v>721</v>
      </c>
      <c r="B221" s="154"/>
      <c r="C221" s="49"/>
      <c r="D221" s="49" t="s">
        <v>13</v>
      </c>
      <c r="E221" s="49"/>
      <c r="F221" s="404">
        <f>[14]EXPENSES.XNV!S216</f>
        <v>472098.05</v>
      </c>
      <c r="G221" s="404"/>
      <c r="I221" s="404">
        <f t="shared" si="14"/>
        <v>472098.05</v>
      </c>
      <c r="J221" s="404">
        <f>+I221-F221</f>
        <v>0</v>
      </c>
      <c r="K221" s="244">
        <f t="shared" si="13"/>
        <v>216</v>
      </c>
    </row>
    <row r="222" spans="1:11">
      <c r="A222" s="168">
        <f t="shared" si="15"/>
        <v>722</v>
      </c>
      <c r="B222" s="154"/>
      <c r="C222" s="49"/>
      <c r="D222" s="49" t="s">
        <v>24</v>
      </c>
      <c r="E222" s="49"/>
      <c r="F222" s="404">
        <f>[14]EXPENSES.XNV!S217</f>
        <v>72587.44</v>
      </c>
      <c r="G222" s="404"/>
      <c r="I222" s="404">
        <f t="shared" si="14"/>
        <v>72587.44</v>
      </c>
      <c r="J222" s="404">
        <f>+I222-F222</f>
        <v>0</v>
      </c>
      <c r="K222" s="244">
        <f t="shared" si="13"/>
        <v>217</v>
      </c>
    </row>
    <row r="223" spans="1:11" ht="13.5" thickBot="1">
      <c r="A223" s="168">
        <f t="shared" si="15"/>
        <v>723</v>
      </c>
      <c r="B223" s="154"/>
      <c r="C223" s="49"/>
      <c r="D223" s="49" t="s">
        <v>160</v>
      </c>
      <c r="E223" s="49"/>
      <c r="F223" s="405">
        <f>SUM(F221:F222)</f>
        <v>544685.49</v>
      </c>
      <c r="G223" s="405"/>
      <c r="I223" s="405">
        <f t="shared" si="14"/>
        <v>544685.49</v>
      </c>
      <c r="J223" s="405">
        <f>+I223-F223</f>
        <v>0</v>
      </c>
      <c r="K223" s="244">
        <f t="shared" si="13"/>
        <v>218</v>
      </c>
    </row>
    <row r="224" spans="1:11" ht="13.5" thickTop="1">
      <c r="A224" s="168">
        <f t="shared" si="15"/>
        <v>724</v>
      </c>
      <c r="B224" s="154"/>
      <c r="C224" s="49"/>
      <c r="D224" s="49"/>
      <c r="E224" s="49"/>
      <c r="F224" s="404"/>
      <c r="G224" s="404"/>
      <c r="I224" s="404"/>
      <c r="J224" s="404"/>
      <c r="K224" s="244">
        <f t="shared" si="13"/>
        <v>219</v>
      </c>
    </row>
    <row r="225" spans="1:11">
      <c r="A225" s="168">
        <f t="shared" si="15"/>
        <v>725</v>
      </c>
      <c r="B225" s="154">
        <v>893</v>
      </c>
      <c r="C225" s="49" t="s">
        <v>378</v>
      </c>
      <c r="D225" s="49"/>
      <c r="E225" s="49"/>
      <c r="F225" s="404"/>
      <c r="G225" s="404"/>
      <c r="I225" s="404"/>
      <c r="J225" s="404"/>
      <c r="K225" s="244">
        <f t="shared" si="13"/>
        <v>220</v>
      </c>
    </row>
    <row r="226" spans="1:11">
      <c r="A226" s="168">
        <f t="shared" si="15"/>
        <v>726</v>
      </c>
      <c r="B226" s="154"/>
      <c r="C226" s="49"/>
      <c r="D226" s="49" t="s">
        <v>13</v>
      </c>
      <c r="E226" s="49"/>
      <c r="F226" s="404">
        <f>[14]EXPENSES.XNV!S221</f>
        <v>569715.0199999999</v>
      </c>
      <c r="G226" s="404"/>
      <c r="I226" s="404">
        <f t="shared" si="14"/>
        <v>569715.0199999999</v>
      </c>
      <c r="J226" s="404">
        <f>+I226-F226</f>
        <v>0</v>
      </c>
      <c r="K226" s="244">
        <f t="shared" si="13"/>
        <v>221</v>
      </c>
    </row>
    <row r="227" spans="1:11">
      <c r="A227" s="168">
        <f t="shared" si="15"/>
        <v>727</v>
      </c>
      <c r="B227" s="154"/>
      <c r="C227" s="49"/>
      <c r="D227" s="49" t="s">
        <v>24</v>
      </c>
      <c r="E227" s="49"/>
      <c r="F227" s="404">
        <f>[14]EXPENSES.XNV!S222</f>
        <v>1965.9800000000005</v>
      </c>
      <c r="G227" s="404"/>
      <c r="I227" s="404">
        <f t="shared" si="14"/>
        <v>1965.9800000000005</v>
      </c>
      <c r="J227" s="404">
        <f>+I227-F227</f>
        <v>0</v>
      </c>
      <c r="K227" s="244">
        <f t="shared" si="13"/>
        <v>222</v>
      </c>
    </row>
    <row r="228" spans="1:11" ht="13.5" thickBot="1">
      <c r="A228" s="168">
        <f t="shared" si="15"/>
        <v>728</v>
      </c>
      <c r="B228" s="154"/>
      <c r="C228" s="49"/>
      <c r="D228" s="49" t="s">
        <v>160</v>
      </c>
      <c r="E228" s="49"/>
      <c r="F228" s="405">
        <f>SUM(F226:F227)</f>
        <v>571680.99999999988</v>
      </c>
      <c r="G228" s="405"/>
      <c r="I228" s="405">
        <f t="shared" si="14"/>
        <v>571680.99999999988</v>
      </c>
      <c r="J228" s="405">
        <f>+I228-F228</f>
        <v>0</v>
      </c>
      <c r="K228" s="244">
        <f t="shared" si="13"/>
        <v>223</v>
      </c>
    </row>
    <row r="229" spans="1:11" ht="13.5" thickTop="1">
      <c r="A229" s="168">
        <f t="shared" si="15"/>
        <v>729</v>
      </c>
      <c r="B229" s="154"/>
      <c r="C229" s="49"/>
      <c r="D229" s="49"/>
      <c r="E229" s="49"/>
      <c r="F229" s="404"/>
      <c r="G229" s="404"/>
      <c r="I229" s="404"/>
      <c r="J229" s="404"/>
      <c r="K229" s="244">
        <f t="shared" si="13"/>
        <v>224</v>
      </c>
    </row>
    <row r="230" spans="1:11">
      <c r="A230" s="168">
        <f t="shared" si="15"/>
        <v>730</v>
      </c>
      <c r="B230" s="154">
        <v>8941</v>
      </c>
      <c r="C230" s="49" t="s">
        <v>380</v>
      </c>
      <c r="D230" s="49"/>
      <c r="E230" s="49"/>
      <c r="F230" s="404"/>
      <c r="G230" s="404"/>
      <c r="I230" s="404"/>
      <c r="J230" s="404"/>
      <c r="K230" s="244">
        <f t="shared" si="13"/>
        <v>225</v>
      </c>
    </row>
    <row r="231" spans="1:11">
      <c r="A231" s="168">
        <f t="shared" si="15"/>
        <v>731</v>
      </c>
      <c r="B231" s="154"/>
      <c r="C231" s="49"/>
      <c r="D231" s="49" t="s">
        <v>13</v>
      </c>
      <c r="E231" s="49"/>
      <c r="F231" s="404">
        <f>[14]EXPENSES.XNV!S226</f>
        <v>0</v>
      </c>
      <c r="G231" s="404"/>
      <c r="I231" s="404">
        <f t="shared" si="14"/>
        <v>0</v>
      </c>
      <c r="J231" s="404">
        <f>+I231-F231</f>
        <v>0</v>
      </c>
      <c r="K231" s="244">
        <f t="shared" si="13"/>
        <v>226</v>
      </c>
    </row>
    <row r="232" spans="1:11">
      <c r="A232" s="168">
        <f t="shared" si="15"/>
        <v>732</v>
      </c>
      <c r="B232" s="154"/>
      <c r="C232" s="49"/>
      <c r="D232" s="49" t="s">
        <v>24</v>
      </c>
      <c r="E232" s="49"/>
      <c r="F232" s="404">
        <f>[14]EXPENSES.XNV!S227</f>
        <v>0</v>
      </c>
      <c r="G232" s="404"/>
      <c r="I232" s="404">
        <f t="shared" si="14"/>
        <v>0</v>
      </c>
      <c r="J232" s="404">
        <f>+I232-F232</f>
        <v>0</v>
      </c>
      <c r="K232" s="244">
        <f t="shared" si="13"/>
        <v>227</v>
      </c>
    </row>
    <row r="233" spans="1:11" ht="13.5" thickBot="1">
      <c r="A233" s="168">
        <f t="shared" si="15"/>
        <v>733</v>
      </c>
      <c r="B233" s="154"/>
      <c r="C233" s="49"/>
      <c r="D233" s="49" t="s">
        <v>160</v>
      </c>
      <c r="E233" s="49"/>
      <c r="F233" s="405">
        <f>SUM(F231:F232)</f>
        <v>0</v>
      </c>
      <c r="G233" s="405"/>
      <c r="I233" s="405">
        <f t="shared" si="14"/>
        <v>0</v>
      </c>
      <c r="J233" s="405">
        <f>+I233-F233</f>
        <v>0</v>
      </c>
      <c r="K233" s="244">
        <f t="shared" si="13"/>
        <v>228</v>
      </c>
    </row>
    <row r="234" spans="1:11" ht="13.5" thickTop="1">
      <c r="A234" s="168">
        <f t="shared" si="15"/>
        <v>734</v>
      </c>
      <c r="B234" s="154"/>
      <c r="C234" s="49"/>
      <c r="D234" s="49"/>
      <c r="E234" s="49"/>
      <c r="F234" s="404"/>
      <c r="G234" s="404"/>
      <c r="I234" s="404"/>
      <c r="J234" s="404"/>
      <c r="K234" s="244">
        <f t="shared" si="13"/>
        <v>229</v>
      </c>
    </row>
    <row r="235" spans="1:11">
      <c r="A235" s="168">
        <f t="shared" si="15"/>
        <v>735</v>
      </c>
      <c r="B235" s="154">
        <v>8942</v>
      </c>
      <c r="C235" s="49" t="s">
        <v>382</v>
      </c>
      <c r="D235" s="49"/>
      <c r="E235" s="49"/>
      <c r="F235" s="404"/>
      <c r="G235" s="404"/>
      <c r="I235" s="404"/>
      <c r="J235" s="404"/>
      <c r="K235" s="244">
        <f t="shared" si="13"/>
        <v>230</v>
      </c>
    </row>
    <row r="236" spans="1:11">
      <c r="A236" s="168">
        <f t="shared" si="15"/>
        <v>736</v>
      </c>
      <c r="B236" s="153"/>
      <c r="C236" s="49"/>
      <c r="D236" s="49" t="s">
        <v>13</v>
      </c>
      <c r="E236" s="49"/>
      <c r="F236" s="404">
        <f>[14]EXPENSES.XNV!S231</f>
        <v>0</v>
      </c>
      <c r="G236" s="404"/>
      <c r="I236" s="404">
        <f t="shared" ref="I236:I265" si="16">HLOOKUP($I$6,EXPENSESCENARIO,K236,FALSE)</f>
        <v>0</v>
      </c>
      <c r="J236" s="404">
        <f>+I236-F236</f>
        <v>0</v>
      </c>
      <c r="K236" s="244">
        <f t="shared" si="13"/>
        <v>231</v>
      </c>
    </row>
    <row r="237" spans="1:11">
      <c r="A237" s="168">
        <f t="shared" si="15"/>
        <v>737</v>
      </c>
      <c r="B237" s="153"/>
      <c r="C237" s="49"/>
      <c r="D237" s="49" t="s">
        <v>24</v>
      </c>
      <c r="E237" s="49"/>
      <c r="F237" s="404">
        <f>[14]EXPENSES.XNV!S232</f>
        <v>0</v>
      </c>
      <c r="G237" s="404"/>
      <c r="I237" s="404">
        <f t="shared" si="16"/>
        <v>0</v>
      </c>
      <c r="J237" s="404">
        <f>+I237-F237</f>
        <v>0</v>
      </c>
      <c r="K237" s="244">
        <f t="shared" si="13"/>
        <v>232</v>
      </c>
    </row>
    <row r="238" spans="1:11" ht="13.5" thickBot="1">
      <c r="A238" s="168">
        <f t="shared" si="15"/>
        <v>738</v>
      </c>
      <c r="B238" s="153"/>
      <c r="C238" s="49"/>
      <c r="D238" s="49" t="s">
        <v>160</v>
      </c>
      <c r="E238" s="49"/>
      <c r="F238" s="405">
        <f>SUM(F236:F237)</f>
        <v>0</v>
      </c>
      <c r="G238" s="405"/>
      <c r="I238" s="405">
        <f t="shared" si="16"/>
        <v>0</v>
      </c>
      <c r="J238" s="405">
        <f>+I238-F238</f>
        <v>0</v>
      </c>
      <c r="K238" s="244">
        <f t="shared" si="13"/>
        <v>233</v>
      </c>
    </row>
    <row r="239" spans="1:11" ht="13.5" thickTop="1">
      <c r="A239" s="168">
        <f t="shared" si="15"/>
        <v>739</v>
      </c>
      <c r="B239" s="153"/>
      <c r="C239" s="49"/>
      <c r="D239" s="49"/>
      <c r="E239" s="49"/>
      <c r="F239" s="404"/>
      <c r="G239" s="404"/>
      <c r="I239" s="404"/>
      <c r="J239" s="404"/>
      <c r="K239" s="244">
        <f t="shared" si="13"/>
        <v>234</v>
      </c>
    </row>
    <row r="240" spans="1:11">
      <c r="A240" s="168">
        <f t="shared" si="15"/>
        <v>740</v>
      </c>
      <c r="B240" s="130" t="s">
        <v>553</v>
      </c>
      <c r="C240" s="49"/>
      <c r="D240" s="49"/>
      <c r="E240" s="49"/>
      <c r="F240" s="404"/>
      <c r="G240" s="404"/>
      <c r="I240" s="404"/>
      <c r="J240" s="404"/>
      <c r="K240" s="244">
        <f t="shared" si="13"/>
        <v>235</v>
      </c>
    </row>
    <row r="241" spans="1:11">
      <c r="A241" s="168">
        <f t="shared" si="15"/>
        <v>741</v>
      </c>
      <c r="B241" s="153"/>
      <c r="C241" s="49" t="s">
        <v>551</v>
      </c>
      <c r="D241" s="49"/>
      <c r="E241" s="49"/>
      <c r="F241" s="404">
        <f>F146+F151+F156+F161+F166+F171+F176+F181+F186+F191+F196+F201+F206+F211+F216+F221+F226+F231+F236</f>
        <v>52285691.609999999</v>
      </c>
      <c r="G241" s="404"/>
      <c r="I241" s="404">
        <f t="shared" si="16"/>
        <v>52285691.609999999</v>
      </c>
      <c r="J241" s="404">
        <f>+I241-F241</f>
        <v>0</v>
      </c>
      <c r="K241" s="244">
        <f t="shared" si="13"/>
        <v>236</v>
      </c>
    </row>
    <row r="242" spans="1:11">
      <c r="A242" s="168">
        <f t="shared" si="15"/>
        <v>742</v>
      </c>
      <c r="B242" s="153"/>
      <c r="C242" s="49" t="s">
        <v>552</v>
      </c>
      <c r="D242" s="49"/>
      <c r="E242" s="49"/>
      <c r="F242" s="404">
        <f>F147+F152+F157+F162+F167+F172+F177+F182+F187+F192+F197+F202+F207+F212+F217+F222+F227+F232+F237</f>
        <v>2664192.5200000005</v>
      </c>
      <c r="G242" s="404"/>
      <c r="I242" s="404">
        <f t="shared" si="16"/>
        <v>2664192.5200000005</v>
      </c>
      <c r="J242" s="404">
        <f>+I242-F242</f>
        <v>0</v>
      </c>
      <c r="K242" s="244">
        <f t="shared" si="13"/>
        <v>237</v>
      </c>
    </row>
    <row r="243" spans="1:11" ht="13.5" thickBot="1">
      <c r="A243" s="168">
        <f t="shared" si="15"/>
        <v>743</v>
      </c>
      <c r="B243" s="153"/>
      <c r="C243" s="49"/>
      <c r="D243" s="49"/>
      <c r="E243" s="49"/>
      <c r="F243" s="407"/>
      <c r="G243" s="407"/>
      <c r="I243" s="407">
        <f t="shared" si="16"/>
        <v>0</v>
      </c>
      <c r="J243" s="407"/>
      <c r="K243" s="244">
        <f t="shared" si="13"/>
        <v>238</v>
      </c>
    </row>
    <row r="244" spans="1:11">
      <c r="A244" s="168">
        <f t="shared" si="15"/>
        <v>744</v>
      </c>
      <c r="B244" s="153"/>
      <c r="C244" s="158" t="s">
        <v>553</v>
      </c>
      <c r="D244" s="49"/>
      <c r="E244" s="49"/>
      <c r="F244" s="404">
        <f>SUM(F241:F242)</f>
        <v>54949884.130000003</v>
      </c>
      <c r="G244" s="404"/>
      <c r="I244" s="404">
        <f t="shared" si="16"/>
        <v>54949884.130000003</v>
      </c>
      <c r="J244" s="404">
        <f>+I244-F244</f>
        <v>0</v>
      </c>
      <c r="K244" s="244">
        <f t="shared" si="13"/>
        <v>239</v>
      </c>
    </row>
    <row r="245" spans="1:11">
      <c r="A245" s="168">
        <f t="shared" si="15"/>
        <v>745</v>
      </c>
      <c r="B245" s="153"/>
      <c r="C245" s="49"/>
      <c r="D245" s="49"/>
      <c r="E245" s="49"/>
      <c r="F245" s="404"/>
      <c r="G245" s="404"/>
      <c r="I245" s="404"/>
      <c r="J245" s="404"/>
      <c r="K245" s="244">
        <f t="shared" si="13"/>
        <v>240</v>
      </c>
    </row>
    <row r="246" spans="1:11">
      <c r="A246" s="168">
        <f t="shared" si="15"/>
        <v>746</v>
      </c>
      <c r="B246" s="130" t="s">
        <v>383</v>
      </c>
      <c r="C246" s="49"/>
      <c r="D246" s="49"/>
      <c r="E246" s="49"/>
      <c r="F246" s="404"/>
      <c r="G246" s="404"/>
      <c r="I246" s="404"/>
      <c r="J246" s="404"/>
      <c r="K246" s="244">
        <f t="shared" si="13"/>
        <v>241</v>
      </c>
    </row>
    <row r="247" spans="1:11">
      <c r="A247" s="168">
        <f t="shared" si="15"/>
        <v>747</v>
      </c>
      <c r="B247" s="153"/>
      <c r="C247" s="49"/>
      <c r="D247" s="49"/>
      <c r="E247" s="49"/>
      <c r="F247" s="404"/>
      <c r="G247" s="404"/>
      <c r="I247" s="404"/>
      <c r="J247" s="404"/>
      <c r="K247" s="244">
        <f t="shared" si="13"/>
        <v>242</v>
      </c>
    </row>
    <row r="248" spans="1:11">
      <c r="A248" s="168">
        <f t="shared" si="15"/>
        <v>748</v>
      </c>
      <c r="B248" s="154">
        <v>901</v>
      </c>
      <c r="C248" s="49" t="s">
        <v>385</v>
      </c>
      <c r="D248" s="49"/>
      <c r="E248" s="49"/>
      <c r="F248" s="404"/>
      <c r="G248" s="404"/>
      <c r="I248" s="404"/>
      <c r="J248" s="404"/>
      <c r="K248" s="244">
        <f t="shared" si="13"/>
        <v>243</v>
      </c>
    </row>
    <row r="249" spans="1:11">
      <c r="A249" s="168">
        <f t="shared" si="15"/>
        <v>749</v>
      </c>
      <c r="B249" s="154"/>
      <c r="C249" s="49"/>
      <c r="D249" s="49" t="s">
        <v>13</v>
      </c>
      <c r="E249" s="49"/>
      <c r="F249" s="404">
        <f>[14]EXPENSES.XNV!S244</f>
        <v>1123201.22</v>
      </c>
      <c r="G249" s="404"/>
      <c r="I249" s="404">
        <f t="shared" si="16"/>
        <v>1123201.22</v>
      </c>
      <c r="J249" s="404">
        <f>+I249-F249</f>
        <v>0</v>
      </c>
      <c r="K249" s="244">
        <f t="shared" si="13"/>
        <v>244</v>
      </c>
    </row>
    <row r="250" spans="1:11">
      <c r="A250" s="168">
        <f t="shared" si="15"/>
        <v>750</v>
      </c>
      <c r="B250" s="154"/>
      <c r="C250" s="49"/>
      <c r="D250" s="49" t="s">
        <v>24</v>
      </c>
      <c r="E250" s="49"/>
      <c r="F250" s="404">
        <f>[14]EXPENSES.XNV!S245</f>
        <v>23973.87</v>
      </c>
      <c r="G250" s="404"/>
      <c r="I250" s="404">
        <f t="shared" si="16"/>
        <v>23973.87</v>
      </c>
      <c r="J250" s="404">
        <f>+I250-F250</f>
        <v>0</v>
      </c>
      <c r="K250" s="244">
        <f t="shared" si="13"/>
        <v>245</v>
      </c>
    </row>
    <row r="251" spans="1:11" ht="13.5" thickBot="1">
      <c r="A251" s="168">
        <f t="shared" si="15"/>
        <v>751</v>
      </c>
      <c r="B251" s="154"/>
      <c r="C251" s="49"/>
      <c r="D251" s="49" t="s">
        <v>160</v>
      </c>
      <c r="E251" s="49"/>
      <c r="F251" s="405">
        <f>SUM(F249:F250)</f>
        <v>1147175.0900000001</v>
      </c>
      <c r="G251" s="405"/>
      <c r="I251" s="405">
        <f t="shared" si="16"/>
        <v>1147175.0900000001</v>
      </c>
      <c r="J251" s="405">
        <f>+I251-F251</f>
        <v>0</v>
      </c>
      <c r="K251" s="244">
        <f t="shared" si="13"/>
        <v>246</v>
      </c>
    </row>
    <row r="252" spans="1:11" ht="13.5" thickTop="1">
      <c r="A252" s="168">
        <f t="shared" si="15"/>
        <v>752</v>
      </c>
      <c r="B252" s="154"/>
      <c r="C252" s="49"/>
      <c r="D252" s="49"/>
      <c r="E252" s="49"/>
      <c r="F252" s="404"/>
      <c r="G252" s="404"/>
      <c r="I252" s="404">
        <f t="shared" si="16"/>
        <v>0</v>
      </c>
      <c r="J252" s="404"/>
      <c r="K252" s="244">
        <f t="shared" si="13"/>
        <v>247</v>
      </c>
    </row>
    <row r="253" spans="1:11">
      <c r="A253" s="168">
        <f t="shared" si="15"/>
        <v>753</v>
      </c>
      <c r="B253" s="154">
        <v>902</v>
      </c>
      <c r="C253" s="49" t="s">
        <v>386</v>
      </c>
      <c r="D253" s="49"/>
      <c r="E253" s="49"/>
      <c r="F253" s="404"/>
      <c r="G253" s="404"/>
      <c r="I253" s="404">
        <f t="shared" si="16"/>
        <v>0</v>
      </c>
      <c r="J253" s="404"/>
      <c r="K253" s="244">
        <f t="shared" si="13"/>
        <v>248</v>
      </c>
    </row>
    <row r="254" spans="1:11">
      <c r="A254" s="168">
        <f t="shared" si="15"/>
        <v>754</v>
      </c>
      <c r="B254" s="154"/>
      <c r="C254" s="49"/>
      <c r="D254" s="49" t="s">
        <v>13</v>
      </c>
      <c r="E254" s="49"/>
      <c r="F254" s="404">
        <f>[14]EXPENSES.XNV!S249</f>
        <v>1931571.41</v>
      </c>
      <c r="G254" s="404"/>
      <c r="I254" s="404">
        <f t="shared" si="16"/>
        <v>1931571.41</v>
      </c>
      <c r="J254" s="404">
        <f>+I254-F254</f>
        <v>0</v>
      </c>
      <c r="K254" s="244">
        <f t="shared" si="13"/>
        <v>249</v>
      </c>
    </row>
    <row r="255" spans="1:11">
      <c r="A255" s="168">
        <f t="shared" si="15"/>
        <v>755</v>
      </c>
      <c r="B255" s="154"/>
      <c r="C255" s="49"/>
      <c r="D255" s="49" t="s">
        <v>24</v>
      </c>
      <c r="E255" s="49"/>
      <c r="F255" s="404">
        <f>[14]EXPENSES.XNV!S250</f>
        <v>66802.97</v>
      </c>
      <c r="G255" s="404"/>
      <c r="I255" s="404">
        <f t="shared" si="16"/>
        <v>66802.97</v>
      </c>
      <c r="J255" s="404">
        <f>+I255-F255</f>
        <v>0</v>
      </c>
      <c r="K255" s="244">
        <f t="shared" si="13"/>
        <v>250</v>
      </c>
    </row>
    <row r="256" spans="1:11" ht="13.5" thickBot="1">
      <c r="A256" s="168">
        <f t="shared" si="15"/>
        <v>756</v>
      </c>
      <c r="B256" s="154"/>
      <c r="C256" s="49"/>
      <c r="D256" s="49" t="s">
        <v>160</v>
      </c>
      <c r="E256" s="49"/>
      <c r="F256" s="405">
        <f>SUM(F254:F255)</f>
        <v>1998374.38</v>
      </c>
      <c r="G256" s="405"/>
      <c r="I256" s="405">
        <f t="shared" si="16"/>
        <v>1998374.38</v>
      </c>
      <c r="J256" s="405">
        <f>+I256-F256</f>
        <v>0</v>
      </c>
      <c r="K256" s="244">
        <f t="shared" si="13"/>
        <v>251</v>
      </c>
    </row>
    <row r="257" spans="1:11" ht="13.5" thickTop="1">
      <c r="A257" s="168">
        <f t="shared" si="15"/>
        <v>757</v>
      </c>
      <c r="B257" s="154"/>
      <c r="C257" s="49"/>
      <c r="D257" s="49"/>
      <c r="E257" s="49"/>
      <c r="F257" s="404"/>
      <c r="G257" s="404"/>
      <c r="I257" s="404"/>
      <c r="J257" s="404"/>
      <c r="K257" s="244">
        <f t="shared" si="13"/>
        <v>252</v>
      </c>
    </row>
    <row r="258" spans="1:11">
      <c r="A258" s="168">
        <f t="shared" si="15"/>
        <v>758</v>
      </c>
      <c r="B258" s="154">
        <v>9031</v>
      </c>
      <c r="C258" s="49" t="s">
        <v>387</v>
      </c>
      <c r="D258" s="49"/>
      <c r="E258" s="49"/>
      <c r="F258" s="404"/>
      <c r="G258" s="404"/>
      <c r="I258" s="404"/>
      <c r="J258" s="404"/>
      <c r="K258" s="244">
        <f t="shared" si="13"/>
        <v>253</v>
      </c>
    </row>
    <row r="259" spans="1:11">
      <c r="A259" s="168">
        <f t="shared" si="15"/>
        <v>759</v>
      </c>
      <c r="B259" s="154"/>
      <c r="C259" s="49"/>
      <c r="D259" s="49" t="s">
        <v>13</v>
      </c>
      <c r="E259" s="49"/>
      <c r="F259" s="404">
        <f>[14]EXPENSES.XNV!S254</f>
        <v>13163140.24</v>
      </c>
      <c r="G259" s="404"/>
      <c r="I259" s="404">
        <f t="shared" si="16"/>
        <v>13163140.24</v>
      </c>
      <c r="J259" s="404">
        <f>+I259-F259</f>
        <v>0</v>
      </c>
      <c r="K259" s="244">
        <f t="shared" si="13"/>
        <v>254</v>
      </c>
    </row>
    <row r="260" spans="1:11">
      <c r="A260" s="168">
        <f t="shared" si="15"/>
        <v>760</v>
      </c>
      <c r="B260" s="154"/>
      <c r="C260" s="49"/>
      <c r="D260" s="49" t="s">
        <v>24</v>
      </c>
      <c r="E260" s="49"/>
      <c r="F260" s="404">
        <f>[14]EXPENSES.XNV!S255</f>
        <v>550191.44000000006</v>
      </c>
      <c r="G260" s="404"/>
      <c r="I260" s="404">
        <f t="shared" si="16"/>
        <v>550191.44000000006</v>
      </c>
      <c r="J260" s="404">
        <f>+I260-F260</f>
        <v>0</v>
      </c>
      <c r="K260" s="244">
        <f t="shared" si="13"/>
        <v>255</v>
      </c>
    </row>
    <row r="261" spans="1:11" ht="13.5" thickBot="1">
      <c r="A261" s="168">
        <f t="shared" si="15"/>
        <v>761</v>
      </c>
      <c r="B261" s="154"/>
      <c r="C261" s="49"/>
      <c r="D261" s="49" t="s">
        <v>160</v>
      </c>
      <c r="E261" s="49"/>
      <c r="F261" s="405">
        <f>SUM(F259:F260)</f>
        <v>13713331.68</v>
      </c>
      <c r="G261" s="405"/>
      <c r="I261" s="405">
        <f t="shared" si="16"/>
        <v>13713331.68</v>
      </c>
      <c r="J261" s="405">
        <f>+I261-F261</f>
        <v>0</v>
      </c>
      <c r="K261" s="244">
        <f t="shared" si="13"/>
        <v>256</v>
      </c>
    </row>
    <row r="262" spans="1:11" ht="13.5" thickTop="1">
      <c r="A262" s="168">
        <f t="shared" si="15"/>
        <v>762</v>
      </c>
      <c r="B262" s="154"/>
      <c r="C262" s="49"/>
      <c r="D262" s="49"/>
      <c r="E262" s="49"/>
      <c r="F262" s="404"/>
      <c r="G262" s="404"/>
      <c r="I262" s="404"/>
      <c r="J262" s="404"/>
      <c r="K262" s="244">
        <f t="shared" si="13"/>
        <v>257</v>
      </c>
    </row>
    <row r="263" spans="1:11">
      <c r="A263" s="168">
        <f t="shared" si="15"/>
        <v>763</v>
      </c>
      <c r="B263" s="154">
        <v>9032</v>
      </c>
      <c r="C263" s="49" t="s">
        <v>388</v>
      </c>
      <c r="D263" s="49"/>
      <c r="E263" s="49"/>
      <c r="F263" s="404"/>
      <c r="G263" s="404"/>
      <c r="I263" s="404"/>
      <c r="J263" s="404"/>
      <c r="K263" s="244">
        <f t="shared" si="13"/>
        <v>258</v>
      </c>
    </row>
    <row r="264" spans="1:11">
      <c r="A264" s="168">
        <f t="shared" si="15"/>
        <v>764</v>
      </c>
      <c r="B264" s="154"/>
      <c r="C264" s="49"/>
      <c r="D264" s="49" t="s">
        <v>13</v>
      </c>
      <c r="E264" s="49"/>
      <c r="F264" s="404">
        <f>[14]EXPENSES.XNV!S259</f>
        <v>139298.02000000002</v>
      </c>
      <c r="G264" s="404"/>
      <c r="I264" s="404">
        <f t="shared" si="16"/>
        <v>139298.02000000002</v>
      </c>
      <c r="J264" s="404">
        <f>+I264-F264</f>
        <v>0</v>
      </c>
      <c r="K264" s="244">
        <f t="shared" ref="K264:K338" si="17">+K263+1</f>
        <v>259</v>
      </c>
    </row>
    <row r="265" spans="1:11">
      <c r="A265" s="168">
        <f t="shared" si="15"/>
        <v>765</v>
      </c>
      <c r="B265" s="154"/>
      <c r="C265" s="49"/>
      <c r="D265" s="49" t="s">
        <v>24</v>
      </c>
      <c r="E265" s="49"/>
      <c r="F265" s="404">
        <f>[14]EXPENSES.XNV!S260</f>
        <v>34517.85</v>
      </c>
      <c r="G265" s="404"/>
      <c r="I265" s="404">
        <f t="shared" si="16"/>
        <v>34517.85</v>
      </c>
      <c r="J265" s="404">
        <f>+I265-F265</f>
        <v>0</v>
      </c>
      <c r="K265" s="244">
        <f t="shared" si="17"/>
        <v>260</v>
      </c>
    </row>
    <row r="266" spans="1:11" ht="13.5" thickBot="1">
      <c r="A266" s="168">
        <f t="shared" si="15"/>
        <v>766</v>
      </c>
      <c r="B266" s="154"/>
      <c r="C266" s="49"/>
      <c r="D266" s="49" t="s">
        <v>160</v>
      </c>
      <c r="E266" s="49"/>
      <c r="F266" s="405">
        <f>SUM(F264:F265)</f>
        <v>173815.87000000002</v>
      </c>
      <c r="G266" s="405"/>
      <c r="I266" s="405">
        <f t="shared" ref="I266:I276" si="18">HLOOKUP($I$6,EXPENSESCENARIO,K266,FALSE)</f>
        <v>173815.87000000002</v>
      </c>
      <c r="J266" s="405">
        <f>+I266-F266</f>
        <v>0</v>
      </c>
      <c r="K266" s="244">
        <f t="shared" si="17"/>
        <v>261</v>
      </c>
    </row>
    <row r="267" spans="1:11" ht="13.5" thickTop="1">
      <c r="A267" s="168">
        <f t="shared" si="15"/>
        <v>767</v>
      </c>
      <c r="B267" s="154"/>
      <c r="C267" s="49"/>
      <c r="D267" s="49"/>
      <c r="E267" s="49"/>
      <c r="F267" s="404"/>
      <c r="G267" s="404"/>
      <c r="I267" s="404"/>
      <c r="J267" s="404"/>
      <c r="K267" s="244">
        <f t="shared" si="17"/>
        <v>262</v>
      </c>
    </row>
    <row r="268" spans="1:11">
      <c r="A268" s="168">
        <f t="shared" ref="A268:A342" si="19">+A267+1</f>
        <v>768</v>
      </c>
      <c r="B268" s="154">
        <v>9033</v>
      </c>
      <c r="C268" s="49" t="s">
        <v>389</v>
      </c>
      <c r="D268" s="49"/>
      <c r="E268" s="49"/>
      <c r="F268" s="404"/>
      <c r="G268" s="404"/>
      <c r="I268" s="404"/>
      <c r="J268" s="404"/>
      <c r="K268" s="244">
        <f t="shared" si="17"/>
        <v>263</v>
      </c>
    </row>
    <row r="269" spans="1:11">
      <c r="A269" s="168">
        <f t="shared" si="19"/>
        <v>769</v>
      </c>
      <c r="B269" s="154"/>
      <c r="C269" s="49"/>
      <c r="D269" s="49" t="s">
        <v>13</v>
      </c>
      <c r="E269" s="49"/>
      <c r="F269" s="404">
        <f>[14]EXPENSES.XNV!S264</f>
        <v>273728.07</v>
      </c>
      <c r="G269" s="404"/>
      <c r="I269" s="404">
        <f t="shared" si="18"/>
        <v>273728.07</v>
      </c>
      <c r="J269" s="404">
        <f>+I269-F269</f>
        <v>0</v>
      </c>
      <c r="K269" s="244">
        <f t="shared" si="17"/>
        <v>264</v>
      </c>
    </row>
    <row r="270" spans="1:11">
      <c r="A270" s="168">
        <f t="shared" si="19"/>
        <v>770</v>
      </c>
      <c r="B270" s="154"/>
      <c r="C270" s="49"/>
      <c r="D270" s="49" t="s">
        <v>24</v>
      </c>
      <c r="E270" s="49"/>
      <c r="F270" s="404">
        <f>[14]EXPENSES.XNV!S265</f>
        <v>5135.1100000000006</v>
      </c>
      <c r="G270" s="404"/>
      <c r="I270" s="404">
        <f t="shared" si="18"/>
        <v>5135.1100000000006</v>
      </c>
      <c r="J270" s="404">
        <f>+I270-F270</f>
        <v>0</v>
      </c>
      <c r="K270" s="244">
        <f t="shared" si="17"/>
        <v>265</v>
      </c>
    </row>
    <row r="271" spans="1:11" ht="13.5" thickBot="1">
      <c r="A271" s="168">
        <f t="shared" si="19"/>
        <v>771</v>
      </c>
      <c r="B271" s="154"/>
      <c r="C271" s="49"/>
      <c r="D271" s="49" t="s">
        <v>160</v>
      </c>
      <c r="E271" s="49"/>
      <c r="F271" s="405">
        <f>SUM(F269:F270)</f>
        <v>278863.18</v>
      </c>
      <c r="G271" s="405"/>
      <c r="I271" s="405">
        <f t="shared" si="18"/>
        <v>278863.18</v>
      </c>
      <c r="J271" s="405">
        <f>+I271-F271</f>
        <v>0</v>
      </c>
      <c r="K271" s="244">
        <f t="shared" si="17"/>
        <v>266</v>
      </c>
    </row>
    <row r="272" spans="1:11" ht="13.5" thickTop="1">
      <c r="A272" s="168">
        <f t="shared" si="19"/>
        <v>772</v>
      </c>
      <c r="B272" s="154"/>
      <c r="C272" s="49"/>
      <c r="D272" s="49"/>
      <c r="E272" s="49"/>
      <c r="F272" s="404"/>
      <c r="G272" s="404"/>
      <c r="I272" s="404">
        <f t="shared" si="18"/>
        <v>0</v>
      </c>
      <c r="J272" s="404"/>
      <c r="K272" s="244">
        <f t="shared" si="17"/>
        <v>267</v>
      </c>
    </row>
    <row r="273" spans="1:11">
      <c r="A273" s="168">
        <f t="shared" si="19"/>
        <v>773</v>
      </c>
      <c r="B273" s="154" t="s">
        <v>0</v>
      </c>
      <c r="C273" s="49" t="s">
        <v>21</v>
      </c>
      <c r="D273" s="49"/>
      <c r="E273" s="49"/>
      <c r="F273" s="404"/>
      <c r="G273" s="404"/>
      <c r="I273" s="404">
        <f t="shared" si="18"/>
        <v>0</v>
      </c>
      <c r="J273" s="404"/>
      <c r="K273" s="244">
        <f t="shared" si="17"/>
        <v>268</v>
      </c>
    </row>
    <row r="274" spans="1:11">
      <c r="A274" s="168">
        <f t="shared" si="19"/>
        <v>774</v>
      </c>
      <c r="B274" s="154"/>
      <c r="C274" s="49"/>
      <c r="D274" s="49" t="s">
        <v>13</v>
      </c>
      <c r="E274" s="49"/>
      <c r="F274" s="404">
        <f>[14]EXPENSES.XNV!S269</f>
        <v>656083.52999999991</v>
      </c>
      <c r="G274" s="404"/>
      <c r="I274" s="404">
        <f t="shared" si="18"/>
        <v>656083.52999999991</v>
      </c>
      <c r="J274" s="404">
        <f>+I274-F274</f>
        <v>0</v>
      </c>
      <c r="K274" s="244">
        <f t="shared" si="17"/>
        <v>269</v>
      </c>
    </row>
    <row r="275" spans="1:11">
      <c r="A275" s="168">
        <f t="shared" si="19"/>
        <v>775</v>
      </c>
      <c r="B275" s="154"/>
      <c r="C275" s="49"/>
      <c r="D275" s="49" t="s">
        <v>24</v>
      </c>
      <c r="E275" s="49"/>
      <c r="F275" s="404">
        <f>[14]EXPENSES.XNV!S270</f>
        <v>63801.19999999999</v>
      </c>
      <c r="G275" s="404"/>
      <c r="I275" s="404">
        <f t="shared" si="18"/>
        <v>63801.19999999999</v>
      </c>
      <c r="J275" s="404">
        <f>+I275-F275</f>
        <v>0</v>
      </c>
      <c r="K275" s="244">
        <f t="shared" si="17"/>
        <v>270</v>
      </c>
    </row>
    <row r="276" spans="1:11" ht="13.5" thickBot="1">
      <c r="A276" s="168">
        <f t="shared" si="19"/>
        <v>776</v>
      </c>
      <c r="B276" s="154"/>
      <c r="C276" s="49"/>
      <c r="D276" s="49" t="s">
        <v>160</v>
      </c>
      <c r="E276" s="49"/>
      <c r="F276" s="405">
        <f>SUM(F274:F275)</f>
        <v>719884.72999999986</v>
      </c>
      <c r="G276" s="405"/>
      <c r="I276" s="405">
        <f t="shared" si="18"/>
        <v>719884.72999999986</v>
      </c>
      <c r="J276" s="405">
        <f>+I276-F276</f>
        <v>0</v>
      </c>
      <c r="K276" s="244">
        <f t="shared" si="17"/>
        <v>271</v>
      </c>
    </row>
    <row r="277" spans="1:11" ht="13.5" thickTop="1">
      <c r="A277" s="168">
        <f t="shared" si="19"/>
        <v>777</v>
      </c>
      <c r="B277" s="154"/>
      <c r="C277" s="49"/>
      <c r="D277" s="49"/>
      <c r="E277" s="49"/>
      <c r="F277" s="404"/>
      <c r="G277" s="404"/>
      <c r="I277" s="404"/>
      <c r="J277" s="404"/>
      <c r="K277" s="244">
        <f t="shared" si="17"/>
        <v>272</v>
      </c>
    </row>
    <row r="278" spans="1:11">
      <c r="A278" s="168">
        <f t="shared" si="19"/>
        <v>778</v>
      </c>
      <c r="B278" s="154" t="s">
        <v>1</v>
      </c>
      <c r="C278" s="49" t="s">
        <v>22</v>
      </c>
      <c r="D278" s="49"/>
      <c r="E278" s="49"/>
      <c r="F278" s="404"/>
      <c r="G278" s="404"/>
      <c r="I278" s="404"/>
      <c r="J278" s="404"/>
      <c r="K278" s="244">
        <f t="shared" si="17"/>
        <v>273</v>
      </c>
    </row>
    <row r="279" spans="1:11">
      <c r="A279" s="168">
        <f t="shared" si="19"/>
        <v>779</v>
      </c>
      <c r="B279" s="154"/>
      <c r="C279" s="49"/>
      <c r="D279" s="49" t="s">
        <v>13</v>
      </c>
      <c r="E279" s="49"/>
      <c r="F279" s="404">
        <f>[14]EXPENSES.XNV!S274</f>
        <v>212317.07000000004</v>
      </c>
      <c r="G279" s="404"/>
      <c r="I279" s="404">
        <f>HLOOKUP($I$6,EXPENSESCENARIO,K279,FALSE)</f>
        <v>212317.07000000004</v>
      </c>
      <c r="J279" s="404">
        <f>+I279-F279</f>
        <v>0</v>
      </c>
      <c r="K279" s="244">
        <f t="shared" si="17"/>
        <v>274</v>
      </c>
    </row>
    <row r="280" spans="1:11">
      <c r="A280" s="168">
        <f t="shared" si="19"/>
        <v>780</v>
      </c>
      <c r="B280" s="154"/>
      <c r="C280" s="49"/>
      <c r="D280" s="49" t="s">
        <v>24</v>
      </c>
      <c r="E280" s="49"/>
      <c r="F280" s="404">
        <f>[14]EXPENSES.XNV!S275</f>
        <v>0</v>
      </c>
      <c r="G280" s="404"/>
      <c r="I280" s="404">
        <f>HLOOKUP($I$6,EXPENSESCENARIO,K280,FALSE)</f>
        <v>0</v>
      </c>
      <c r="J280" s="404">
        <f>+I280-F280</f>
        <v>0</v>
      </c>
      <c r="K280" s="244">
        <f t="shared" si="17"/>
        <v>275</v>
      </c>
    </row>
    <row r="281" spans="1:11" ht="13.5" thickBot="1">
      <c r="A281" s="168">
        <f t="shared" si="19"/>
        <v>781</v>
      </c>
      <c r="B281" s="154"/>
      <c r="C281" s="49"/>
      <c r="D281" s="49" t="s">
        <v>160</v>
      </c>
      <c r="E281" s="49"/>
      <c r="F281" s="405">
        <f>SUM(F279:F280)</f>
        <v>212317.07000000004</v>
      </c>
      <c r="G281" s="405"/>
      <c r="I281" s="405">
        <f>HLOOKUP($I$6,EXPENSESCENARIO,K281,FALSE)</f>
        <v>212317.07000000004</v>
      </c>
      <c r="J281" s="405">
        <f>+I281-F281</f>
        <v>0</v>
      </c>
      <c r="K281" s="244">
        <f t="shared" si="17"/>
        <v>276</v>
      </c>
    </row>
    <row r="282" spans="1:11" ht="13.5" thickTop="1">
      <c r="A282" s="168">
        <f t="shared" si="19"/>
        <v>782</v>
      </c>
      <c r="B282" s="154"/>
      <c r="C282" s="49"/>
      <c r="D282" s="49"/>
      <c r="E282" s="49"/>
      <c r="F282" s="404"/>
      <c r="G282" s="404"/>
      <c r="I282" s="404"/>
      <c r="J282" s="404"/>
      <c r="K282" s="244">
        <f t="shared" si="17"/>
        <v>277</v>
      </c>
    </row>
    <row r="283" spans="1:11">
      <c r="A283" s="168">
        <f t="shared" si="19"/>
        <v>783</v>
      </c>
      <c r="B283" s="154" t="s">
        <v>2</v>
      </c>
      <c r="C283" s="49" t="s">
        <v>23</v>
      </c>
      <c r="D283" s="49"/>
      <c r="E283" s="49"/>
      <c r="F283" s="404"/>
      <c r="G283" s="404"/>
      <c r="I283" s="404"/>
      <c r="J283" s="404">
        <f>+I283-F283</f>
        <v>0</v>
      </c>
      <c r="K283" s="244">
        <f t="shared" si="17"/>
        <v>278</v>
      </c>
    </row>
    <row r="284" spans="1:11">
      <c r="A284" s="168">
        <f t="shared" si="19"/>
        <v>784</v>
      </c>
      <c r="B284" s="154"/>
      <c r="C284" s="49"/>
      <c r="D284" s="49" t="s">
        <v>13</v>
      </c>
      <c r="E284" s="49"/>
      <c r="F284" s="404">
        <f>[14]EXPENSES.XNV!S279</f>
        <v>841817.97</v>
      </c>
      <c r="G284" s="404"/>
      <c r="I284" s="404">
        <f>HLOOKUP($I$6,EXPENSESCENARIO,K284,FALSE)</f>
        <v>841817.97</v>
      </c>
      <c r="J284" s="404">
        <f>+I284-F284</f>
        <v>0</v>
      </c>
      <c r="K284" s="244">
        <f t="shared" si="17"/>
        <v>279</v>
      </c>
    </row>
    <row r="285" spans="1:11">
      <c r="A285" s="168">
        <f t="shared" si="19"/>
        <v>785</v>
      </c>
      <c r="B285" s="154"/>
      <c r="C285" s="49"/>
      <c r="D285" s="49" t="s">
        <v>24</v>
      </c>
      <c r="E285" s="49"/>
      <c r="F285" s="404">
        <f>[14]EXPENSES.XNV!S280</f>
        <v>0</v>
      </c>
      <c r="G285" s="404"/>
      <c r="I285" s="404">
        <f>HLOOKUP($I$6,EXPENSESCENARIO,K285,FALSE)</f>
        <v>0</v>
      </c>
      <c r="J285" s="404">
        <f>+I285-F285</f>
        <v>0</v>
      </c>
      <c r="K285" s="244">
        <f t="shared" si="17"/>
        <v>280</v>
      </c>
    </row>
    <row r="286" spans="1:11" ht="13.5" thickBot="1">
      <c r="A286" s="168">
        <f t="shared" si="19"/>
        <v>786</v>
      </c>
      <c r="B286" s="154"/>
      <c r="C286" s="49"/>
      <c r="D286" s="49" t="s">
        <v>160</v>
      </c>
      <c r="E286" s="49"/>
      <c r="F286" s="405">
        <f>SUM(F284:F285)</f>
        <v>841817.97</v>
      </c>
      <c r="G286" s="405"/>
      <c r="I286" s="405">
        <f>HLOOKUP($I$6,EXPENSESCENARIO,K286,FALSE)</f>
        <v>841817.97</v>
      </c>
      <c r="J286" s="405">
        <f>+I286-F286</f>
        <v>0</v>
      </c>
      <c r="K286" s="244">
        <f t="shared" si="17"/>
        <v>281</v>
      </c>
    </row>
    <row r="287" spans="1:11" ht="13.5" thickTop="1">
      <c r="A287" s="168">
        <f t="shared" si="19"/>
        <v>787</v>
      </c>
      <c r="B287" s="154"/>
      <c r="C287" s="49"/>
      <c r="D287" s="49"/>
      <c r="E287" s="49"/>
      <c r="F287" s="404"/>
      <c r="G287" s="404"/>
      <c r="I287" s="404"/>
      <c r="J287" s="404"/>
      <c r="K287" s="244">
        <f t="shared" si="17"/>
        <v>282</v>
      </c>
    </row>
    <row r="288" spans="1:11">
      <c r="A288" s="168">
        <f t="shared" si="19"/>
        <v>788</v>
      </c>
      <c r="B288" s="154"/>
      <c r="C288" s="49"/>
      <c r="D288" s="49"/>
      <c r="E288" s="49"/>
      <c r="F288" s="404"/>
      <c r="G288" s="404"/>
      <c r="I288" s="404"/>
      <c r="J288" s="404"/>
      <c r="K288" s="244">
        <f t="shared" si="17"/>
        <v>283</v>
      </c>
    </row>
    <row r="289" spans="1:11">
      <c r="A289" s="168">
        <f t="shared" si="19"/>
        <v>789</v>
      </c>
      <c r="B289" s="154">
        <v>905</v>
      </c>
      <c r="C289" s="49" t="s">
        <v>392</v>
      </c>
      <c r="D289" s="49"/>
      <c r="E289" s="49"/>
      <c r="F289" s="404"/>
      <c r="G289" s="404"/>
      <c r="I289" s="404"/>
      <c r="J289" s="404"/>
      <c r="K289" s="244">
        <f t="shared" si="17"/>
        <v>284</v>
      </c>
    </row>
    <row r="290" spans="1:11">
      <c r="A290" s="168">
        <f t="shared" si="19"/>
        <v>790</v>
      </c>
      <c r="B290" s="153"/>
      <c r="C290" s="49"/>
      <c r="D290" s="49" t="s">
        <v>13</v>
      </c>
      <c r="E290" s="49"/>
      <c r="F290" s="404">
        <f>[14]EXPENSES.XNV!S285</f>
        <v>0</v>
      </c>
      <c r="G290" s="404"/>
      <c r="I290" s="404">
        <f t="shared" ref="I290:I319" si="20">HLOOKUP($I$6,EXPENSESCENARIO,K290,FALSE)</f>
        <v>0</v>
      </c>
      <c r="J290" s="404">
        <f>+I290-F290</f>
        <v>0</v>
      </c>
      <c r="K290" s="244">
        <f t="shared" si="17"/>
        <v>285</v>
      </c>
    </row>
    <row r="291" spans="1:11">
      <c r="A291" s="168">
        <f t="shared" si="19"/>
        <v>791</v>
      </c>
      <c r="B291" s="153"/>
      <c r="C291" s="49"/>
      <c r="D291" s="49" t="s">
        <v>24</v>
      </c>
      <c r="E291" s="49"/>
      <c r="F291" s="404">
        <f>[14]EXPENSES.XNV!S286</f>
        <v>0</v>
      </c>
      <c r="G291" s="404"/>
      <c r="I291" s="404">
        <f t="shared" si="20"/>
        <v>0</v>
      </c>
      <c r="J291" s="404">
        <f>+I291-F291</f>
        <v>0</v>
      </c>
      <c r="K291" s="244">
        <f t="shared" si="17"/>
        <v>286</v>
      </c>
    </row>
    <row r="292" spans="1:11" ht="13.5" thickBot="1">
      <c r="A292" s="168">
        <f t="shared" si="19"/>
        <v>792</v>
      </c>
      <c r="B292" s="153"/>
      <c r="C292" s="49"/>
      <c r="D292" s="49" t="s">
        <v>160</v>
      </c>
      <c r="E292" s="49"/>
      <c r="F292" s="405">
        <f>SUM(F290:F291)</f>
        <v>0</v>
      </c>
      <c r="G292" s="405"/>
      <c r="I292" s="405">
        <f t="shared" si="20"/>
        <v>0</v>
      </c>
      <c r="J292" s="405">
        <f>+I292-F292</f>
        <v>0</v>
      </c>
      <c r="K292" s="244">
        <f t="shared" si="17"/>
        <v>287</v>
      </c>
    </row>
    <row r="293" spans="1:11" ht="13.5" thickTop="1">
      <c r="A293" s="168">
        <f t="shared" si="19"/>
        <v>793</v>
      </c>
      <c r="B293" s="153"/>
      <c r="C293" s="49"/>
      <c r="D293" s="49"/>
      <c r="E293" s="49"/>
      <c r="F293" s="408"/>
      <c r="G293" s="408"/>
      <c r="I293" s="408"/>
      <c r="J293" s="408"/>
      <c r="K293" s="244">
        <f t="shared" si="17"/>
        <v>288</v>
      </c>
    </row>
    <row r="294" spans="1:11">
      <c r="A294" s="168">
        <f t="shared" si="19"/>
        <v>794</v>
      </c>
      <c r="B294" s="130" t="s">
        <v>634</v>
      </c>
      <c r="C294" s="49"/>
      <c r="D294" s="49"/>
      <c r="E294" s="49"/>
      <c r="F294" s="404"/>
      <c r="G294" s="404"/>
      <c r="I294" s="404"/>
      <c r="J294" s="404"/>
      <c r="K294" s="244">
        <f t="shared" si="17"/>
        <v>289</v>
      </c>
    </row>
    <row r="295" spans="1:11">
      <c r="A295" s="168">
        <f t="shared" si="19"/>
        <v>795</v>
      </c>
      <c r="B295" s="153"/>
      <c r="C295" s="49" t="s">
        <v>635</v>
      </c>
      <c r="D295" s="49"/>
      <c r="E295" s="49"/>
      <c r="F295" s="404">
        <f>F249+F254+F259+F264+F269+F274+F279+F284+F290</f>
        <v>18341157.530000001</v>
      </c>
      <c r="G295" s="404"/>
      <c r="I295" s="404">
        <f t="shared" si="20"/>
        <v>18341157.530000001</v>
      </c>
      <c r="J295" s="404">
        <f>+I295-F295</f>
        <v>0</v>
      </c>
      <c r="K295" s="244">
        <f t="shared" si="17"/>
        <v>290</v>
      </c>
    </row>
    <row r="296" spans="1:11">
      <c r="A296" s="168">
        <f t="shared" si="19"/>
        <v>796</v>
      </c>
      <c r="B296" s="153"/>
      <c r="C296" s="49" t="s">
        <v>637</v>
      </c>
      <c r="D296" s="49"/>
      <c r="E296" s="49"/>
      <c r="F296" s="404">
        <f>F250+F255+F260+F265+F270+F275+F280+F285+F291</f>
        <v>744422.44</v>
      </c>
      <c r="G296" s="404"/>
      <c r="I296" s="404">
        <f t="shared" si="20"/>
        <v>744422.44</v>
      </c>
      <c r="J296" s="404">
        <f>+I296-F296</f>
        <v>0</v>
      </c>
      <c r="K296" s="244">
        <f t="shared" si="17"/>
        <v>291</v>
      </c>
    </row>
    <row r="297" spans="1:11">
      <c r="A297" s="168">
        <f t="shared" si="19"/>
        <v>797</v>
      </c>
      <c r="B297" s="153"/>
      <c r="C297" s="49"/>
      <c r="D297" s="49"/>
      <c r="E297" s="49"/>
      <c r="F297" s="409"/>
      <c r="G297" s="409"/>
      <c r="I297" s="409"/>
      <c r="J297" s="409"/>
      <c r="K297" s="244">
        <f t="shared" si="17"/>
        <v>292</v>
      </c>
    </row>
    <row r="298" spans="1:11">
      <c r="A298" s="168">
        <f t="shared" si="19"/>
        <v>798</v>
      </c>
      <c r="B298" s="153"/>
      <c r="C298" s="158" t="s">
        <v>634</v>
      </c>
      <c r="D298" s="49"/>
      <c r="E298" s="49"/>
      <c r="F298" s="404">
        <f>SUM(F295:F296)</f>
        <v>19085579.970000003</v>
      </c>
      <c r="G298" s="404"/>
      <c r="I298" s="404">
        <f t="shared" si="20"/>
        <v>19085579.970000003</v>
      </c>
      <c r="J298" s="404">
        <f>+I298-F298</f>
        <v>0</v>
      </c>
      <c r="K298" s="244">
        <f t="shared" si="17"/>
        <v>293</v>
      </c>
    </row>
    <row r="299" spans="1:11">
      <c r="A299" s="168">
        <f t="shared" si="19"/>
        <v>799</v>
      </c>
      <c r="B299" s="153"/>
      <c r="C299" s="49"/>
      <c r="D299" s="49"/>
      <c r="E299" s="49"/>
      <c r="F299" s="404"/>
      <c r="G299" s="404"/>
      <c r="I299" s="404"/>
      <c r="J299" s="404"/>
      <c r="K299" s="244">
        <f t="shared" si="17"/>
        <v>294</v>
      </c>
    </row>
    <row r="300" spans="1:11">
      <c r="A300" s="168">
        <f t="shared" si="19"/>
        <v>800</v>
      </c>
      <c r="B300" s="130" t="s">
        <v>393</v>
      </c>
      <c r="C300" s="49"/>
      <c r="D300" s="49"/>
      <c r="E300" s="49"/>
      <c r="F300" s="404"/>
      <c r="G300" s="404"/>
      <c r="I300" s="404"/>
      <c r="J300" s="404"/>
      <c r="K300" s="244">
        <f t="shared" si="17"/>
        <v>295</v>
      </c>
    </row>
    <row r="301" spans="1:11">
      <c r="A301" s="168">
        <f t="shared" si="19"/>
        <v>801</v>
      </c>
      <c r="B301" s="153"/>
      <c r="C301" s="49"/>
      <c r="D301" s="49"/>
      <c r="E301" s="49"/>
      <c r="F301" s="404"/>
      <c r="G301" s="404"/>
      <c r="I301" s="404"/>
      <c r="J301" s="404"/>
      <c r="K301" s="244">
        <f t="shared" si="17"/>
        <v>296</v>
      </c>
    </row>
    <row r="302" spans="1:11">
      <c r="A302" s="168">
        <f t="shared" si="19"/>
        <v>802</v>
      </c>
      <c r="B302" s="154">
        <v>907</v>
      </c>
      <c r="C302" s="49" t="s">
        <v>385</v>
      </c>
      <c r="D302" s="49"/>
      <c r="E302" s="49"/>
      <c r="F302" s="404"/>
      <c r="G302" s="404"/>
      <c r="I302" s="404"/>
      <c r="J302" s="404"/>
      <c r="K302" s="244">
        <f t="shared" si="17"/>
        <v>297</v>
      </c>
    </row>
    <row r="303" spans="1:11">
      <c r="A303" s="168">
        <f t="shared" si="19"/>
        <v>803</v>
      </c>
      <c r="B303" s="154"/>
      <c r="C303" s="49"/>
      <c r="D303" s="49" t="s">
        <v>13</v>
      </c>
      <c r="E303" s="49"/>
      <c r="F303" s="404">
        <f>[14]EXPENSES.XNV!S297</f>
        <v>370305.81000000006</v>
      </c>
      <c r="G303" s="404"/>
      <c r="I303" s="404">
        <f t="shared" si="20"/>
        <v>370305.81000000006</v>
      </c>
      <c r="J303" s="404">
        <f>+I303-F303</f>
        <v>0</v>
      </c>
      <c r="K303" s="244">
        <f t="shared" si="17"/>
        <v>298</v>
      </c>
    </row>
    <row r="304" spans="1:11">
      <c r="A304" s="168">
        <f t="shared" si="19"/>
        <v>804</v>
      </c>
      <c r="B304" s="154"/>
      <c r="C304" s="49"/>
      <c r="D304" s="49" t="s">
        <v>24</v>
      </c>
      <c r="E304" s="49"/>
      <c r="F304" s="404">
        <f>[14]EXPENSES.XNV!S298</f>
        <v>9679.8300000000017</v>
      </c>
      <c r="G304" s="404"/>
      <c r="I304" s="404">
        <f t="shared" si="20"/>
        <v>9679.8300000000017</v>
      </c>
      <c r="J304" s="404">
        <f>+I304-F304</f>
        <v>0</v>
      </c>
      <c r="K304" s="244">
        <f t="shared" si="17"/>
        <v>299</v>
      </c>
    </row>
    <row r="305" spans="1:11" ht="13.5" thickBot="1">
      <c r="A305" s="168">
        <f t="shared" si="19"/>
        <v>805</v>
      </c>
      <c r="B305" s="154"/>
      <c r="C305" s="49"/>
      <c r="D305" s="49" t="s">
        <v>160</v>
      </c>
      <c r="E305" s="49"/>
      <c r="F305" s="405">
        <f>SUM(F303:F304)</f>
        <v>379985.64000000007</v>
      </c>
      <c r="G305" s="405"/>
      <c r="I305" s="405">
        <f t="shared" si="20"/>
        <v>379985.64000000007</v>
      </c>
      <c r="J305" s="405">
        <f>+I305-F305</f>
        <v>0</v>
      </c>
      <c r="K305" s="244">
        <f t="shared" si="17"/>
        <v>300</v>
      </c>
    </row>
    <row r="306" spans="1:11" ht="13.5" thickTop="1">
      <c r="A306" s="168">
        <f t="shared" si="19"/>
        <v>806</v>
      </c>
      <c r="B306" s="154"/>
      <c r="C306" s="49"/>
      <c r="D306" s="49"/>
      <c r="E306" s="49"/>
      <c r="F306" s="404"/>
      <c r="G306" s="404"/>
      <c r="I306" s="404"/>
      <c r="J306" s="404"/>
      <c r="K306" s="244">
        <f t="shared" si="17"/>
        <v>301</v>
      </c>
    </row>
    <row r="307" spans="1:11">
      <c r="A307" s="168">
        <f t="shared" si="19"/>
        <v>807</v>
      </c>
      <c r="B307" s="154">
        <v>908</v>
      </c>
      <c r="C307" s="49" t="s">
        <v>394</v>
      </c>
      <c r="D307" s="49"/>
      <c r="E307" s="49"/>
      <c r="F307" s="404"/>
      <c r="G307" s="404"/>
      <c r="I307" s="404"/>
      <c r="J307" s="404"/>
      <c r="K307" s="244">
        <f t="shared" si="17"/>
        <v>302</v>
      </c>
    </row>
    <row r="308" spans="1:11">
      <c r="A308" s="168">
        <f t="shared" si="19"/>
        <v>808</v>
      </c>
      <c r="B308" s="154"/>
      <c r="C308" s="49"/>
      <c r="D308" s="49" t="s">
        <v>13</v>
      </c>
      <c r="E308" s="49"/>
      <c r="F308" s="404">
        <f>[14]EXPENSES.XNV!S302</f>
        <v>23269929.850000001</v>
      </c>
      <c r="G308" s="404"/>
      <c r="I308" s="404">
        <f t="shared" si="20"/>
        <v>23269929.850000001</v>
      </c>
      <c r="J308" s="404">
        <f>+I308-F308</f>
        <v>0</v>
      </c>
      <c r="K308" s="244">
        <f t="shared" si="17"/>
        <v>303</v>
      </c>
    </row>
    <row r="309" spans="1:11">
      <c r="A309" s="168">
        <f t="shared" si="19"/>
        <v>809</v>
      </c>
      <c r="B309" s="154"/>
      <c r="C309" s="49"/>
      <c r="D309" s="49" t="s">
        <v>24</v>
      </c>
      <c r="E309" s="49"/>
      <c r="F309" s="404">
        <f>[14]EXPENSES.XNV!S303</f>
        <v>237202.52999999997</v>
      </c>
      <c r="G309" s="404"/>
      <c r="I309" s="404">
        <f t="shared" si="20"/>
        <v>237202.52999999997</v>
      </c>
      <c r="J309" s="404">
        <f>+I309-F309</f>
        <v>0</v>
      </c>
      <c r="K309" s="244">
        <f t="shared" si="17"/>
        <v>304</v>
      </c>
    </row>
    <row r="310" spans="1:11" ht="13.5" thickBot="1">
      <c r="A310" s="168">
        <f t="shared" si="19"/>
        <v>810</v>
      </c>
      <c r="B310" s="154"/>
      <c r="C310" s="49"/>
      <c r="D310" s="49" t="s">
        <v>160</v>
      </c>
      <c r="E310" s="49"/>
      <c r="F310" s="405">
        <f>SUM(F308:F309)</f>
        <v>23507132.380000003</v>
      </c>
      <c r="G310" s="405"/>
      <c r="I310" s="405">
        <f t="shared" si="20"/>
        <v>23507132.380000003</v>
      </c>
      <c r="J310" s="405">
        <f>+I310-F310</f>
        <v>0</v>
      </c>
      <c r="K310" s="244">
        <f t="shared" si="17"/>
        <v>305</v>
      </c>
    </row>
    <row r="311" spans="1:11" ht="13.5" thickTop="1">
      <c r="A311" s="168">
        <f t="shared" si="19"/>
        <v>811</v>
      </c>
      <c r="B311" s="154"/>
      <c r="C311" s="49"/>
      <c r="D311" s="49"/>
      <c r="E311" s="49"/>
      <c r="F311" s="404"/>
      <c r="G311" s="404"/>
      <c r="I311" s="404"/>
      <c r="J311" s="404"/>
      <c r="K311" s="244">
        <f t="shared" si="17"/>
        <v>306</v>
      </c>
    </row>
    <row r="312" spans="1:11">
      <c r="A312" s="168">
        <f t="shared" si="19"/>
        <v>812</v>
      </c>
      <c r="B312" s="154">
        <v>909</v>
      </c>
      <c r="C312" s="49" t="s">
        <v>407</v>
      </c>
      <c r="D312" s="49"/>
      <c r="E312" s="49"/>
      <c r="F312" s="404"/>
      <c r="G312" s="404"/>
      <c r="I312" s="404"/>
      <c r="J312" s="404"/>
      <c r="K312" s="244">
        <f t="shared" si="17"/>
        <v>307</v>
      </c>
    </row>
    <row r="313" spans="1:11">
      <c r="A313" s="168">
        <f t="shared" si="19"/>
        <v>813</v>
      </c>
      <c r="B313" s="154"/>
      <c r="C313" s="49"/>
      <c r="D313" s="49" t="s">
        <v>13</v>
      </c>
      <c r="E313" s="49"/>
      <c r="F313" s="404">
        <f>[14]EXPENSES.XNV!S307</f>
        <v>745487.52</v>
      </c>
      <c r="G313" s="404"/>
      <c r="I313" s="404">
        <f t="shared" si="20"/>
        <v>745487.52</v>
      </c>
      <c r="J313" s="404">
        <f>+I313-F313</f>
        <v>0</v>
      </c>
      <c r="K313" s="244">
        <f t="shared" si="17"/>
        <v>308</v>
      </c>
    </row>
    <row r="314" spans="1:11">
      <c r="A314" s="168">
        <f t="shared" si="19"/>
        <v>814</v>
      </c>
      <c r="B314" s="154"/>
      <c r="C314" s="49"/>
      <c r="D314" s="49" t="s">
        <v>24</v>
      </c>
      <c r="E314" s="49"/>
      <c r="F314" s="404">
        <f>[14]EXPENSES.XNV!S308</f>
        <v>20519.680000000004</v>
      </c>
      <c r="G314" s="404"/>
      <c r="I314" s="404">
        <f t="shared" si="20"/>
        <v>20519.680000000004</v>
      </c>
      <c r="J314" s="404">
        <f>+I314-F314</f>
        <v>0</v>
      </c>
      <c r="K314" s="244">
        <f t="shared" si="17"/>
        <v>309</v>
      </c>
    </row>
    <row r="315" spans="1:11" ht="13.5" thickBot="1">
      <c r="A315" s="168">
        <f t="shared" si="19"/>
        <v>815</v>
      </c>
      <c r="B315" s="154"/>
      <c r="C315" s="49"/>
      <c r="D315" s="49" t="s">
        <v>160</v>
      </c>
      <c r="E315" s="49"/>
      <c r="F315" s="405">
        <f>SUM(F313:F314)</f>
        <v>766007.20000000007</v>
      </c>
      <c r="G315" s="405"/>
      <c r="I315" s="405">
        <f t="shared" si="20"/>
        <v>766007.20000000007</v>
      </c>
      <c r="J315" s="405">
        <f>+I315-F315</f>
        <v>0</v>
      </c>
      <c r="K315" s="244">
        <f t="shared" si="17"/>
        <v>310</v>
      </c>
    </row>
    <row r="316" spans="1:11" ht="13.5" thickTop="1">
      <c r="A316" s="168">
        <f t="shared" si="19"/>
        <v>816</v>
      </c>
      <c r="B316" s="154"/>
      <c r="C316" s="49"/>
      <c r="D316" s="49"/>
      <c r="E316" s="49"/>
      <c r="F316" s="404"/>
      <c r="G316" s="404"/>
      <c r="I316" s="404"/>
      <c r="J316" s="404"/>
      <c r="K316" s="244">
        <f t="shared" si="17"/>
        <v>311</v>
      </c>
    </row>
    <row r="317" spans="1:11">
      <c r="A317" s="168">
        <f t="shared" si="19"/>
        <v>817</v>
      </c>
      <c r="B317" s="154">
        <v>910</v>
      </c>
      <c r="C317" s="49" t="s">
        <v>408</v>
      </c>
      <c r="D317" s="49"/>
      <c r="E317" s="49"/>
      <c r="F317" s="404"/>
      <c r="G317" s="404"/>
      <c r="I317" s="404"/>
      <c r="J317" s="404"/>
      <c r="K317" s="244">
        <f t="shared" si="17"/>
        <v>312</v>
      </c>
    </row>
    <row r="318" spans="1:11">
      <c r="A318" s="168">
        <f t="shared" si="19"/>
        <v>818</v>
      </c>
      <c r="B318" s="153"/>
      <c r="C318" s="49"/>
      <c r="D318" s="49" t="s">
        <v>13</v>
      </c>
      <c r="E318" s="49"/>
      <c r="F318" s="404">
        <f>[14]EXPENSES.XNV!S312</f>
        <v>0</v>
      </c>
      <c r="G318" s="404"/>
      <c r="I318" s="404">
        <f t="shared" si="20"/>
        <v>0</v>
      </c>
      <c r="J318" s="404">
        <f>+I318-F318</f>
        <v>0</v>
      </c>
      <c r="K318" s="244">
        <f t="shared" si="17"/>
        <v>313</v>
      </c>
    </row>
    <row r="319" spans="1:11">
      <c r="A319" s="168">
        <f t="shared" si="19"/>
        <v>819</v>
      </c>
      <c r="B319" s="153"/>
      <c r="C319" s="49"/>
      <c r="D319" s="49" t="s">
        <v>24</v>
      </c>
      <c r="E319" s="49"/>
      <c r="F319" s="404">
        <f>[14]EXPENSES.XNV!S313</f>
        <v>0</v>
      </c>
      <c r="G319" s="404"/>
      <c r="I319" s="410">
        <f t="shared" si="20"/>
        <v>0</v>
      </c>
      <c r="J319" s="404">
        <f>+I319-F319</f>
        <v>0</v>
      </c>
      <c r="K319" s="244">
        <f t="shared" si="17"/>
        <v>314</v>
      </c>
    </row>
    <row r="320" spans="1:11" ht="13.5" thickBot="1">
      <c r="A320" s="168">
        <f t="shared" si="19"/>
        <v>820</v>
      </c>
      <c r="B320" s="153"/>
      <c r="C320" s="49"/>
      <c r="D320" s="49" t="s">
        <v>160</v>
      </c>
      <c r="E320" s="49"/>
      <c r="F320" s="405">
        <f>SUM(F318:F319)</f>
        <v>0</v>
      </c>
      <c r="G320" s="405"/>
      <c r="I320" s="405">
        <f t="shared" ref="I320:I351" si="21">HLOOKUP($I$6,EXPENSESCENARIO,K320,FALSE)</f>
        <v>0</v>
      </c>
      <c r="J320" s="405">
        <f>+I320-F320</f>
        <v>0</v>
      </c>
      <c r="K320" s="244">
        <f t="shared" si="17"/>
        <v>315</v>
      </c>
    </row>
    <row r="321" spans="1:11" ht="13.5" thickTop="1">
      <c r="A321" s="168">
        <f t="shared" si="19"/>
        <v>821</v>
      </c>
      <c r="B321" s="153"/>
      <c r="C321" s="49"/>
      <c r="D321" s="49"/>
      <c r="E321" s="49"/>
      <c r="F321" s="408"/>
      <c r="G321" s="408"/>
      <c r="I321" s="408"/>
      <c r="J321" s="408"/>
      <c r="K321" s="244">
        <f t="shared" si="17"/>
        <v>316</v>
      </c>
    </row>
    <row r="322" spans="1:11">
      <c r="A322" s="168">
        <f t="shared" si="19"/>
        <v>822</v>
      </c>
      <c r="B322" s="130" t="s">
        <v>638</v>
      </c>
      <c r="C322" s="49"/>
      <c r="D322" s="49"/>
      <c r="E322" s="49"/>
      <c r="F322" s="404"/>
      <c r="G322" s="404"/>
      <c r="I322" s="404"/>
      <c r="J322" s="404"/>
      <c r="K322" s="244">
        <f t="shared" si="17"/>
        <v>317</v>
      </c>
    </row>
    <row r="323" spans="1:11">
      <c r="A323" s="168">
        <f t="shared" si="19"/>
        <v>823</v>
      </c>
      <c r="B323" s="153"/>
      <c r="C323" s="231" t="s">
        <v>639</v>
      </c>
      <c r="D323" s="49"/>
      <c r="E323" s="49"/>
      <c r="F323" s="404">
        <f>F303+F308+F313+F318</f>
        <v>24385723.18</v>
      </c>
      <c r="G323" s="404"/>
      <c r="I323" s="404">
        <f t="shared" si="21"/>
        <v>24385723.18</v>
      </c>
      <c r="J323" s="404">
        <f>+I323-F323</f>
        <v>0</v>
      </c>
      <c r="K323" s="244">
        <f t="shared" si="17"/>
        <v>318</v>
      </c>
    </row>
    <row r="324" spans="1:11">
      <c r="A324" s="168">
        <f t="shared" si="19"/>
        <v>824</v>
      </c>
      <c r="B324" s="153"/>
      <c r="C324" s="231" t="s">
        <v>640</v>
      </c>
      <c r="D324" s="49"/>
      <c r="E324" s="49"/>
      <c r="F324" s="404">
        <f>F304+F309+F314+F319</f>
        <v>267402.03999999998</v>
      </c>
      <c r="G324" s="404"/>
      <c r="I324" s="404">
        <f t="shared" si="21"/>
        <v>267402.03999999998</v>
      </c>
      <c r="J324" s="404">
        <f>+I324-F324</f>
        <v>0</v>
      </c>
      <c r="K324" s="244">
        <f t="shared" si="17"/>
        <v>319</v>
      </c>
    </row>
    <row r="325" spans="1:11" ht="13.5" thickBot="1">
      <c r="A325" s="168">
        <f t="shared" si="19"/>
        <v>825</v>
      </c>
      <c r="B325" s="153"/>
      <c r="C325" s="49"/>
      <c r="D325" s="49"/>
      <c r="E325" s="49"/>
      <c r="F325" s="407"/>
      <c r="G325" s="407"/>
      <c r="I325" s="407"/>
      <c r="J325" s="407">
        <f>+I325-F325</f>
        <v>0</v>
      </c>
      <c r="K325" s="244">
        <f t="shared" si="17"/>
        <v>320</v>
      </c>
    </row>
    <row r="326" spans="1:11">
      <c r="A326" s="168">
        <f t="shared" si="19"/>
        <v>826</v>
      </c>
      <c r="B326" s="153"/>
      <c r="C326" s="158" t="s">
        <v>638</v>
      </c>
      <c r="D326" s="49"/>
      <c r="E326" s="49"/>
      <c r="F326" s="404">
        <f>SUM(F323:F325)</f>
        <v>24653125.219999999</v>
      </c>
      <c r="G326" s="404"/>
      <c r="I326" s="404">
        <f t="shared" si="21"/>
        <v>24653125.219999999</v>
      </c>
      <c r="J326" s="404">
        <f>+I326-F326</f>
        <v>0</v>
      </c>
      <c r="K326" s="244">
        <f t="shared" si="17"/>
        <v>321</v>
      </c>
    </row>
    <row r="327" spans="1:11">
      <c r="A327" s="168">
        <f t="shared" si="19"/>
        <v>827</v>
      </c>
      <c r="B327" s="153"/>
      <c r="C327" s="49"/>
      <c r="D327" s="49"/>
      <c r="E327" s="49"/>
      <c r="F327" s="404"/>
      <c r="G327" s="404"/>
      <c r="I327" s="404"/>
      <c r="J327" s="404"/>
      <c r="K327" s="244">
        <f t="shared" si="17"/>
        <v>322</v>
      </c>
    </row>
    <row r="328" spans="1:11">
      <c r="A328" s="168">
        <f t="shared" si="19"/>
        <v>828</v>
      </c>
      <c r="B328" s="130" t="s">
        <v>409</v>
      </c>
      <c r="C328" s="49"/>
      <c r="D328" s="49"/>
      <c r="E328" s="49"/>
      <c r="F328" s="404"/>
      <c r="G328" s="404"/>
      <c r="I328" s="404"/>
      <c r="J328" s="404"/>
      <c r="K328" s="244">
        <f t="shared" si="17"/>
        <v>323</v>
      </c>
    </row>
    <row r="329" spans="1:11">
      <c r="A329" s="168">
        <f t="shared" si="19"/>
        <v>829</v>
      </c>
      <c r="B329" s="153"/>
      <c r="C329" s="49"/>
      <c r="D329" s="49"/>
      <c r="E329" s="49"/>
      <c r="F329" s="404"/>
      <c r="G329" s="404"/>
      <c r="I329" s="404"/>
      <c r="J329" s="404"/>
      <c r="K329" s="244">
        <f t="shared" si="17"/>
        <v>324</v>
      </c>
    </row>
    <row r="330" spans="1:11">
      <c r="A330" s="168">
        <f t="shared" si="19"/>
        <v>830</v>
      </c>
      <c r="B330" s="154">
        <v>920</v>
      </c>
      <c r="C330" s="49" t="s">
        <v>410</v>
      </c>
      <c r="D330" s="49"/>
      <c r="E330" s="49"/>
      <c r="F330" s="404"/>
      <c r="G330" s="404"/>
      <c r="I330" s="404"/>
      <c r="J330" s="404"/>
      <c r="K330" s="244">
        <f t="shared" si="17"/>
        <v>325</v>
      </c>
    </row>
    <row r="331" spans="1:11">
      <c r="A331" s="168">
        <f t="shared" si="19"/>
        <v>831</v>
      </c>
      <c r="B331" s="153"/>
      <c r="C331" s="49" t="s">
        <v>13</v>
      </c>
      <c r="D331" s="49"/>
      <c r="E331" s="49"/>
      <c r="F331" s="404">
        <f>[14]EXPENSES.XNV!S325</f>
        <v>4406724.58</v>
      </c>
      <c r="G331" s="404"/>
      <c r="I331" s="404">
        <f t="shared" si="21"/>
        <v>4406724.58</v>
      </c>
      <c r="J331" s="404">
        <f>+I331-F331</f>
        <v>0</v>
      </c>
      <c r="K331" s="244">
        <f t="shared" si="17"/>
        <v>326</v>
      </c>
    </row>
    <row r="332" spans="1:11">
      <c r="A332" s="168">
        <f t="shared" si="19"/>
        <v>832</v>
      </c>
      <c r="B332" s="153"/>
      <c r="C332" s="49" t="s">
        <v>24</v>
      </c>
      <c r="D332" s="49"/>
      <c r="E332" s="49"/>
      <c r="F332" s="404">
        <f>[14]EXPENSES.XNV!S326</f>
        <v>116002.97</v>
      </c>
      <c r="G332" s="404"/>
      <c r="I332" s="404">
        <f t="shared" si="21"/>
        <v>116002.97</v>
      </c>
      <c r="J332" s="404">
        <f>+I332-F332</f>
        <v>0</v>
      </c>
      <c r="K332" s="244">
        <f t="shared" si="17"/>
        <v>327</v>
      </c>
    </row>
    <row r="333" spans="1:11" ht="13.5" thickBot="1">
      <c r="A333" s="168">
        <f t="shared" si="19"/>
        <v>833</v>
      </c>
      <c r="B333" s="154"/>
      <c r="C333" s="49" t="s">
        <v>160</v>
      </c>
      <c r="D333" s="49"/>
      <c r="E333" s="49"/>
      <c r="F333" s="405">
        <f>SUM(F331:F332)</f>
        <v>4522727.55</v>
      </c>
      <c r="G333" s="405"/>
      <c r="I333" s="405">
        <f t="shared" si="21"/>
        <v>4522727.55</v>
      </c>
      <c r="J333" s="405">
        <f>+I333-F333</f>
        <v>0</v>
      </c>
      <c r="K333" s="244">
        <f t="shared" si="17"/>
        <v>328</v>
      </c>
    </row>
    <row r="334" spans="1:11" ht="13.5" thickTop="1">
      <c r="A334" s="168">
        <f t="shared" si="19"/>
        <v>834</v>
      </c>
      <c r="B334" s="154">
        <v>921</v>
      </c>
      <c r="C334" s="49" t="s">
        <v>411</v>
      </c>
      <c r="D334" s="49"/>
      <c r="E334" s="49"/>
      <c r="F334" s="404"/>
      <c r="G334" s="404"/>
      <c r="I334" s="404"/>
      <c r="J334" s="404"/>
      <c r="K334" s="244">
        <f t="shared" si="17"/>
        <v>329</v>
      </c>
    </row>
    <row r="335" spans="1:11">
      <c r="A335" s="168">
        <f t="shared" si="19"/>
        <v>835</v>
      </c>
      <c r="B335" s="154"/>
      <c r="C335" s="49" t="s">
        <v>13</v>
      </c>
      <c r="D335" s="49"/>
      <c r="E335" s="49"/>
      <c r="F335" s="404">
        <f>[14]EXPENSES.XNV!S329</f>
        <v>32693295.829999998</v>
      </c>
      <c r="G335" s="404"/>
      <c r="I335" s="404">
        <f t="shared" si="21"/>
        <v>32693295.829999998</v>
      </c>
      <c r="J335" s="404">
        <f t="shared" ref="J335:J341" si="22">+I335-F335</f>
        <v>0</v>
      </c>
      <c r="K335" s="244">
        <f t="shared" si="17"/>
        <v>330</v>
      </c>
    </row>
    <row r="336" spans="1:11">
      <c r="A336" s="168">
        <f t="shared" si="19"/>
        <v>836</v>
      </c>
      <c r="B336" s="154"/>
      <c r="C336" s="49" t="s">
        <v>24</v>
      </c>
      <c r="D336" s="49"/>
      <c r="E336" s="49"/>
      <c r="F336" s="404">
        <f>[14]EXPENSES.XNV!S330</f>
        <v>1489434.61</v>
      </c>
      <c r="G336" s="404"/>
      <c r="I336" s="404">
        <f t="shared" si="21"/>
        <v>1489434.61</v>
      </c>
      <c r="J336" s="404">
        <f t="shared" si="22"/>
        <v>0</v>
      </c>
      <c r="K336" s="244">
        <f t="shared" si="17"/>
        <v>331</v>
      </c>
    </row>
    <row r="337" spans="1:11" ht="13.5" thickBot="1">
      <c r="A337" s="168">
        <f t="shared" si="19"/>
        <v>837</v>
      </c>
      <c r="B337" s="154"/>
      <c r="C337" s="49" t="s">
        <v>160</v>
      </c>
      <c r="D337" s="49"/>
      <c r="E337" s="49"/>
      <c r="F337" s="405">
        <f>SUM(F335:F336)</f>
        <v>34182730.439999998</v>
      </c>
      <c r="G337" s="405"/>
      <c r="I337" s="405">
        <f t="shared" si="21"/>
        <v>34182730.439999998</v>
      </c>
      <c r="J337" s="405">
        <f t="shared" si="22"/>
        <v>0</v>
      </c>
      <c r="K337" s="244">
        <f t="shared" si="17"/>
        <v>332</v>
      </c>
    </row>
    <row r="338" spans="1:11" ht="13.5" thickTop="1">
      <c r="A338" s="168">
        <f t="shared" si="19"/>
        <v>838</v>
      </c>
      <c r="B338" s="154">
        <v>922</v>
      </c>
      <c r="C338" s="49" t="s">
        <v>412</v>
      </c>
      <c r="D338" s="49"/>
      <c r="E338" s="49"/>
      <c r="F338" s="404"/>
      <c r="G338" s="404"/>
      <c r="I338" s="404"/>
      <c r="J338" s="404">
        <f t="shared" si="22"/>
        <v>0</v>
      </c>
      <c r="K338" s="244">
        <f t="shared" si="17"/>
        <v>333</v>
      </c>
    </row>
    <row r="339" spans="1:11">
      <c r="A339" s="168">
        <f t="shared" si="19"/>
        <v>839</v>
      </c>
      <c r="B339" s="154"/>
      <c r="C339" s="49" t="s">
        <v>13</v>
      </c>
      <c r="D339" s="49"/>
      <c r="E339" s="49"/>
      <c r="F339" s="404">
        <f>[14]EXPENSES.XNV!S333</f>
        <v>-3802906.8900000006</v>
      </c>
      <c r="G339" s="404"/>
      <c r="I339" s="404">
        <f t="shared" si="21"/>
        <v>-3802906.8900000006</v>
      </c>
      <c r="J339" s="404">
        <f t="shared" si="22"/>
        <v>0</v>
      </c>
      <c r="K339" s="244">
        <f t="shared" ref="K339:K402" si="23">+K338+1</f>
        <v>334</v>
      </c>
    </row>
    <row r="340" spans="1:11">
      <c r="A340" s="168">
        <f t="shared" si="19"/>
        <v>840</v>
      </c>
      <c r="B340" s="154"/>
      <c r="C340" s="49" t="s">
        <v>24</v>
      </c>
      <c r="D340" s="49"/>
      <c r="E340" s="49"/>
      <c r="F340" s="404">
        <f>[14]EXPENSES.XNV!S334</f>
        <v>-125232.56</v>
      </c>
      <c r="G340" s="404"/>
      <c r="I340" s="404">
        <f t="shared" si="21"/>
        <v>-125232.56</v>
      </c>
      <c r="J340" s="404">
        <f t="shared" si="22"/>
        <v>0</v>
      </c>
      <c r="K340" s="244">
        <f t="shared" si="23"/>
        <v>335</v>
      </c>
    </row>
    <row r="341" spans="1:11" ht="13.5" thickBot="1">
      <c r="A341" s="168">
        <f t="shared" si="19"/>
        <v>841</v>
      </c>
      <c r="B341" s="154"/>
      <c r="C341" s="49" t="s">
        <v>160</v>
      </c>
      <c r="D341" s="49"/>
      <c r="E341" s="49"/>
      <c r="F341" s="405">
        <f>SUM(F339:F340)</f>
        <v>-3928139.4500000007</v>
      </c>
      <c r="G341" s="405"/>
      <c r="I341" s="405">
        <f t="shared" si="21"/>
        <v>-3928139.4500000007</v>
      </c>
      <c r="J341" s="405">
        <f t="shared" si="22"/>
        <v>0</v>
      </c>
      <c r="K341" s="244">
        <f t="shared" si="23"/>
        <v>336</v>
      </c>
    </row>
    <row r="342" spans="1:11" ht="13.5" thickTop="1">
      <c r="A342" s="168">
        <f t="shared" si="19"/>
        <v>842</v>
      </c>
      <c r="B342" s="154">
        <v>923</v>
      </c>
      <c r="C342" s="49" t="s">
        <v>413</v>
      </c>
      <c r="D342" s="49"/>
      <c r="E342" s="49"/>
      <c r="F342" s="404"/>
      <c r="G342" s="404"/>
      <c r="I342" s="404"/>
      <c r="J342" s="404"/>
      <c r="K342" s="244">
        <f t="shared" si="23"/>
        <v>337</v>
      </c>
    </row>
    <row r="343" spans="1:11">
      <c r="A343" s="168">
        <f t="shared" ref="A343:A431" si="24">+A342+1</f>
        <v>843</v>
      </c>
      <c r="B343" s="154"/>
      <c r="C343" s="49" t="s">
        <v>13</v>
      </c>
      <c r="D343" s="49"/>
      <c r="E343" s="49"/>
      <c r="F343" s="404">
        <f>[14]EXPENSES.XNV!S337</f>
        <v>1318004.83</v>
      </c>
      <c r="G343" s="404"/>
      <c r="I343" s="404">
        <f t="shared" si="21"/>
        <v>1318004.83</v>
      </c>
      <c r="J343" s="404">
        <f>+I343-F343</f>
        <v>0</v>
      </c>
      <c r="K343" s="244">
        <f t="shared" si="23"/>
        <v>338</v>
      </c>
    </row>
    <row r="344" spans="1:11">
      <c r="A344" s="168">
        <f t="shared" si="24"/>
        <v>844</v>
      </c>
      <c r="B344" s="154"/>
      <c r="C344" s="49" t="s">
        <v>24</v>
      </c>
      <c r="D344" s="49"/>
      <c r="E344" s="49"/>
      <c r="F344" s="404">
        <f>[14]EXPENSES.XNV!S338</f>
        <v>81652.27</v>
      </c>
      <c r="G344" s="404"/>
      <c r="I344" s="404">
        <f t="shared" si="21"/>
        <v>81652.27</v>
      </c>
      <c r="J344" s="404">
        <f>+I344-F344</f>
        <v>0</v>
      </c>
      <c r="K344" s="244">
        <f t="shared" si="23"/>
        <v>339</v>
      </c>
    </row>
    <row r="345" spans="1:11" ht="13.5" thickBot="1">
      <c r="A345" s="168">
        <f t="shared" si="24"/>
        <v>845</v>
      </c>
      <c r="B345" s="154"/>
      <c r="C345" s="49" t="s">
        <v>160</v>
      </c>
      <c r="D345" s="49"/>
      <c r="E345" s="49"/>
      <c r="F345" s="405">
        <f>SUM(F343:F344)</f>
        <v>1399657.1</v>
      </c>
      <c r="G345" s="405"/>
      <c r="I345" s="405">
        <f t="shared" si="21"/>
        <v>1399657.1</v>
      </c>
      <c r="J345" s="405">
        <f>+I345-F345</f>
        <v>0</v>
      </c>
      <c r="K345" s="244">
        <f t="shared" si="23"/>
        <v>340</v>
      </c>
    </row>
    <row r="346" spans="1:11" ht="13.5" thickTop="1">
      <c r="A346" s="168">
        <f t="shared" si="24"/>
        <v>846</v>
      </c>
      <c r="B346" s="154">
        <v>924</v>
      </c>
      <c r="C346" s="49" t="s">
        <v>414</v>
      </c>
      <c r="D346" s="49"/>
      <c r="E346" s="49"/>
      <c r="F346" s="404"/>
      <c r="G346" s="404"/>
      <c r="I346" s="404"/>
      <c r="J346" s="404"/>
      <c r="K346" s="244">
        <f t="shared" si="23"/>
        <v>341</v>
      </c>
    </row>
    <row r="347" spans="1:11">
      <c r="A347" s="168">
        <f t="shared" si="24"/>
        <v>847</v>
      </c>
      <c r="B347" s="154"/>
      <c r="C347" s="49" t="s">
        <v>13</v>
      </c>
      <c r="D347" s="49"/>
      <c r="E347" s="49"/>
      <c r="F347" s="404">
        <f>[14]EXPENSES.XNV!S341</f>
        <v>304598</v>
      </c>
      <c r="G347" s="404"/>
      <c r="I347" s="404">
        <f t="shared" si="21"/>
        <v>304598</v>
      </c>
      <c r="J347" s="404">
        <f>+I347-F347</f>
        <v>0</v>
      </c>
      <c r="K347" s="244">
        <f t="shared" si="23"/>
        <v>342</v>
      </c>
    </row>
    <row r="348" spans="1:11">
      <c r="A348" s="168">
        <f t="shared" si="24"/>
        <v>848</v>
      </c>
      <c r="B348" s="154"/>
      <c r="C348" s="49" t="s">
        <v>24</v>
      </c>
      <c r="D348" s="49"/>
      <c r="E348" s="49"/>
      <c r="F348" s="404">
        <f>[14]EXPENSES.XNV!S342</f>
        <v>10049.430000000004</v>
      </c>
      <c r="G348" s="404"/>
      <c r="I348" s="404">
        <f t="shared" si="21"/>
        <v>10049.430000000004</v>
      </c>
      <c r="J348" s="404">
        <f>+I348-F348</f>
        <v>0</v>
      </c>
      <c r="K348" s="244">
        <f t="shared" si="23"/>
        <v>343</v>
      </c>
    </row>
    <row r="349" spans="1:11" ht="13.5" thickBot="1">
      <c r="A349" s="168">
        <f t="shared" si="24"/>
        <v>849</v>
      </c>
      <c r="B349" s="154"/>
      <c r="C349" s="49" t="s">
        <v>160</v>
      </c>
      <c r="D349" s="49"/>
      <c r="E349" s="49"/>
      <c r="F349" s="405">
        <f>SUM(F347:F348)</f>
        <v>314647.43</v>
      </c>
      <c r="G349" s="405"/>
      <c r="I349" s="405">
        <f t="shared" si="21"/>
        <v>314647.43</v>
      </c>
      <c r="J349" s="405">
        <f>+I349-F349</f>
        <v>0</v>
      </c>
      <c r="K349" s="244">
        <f t="shared" si="23"/>
        <v>344</v>
      </c>
    </row>
    <row r="350" spans="1:11" ht="13.5" thickTop="1">
      <c r="A350" s="168">
        <f t="shared" si="24"/>
        <v>850</v>
      </c>
      <c r="B350" s="154">
        <v>925</v>
      </c>
      <c r="C350" s="49" t="s">
        <v>415</v>
      </c>
      <c r="D350" s="49"/>
      <c r="E350" s="49"/>
      <c r="F350" s="404"/>
      <c r="G350" s="404"/>
      <c r="I350" s="404"/>
      <c r="J350" s="404"/>
      <c r="K350" s="244">
        <f t="shared" si="23"/>
        <v>345</v>
      </c>
    </row>
    <row r="351" spans="1:11">
      <c r="A351" s="168">
        <f t="shared" si="24"/>
        <v>851</v>
      </c>
      <c r="B351" s="154"/>
      <c r="C351" s="49" t="s">
        <v>13</v>
      </c>
      <c r="D351" s="49"/>
      <c r="E351" s="49"/>
      <c r="F351" s="404">
        <f>[14]EXPENSES.XNV!S345</f>
        <v>11516.189999999999</v>
      </c>
      <c r="G351" s="404"/>
      <c r="I351" s="404">
        <f t="shared" si="21"/>
        <v>11516.189999999999</v>
      </c>
      <c r="J351" s="404">
        <f>+I351-F351</f>
        <v>0</v>
      </c>
      <c r="K351" s="244">
        <f t="shared" si="23"/>
        <v>346</v>
      </c>
    </row>
    <row r="352" spans="1:11">
      <c r="A352" s="168">
        <f t="shared" si="24"/>
        <v>852</v>
      </c>
      <c r="B352" s="154"/>
      <c r="C352" s="49" t="s">
        <v>24</v>
      </c>
      <c r="D352" s="49"/>
      <c r="E352" s="49"/>
      <c r="F352" s="404">
        <f>[14]EXPENSES.XNV!S346</f>
        <v>224.67000000000002</v>
      </c>
      <c r="G352" s="404"/>
      <c r="I352" s="404">
        <f t="shared" ref="I352:I383" si="25">HLOOKUP($I$6,EXPENSESCENARIO,K352,FALSE)</f>
        <v>224.67000000000002</v>
      </c>
      <c r="J352" s="404">
        <f>+I352-F352</f>
        <v>0</v>
      </c>
      <c r="K352" s="244">
        <f t="shared" si="23"/>
        <v>347</v>
      </c>
    </row>
    <row r="353" spans="1:11" ht="13.5" thickBot="1">
      <c r="A353" s="168">
        <f t="shared" si="24"/>
        <v>853</v>
      </c>
      <c r="B353" s="154"/>
      <c r="C353" s="49" t="s">
        <v>160</v>
      </c>
      <c r="D353" s="49"/>
      <c r="E353" s="49"/>
      <c r="F353" s="405">
        <f>SUM(F351:F352)</f>
        <v>11740.859999999999</v>
      </c>
      <c r="G353" s="405"/>
      <c r="I353" s="405">
        <f t="shared" si="25"/>
        <v>11740.859999999999</v>
      </c>
      <c r="J353" s="405">
        <f>+I353-F353</f>
        <v>0</v>
      </c>
      <c r="K353" s="244">
        <f t="shared" si="23"/>
        <v>348</v>
      </c>
    </row>
    <row r="354" spans="1:11" ht="13.5" thickTop="1">
      <c r="A354" s="168">
        <f t="shared" si="24"/>
        <v>854</v>
      </c>
      <c r="B354" s="154">
        <v>926</v>
      </c>
      <c r="C354" s="49" t="s">
        <v>416</v>
      </c>
      <c r="D354" s="49"/>
      <c r="E354" s="49"/>
      <c r="F354" s="404"/>
      <c r="G354" s="404"/>
      <c r="I354" s="404"/>
      <c r="J354" s="404"/>
      <c r="K354" s="244">
        <f t="shared" si="23"/>
        <v>349</v>
      </c>
    </row>
    <row r="355" spans="1:11">
      <c r="A355" s="168">
        <f t="shared" si="24"/>
        <v>855</v>
      </c>
      <c r="B355" s="154"/>
      <c r="C355" s="49" t="s">
        <v>13</v>
      </c>
      <c r="D355" s="49"/>
      <c r="E355" s="49"/>
      <c r="F355" s="404">
        <f>[14]EXPENSES.XNV!S349</f>
        <v>162902.46000000002</v>
      </c>
      <c r="G355" s="404"/>
      <c r="I355" s="404">
        <f t="shared" si="25"/>
        <v>162902.46000000002</v>
      </c>
      <c r="J355" s="404">
        <f>+I355-F355</f>
        <v>0</v>
      </c>
      <c r="K355" s="244">
        <f t="shared" si="23"/>
        <v>350</v>
      </c>
    </row>
    <row r="356" spans="1:11">
      <c r="A356" s="168">
        <f t="shared" si="24"/>
        <v>856</v>
      </c>
      <c r="B356" s="154"/>
      <c r="C356" s="49" t="s">
        <v>24</v>
      </c>
      <c r="D356" s="49"/>
      <c r="E356" s="49"/>
      <c r="F356" s="404">
        <f>[14]EXPENSES.XNV!S350</f>
        <v>4488.2200000000021</v>
      </c>
      <c r="G356" s="404"/>
      <c r="I356" s="404">
        <f t="shared" si="25"/>
        <v>4488.2200000000021</v>
      </c>
      <c r="J356" s="404">
        <f>+I356-F356</f>
        <v>0</v>
      </c>
      <c r="K356" s="244">
        <f t="shared" si="23"/>
        <v>351</v>
      </c>
    </row>
    <row r="357" spans="1:11" ht="13.5" thickBot="1">
      <c r="A357" s="168">
        <f t="shared" si="24"/>
        <v>857</v>
      </c>
      <c r="B357" s="154"/>
      <c r="C357" s="49" t="s">
        <v>160</v>
      </c>
      <c r="D357" s="49"/>
      <c r="E357" s="49"/>
      <c r="F357" s="405">
        <f>SUM(F355:F356)</f>
        <v>167390.68000000002</v>
      </c>
      <c r="G357" s="405"/>
      <c r="I357" s="405">
        <f t="shared" si="25"/>
        <v>167390.68000000002</v>
      </c>
      <c r="J357" s="405">
        <f>+I357-F357</f>
        <v>0</v>
      </c>
      <c r="K357" s="244">
        <f t="shared" si="23"/>
        <v>352</v>
      </c>
    </row>
    <row r="358" spans="1:11" ht="13.5" thickTop="1">
      <c r="A358" s="168">
        <f t="shared" si="24"/>
        <v>858</v>
      </c>
      <c r="B358" s="154" t="s">
        <v>814</v>
      </c>
      <c r="C358" s="49" t="s">
        <v>815</v>
      </c>
      <c r="D358" s="49"/>
      <c r="E358" s="49"/>
      <c r="F358" s="404"/>
      <c r="G358" s="404"/>
      <c r="I358" s="404"/>
      <c r="J358" s="404"/>
      <c r="K358" s="244">
        <f t="shared" si="23"/>
        <v>353</v>
      </c>
    </row>
    <row r="359" spans="1:11">
      <c r="A359" s="168">
        <f t="shared" si="24"/>
        <v>859</v>
      </c>
      <c r="B359" s="154"/>
      <c r="C359" s="49" t="s">
        <v>13</v>
      </c>
      <c r="D359" s="49"/>
      <c r="E359" s="49"/>
      <c r="F359" s="404">
        <f>[14]EXPENSES.XNV!S354</f>
        <v>0</v>
      </c>
      <c r="G359" s="404"/>
      <c r="I359" s="404">
        <f t="shared" si="25"/>
        <v>0</v>
      </c>
      <c r="J359" s="404">
        <f t="shared" ref="J359:J383" si="26">+I359-F359</f>
        <v>0</v>
      </c>
      <c r="K359" s="244">
        <f t="shared" si="23"/>
        <v>354</v>
      </c>
    </row>
    <row r="360" spans="1:11">
      <c r="A360" s="168">
        <f t="shared" si="24"/>
        <v>860</v>
      </c>
      <c r="B360" s="154"/>
      <c r="C360" s="49" t="s">
        <v>24</v>
      </c>
      <c r="D360" s="49"/>
      <c r="E360" s="49"/>
      <c r="F360" s="404">
        <f>[14]EXPENSES.XNV!S355</f>
        <v>0</v>
      </c>
      <c r="G360" s="404"/>
      <c r="I360" s="404">
        <f t="shared" si="25"/>
        <v>0</v>
      </c>
      <c r="J360" s="404">
        <f t="shared" si="26"/>
        <v>0</v>
      </c>
      <c r="K360" s="244">
        <f t="shared" si="23"/>
        <v>355</v>
      </c>
    </row>
    <row r="361" spans="1:11" ht="13.5" thickBot="1">
      <c r="A361" s="168">
        <f t="shared" si="24"/>
        <v>861</v>
      </c>
      <c r="B361" s="154"/>
      <c r="C361" s="49" t="s">
        <v>160</v>
      </c>
      <c r="D361" s="49"/>
      <c r="E361" s="49"/>
      <c r="F361" s="405">
        <f>SUM(F359:F360)</f>
        <v>0</v>
      </c>
      <c r="G361" s="405"/>
      <c r="I361" s="405">
        <f t="shared" si="25"/>
        <v>0</v>
      </c>
      <c r="J361" s="405">
        <f t="shared" si="26"/>
        <v>0</v>
      </c>
      <c r="K361" s="244">
        <f t="shared" si="23"/>
        <v>356</v>
      </c>
    </row>
    <row r="362" spans="1:11" ht="13.5" thickTop="1">
      <c r="A362" s="168">
        <f t="shared" si="24"/>
        <v>862</v>
      </c>
      <c r="B362" s="154">
        <v>9301</v>
      </c>
      <c r="C362" s="49" t="s">
        <v>417</v>
      </c>
      <c r="D362" s="49"/>
      <c r="E362" s="49"/>
      <c r="F362" s="404"/>
      <c r="G362" s="404"/>
      <c r="I362" s="404"/>
      <c r="J362" s="404">
        <f t="shared" si="26"/>
        <v>0</v>
      </c>
      <c r="K362" s="244">
        <f t="shared" si="23"/>
        <v>357</v>
      </c>
    </row>
    <row r="363" spans="1:11">
      <c r="A363" s="168">
        <f t="shared" si="24"/>
        <v>863</v>
      </c>
      <c r="B363" s="154"/>
      <c r="C363" s="49" t="s">
        <v>13</v>
      </c>
      <c r="D363" s="49"/>
      <c r="E363" s="49"/>
      <c r="F363" s="404">
        <f>[14]EXPENSES.XNV!S357</f>
        <v>0</v>
      </c>
      <c r="G363" s="404"/>
      <c r="I363" s="404">
        <f t="shared" si="25"/>
        <v>0</v>
      </c>
      <c r="J363" s="404">
        <f t="shared" si="26"/>
        <v>0</v>
      </c>
      <c r="K363" s="244">
        <f t="shared" si="23"/>
        <v>358</v>
      </c>
    </row>
    <row r="364" spans="1:11">
      <c r="A364" s="168">
        <f t="shared" si="24"/>
        <v>864</v>
      </c>
      <c r="B364" s="154"/>
      <c r="C364" s="49" t="s">
        <v>24</v>
      </c>
      <c r="D364" s="49"/>
      <c r="E364" s="49"/>
      <c r="F364" s="404">
        <f>[14]EXPENSES.XNV!S358</f>
        <v>0</v>
      </c>
      <c r="G364" s="404"/>
      <c r="I364" s="404">
        <f t="shared" si="25"/>
        <v>0</v>
      </c>
      <c r="J364" s="404">
        <f t="shared" si="26"/>
        <v>0</v>
      </c>
      <c r="K364" s="244">
        <f t="shared" si="23"/>
        <v>359</v>
      </c>
    </row>
    <row r="365" spans="1:11" ht="13.5" thickBot="1">
      <c r="A365" s="168">
        <f t="shared" si="24"/>
        <v>865</v>
      </c>
      <c r="B365" s="154"/>
      <c r="C365" s="49" t="s">
        <v>160</v>
      </c>
      <c r="D365" s="49"/>
      <c r="E365" s="49"/>
      <c r="F365" s="405">
        <f>SUM(F363:F364)</f>
        <v>0</v>
      </c>
      <c r="G365" s="405"/>
      <c r="I365" s="405">
        <f t="shared" si="25"/>
        <v>0</v>
      </c>
      <c r="J365" s="405">
        <f t="shared" si="26"/>
        <v>0</v>
      </c>
      <c r="K365" s="244">
        <f t="shared" si="23"/>
        <v>360</v>
      </c>
    </row>
    <row r="366" spans="1:11" ht="13.5" thickTop="1">
      <c r="A366" s="168">
        <f t="shared" si="24"/>
        <v>866</v>
      </c>
      <c r="B366" s="154">
        <v>9302</v>
      </c>
      <c r="C366" s="49" t="s">
        <v>419</v>
      </c>
      <c r="D366" s="49"/>
      <c r="E366" s="49"/>
      <c r="F366" s="404"/>
      <c r="G366" s="404"/>
      <c r="I366" s="404"/>
      <c r="J366" s="404">
        <f t="shared" si="26"/>
        <v>0</v>
      </c>
      <c r="K366" s="244">
        <f t="shared" si="23"/>
        <v>361</v>
      </c>
    </row>
    <row r="367" spans="1:11">
      <c r="A367" s="168">
        <f t="shared" si="24"/>
        <v>867</v>
      </c>
      <c r="B367" s="154"/>
      <c r="C367" s="49" t="s">
        <v>13</v>
      </c>
      <c r="D367" s="49"/>
      <c r="E367" s="49"/>
      <c r="F367" s="404">
        <f>[14]EXPENSES.XNV!S361</f>
        <v>2062151.78</v>
      </c>
      <c r="G367" s="404"/>
      <c r="I367" s="404">
        <f t="shared" si="25"/>
        <v>2062151.78</v>
      </c>
      <c r="J367" s="404">
        <f t="shared" si="26"/>
        <v>0</v>
      </c>
      <c r="K367" s="244">
        <f t="shared" si="23"/>
        <v>362</v>
      </c>
    </row>
    <row r="368" spans="1:11">
      <c r="A368" s="168">
        <f t="shared" si="24"/>
        <v>868</v>
      </c>
      <c r="B368" s="154"/>
      <c r="C368" s="49" t="s">
        <v>24</v>
      </c>
      <c r="D368" s="49"/>
      <c r="E368" s="49"/>
      <c r="F368" s="404">
        <f>[14]EXPENSES.XNV!S362</f>
        <v>42540.13</v>
      </c>
      <c r="G368" s="404"/>
      <c r="I368" s="404">
        <f t="shared" si="25"/>
        <v>42540.13</v>
      </c>
      <c r="J368" s="404">
        <f t="shared" si="26"/>
        <v>0</v>
      </c>
      <c r="K368" s="244">
        <f t="shared" si="23"/>
        <v>363</v>
      </c>
    </row>
    <row r="369" spans="1:11" ht="13.5" thickBot="1">
      <c r="A369" s="168">
        <f t="shared" si="24"/>
        <v>869</v>
      </c>
      <c r="B369" s="154"/>
      <c r="C369" s="49" t="s">
        <v>160</v>
      </c>
      <c r="D369" s="49"/>
      <c r="E369" s="49"/>
      <c r="F369" s="405">
        <f>SUM(F367:F368)</f>
        <v>2104691.91</v>
      </c>
      <c r="G369" s="405"/>
      <c r="I369" s="405">
        <f t="shared" si="25"/>
        <v>2104691.91</v>
      </c>
      <c r="J369" s="405">
        <f t="shared" si="26"/>
        <v>0</v>
      </c>
      <c r="K369" s="244">
        <f t="shared" si="23"/>
        <v>364</v>
      </c>
    </row>
    <row r="370" spans="1:11" ht="13.5" thickTop="1">
      <c r="A370" s="168">
        <f t="shared" si="24"/>
        <v>870</v>
      </c>
      <c r="B370" s="154">
        <v>931</v>
      </c>
      <c r="C370" s="49" t="s">
        <v>370</v>
      </c>
      <c r="D370" s="49"/>
      <c r="E370" s="49"/>
      <c r="F370" s="404"/>
      <c r="G370" s="404"/>
      <c r="I370" s="404"/>
      <c r="J370" s="404">
        <f t="shared" si="26"/>
        <v>0</v>
      </c>
      <c r="K370" s="244">
        <f t="shared" si="23"/>
        <v>365</v>
      </c>
    </row>
    <row r="371" spans="1:11">
      <c r="A371" s="168">
        <f t="shared" si="24"/>
        <v>871</v>
      </c>
      <c r="B371" s="154"/>
      <c r="C371" s="49" t="s">
        <v>13</v>
      </c>
      <c r="D371" s="49"/>
      <c r="E371" s="49"/>
      <c r="F371" s="404">
        <f>[14]EXPENSES.XNV!S365</f>
        <v>849584.07999999984</v>
      </c>
      <c r="G371" s="404"/>
      <c r="I371" s="404">
        <f t="shared" si="25"/>
        <v>849584.07999999984</v>
      </c>
      <c r="J371" s="404">
        <f t="shared" si="26"/>
        <v>0</v>
      </c>
      <c r="K371" s="244">
        <f t="shared" si="23"/>
        <v>366</v>
      </c>
    </row>
    <row r="372" spans="1:11">
      <c r="A372" s="168">
        <f t="shared" si="24"/>
        <v>872</v>
      </c>
      <c r="B372" s="154"/>
      <c r="C372" s="49" t="s">
        <v>24</v>
      </c>
      <c r="D372" s="49"/>
      <c r="E372" s="49"/>
      <c r="F372" s="404">
        <f>[14]EXPENSES.XNV!S366</f>
        <v>27802.480000000003</v>
      </c>
      <c r="G372" s="404"/>
      <c r="I372" s="404">
        <f t="shared" si="25"/>
        <v>27802.480000000003</v>
      </c>
      <c r="J372" s="404">
        <f t="shared" si="26"/>
        <v>0</v>
      </c>
      <c r="K372" s="244">
        <f t="shared" si="23"/>
        <v>367</v>
      </c>
    </row>
    <row r="373" spans="1:11" ht="13.5" thickBot="1">
      <c r="A373" s="168">
        <f t="shared" si="24"/>
        <v>873</v>
      </c>
      <c r="B373" s="154"/>
      <c r="C373" s="49" t="s">
        <v>160</v>
      </c>
      <c r="D373" s="49"/>
      <c r="E373" s="49"/>
      <c r="F373" s="405">
        <f>SUM(F371:F372)</f>
        <v>877386.55999999982</v>
      </c>
      <c r="G373" s="405"/>
      <c r="I373" s="405">
        <f t="shared" si="25"/>
        <v>877386.55999999982</v>
      </c>
      <c r="J373" s="405">
        <f t="shared" si="26"/>
        <v>0</v>
      </c>
      <c r="K373" s="244">
        <f t="shared" si="23"/>
        <v>368</v>
      </c>
    </row>
    <row r="374" spans="1:11" ht="13.5" thickTop="1">
      <c r="A374" s="168">
        <f t="shared" si="24"/>
        <v>874</v>
      </c>
      <c r="B374" s="154" t="s">
        <v>816</v>
      </c>
      <c r="C374" s="49" t="s">
        <v>420</v>
      </c>
      <c r="D374" s="49"/>
      <c r="E374" s="49"/>
      <c r="F374" s="404"/>
      <c r="G374" s="404"/>
      <c r="I374" s="404"/>
      <c r="J374" s="404">
        <f t="shared" si="26"/>
        <v>0</v>
      </c>
      <c r="K374" s="244">
        <f t="shared" si="23"/>
        <v>369</v>
      </c>
    </row>
    <row r="375" spans="1:11">
      <c r="A375" s="168">
        <f t="shared" si="24"/>
        <v>875</v>
      </c>
      <c r="B375" s="154"/>
      <c r="C375" s="49" t="s">
        <v>13</v>
      </c>
      <c r="D375" s="49"/>
      <c r="E375" s="49"/>
      <c r="F375" s="404">
        <f>[14]EXPENSES.XNV!S369</f>
        <v>0</v>
      </c>
      <c r="G375" s="404"/>
      <c r="I375" s="404">
        <f t="shared" si="25"/>
        <v>0</v>
      </c>
      <c r="J375" s="404">
        <f t="shared" si="26"/>
        <v>0</v>
      </c>
      <c r="K375" s="244">
        <f t="shared" si="23"/>
        <v>370</v>
      </c>
    </row>
    <row r="376" spans="1:11">
      <c r="A376" s="168">
        <f t="shared" si="24"/>
        <v>876</v>
      </c>
      <c r="B376" s="154"/>
      <c r="C376" s="49" t="s">
        <v>24</v>
      </c>
      <c r="D376" s="49"/>
      <c r="E376" s="49"/>
      <c r="F376" s="404">
        <f>[14]EXPENSES.XNV!S370</f>
        <v>0</v>
      </c>
      <c r="G376" s="404"/>
      <c r="I376" s="404">
        <f t="shared" si="25"/>
        <v>0</v>
      </c>
      <c r="J376" s="404">
        <f t="shared" si="26"/>
        <v>0</v>
      </c>
      <c r="K376" s="244">
        <f t="shared" si="23"/>
        <v>371</v>
      </c>
    </row>
    <row r="377" spans="1:11" ht="13.5" thickBot="1">
      <c r="A377" s="168">
        <f t="shared" si="24"/>
        <v>877</v>
      </c>
      <c r="B377" s="154"/>
      <c r="C377" s="49" t="s">
        <v>160</v>
      </c>
      <c r="D377" s="49"/>
      <c r="E377" s="49"/>
      <c r="F377" s="405">
        <f>SUM(F375:F376)</f>
        <v>0</v>
      </c>
      <c r="G377" s="405"/>
      <c r="I377" s="405">
        <f t="shared" si="25"/>
        <v>0</v>
      </c>
      <c r="J377" s="405">
        <f t="shared" si="26"/>
        <v>0</v>
      </c>
      <c r="K377" s="244">
        <f t="shared" si="23"/>
        <v>372</v>
      </c>
    </row>
    <row r="378" spans="1:11" ht="13.5" thickTop="1">
      <c r="A378" s="168">
        <f t="shared" si="24"/>
        <v>878</v>
      </c>
      <c r="B378" s="153"/>
      <c r="C378" s="49"/>
      <c r="D378" s="49"/>
      <c r="E378" s="49"/>
      <c r="F378" s="404"/>
      <c r="G378" s="404"/>
      <c r="I378" s="404"/>
      <c r="J378" s="404">
        <f t="shared" si="26"/>
        <v>0</v>
      </c>
      <c r="K378" s="244">
        <f t="shared" si="23"/>
        <v>373</v>
      </c>
    </row>
    <row r="379" spans="1:11">
      <c r="A379" s="168">
        <f t="shared" si="24"/>
        <v>879</v>
      </c>
      <c r="B379" s="158" t="s">
        <v>421</v>
      </c>
      <c r="D379" s="49"/>
      <c r="E379" s="49"/>
      <c r="F379" s="404"/>
      <c r="G379" s="404"/>
      <c r="I379" s="404"/>
      <c r="J379" s="404">
        <f t="shared" si="26"/>
        <v>0</v>
      </c>
      <c r="K379" s="244">
        <f t="shared" si="23"/>
        <v>374</v>
      </c>
    </row>
    <row r="380" spans="1:11">
      <c r="A380" s="168">
        <f t="shared" si="24"/>
        <v>880</v>
      </c>
      <c r="B380" s="153"/>
      <c r="C380" s="231" t="s">
        <v>639</v>
      </c>
      <c r="D380" s="49"/>
      <c r="E380" s="49"/>
      <c r="F380" s="404">
        <f>F375+F371+F367+F363+F359+F355+F351+F347+F343+F339+F335+F331</f>
        <v>38005870.859999999</v>
      </c>
      <c r="G380" s="404"/>
      <c r="I380" s="404">
        <f t="shared" si="25"/>
        <v>38005870.859999999</v>
      </c>
      <c r="J380" s="404">
        <f t="shared" si="26"/>
        <v>0</v>
      </c>
      <c r="K380" s="244">
        <f t="shared" si="23"/>
        <v>375</v>
      </c>
    </row>
    <row r="381" spans="1:11">
      <c r="A381" s="168">
        <f t="shared" si="24"/>
        <v>881</v>
      </c>
      <c r="B381" s="153"/>
      <c r="C381" s="231" t="s">
        <v>640</v>
      </c>
      <c r="D381" s="49"/>
      <c r="E381" s="49"/>
      <c r="F381" s="404">
        <f>F376+F372+F368+F364+F360+F356+F352+F348+F344+F340+F336+F332</f>
        <v>1646962.22</v>
      </c>
      <c r="G381" s="404"/>
      <c r="I381" s="404">
        <f t="shared" si="25"/>
        <v>1646962.22</v>
      </c>
      <c r="J381" s="404">
        <f t="shared" si="26"/>
        <v>0</v>
      </c>
      <c r="K381" s="244">
        <f t="shared" si="23"/>
        <v>376</v>
      </c>
    </row>
    <row r="382" spans="1:11" ht="13.5" thickBot="1">
      <c r="A382" s="168">
        <f t="shared" si="24"/>
        <v>882</v>
      </c>
      <c r="B382" s="153"/>
      <c r="C382" s="158" t="s">
        <v>421</v>
      </c>
      <c r="D382" s="49"/>
      <c r="E382" s="49"/>
      <c r="F382" s="411">
        <f>SUM(F380:F381)</f>
        <v>39652833.079999998</v>
      </c>
      <c r="G382" s="411"/>
      <c r="I382" s="411">
        <f t="shared" si="25"/>
        <v>39652833.079999998</v>
      </c>
      <c r="J382" s="411">
        <f t="shared" si="26"/>
        <v>0</v>
      </c>
      <c r="K382" s="244">
        <f t="shared" si="23"/>
        <v>377</v>
      </c>
    </row>
    <row r="383" spans="1:11">
      <c r="A383" s="168">
        <f t="shared" si="24"/>
        <v>883</v>
      </c>
      <c r="B383" s="153"/>
      <c r="C383" s="158" t="s">
        <v>268</v>
      </c>
      <c r="D383" s="49"/>
      <c r="E383" s="49"/>
      <c r="F383" s="404">
        <f>+F382+F326+F298+F244+F141</f>
        <v>137434097.47</v>
      </c>
      <c r="G383" s="404"/>
      <c r="I383" s="404">
        <f t="shared" si="25"/>
        <v>137434097.47</v>
      </c>
      <c r="J383" s="404">
        <f t="shared" si="26"/>
        <v>0</v>
      </c>
      <c r="K383" s="244">
        <f t="shared" si="23"/>
        <v>378</v>
      </c>
    </row>
    <row r="384" spans="1:11" ht="13.5" thickBot="1">
      <c r="B384" s="82"/>
      <c r="C384" s="82"/>
      <c r="D384" s="82"/>
      <c r="E384" s="82"/>
      <c r="F384" s="447"/>
      <c r="G384" s="447"/>
      <c r="I384" s="422"/>
      <c r="J384" s="447"/>
      <c r="K384" s="244">
        <f t="shared" si="23"/>
        <v>379</v>
      </c>
    </row>
    <row r="385" spans="1:11">
      <c r="B385" s="77" t="s">
        <v>492</v>
      </c>
      <c r="F385" s="402"/>
      <c r="G385" s="402"/>
      <c r="I385" s="402"/>
      <c r="J385" s="402"/>
      <c r="K385" s="244">
        <f t="shared" si="23"/>
        <v>380</v>
      </c>
    </row>
    <row r="386" spans="1:11">
      <c r="A386" s="168"/>
      <c r="B386" s="153"/>
      <c r="C386" s="158"/>
      <c r="D386" s="49"/>
      <c r="E386" s="49"/>
      <c r="F386" s="404"/>
      <c r="G386" s="404"/>
      <c r="I386" s="404"/>
      <c r="J386" s="404"/>
      <c r="K386" s="244">
        <f t="shared" si="23"/>
        <v>381</v>
      </c>
    </row>
    <row r="387" spans="1:11">
      <c r="A387" s="519">
        <f>+A383+1</f>
        <v>884</v>
      </c>
      <c r="B387" s="520">
        <v>403</v>
      </c>
      <c r="C387" s="521" t="s">
        <v>426</v>
      </c>
      <c r="D387" s="521"/>
      <c r="E387" s="521"/>
      <c r="F387" s="402"/>
      <c r="G387" s="402"/>
      <c r="I387" s="402"/>
      <c r="J387" s="402"/>
      <c r="K387" s="244">
        <f t="shared" si="23"/>
        <v>382</v>
      </c>
    </row>
    <row r="388" spans="1:11">
      <c r="A388" s="519">
        <f t="shared" si="24"/>
        <v>885</v>
      </c>
      <c r="B388" s="520"/>
      <c r="C388" s="521"/>
      <c r="D388" s="521" t="s">
        <v>427</v>
      </c>
      <c r="E388" s="521"/>
      <c r="F388" s="404">
        <f>[14]EXPENSES.XNV!S385</f>
        <v>649452.47999999986</v>
      </c>
      <c r="G388" s="404"/>
      <c r="I388" s="404">
        <f t="shared" ref="I388:I415" si="27">HLOOKUP($I$6,EXPENSESCENARIO,K388,FALSE)</f>
        <v>649452.47999999986</v>
      </c>
      <c r="J388" s="404">
        <f>+I388-F388</f>
        <v>0</v>
      </c>
      <c r="K388" s="244">
        <f t="shared" si="23"/>
        <v>383</v>
      </c>
    </row>
    <row r="389" spans="1:11">
      <c r="A389" s="519">
        <f t="shared" si="24"/>
        <v>886</v>
      </c>
      <c r="B389" s="520"/>
      <c r="C389" s="521"/>
      <c r="D389" s="521" t="s">
        <v>581</v>
      </c>
      <c r="E389" s="521"/>
      <c r="F389" s="404">
        <f>[14]EXPENSES.XNV!S386</f>
        <v>1756908.57</v>
      </c>
      <c r="G389" s="404"/>
      <c r="I389" s="404">
        <f t="shared" si="27"/>
        <v>1756908.57</v>
      </c>
      <c r="J389" s="404">
        <f>+I389-F389</f>
        <v>0</v>
      </c>
      <c r="K389" s="244">
        <f t="shared" si="23"/>
        <v>384</v>
      </c>
    </row>
    <row r="390" spans="1:11">
      <c r="A390" s="519">
        <f t="shared" si="24"/>
        <v>887</v>
      </c>
      <c r="B390" s="520"/>
      <c r="C390" s="521"/>
      <c r="D390" s="521" t="s">
        <v>582</v>
      </c>
      <c r="E390" s="521"/>
      <c r="F390" s="404">
        <f>[14]EXPENSES.XNV!S387</f>
        <v>55992912.410000004</v>
      </c>
      <c r="G390" s="404"/>
      <c r="I390" s="404">
        <f t="shared" si="27"/>
        <v>55992912.410000004</v>
      </c>
      <c r="J390" s="404">
        <f>+I390-F390</f>
        <v>0</v>
      </c>
      <c r="K390" s="244">
        <f t="shared" si="23"/>
        <v>385</v>
      </c>
    </row>
    <row r="391" spans="1:11">
      <c r="A391" s="519">
        <f t="shared" si="24"/>
        <v>888</v>
      </c>
      <c r="B391" s="520"/>
      <c r="C391" s="521"/>
      <c r="D391" s="521" t="s">
        <v>584</v>
      </c>
      <c r="E391" s="521"/>
      <c r="F391" s="404">
        <f>[14]EXPENSES.XNV!S388</f>
        <v>8318552.7500000047</v>
      </c>
      <c r="G391" s="404"/>
      <c r="I391" s="404">
        <f t="shared" si="27"/>
        <v>8318552.7500000047</v>
      </c>
      <c r="J391" s="404">
        <f>+I391-F391</f>
        <v>0</v>
      </c>
      <c r="K391" s="244">
        <f t="shared" si="23"/>
        <v>386</v>
      </c>
    </row>
    <row r="392" spans="1:11">
      <c r="A392" s="519">
        <f t="shared" si="24"/>
        <v>889</v>
      </c>
      <c r="B392" s="520"/>
      <c r="C392" s="521"/>
      <c r="D392" s="521" t="s">
        <v>585</v>
      </c>
      <c r="E392" s="521"/>
      <c r="F392" s="409">
        <f>SUM(F388:F391)</f>
        <v>66717826.210000008</v>
      </c>
      <c r="G392" s="409"/>
      <c r="I392" s="409">
        <f t="shared" si="27"/>
        <v>66717826.210000008</v>
      </c>
      <c r="J392" s="409">
        <f>+I392-F392</f>
        <v>0</v>
      </c>
      <c r="K392" s="244">
        <f t="shared" si="23"/>
        <v>387</v>
      </c>
    </row>
    <row r="393" spans="1:11">
      <c r="A393" s="168">
        <f t="shared" si="24"/>
        <v>890</v>
      </c>
      <c r="B393" s="154"/>
      <c r="C393" s="49"/>
      <c r="D393" s="49"/>
      <c r="E393" s="49"/>
      <c r="F393" s="404"/>
      <c r="G393" s="404"/>
      <c r="I393" s="404"/>
      <c r="J393" s="404"/>
      <c r="K393" s="244">
        <f t="shared" si="23"/>
        <v>388</v>
      </c>
    </row>
    <row r="394" spans="1:11">
      <c r="A394" s="168">
        <f t="shared" si="24"/>
        <v>891</v>
      </c>
      <c r="B394" s="154">
        <v>404</v>
      </c>
      <c r="C394" s="49" t="s">
        <v>586</v>
      </c>
      <c r="D394" s="49"/>
      <c r="E394" s="49"/>
      <c r="F394" s="404"/>
      <c r="G394" s="404"/>
      <c r="I394" s="404"/>
      <c r="J394" s="404"/>
      <c r="K394" s="244">
        <f t="shared" si="23"/>
        <v>389</v>
      </c>
    </row>
    <row r="395" spans="1:11">
      <c r="A395" s="168">
        <f t="shared" si="24"/>
        <v>892</v>
      </c>
      <c r="B395" s="154"/>
      <c r="C395" s="49"/>
      <c r="D395" s="49" t="s">
        <v>427</v>
      </c>
      <c r="E395" s="49"/>
      <c r="F395" s="404">
        <f>[14]EXPENSES.XNV!S392</f>
        <v>17107.560000000001</v>
      </c>
      <c r="G395" s="404"/>
      <c r="I395" s="404">
        <f t="shared" si="27"/>
        <v>17107.560000000001</v>
      </c>
      <c r="J395" s="404">
        <f t="shared" ref="J395:J401" si="28">+I395-F395</f>
        <v>0</v>
      </c>
      <c r="K395" s="244">
        <f t="shared" si="23"/>
        <v>390</v>
      </c>
    </row>
    <row r="396" spans="1:11">
      <c r="A396" s="168">
        <f t="shared" si="24"/>
        <v>893</v>
      </c>
      <c r="B396" s="154"/>
      <c r="C396" s="49"/>
      <c r="D396" s="49" t="s">
        <v>581</v>
      </c>
      <c r="E396" s="49"/>
      <c r="F396" s="404">
        <f>[14]EXPENSES.XNV!S393</f>
        <v>0</v>
      </c>
      <c r="G396" s="404"/>
      <c r="I396" s="404">
        <f t="shared" si="27"/>
        <v>0</v>
      </c>
      <c r="J396" s="404">
        <f t="shared" si="28"/>
        <v>0</v>
      </c>
      <c r="K396" s="244">
        <f t="shared" si="23"/>
        <v>391</v>
      </c>
    </row>
    <row r="397" spans="1:11">
      <c r="A397" s="168">
        <f t="shared" si="24"/>
        <v>894</v>
      </c>
      <c r="B397" s="154"/>
      <c r="C397" s="49"/>
      <c r="D397" s="49" t="s">
        <v>582</v>
      </c>
      <c r="E397" s="49"/>
      <c r="F397" s="404">
        <f>[14]EXPENSES.XNV!S394</f>
        <v>0</v>
      </c>
      <c r="G397" s="404"/>
      <c r="I397" s="404">
        <f t="shared" si="27"/>
        <v>0</v>
      </c>
      <c r="J397" s="404">
        <f t="shared" si="28"/>
        <v>0</v>
      </c>
      <c r="K397" s="244">
        <f t="shared" si="23"/>
        <v>392</v>
      </c>
    </row>
    <row r="398" spans="1:11">
      <c r="A398" s="168">
        <f t="shared" si="24"/>
        <v>895</v>
      </c>
      <c r="B398" s="154"/>
      <c r="C398" s="49"/>
      <c r="D398" s="49" t="s">
        <v>584</v>
      </c>
      <c r="E398" s="49"/>
      <c r="F398" s="404">
        <f>[14]EXPENSES.XNV!S395</f>
        <v>0</v>
      </c>
      <c r="G398" s="404"/>
      <c r="I398" s="404">
        <f t="shared" si="27"/>
        <v>0</v>
      </c>
      <c r="J398" s="404">
        <f t="shared" si="28"/>
        <v>0</v>
      </c>
      <c r="K398" s="244">
        <f t="shared" si="23"/>
        <v>393</v>
      </c>
    </row>
    <row r="399" spans="1:11">
      <c r="A399" s="168">
        <f t="shared" si="24"/>
        <v>896</v>
      </c>
      <c r="B399" s="154"/>
      <c r="C399" s="49"/>
      <c r="D399" s="49" t="s">
        <v>587</v>
      </c>
      <c r="E399" s="49"/>
      <c r="F399" s="409">
        <f>SUM(F395:F398)</f>
        <v>17107.560000000001</v>
      </c>
      <c r="G399" s="409"/>
      <c r="I399" s="409">
        <f t="shared" si="27"/>
        <v>17107.560000000001</v>
      </c>
      <c r="J399" s="409">
        <f t="shared" si="28"/>
        <v>0</v>
      </c>
      <c r="K399" s="244">
        <f t="shared" si="23"/>
        <v>394</v>
      </c>
    </row>
    <row r="400" spans="1:11" ht="13.5" thickBot="1">
      <c r="A400" s="168">
        <f t="shared" si="24"/>
        <v>897</v>
      </c>
      <c r="B400" s="154"/>
      <c r="C400" s="49"/>
      <c r="D400" s="49"/>
      <c r="E400" s="49"/>
      <c r="F400" s="407"/>
      <c r="G400" s="407"/>
      <c r="I400" s="407">
        <f t="shared" si="27"/>
        <v>0</v>
      </c>
      <c r="J400" s="407">
        <f t="shared" si="28"/>
        <v>0</v>
      </c>
      <c r="K400" s="244">
        <f t="shared" si="23"/>
        <v>395</v>
      </c>
    </row>
    <row r="401" spans="1:11">
      <c r="A401" s="168">
        <f t="shared" si="24"/>
        <v>898</v>
      </c>
      <c r="B401" s="154"/>
      <c r="C401" s="158" t="s">
        <v>644</v>
      </c>
      <c r="D401" s="49"/>
      <c r="E401" s="49"/>
      <c r="F401" s="404">
        <f>F399+F392</f>
        <v>66734933.770000011</v>
      </c>
      <c r="G401" s="404"/>
      <c r="I401" s="404">
        <f t="shared" si="27"/>
        <v>66734933.770000011</v>
      </c>
      <c r="J401" s="404">
        <f t="shared" si="28"/>
        <v>0</v>
      </c>
      <c r="K401" s="244">
        <f t="shared" si="23"/>
        <v>396</v>
      </c>
    </row>
    <row r="402" spans="1:11">
      <c r="A402" s="168">
        <f t="shared" si="24"/>
        <v>899</v>
      </c>
      <c r="B402" s="154"/>
      <c r="C402" s="49"/>
      <c r="D402" s="49"/>
      <c r="E402" s="49"/>
      <c r="F402" s="404"/>
      <c r="G402" s="404"/>
      <c r="I402" s="404"/>
      <c r="J402" s="404"/>
      <c r="K402" s="244">
        <f t="shared" si="23"/>
        <v>397</v>
      </c>
    </row>
    <row r="403" spans="1:11">
      <c r="A403" s="168">
        <f t="shared" si="24"/>
        <v>900</v>
      </c>
      <c r="B403" s="225" t="s">
        <v>645</v>
      </c>
      <c r="C403" s="49"/>
      <c r="D403" s="49"/>
      <c r="E403" s="49"/>
      <c r="F403" s="404"/>
      <c r="G403" s="404"/>
      <c r="I403" s="404"/>
      <c r="J403" s="404"/>
      <c r="K403" s="244">
        <f t="shared" ref="K403:K450" si="29">+K402+1</f>
        <v>398</v>
      </c>
    </row>
    <row r="404" spans="1:11">
      <c r="A404" s="168">
        <f t="shared" si="24"/>
        <v>901</v>
      </c>
      <c r="B404" s="154">
        <v>408</v>
      </c>
      <c r="C404" s="49" t="s">
        <v>588</v>
      </c>
      <c r="D404" s="49"/>
      <c r="E404" s="49"/>
      <c r="F404" s="404"/>
      <c r="G404" s="404"/>
      <c r="I404" s="404"/>
      <c r="J404" s="404"/>
      <c r="K404" s="244">
        <f t="shared" si="29"/>
        <v>399</v>
      </c>
    </row>
    <row r="405" spans="1:11">
      <c r="A405" s="168">
        <f t="shared" si="24"/>
        <v>902</v>
      </c>
      <c r="B405" s="153"/>
      <c r="C405" s="49"/>
      <c r="D405" s="49" t="s">
        <v>427</v>
      </c>
      <c r="E405" s="49"/>
      <c r="F405" s="404">
        <f>[14]EXPENSES.XNV!S402</f>
        <v>0</v>
      </c>
      <c r="G405" s="404"/>
      <c r="I405" s="404">
        <f t="shared" si="27"/>
        <v>0</v>
      </c>
      <c r="J405" s="404">
        <f>+I405-F405</f>
        <v>0</v>
      </c>
      <c r="K405" s="244">
        <f t="shared" si="29"/>
        <v>400</v>
      </c>
    </row>
    <row r="406" spans="1:11">
      <c r="A406" s="168">
        <f t="shared" si="24"/>
        <v>903</v>
      </c>
      <c r="B406" s="153"/>
      <c r="C406" s="49"/>
      <c r="D406" s="49" t="s">
        <v>581</v>
      </c>
      <c r="E406" s="49"/>
      <c r="F406" s="404">
        <f>[14]EXPENSES.XNV!S403</f>
        <v>843251.16999999993</v>
      </c>
      <c r="G406" s="404"/>
      <c r="I406" s="404">
        <f t="shared" si="27"/>
        <v>843251.16999999993</v>
      </c>
      <c r="J406" s="404">
        <f>+I406-F406</f>
        <v>0</v>
      </c>
      <c r="K406" s="244">
        <f t="shared" si="29"/>
        <v>401</v>
      </c>
    </row>
    <row r="407" spans="1:11">
      <c r="A407" s="168">
        <f t="shared" si="24"/>
        <v>904</v>
      </c>
      <c r="B407" s="153"/>
      <c r="C407" s="49"/>
      <c r="D407" s="49" t="s">
        <v>582</v>
      </c>
      <c r="E407" s="49"/>
      <c r="F407" s="404">
        <f>[14]EXPENSES.XNV!S404</f>
        <v>19756919.129999999</v>
      </c>
      <c r="G407" s="404"/>
      <c r="I407" s="404">
        <f t="shared" si="27"/>
        <v>19756919.129999999</v>
      </c>
      <c r="J407" s="404">
        <f>+I407-F407</f>
        <v>0</v>
      </c>
      <c r="K407" s="244">
        <f t="shared" si="29"/>
        <v>402</v>
      </c>
    </row>
    <row r="408" spans="1:11">
      <c r="A408" s="168">
        <f t="shared" si="24"/>
        <v>905</v>
      </c>
      <c r="B408" s="153"/>
      <c r="C408" s="49"/>
      <c r="D408" s="49" t="s">
        <v>584</v>
      </c>
      <c r="E408" s="49"/>
      <c r="F408" s="410">
        <f>[14]EXPENSES.XNV!S405</f>
        <v>1657671.9599999997</v>
      </c>
      <c r="G408" s="410"/>
      <c r="I408" s="410">
        <f t="shared" si="27"/>
        <v>1657671.9599999997</v>
      </c>
      <c r="J408" s="410">
        <f>+I408-F408</f>
        <v>0</v>
      </c>
      <c r="K408" s="244">
        <f t="shared" si="29"/>
        <v>403</v>
      </c>
    </row>
    <row r="409" spans="1:11">
      <c r="A409" s="168">
        <f t="shared" si="24"/>
        <v>906</v>
      </c>
      <c r="B409" s="153"/>
      <c r="C409" s="49"/>
      <c r="D409" s="49" t="s">
        <v>589</v>
      </c>
      <c r="E409" s="49"/>
      <c r="F409" s="404">
        <f>[14]EXPENSES.XNV!S406</f>
        <v>22257842.260000002</v>
      </c>
      <c r="G409" s="404"/>
      <c r="I409" s="404">
        <f t="shared" si="27"/>
        <v>22257842.260000002</v>
      </c>
      <c r="J409" s="404">
        <f>+I409-F409</f>
        <v>0</v>
      </c>
      <c r="K409" s="244">
        <f t="shared" si="29"/>
        <v>404</v>
      </c>
    </row>
    <row r="410" spans="1:11">
      <c r="A410" s="168">
        <f t="shared" si="24"/>
        <v>907</v>
      </c>
      <c r="B410" s="153"/>
      <c r="C410" s="49"/>
      <c r="D410" s="49"/>
      <c r="E410" s="49"/>
      <c r="F410" s="404"/>
      <c r="G410" s="404"/>
      <c r="I410" s="404"/>
      <c r="J410" s="404"/>
      <c r="K410" s="244">
        <f t="shared" si="29"/>
        <v>405</v>
      </c>
    </row>
    <row r="411" spans="1:11">
      <c r="A411" s="168">
        <f t="shared" si="24"/>
        <v>908</v>
      </c>
      <c r="B411" s="154">
        <v>4090</v>
      </c>
      <c r="C411" s="49" t="s">
        <v>591</v>
      </c>
      <c r="D411" s="49"/>
      <c r="E411" s="49"/>
      <c r="F411" s="404">
        <f>[14]EXPENSES.XNV!S408</f>
        <v>41536613.329999991</v>
      </c>
      <c r="G411" s="404"/>
      <c r="I411" s="404">
        <f t="shared" si="27"/>
        <v>41536613.329999991</v>
      </c>
      <c r="J411" s="404">
        <f>+I411-F411</f>
        <v>0</v>
      </c>
      <c r="K411" s="244">
        <f t="shared" si="29"/>
        <v>406</v>
      </c>
    </row>
    <row r="412" spans="1:11">
      <c r="A412" s="168">
        <f t="shared" si="24"/>
        <v>909</v>
      </c>
      <c r="B412" s="154"/>
      <c r="C412" s="49"/>
      <c r="D412" s="49"/>
      <c r="E412" s="49"/>
      <c r="F412" s="404"/>
      <c r="G412" s="404"/>
      <c r="I412" s="404"/>
      <c r="J412" s="404"/>
      <c r="K412" s="244">
        <f t="shared" si="29"/>
        <v>407</v>
      </c>
    </row>
    <row r="413" spans="1:11">
      <c r="A413" s="168">
        <f t="shared" si="24"/>
        <v>910</v>
      </c>
      <c r="B413" s="154">
        <v>4091</v>
      </c>
      <c r="C413" s="49" t="s">
        <v>592</v>
      </c>
      <c r="D413" s="49"/>
      <c r="E413" s="49"/>
      <c r="F413" s="404">
        <f>[14]EXPENSES.XNV!S410</f>
        <v>651828.49000000069</v>
      </c>
      <c r="G413" s="404"/>
      <c r="I413" s="404">
        <f t="shared" si="27"/>
        <v>651828.49000000069</v>
      </c>
      <c r="J413" s="404">
        <f>+I413-F413</f>
        <v>0</v>
      </c>
      <c r="K413" s="244">
        <f t="shared" si="29"/>
        <v>408</v>
      </c>
    </row>
    <row r="414" spans="1:11">
      <c r="A414" s="168">
        <f t="shared" si="24"/>
        <v>911</v>
      </c>
      <c r="B414" s="154"/>
      <c r="C414" s="49"/>
      <c r="D414" s="49"/>
      <c r="E414" s="49"/>
      <c r="F414" s="404"/>
      <c r="G414" s="404"/>
      <c r="I414" s="404"/>
      <c r="J414" s="404"/>
      <c r="K414" s="244">
        <f t="shared" si="29"/>
        <v>409</v>
      </c>
    </row>
    <row r="415" spans="1:11">
      <c r="A415" s="168">
        <f t="shared" si="24"/>
        <v>912</v>
      </c>
      <c r="B415" s="154">
        <v>4101</v>
      </c>
      <c r="C415" s="49" t="s">
        <v>593</v>
      </c>
      <c r="D415" s="49"/>
      <c r="E415" s="49"/>
      <c r="F415" s="404">
        <f>[14]EXPENSES.XNV!S412</f>
        <v>5456116.0800000001</v>
      </c>
      <c r="G415" s="404"/>
      <c r="I415" s="404">
        <f t="shared" si="27"/>
        <v>5456116.0800000001</v>
      </c>
      <c r="J415" s="404">
        <f>+I415-F415</f>
        <v>0</v>
      </c>
      <c r="K415" s="244">
        <f t="shared" si="29"/>
        <v>410</v>
      </c>
    </row>
    <row r="416" spans="1:11">
      <c r="A416" s="168">
        <f t="shared" si="24"/>
        <v>913</v>
      </c>
      <c r="B416" s="154"/>
      <c r="C416" s="49"/>
      <c r="D416" s="49"/>
      <c r="E416" s="49"/>
      <c r="F416" s="404"/>
      <c r="G416" s="404"/>
      <c r="I416" s="404"/>
      <c r="J416" s="404"/>
      <c r="K416" s="244">
        <f t="shared" si="29"/>
        <v>411</v>
      </c>
    </row>
    <row r="417" spans="1:11">
      <c r="A417" s="168">
        <f t="shared" si="24"/>
        <v>914</v>
      </c>
      <c r="B417" s="154">
        <v>4111</v>
      </c>
      <c r="C417" s="49" t="s">
        <v>594</v>
      </c>
      <c r="D417" s="49"/>
      <c r="E417" s="49"/>
      <c r="F417" s="404">
        <f>[14]EXPENSES.XNV!S414</f>
        <v>0</v>
      </c>
      <c r="G417" s="404"/>
      <c r="I417" s="404">
        <f t="shared" ref="I417:I430" si="30">HLOOKUP($I$6,EXPENSESCENARIO,K417,FALSE)</f>
        <v>0</v>
      </c>
      <c r="J417" s="404">
        <f>+I417-F417</f>
        <v>0</v>
      </c>
      <c r="K417" s="244">
        <f t="shared" si="29"/>
        <v>412</v>
      </c>
    </row>
    <row r="418" spans="1:11">
      <c r="A418" s="168">
        <f t="shared" si="24"/>
        <v>915</v>
      </c>
      <c r="B418" s="154"/>
      <c r="C418" s="49"/>
      <c r="D418" s="49"/>
      <c r="E418" s="49"/>
      <c r="F418" s="404"/>
      <c r="G418" s="404"/>
      <c r="I418" s="404"/>
      <c r="J418" s="404"/>
      <c r="K418" s="244">
        <f t="shared" si="29"/>
        <v>413</v>
      </c>
    </row>
    <row r="419" spans="1:11">
      <c r="A419" s="168">
        <f t="shared" si="24"/>
        <v>916</v>
      </c>
      <c r="B419" s="154">
        <v>4114</v>
      </c>
      <c r="C419" s="49" t="s">
        <v>595</v>
      </c>
      <c r="D419" s="49"/>
      <c r="E419" s="49"/>
      <c r="F419" s="404">
        <f>[14]EXPENSES.XNV!S416</f>
        <v>0</v>
      </c>
      <c r="G419" s="404"/>
      <c r="I419" s="404">
        <f t="shared" si="30"/>
        <v>0</v>
      </c>
      <c r="J419" s="404">
        <f>+I419-F419</f>
        <v>0</v>
      </c>
      <c r="K419" s="244">
        <f t="shared" si="29"/>
        <v>414</v>
      </c>
    </row>
    <row r="420" spans="1:11">
      <c r="A420" s="168">
        <f t="shared" si="24"/>
        <v>917</v>
      </c>
      <c r="B420" s="154"/>
      <c r="C420" s="49"/>
      <c r="D420" s="49"/>
      <c r="E420" s="49"/>
      <c r="F420" s="404"/>
      <c r="G420" s="404"/>
      <c r="I420" s="404"/>
      <c r="J420" s="404"/>
      <c r="K420" s="244">
        <f t="shared" si="29"/>
        <v>415</v>
      </c>
    </row>
    <row r="421" spans="1:11">
      <c r="A421" s="168">
        <f t="shared" si="24"/>
        <v>918</v>
      </c>
      <c r="B421" s="153"/>
      <c r="C421" s="49" t="s">
        <v>281</v>
      </c>
      <c r="D421" s="49"/>
      <c r="E421" s="49"/>
      <c r="F421" s="404">
        <f>[14]EXPENSES.XNV!S418</f>
        <v>0</v>
      </c>
      <c r="G421" s="404"/>
      <c r="I421" s="404">
        <f t="shared" si="30"/>
        <v>0</v>
      </c>
      <c r="J421" s="404">
        <f>+I421-F421</f>
        <v>0</v>
      </c>
      <c r="K421" s="244">
        <f t="shared" si="29"/>
        <v>416</v>
      </c>
    </row>
    <row r="422" spans="1:11">
      <c r="A422" s="168">
        <f t="shared" si="24"/>
        <v>919</v>
      </c>
      <c r="B422" s="153"/>
      <c r="C422" s="49"/>
      <c r="D422" s="49"/>
      <c r="E422" s="49"/>
      <c r="F422" s="404"/>
      <c r="G422" s="404"/>
      <c r="I422" s="404"/>
      <c r="J422" s="404"/>
      <c r="K422" s="244">
        <f t="shared" si="29"/>
        <v>417</v>
      </c>
    </row>
    <row r="423" spans="1:11">
      <c r="A423" s="168">
        <f t="shared" si="24"/>
        <v>920</v>
      </c>
      <c r="B423" s="153"/>
      <c r="C423" s="49" t="s">
        <v>282</v>
      </c>
      <c r="D423" s="49"/>
      <c r="E423" s="49"/>
      <c r="F423" s="404">
        <f>[14]EXPENSES.XNV!S420</f>
        <v>0</v>
      </c>
      <c r="G423" s="404"/>
      <c r="I423" s="412">
        <f t="shared" si="30"/>
        <v>0</v>
      </c>
      <c r="J423" s="404">
        <f>+I423-F423</f>
        <v>0</v>
      </c>
      <c r="K423" s="244">
        <f t="shared" si="29"/>
        <v>418</v>
      </c>
    </row>
    <row r="424" spans="1:11" ht="13.5" thickBot="1">
      <c r="A424" s="168">
        <f t="shared" si="24"/>
        <v>921</v>
      </c>
      <c r="B424" s="153"/>
      <c r="C424" s="49"/>
      <c r="D424" s="49"/>
      <c r="E424" s="49"/>
      <c r="F424" s="407"/>
      <c r="G424" s="407"/>
      <c r="I424" s="407"/>
      <c r="J424" s="407"/>
      <c r="K424" s="244">
        <f t="shared" si="29"/>
        <v>419</v>
      </c>
    </row>
    <row r="425" spans="1:11">
      <c r="A425" s="168">
        <f t="shared" si="24"/>
        <v>922</v>
      </c>
      <c r="B425" s="153"/>
      <c r="C425" s="158" t="s">
        <v>646</v>
      </c>
      <c r="D425" s="49"/>
      <c r="E425" s="49"/>
      <c r="F425" s="404">
        <f>F409+F411+F413+F415+F417+F419+F421+F423</f>
        <v>69902400.159999996</v>
      </c>
      <c r="G425" s="404"/>
      <c r="I425" s="404">
        <f t="shared" si="30"/>
        <v>69902400.159999996</v>
      </c>
      <c r="J425" s="404">
        <f>+I425-F425</f>
        <v>0</v>
      </c>
      <c r="K425" s="244">
        <f t="shared" si="29"/>
        <v>420</v>
      </c>
    </row>
    <row r="426" spans="1:11" ht="13.5" thickBot="1">
      <c r="A426" s="168">
        <f t="shared" si="24"/>
        <v>923</v>
      </c>
      <c r="B426" s="153"/>
      <c r="C426" s="49"/>
      <c r="D426" s="49"/>
      <c r="E426" s="49"/>
      <c r="F426" s="406"/>
      <c r="G426" s="406"/>
      <c r="I426" s="406"/>
      <c r="J426" s="406"/>
      <c r="K426" s="244">
        <f t="shared" si="29"/>
        <v>421</v>
      </c>
    </row>
    <row r="427" spans="1:11" ht="13.5" thickTop="1">
      <c r="A427" s="168">
        <f t="shared" si="24"/>
        <v>924</v>
      </c>
      <c r="B427" s="153"/>
      <c r="C427" s="49"/>
      <c r="D427" s="49"/>
      <c r="E427" s="49"/>
      <c r="F427" s="404"/>
      <c r="G427" s="404"/>
      <c r="I427" s="404"/>
      <c r="J427" s="404"/>
      <c r="K427" s="244">
        <f t="shared" si="29"/>
        <v>422</v>
      </c>
    </row>
    <row r="428" spans="1:11">
      <c r="A428" s="168">
        <f t="shared" si="24"/>
        <v>925</v>
      </c>
      <c r="B428" s="130"/>
      <c r="C428" s="158" t="s">
        <v>643</v>
      </c>
      <c r="D428" s="49"/>
      <c r="E428" s="49"/>
      <c r="F428" s="404">
        <f>F401+F425</f>
        <v>136637333.93000001</v>
      </c>
      <c r="G428" s="404"/>
      <c r="I428" s="404">
        <f t="shared" si="30"/>
        <v>136637333.93000001</v>
      </c>
      <c r="J428" s="404">
        <f>+I428-F428</f>
        <v>0</v>
      </c>
      <c r="K428" s="244">
        <f t="shared" si="29"/>
        <v>423</v>
      </c>
    </row>
    <row r="429" spans="1:11" ht="13.5" thickBot="1">
      <c r="A429" s="168">
        <f t="shared" si="24"/>
        <v>926</v>
      </c>
      <c r="B429" s="153"/>
      <c r="C429" s="49"/>
      <c r="D429" s="49"/>
      <c r="E429" s="49"/>
      <c r="F429" s="406"/>
      <c r="G429" s="406"/>
      <c r="I429" s="406"/>
      <c r="J429" s="406"/>
      <c r="K429" s="244">
        <f t="shared" si="29"/>
        <v>424</v>
      </c>
    </row>
    <row r="430" spans="1:11" ht="13.5" thickTop="1">
      <c r="A430" s="377">
        <f t="shared" si="24"/>
        <v>927</v>
      </c>
      <c r="B430" s="130"/>
      <c r="C430" s="58" t="s">
        <v>750</v>
      </c>
      <c r="D430" s="58"/>
      <c r="E430" s="58"/>
      <c r="F430" s="413">
        <f>+F409+F401:F401</f>
        <v>88992776.030000016</v>
      </c>
      <c r="G430" s="413"/>
      <c r="I430" s="413">
        <f t="shared" si="30"/>
        <v>88992776.030000016</v>
      </c>
      <c r="J430" s="413">
        <f>+I430-F430</f>
        <v>0</v>
      </c>
      <c r="K430" s="244">
        <f t="shared" si="29"/>
        <v>425</v>
      </c>
    </row>
    <row r="431" spans="1:11">
      <c r="A431" s="168">
        <f t="shared" si="24"/>
        <v>928</v>
      </c>
      <c r="B431" s="130" t="s">
        <v>642</v>
      </c>
      <c r="C431" s="49"/>
      <c r="D431" s="49"/>
      <c r="E431" s="49"/>
      <c r="F431" s="404">
        <f>F131+F383+F428</f>
        <v>830021115.96595287</v>
      </c>
      <c r="G431" s="404"/>
      <c r="H431" s="404"/>
      <c r="I431" s="404">
        <f>I131+I383+I428</f>
        <v>830021115.96595287</v>
      </c>
      <c r="J431" s="404">
        <f>+I431-F431</f>
        <v>0</v>
      </c>
      <c r="K431" s="244">
        <f t="shared" si="29"/>
        <v>426</v>
      </c>
    </row>
    <row r="432" spans="1:11">
      <c r="K432" s="244">
        <f t="shared" si="29"/>
        <v>427</v>
      </c>
    </row>
    <row r="433" spans="6:11">
      <c r="K433" s="244">
        <f t="shared" si="29"/>
        <v>428</v>
      </c>
    </row>
    <row r="434" spans="6:11">
      <c r="F434" s="7"/>
      <c r="K434" s="244">
        <f t="shared" si="29"/>
        <v>429</v>
      </c>
    </row>
    <row r="435" spans="6:11">
      <c r="K435" s="244">
        <f t="shared" si="29"/>
        <v>430</v>
      </c>
    </row>
    <row r="436" spans="6:11">
      <c r="K436" s="244">
        <f t="shared" si="29"/>
        <v>431</v>
      </c>
    </row>
    <row r="437" spans="6:11">
      <c r="K437" s="244">
        <f t="shared" si="29"/>
        <v>432</v>
      </c>
    </row>
    <row r="438" spans="6:11">
      <c r="K438" s="244">
        <f t="shared" si="29"/>
        <v>433</v>
      </c>
    </row>
    <row r="439" spans="6:11">
      <c r="K439" s="244">
        <f t="shared" si="29"/>
        <v>434</v>
      </c>
    </row>
    <row r="440" spans="6:11">
      <c r="K440" s="244">
        <f t="shared" si="29"/>
        <v>435</v>
      </c>
    </row>
    <row r="441" spans="6:11">
      <c r="K441" s="244">
        <f t="shared" si="29"/>
        <v>436</v>
      </c>
    </row>
    <row r="442" spans="6:11">
      <c r="K442" s="244">
        <f t="shared" si="29"/>
        <v>437</v>
      </c>
    </row>
    <row r="443" spans="6:11">
      <c r="K443" s="244">
        <f t="shared" si="29"/>
        <v>438</v>
      </c>
    </row>
    <row r="444" spans="6:11">
      <c r="K444" s="244">
        <f t="shared" si="29"/>
        <v>439</v>
      </c>
    </row>
    <row r="445" spans="6:11">
      <c r="K445" s="244">
        <f t="shared" si="29"/>
        <v>440</v>
      </c>
    </row>
    <row r="446" spans="6:11">
      <c r="K446" s="244">
        <f t="shared" si="29"/>
        <v>441</v>
      </c>
    </row>
    <row r="447" spans="6:11">
      <c r="K447" s="244">
        <f t="shared" si="29"/>
        <v>442</v>
      </c>
    </row>
    <row r="448" spans="6:11">
      <c r="K448" s="244">
        <f t="shared" si="29"/>
        <v>443</v>
      </c>
    </row>
    <row r="449" spans="11:11">
      <c r="K449" s="244">
        <f t="shared" si="29"/>
        <v>444</v>
      </c>
    </row>
    <row r="450" spans="11:11">
      <c r="K450" s="244">
        <f t="shared" si="29"/>
        <v>445</v>
      </c>
    </row>
  </sheetData>
  <mergeCells count="2">
    <mergeCell ref="D9:E9"/>
    <mergeCell ref="B10:E10"/>
  </mergeCells>
  <phoneticPr fontId="23" type="noConversion"/>
  <dataValidations count="1">
    <dataValidation type="list" showInputMessage="1" showErrorMessage="1" sqref="G6">
      <formula1>"QGC Expense Jun 09,QGC Expense Dec 08,QGC Expense Dec 09,QGC Expense Dec 2010"</formula1>
    </dataValidation>
  </dataValidations>
  <pageMargins left="1.5" right="0.25" top="0.34" bottom="0.28000000000000003" header="0.17" footer="0.16"/>
  <pageSetup scale="10" fitToHeight="3" orientation="portrait" horizontalDpi="1200" verticalDpi="1200" r:id="rId1"/>
  <headerFooter alignWithMargins="0"/>
  <ignoredErrors>
    <ignoredError sqref="B20 B62 B72 B8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137</vt:i4>
      </vt:variant>
    </vt:vector>
  </HeadingPairs>
  <TitlesOfParts>
    <vt:vector size="163" baseType="lpstr">
      <vt:lpstr>Control Panel</vt:lpstr>
      <vt:lpstr>Summaries</vt:lpstr>
      <vt:lpstr>Adjustments</vt:lpstr>
      <vt:lpstr>Report</vt:lpstr>
      <vt:lpstr>ROR-Model</vt:lpstr>
      <vt:lpstr>Taxes</vt:lpstr>
      <vt:lpstr>Rate Base</vt:lpstr>
      <vt:lpstr>Transition Costs</vt:lpstr>
      <vt:lpstr>EXPENSES</vt:lpstr>
      <vt:lpstr>ENERGY EFFICIENCY SERVICES ADJ</vt:lpstr>
      <vt:lpstr>Und Stor</vt:lpstr>
      <vt:lpstr>Wexpro</vt:lpstr>
      <vt:lpstr>RESERVE ACCRUAL</vt:lpstr>
      <vt:lpstr>Donations</vt:lpstr>
      <vt:lpstr>Advertising</vt:lpstr>
      <vt:lpstr>Incentive</vt:lpstr>
      <vt:lpstr>Sporting Events</vt:lpstr>
      <vt:lpstr>Revenue</vt:lpstr>
      <vt:lpstr>Booked Dec 2017 Rev</vt:lpstr>
      <vt:lpstr>Other Rev</vt:lpstr>
      <vt:lpstr>Lab Adj</vt:lpstr>
      <vt:lpstr>Corp Overhead Adj</vt:lpstr>
      <vt:lpstr>Bad Debt</vt:lpstr>
      <vt:lpstr>Capital Str</vt:lpstr>
      <vt:lpstr>Utah Allocation</vt:lpstr>
      <vt:lpstr>ALLOCATIONS&amp;PRETAX</vt:lpstr>
      <vt:lpstr>'Lab Adj'!Adjustments</vt:lpstr>
      <vt:lpstr>Adjustments</vt:lpstr>
      <vt:lpstr>ADVERTISESUMMARY1</vt:lpstr>
      <vt:lpstr>Advertisingscenario</vt:lpstr>
      <vt:lpstr>'Lab Adj'!ALLOCATIONS</vt:lpstr>
      <vt:lpstr>ALLOCATIONS</vt:lpstr>
      <vt:lpstr>ave_incentive</vt:lpstr>
      <vt:lpstr>AVG_INCENTIVE</vt:lpstr>
      <vt:lpstr>'Lab Adj'!BadDebtScenario</vt:lpstr>
      <vt:lpstr>BadDebtScenario</vt:lpstr>
      <vt:lpstr>BADDEBTSUMMARY1</vt:lpstr>
      <vt:lpstr>BADDEBTSUMMARY2</vt:lpstr>
      <vt:lpstr>BOOKED_DEC_2006</vt:lpstr>
      <vt:lpstr>'Lab Adj'!CapStr</vt:lpstr>
      <vt:lpstr>CapStr</vt:lpstr>
      <vt:lpstr>'Lab Adj'!COMM_REV_CO</vt:lpstr>
      <vt:lpstr>COMM_REV_CO</vt:lpstr>
      <vt:lpstr>'Lab Adj'!COMM_REV_ID</vt:lpstr>
      <vt:lpstr>COMM_REV_ID</vt:lpstr>
      <vt:lpstr>'Lab Adj'!COMM_REV_UT</vt:lpstr>
      <vt:lpstr>COMM_REV_UT</vt:lpstr>
      <vt:lpstr>'Lab Adj'!COMM_REV_WY</vt:lpstr>
      <vt:lpstr>COMM_REV_WY</vt:lpstr>
      <vt:lpstr>CONTROLPANEL</vt:lpstr>
      <vt:lpstr>Decouple1</vt:lpstr>
      <vt:lpstr>Decouple2</vt:lpstr>
      <vt:lpstr>Decouple2A</vt:lpstr>
      <vt:lpstr>Decouple2B</vt:lpstr>
      <vt:lpstr>Decouple3</vt:lpstr>
      <vt:lpstr>Decouple8</vt:lpstr>
      <vt:lpstr>'Lab Adj'!DEP_TAX_ADJ</vt:lpstr>
      <vt:lpstr>DON_ADJ_UT</vt:lpstr>
      <vt:lpstr>DON_ADJ_WY</vt:lpstr>
      <vt:lpstr>'Lab Adj'!DONATIONSSCENARIO</vt:lpstr>
      <vt:lpstr>DONATIONSSCENARIO</vt:lpstr>
      <vt:lpstr>DONATIONSSUMMARY</vt:lpstr>
      <vt:lpstr>DPUORIGINAL1</vt:lpstr>
      <vt:lpstr>DSM</vt:lpstr>
      <vt:lpstr>DSM_Accounting_Adjustment</vt:lpstr>
      <vt:lpstr>DSMPRINT</vt:lpstr>
      <vt:lpstr>events</vt:lpstr>
      <vt:lpstr>EXPENSE_SENARIOS</vt:lpstr>
      <vt:lpstr>EXPENSES</vt:lpstr>
      <vt:lpstr>EXPENSESCENARIO</vt:lpstr>
      <vt:lpstr>GrossPlantFormula</vt:lpstr>
      <vt:lpstr>GrossPlantNumber</vt:lpstr>
      <vt:lpstr>HIST_403_GEN</vt:lpstr>
      <vt:lpstr>HIST_403_PROD</vt:lpstr>
      <vt:lpstr>HIST_403_UT</vt:lpstr>
      <vt:lpstr>HIST_403_WY</vt:lpstr>
      <vt:lpstr>INCENTIVE</vt:lpstr>
      <vt:lpstr>INCENTIVECORP</vt:lpstr>
      <vt:lpstr>INCENTIVEPER11</vt:lpstr>
      <vt:lpstr>INCENTIVEPER12</vt:lpstr>
      <vt:lpstr>INCENTIVESUMMARY</vt:lpstr>
      <vt:lpstr>INSENTIVEQGC</vt:lpstr>
      <vt:lpstr>Insentives_QGC</vt:lpstr>
      <vt:lpstr>'Lab Adj'!INSENTIVESCENARIO</vt:lpstr>
      <vt:lpstr>INSENTIVESCENARIO</vt:lpstr>
      <vt:lpstr>'Lab Adj'!JurisRORNumber</vt:lpstr>
      <vt:lpstr>JurisRORNumber</vt:lpstr>
      <vt:lpstr>'Lab Adj'!LABORSCENARIO</vt:lpstr>
      <vt:lpstr>LABORTAB</vt:lpstr>
      <vt:lpstr>MODEL</vt:lpstr>
      <vt:lpstr>OtherRevScenarios</vt:lpstr>
      <vt:lpstr>Adjustments!Print_Area</vt:lpstr>
      <vt:lpstr>Advertising!Print_Area</vt:lpstr>
      <vt:lpstr>'ALLOCATIONS&amp;PRETAX'!Print_Area</vt:lpstr>
      <vt:lpstr>'Bad Debt'!Print_Area</vt:lpstr>
      <vt:lpstr>'Capital Str'!Print_Area</vt:lpstr>
      <vt:lpstr>'Control Panel'!Print_Area</vt:lpstr>
      <vt:lpstr>'Corp Overhead Adj'!Print_Area</vt:lpstr>
      <vt:lpstr>Donations!Print_Area</vt:lpstr>
      <vt:lpstr>'ENERGY EFFICIENCY SERVICES ADJ'!Print_Area</vt:lpstr>
      <vt:lpstr>EXPENSES!Print_Area</vt:lpstr>
      <vt:lpstr>Incentive!Print_Area</vt:lpstr>
      <vt:lpstr>'Lab Adj'!Print_Area</vt:lpstr>
      <vt:lpstr>'Other Rev'!Print_Area</vt:lpstr>
      <vt:lpstr>'Rate Base'!Print_Area</vt:lpstr>
      <vt:lpstr>Report!Print_Area</vt:lpstr>
      <vt:lpstr>'RESERVE ACCRUAL'!Print_Area</vt:lpstr>
      <vt:lpstr>Revenue!Print_Area</vt:lpstr>
      <vt:lpstr>'ROR-Model'!Print_Area</vt:lpstr>
      <vt:lpstr>'Sporting Events'!Print_Area</vt:lpstr>
      <vt:lpstr>Summaries!Print_Area</vt:lpstr>
      <vt:lpstr>Taxes!Print_Area</vt:lpstr>
      <vt:lpstr>'Transition Costs'!Print_Area</vt:lpstr>
      <vt:lpstr>'Und Stor'!Print_Area</vt:lpstr>
      <vt:lpstr>'Utah Allocation'!Print_Area</vt:lpstr>
      <vt:lpstr>Wexpro!Print_Area</vt:lpstr>
      <vt:lpstr>Adjustments!Print_Titles</vt:lpstr>
      <vt:lpstr>'Booked Dec 2017 Rev'!Print_Titles</vt:lpstr>
      <vt:lpstr>EXPENSES!Print_Titles</vt:lpstr>
      <vt:lpstr>'Other Rev'!Print_Titles</vt:lpstr>
      <vt:lpstr>'Rate Base'!Print_Titles</vt:lpstr>
      <vt:lpstr>Revenue!Print_Titles</vt:lpstr>
      <vt:lpstr>'ROR-Model'!Print_Titles</vt:lpstr>
      <vt:lpstr>Summaries!Print_Titles</vt:lpstr>
      <vt:lpstr>'Lab Adj'!PT_OTH_REV_UT</vt:lpstr>
      <vt:lpstr>PT_OTH_REV_UT</vt:lpstr>
      <vt:lpstr>'Lab Adj'!PT_OTH_REV_WY</vt:lpstr>
      <vt:lpstr>PT_OTH_REV_WY</vt:lpstr>
      <vt:lpstr>QGC_UTAH_Bad_Debt</vt:lpstr>
      <vt:lpstr>RateBaseFormula</vt:lpstr>
      <vt:lpstr>RateBaseNumber</vt:lpstr>
      <vt:lpstr>'Lab Adj'!RateBaseScenarios</vt:lpstr>
      <vt:lpstr>RateBaseScenarios</vt:lpstr>
      <vt:lpstr>report</vt:lpstr>
      <vt:lpstr>REPORT1</vt:lpstr>
      <vt:lpstr>RESERVE</vt:lpstr>
      <vt:lpstr>Reserve_Accrual_Adjustment</vt:lpstr>
      <vt:lpstr>RESERVEACCRUALSCENARIO</vt:lpstr>
      <vt:lpstr>'Lab Adj'!RevenueScenarios</vt:lpstr>
      <vt:lpstr>RevenueScenarios</vt:lpstr>
      <vt:lpstr>SalesFormula</vt:lpstr>
      <vt:lpstr>SalesNumber</vt:lpstr>
      <vt:lpstr>'Lab Adj'!Scenarios</vt:lpstr>
      <vt:lpstr>Scenarios</vt:lpstr>
      <vt:lpstr>'Lab Adj'!SNG_REV_ID</vt:lpstr>
      <vt:lpstr>SNG_REV_ID</vt:lpstr>
      <vt:lpstr>'Lab Adj'!SNG_REV_UT</vt:lpstr>
      <vt:lpstr>SNG_REV_UT</vt:lpstr>
      <vt:lpstr>'Lab Adj'!SNG_REV_WY</vt:lpstr>
      <vt:lpstr>SNG_REV_WY</vt:lpstr>
      <vt:lpstr>Summaries</vt:lpstr>
      <vt:lpstr>SYSRORNumber</vt:lpstr>
      <vt:lpstr>'Lab Adj'!Taxes</vt:lpstr>
      <vt:lpstr>Taxes</vt:lpstr>
      <vt:lpstr>UNDERGROUND_STORAGE</vt:lpstr>
      <vt:lpstr>UNDERGROUND_STORAGE_RANGE</vt:lpstr>
      <vt:lpstr>UTAHSUMMARY</vt:lpstr>
      <vt:lpstr>WCCFormula</vt:lpstr>
      <vt:lpstr>WEX_ADJ_101_PROD</vt:lpstr>
      <vt:lpstr>'Lab Adj'!WEX_ADJ_108_PROD</vt:lpstr>
      <vt:lpstr>WEX_ADJ_108_PROD</vt:lpstr>
      <vt:lpstr>'Lab Adj'!WEX_ADJ_111_PROD</vt:lpstr>
      <vt:lpstr>WEX_ADJ_111_PROD</vt:lpstr>
    </vt:vector>
  </TitlesOfParts>
  <Company>Questar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QUESTAR</dc:creator>
  <cp:lastModifiedBy>Fred Nass</cp:lastModifiedBy>
  <cp:lastPrinted>2018-05-02T22:10:20Z</cp:lastPrinted>
  <dcterms:created xsi:type="dcterms:W3CDTF">2001-05-16T20:00:24Z</dcterms:created>
  <dcterms:modified xsi:type="dcterms:W3CDTF">2018-05-03T18:11:45Z</dcterms:modified>
</cp:coreProperties>
</file>